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root\Desktop\Новая папка (2)\"/>
    </mc:Choice>
  </mc:AlternateContent>
  <bookViews>
    <workbookView xWindow="0" yWindow="0" windowWidth="28800" windowHeight="12120"/>
  </bookViews>
  <sheets>
    <sheet name="2018-12-31" sheetId="33" r:id="rId1"/>
    <sheet name="2018-12-24" sheetId="32" r:id="rId2"/>
    <sheet name="2018-12-17" sheetId="31" r:id="rId3"/>
    <sheet name="2018-12-10" sheetId="30" r:id="rId4"/>
    <sheet name="2018-12-03" sheetId="28" r:id="rId5"/>
    <sheet name="2018-11-26" sheetId="29" r:id="rId6"/>
    <sheet name="2018-11-19" sheetId="27" r:id="rId7"/>
    <sheet name="2018-11-12" sheetId="26" r:id="rId8"/>
    <sheet name="2018-11-05" sheetId="25" r:id="rId9"/>
    <sheet name="2018-10-29" sheetId="24" r:id="rId10"/>
    <sheet name="2018-10-22" sheetId="22" r:id="rId11"/>
    <sheet name="2018-09-17" sheetId="20" r:id="rId12"/>
    <sheet name="2018-09-10" sheetId="19" r:id="rId13"/>
    <sheet name="2018-09-03" sheetId="18" r:id="rId14"/>
    <sheet name="2018-08-27" sheetId="17" r:id="rId15"/>
    <sheet name="2018-08-20" sheetId="16" r:id="rId16"/>
    <sheet name="2018-08-06" sheetId="15" r:id="rId17"/>
    <sheet name="2018-07-30" sheetId="14" r:id="rId18"/>
    <sheet name="2018-07-23" sheetId="13" r:id="rId19"/>
    <sheet name="2018-06-25" sheetId="12" r:id="rId20"/>
    <sheet name="2018-06-18" sheetId="11" r:id="rId21"/>
    <sheet name="2018-06-11" sheetId="10" r:id="rId22"/>
    <sheet name="2018-06-04" sheetId="9" r:id="rId23"/>
    <sheet name="2018-05-29" sheetId="8" r:id="rId24"/>
    <sheet name="2018-04-23" sheetId="7" r:id="rId25"/>
  </sheets>
  <definedNames>
    <definedName name="_xlnm._FilterDatabase" localSheetId="24" hidden="1">'2018-04-23'!$A$8:$Q$250</definedName>
    <definedName name="_xlnm._FilterDatabase" localSheetId="23" hidden="1">'2018-05-29'!$A$8:$Q$9</definedName>
    <definedName name="_xlnm._FilterDatabase" localSheetId="22" hidden="1">'2018-06-04'!$A$8:$Q$8</definedName>
    <definedName name="_xlnm._FilterDatabase" localSheetId="21" hidden="1">'2018-06-11'!$A$8:$Q$8</definedName>
    <definedName name="_xlnm._FilterDatabase" localSheetId="20" hidden="1">'2018-06-18'!$A$8:$Q$8</definedName>
    <definedName name="_xlnm._FilterDatabase" localSheetId="19" hidden="1">'2018-06-25'!$A$8:$Q$8</definedName>
    <definedName name="_xlnm._FilterDatabase" localSheetId="18" hidden="1">'2018-07-23'!$A$8:$Q$8</definedName>
    <definedName name="_xlnm._FilterDatabase" localSheetId="17" hidden="1">'2018-07-30'!$A$8:$Q$8</definedName>
    <definedName name="_xlnm._FilterDatabase" localSheetId="16" hidden="1">'2018-08-06'!$A$8:$Q$8</definedName>
    <definedName name="_xlnm._FilterDatabase" localSheetId="15" hidden="1">'2018-08-20'!$A$8:$Q$137</definedName>
    <definedName name="_xlnm._FilterDatabase" localSheetId="14" hidden="1">'2018-08-27'!$A$8:$Q$137</definedName>
    <definedName name="_xlnm._FilterDatabase" localSheetId="13" hidden="1">'2018-09-03'!$A$8:$Q$8</definedName>
    <definedName name="_xlnm._FilterDatabase" localSheetId="12" hidden="1">'2018-09-10'!$A$8:$Q$8</definedName>
    <definedName name="_xlnm._FilterDatabase" localSheetId="11" hidden="1">'2018-09-17'!$A$8:$Q$8</definedName>
    <definedName name="_xlnm._FilterDatabase" localSheetId="10" hidden="1">'2018-10-22'!$A$8:$Q$305</definedName>
    <definedName name="_xlnm._FilterDatabase" localSheetId="9" hidden="1">'2018-10-29'!$8:$300</definedName>
    <definedName name="_xlnm._FilterDatabase" localSheetId="8" hidden="1">'2018-11-05'!$8:$298</definedName>
    <definedName name="_xlnm._FilterDatabase" localSheetId="7" hidden="1">'2018-11-12'!$8:$301</definedName>
    <definedName name="_xlnm._FilterDatabase" localSheetId="6" hidden="1">'2018-11-19'!$8:$301</definedName>
    <definedName name="_xlnm._FilterDatabase" localSheetId="5" hidden="1">'2018-11-26'!$8:$299</definedName>
    <definedName name="_xlnm._FilterDatabase" localSheetId="4" hidden="1">'2018-12-03'!$8:$299</definedName>
    <definedName name="_xlnm._FilterDatabase" localSheetId="3" hidden="1">'2018-12-10'!$8:$299</definedName>
    <definedName name="_xlnm._FilterDatabase" localSheetId="2" hidden="1">'2018-12-17'!$8:$299</definedName>
    <definedName name="_xlnm._FilterDatabase" localSheetId="1" hidden="1">'2018-12-24'!$8:$299</definedName>
    <definedName name="_xlnm._FilterDatabase" localSheetId="0" hidden="1">'2018-12-31'!$8:$299</definedName>
  </definedNames>
  <calcPr calcId="152511"/>
  <customWorkbookViews>
    <customWorkbookView name="User - Личное представление" guid="{3FF881A5-98F6-4B18-9F24-3F2319A61C06}" mergeInterval="0" personalView="1" maximized="1" xWindow="-5" yWindow="-5" windowWidth="1930" windowHeight="1060" activeSheetId="1"/>
  </customWorkbookViews>
</workbook>
</file>

<file path=xl/calcChain.xml><?xml version="1.0" encoding="utf-8"?>
<calcChain xmlns="http://schemas.openxmlformats.org/spreadsheetml/2006/main">
  <c r="Q168" i="27" l="1"/>
  <c r="M168" i="27"/>
  <c r="Q167" i="27"/>
  <c r="M167" i="27"/>
  <c r="Q166" i="27"/>
  <c r="M166" i="27"/>
  <c r="Q165" i="27"/>
  <c r="M165" i="27"/>
  <c r="Q164" i="27"/>
  <c r="M164" i="27"/>
  <c r="Q163" i="27"/>
  <c r="M163" i="27"/>
  <c r="Q162" i="27"/>
  <c r="M162" i="27"/>
  <c r="Q161" i="27"/>
  <c r="M161" i="27"/>
  <c r="Q160" i="27"/>
  <c r="L160" i="27"/>
  <c r="K160" i="27"/>
  <c r="M160" i="27" s="1"/>
  <c r="Q159" i="27"/>
  <c r="M159" i="27"/>
  <c r="Q158" i="27"/>
  <c r="L158" i="27"/>
  <c r="K158" i="27"/>
  <c r="M158" i="27" s="1"/>
  <c r="P157" i="27"/>
  <c r="O157" i="27"/>
  <c r="Q157" i="27" s="1"/>
  <c r="M157" i="27"/>
  <c r="P156" i="27"/>
  <c r="Q156" i="27" s="1"/>
  <c r="M156" i="27"/>
  <c r="Q155" i="27"/>
  <c r="M155" i="27"/>
  <c r="L155" i="27"/>
  <c r="P154" i="27"/>
  <c r="O154" i="27"/>
  <c r="Q154" i="27" s="1"/>
  <c r="M154" i="27"/>
  <c r="Q153" i="27"/>
  <c r="L153" i="27"/>
  <c r="K153" i="27"/>
  <c r="M153" i="27" s="1"/>
  <c r="Q152" i="27"/>
  <c r="M152" i="27"/>
  <c r="Q151" i="27"/>
  <c r="P151" i="27"/>
  <c r="M151" i="27"/>
  <c r="Q150" i="27"/>
  <c r="M150" i="27"/>
  <c r="Q149" i="27"/>
  <c r="M149" i="27"/>
  <c r="Q148" i="27"/>
  <c r="M148" i="27"/>
  <c r="Q147" i="27"/>
  <c r="M147" i="27"/>
  <c r="Q146" i="27"/>
  <c r="M146" i="27"/>
  <c r="Q145" i="27"/>
  <c r="M145" i="27"/>
  <c r="Q144" i="27"/>
  <c r="M144" i="27"/>
  <c r="Q143" i="27"/>
  <c r="M143" i="27"/>
  <c r="Q142" i="27"/>
  <c r="L142" i="27"/>
  <c r="M142" i="27" s="1"/>
  <c r="Q141" i="27"/>
  <c r="M141" i="27"/>
  <c r="Q140" i="27"/>
  <c r="M140" i="27"/>
  <c r="Q139" i="27"/>
  <c r="M139" i="27"/>
  <c r="Q138" i="27"/>
  <c r="M138" i="27"/>
  <c r="P137" i="27"/>
  <c r="O137" i="27"/>
  <c r="Q137" i="27" s="1"/>
  <c r="M137" i="27"/>
  <c r="Q136" i="27"/>
  <c r="M136" i="27"/>
  <c r="Q135" i="27"/>
  <c r="M135" i="27"/>
  <c r="P134" i="27"/>
  <c r="O134" i="27"/>
  <c r="Q134" i="27" s="1"/>
  <c r="M134" i="27"/>
  <c r="Q133" i="27"/>
  <c r="M133" i="27"/>
  <c r="Q132" i="27"/>
  <c r="M132" i="27"/>
  <c r="Q131" i="27"/>
  <c r="M131" i="27"/>
  <c r="Q130" i="27"/>
  <c r="M130" i="27"/>
  <c r="Q129" i="27"/>
  <c r="M129" i="27"/>
  <c r="Q128" i="27"/>
  <c r="M128" i="27"/>
  <c r="Q127" i="27"/>
  <c r="M127" i="27"/>
  <c r="Q126" i="27"/>
  <c r="M126" i="27"/>
  <c r="Q125" i="27"/>
  <c r="M125" i="27"/>
  <c r="Q124" i="27"/>
  <c r="M124" i="27"/>
  <c r="P123" i="27"/>
  <c r="O123" i="27"/>
  <c r="Q123" i="27" s="1"/>
  <c r="M123" i="27"/>
  <c r="Q122" i="27"/>
  <c r="M122" i="27"/>
  <c r="Q121" i="27"/>
  <c r="M121" i="27"/>
  <c r="P120" i="27"/>
  <c r="O120" i="27"/>
  <c r="Q120" i="27" s="1"/>
  <c r="M120" i="27"/>
  <c r="Q119" i="27"/>
  <c r="M119" i="27"/>
  <c r="Q118" i="27"/>
  <c r="M118" i="27"/>
  <c r="Q117" i="27"/>
  <c r="M117" i="27"/>
  <c r="Q116" i="27"/>
  <c r="M116" i="27"/>
  <c r="Q115" i="27"/>
  <c r="M115" i="27"/>
  <c r="Q114" i="27"/>
  <c r="M114" i="27"/>
  <c r="Q113" i="27"/>
  <c r="M113" i="27"/>
  <c r="Q112" i="27"/>
  <c r="M112" i="27"/>
  <c r="Q111" i="27"/>
  <c r="M111" i="27"/>
  <c r="Q110" i="27"/>
  <c r="M110" i="27"/>
  <c r="Q109" i="27"/>
  <c r="M109" i="27"/>
  <c r="P108" i="27"/>
  <c r="Q108" i="27" s="1"/>
  <c r="M108" i="27"/>
  <c r="Q107" i="27"/>
  <c r="M107" i="27"/>
  <c r="Q106" i="27"/>
  <c r="M106" i="27"/>
  <c r="Q105" i="27"/>
  <c r="M105" i="27"/>
  <c r="Q104" i="27"/>
  <c r="M104" i="27"/>
  <c r="Q103" i="27"/>
  <c r="M103" i="27"/>
  <c r="K103" i="27"/>
  <c r="Q102" i="27"/>
  <c r="L102" i="27"/>
  <c r="K102" i="27"/>
  <c r="M102" i="27" s="1"/>
  <c r="Q101" i="27"/>
  <c r="L101" i="27"/>
  <c r="M101" i="27" s="1"/>
  <c r="Q100" i="27"/>
  <c r="L100" i="27"/>
  <c r="K100" i="27"/>
  <c r="Q99" i="27"/>
  <c r="M99" i="27"/>
  <c r="Q98" i="27"/>
  <c r="M98" i="27"/>
  <c r="Q97" i="27"/>
  <c r="L97" i="27"/>
  <c r="K97" i="27"/>
  <c r="M97" i="27" s="1"/>
  <c r="Q96" i="27"/>
  <c r="M96" i="27"/>
  <c r="P95" i="27"/>
  <c r="O95" i="27"/>
  <c r="Q95" i="27" s="1"/>
  <c r="M95" i="27"/>
  <c r="Q94" i="27"/>
  <c r="M94" i="27"/>
  <c r="Q93" i="27"/>
  <c r="M93" i="27"/>
  <c r="Q92" i="27"/>
  <c r="L92" i="27"/>
  <c r="M92" i="27" s="1"/>
  <c r="Q91" i="27"/>
  <c r="M91" i="27"/>
  <c r="Q90" i="27"/>
  <c r="L90" i="27"/>
  <c r="K90" i="27"/>
  <c r="M90" i="27" s="1"/>
  <c r="Q89" i="27"/>
  <c r="M89" i="27"/>
  <c r="Q88" i="27"/>
  <c r="M88" i="27"/>
  <c r="L88" i="27"/>
  <c r="Q87" i="27"/>
  <c r="M87" i="27"/>
  <c r="Q86" i="27"/>
  <c r="M86" i="27"/>
  <c r="Q85" i="27"/>
  <c r="M85" i="27"/>
  <c r="Q84" i="27"/>
  <c r="M84" i="27"/>
  <c r="Q83" i="27"/>
  <c r="M83" i="27"/>
  <c r="L83" i="27"/>
  <c r="Q82" i="27"/>
  <c r="M82" i="27"/>
  <c r="Q81" i="27"/>
  <c r="M81" i="27"/>
  <c r="Q80" i="27"/>
  <c r="L80" i="27"/>
  <c r="K80" i="27"/>
  <c r="M80" i="27" s="1"/>
  <c r="Q79" i="27"/>
  <c r="M79" i="27"/>
  <c r="Q78" i="27"/>
  <c r="M78" i="27"/>
  <c r="Q77" i="27"/>
  <c r="M77" i="27"/>
  <c r="Q76" i="27"/>
  <c r="M76" i="27"/>
  <c r="Q75" i="27"/>
  <c r="M75" i="27"/>
  <c r="Q74" i="27"/>
  <c r="M74" i="27"/>
  <c r="L74" i="27"/>
  <c r="Q73" i="27"/>
  <c r="M73" i="27"/>
  <c r="Q72" i="27"/>
  <c r="M72" i="27"/>
  <c r="P71" i="27"/>
  <c r="Q71" i="27" s="1"/>
  <c r="M71" i="27"/>
  <c r="Q70" i="27"/>
  <c r="L70" i="27"/>
  <c r="K70" i="27"/>
  <c r="M70" i="27" s="1"/>
  <c r="Q69" i="27"/>
  <c r="M69" i="27"/>
  <c r="Q68" i="27"/>
  <c r="M68" i="27"/>
  <c r="Q67" i="27"/>
  <c r="M67" i="27"/>
  <c r="Q66" i="27"/>
  <c r="M66" i="27"/>
  <c r="Q65" i="27"/>
  <c r="M65" i="27"/>
  <c r="Q64" i="27"/>
  <c r="L64" i="27"/>
  <c r="K64" i="27"/>
  <c r="M64" i="27" s="1"/>
  <c r="Q63" i="27"/>
  <c r="M63" i="27"/>
  <c r="P62" i="27"/>
  <c r="O62" i="27"/>
  <c r="Q62" i="27" s="1"/>
  <c r="M62" i="27"/>
  <c r="P61" i="27"/>
  <c r="O61" i="27"/>
  <c r="Q61" i="27" s="1"/>
  <c r="M61" i="27"/>
  <c r="Q60" i="27"/>
  <c r="M60" i="27"/>
  <c r="Q59" i="27"/>
  <c r="M59" i="27"/>
  <c r="Q58" i="27"/>
  <c r="M58" i="27"/>
  <c r="Q57" i="27"/>
  <c r="M57" i="27"/>
  <c r="Q56" i="27"/>
  <c r="L56" i="27"/>
  <c r="K56" i="27"/>
  <c r="M56" i="27" s="1"/>
  <c r="Q55" i="27"/>
  <c r="M55" i="27"/>
  <c r="Q54" i="27"/>
  <c r="L54" i="27"/>
  <c r="K54" i="27"/>
  <c r="M54" i="27" s="1"/>
  <c r="Q53" i="27"/>
  <c r="M53" i="27"/>
  <c r="Q52" i="27"/>
  <c r="L52" i="27"/>
  <c r="K52" i="27"/>
  <c r="M52" i="27" s="1"/>
  <c r="Q51" i="27"/>
  <c r="M51" i="27"/>
  <c r="P50" i="27"/>
  <c r="O50" i="27"/>
  <c r="Q50" i="27" s="1"/>
  <c r="M50" i="27"/>
  <c r="Q49" i="27"/>
  <c r="L49" i="27"/>
  <c r="M49" i="27" s="1"/>
  <c r="Q48" i="27"/>
  <c r="M48" i="27"/>
  <c r="Q47" i="27"/>
  <c r="M47" i="27"/>
  <c r="Q46" i="27"/>
  <c r="L46" i="27"/>
  <c r="M46" i="27" s="1"/>
  <c r="Q45" i="27"/>
  <c r="L45" i="27"/>
  <c r="M45" i="27" s="1"/>
  <c r="Q44" i="27"/>
  <c r="M44" i="27"/>
  <c r="P43" i="27"/>
  <c r="O43" i="27"/>
  <c r="Q43" i="27" s="1"/>
  <c r="M43" i="27"/>
  <c r="Q42" i="27"/>
  <c r="M42" i="27"/>
  <c r="Q41" i="27"/>
  <c r="M41" i="27"/>
  <c r="Q40" i="27"/>
  <c r="M40" i="27"/>
  <c r="Q39" i="27"/>
  <c r="M39" i="27"/>
  <c r="K39" i="27"/>
  <c r="Q38" i="27"/>
  <c r="M38" i="27"/>
  <c r="Q37" i="27"/>
  <c r="M37" i="27"/>
  <c r="Q36" i="27"/>
  <c r="M36" i="27"/>
  <c r="Q35" i="27"/>
  <c r="M35" i="27"/>
  <c r="Q34" i="27"/>
  <c r="L34" i="27"/>
  <c r="M34" i="27" s="1"/>
  <c r="Q33" i="27"/>
  <c r="M33" i="27"/>
  <c r="Q32" i="27"/>
  <c r="L32" i="27"/>
  <c r="M32" i="27" s="1"/>
  <c r="Q31" i="27"/>
  <c r="M31" i="27"/>
  <c r="Q30" i="27"/>
  <c r="M30" i="27"/>
  <c r="Q29" i="27"/>
  <c r="M29" i="27"/>
  <c r="Q28" i="27"/>
  <c r="M28" i="27"/>
  <c r="Q27" i="27"/>
  <c r="M27" i="27"/>
  <c r="Q26" i="27"/>
  <c r="M26" i="27"/>
  <c r="Q25" i="27"/>
  <c r="M25" i="27"/>
  <c r="Q24" i="27"/>
  <c r="L24" i="27"/>
  <c r="K24" i="27"/>
  <c r="M24" i="27" s="1"/>
  <c r="Q23" i="27"/>
  <c r="L23" i="27"/>
  <c r="K23" i="27"/>
  <c r="M23" i="27" s="1"/>
  <c r="Q22" i="27"/>
  <c r="L22" i="27"/>
  <c r="K22" i="27"/>
  <c r="M22" i="27" s="1"/>
  <c r="Q21" i="27"/>
  <c r="M21" i="27"/>
  <c r="P20" i="27"/>
  <c r="O20" i="27"/>
  <c r="Q20" i="27" s="1"/>
  <c r="M20" i="27"/>
  <c r="Q19" i="27"/>
  <c r="L19" i="27"/>
  <c r="K19" i="27"/>
  <c r="M19" i="27" s="1"/>
  <c r="Q18" i="27"/>
  <c r="M18" i="27"/>
  <c r="Q17" i="27"/>
  <c r="M17" i="27"/>
  <c r="Q16" i="27"/>
  <c r="M16" i="27"/>
  <c r="Q15" i="27"/>
  <c r="M15" i="27"/>
  <c r="Q14" i="27"/>
  <c r="M14" i="27"/>
  <c r="Q13" i="27"/>
  <c r="M13" i="27"/>
  <c r="Q12" i="27"/>
  <c r="M12" i="27"/>
  <c r="Q11" i="27"/>
  <c r="L11" i="27"/>
  <c r="M11" i="27" s="1"/>
  <c r="Q10" i="27"/>
  <c r="M10" i="27"/>
  <c r="A10" i="27"/>
  <c r="A11" i="27" s="1"/>
  <c r="A12" i="27" s="1"/>
  <c r="A13" i="27" s="1"/>
  <c r="A14" i="27" s="1"/>
  <c r="A15" i="27" s="1"/>
  <c r="A16" i="27" s="1"/>
  <c r="A17" i="27" s="1"/>
  <c r="A18" i="27" s="1"/>
  <c r="A19" i="27" s="1"/>
  <c r="A20" i="27" s="1"/>
  <c r="A21" i="27" s="1"/>
  <c r="A22" i="27" s="1"/>
  <c r="A23" i="27" s="1"/>
  <c r="A24" i="27" s="1"/>
  <c r="A25" i="27" s="1"/>
  <c r="A26" i="27" s="1"/>
  <c r="A27" i="27" s="1"/>
  <c r="A28" i="27" s="1"/>
  <c r="A29" i="27" s="1"/>
  <c r="A30" i="27" s="1"/>
  <c r="A31" i="27" s="1"/>
  <c r="A32" i="27" s="1"/>
  <c r="A33" i="27" s="1"/>
  <c r="A34" i="27" s="1"/>
  <c r="A35" i="27" s="1"/>
  <c r="A36" i="27" s="1"/>
  <c r="A37" i="27" s="1"/>
  <c r="A38" i="27" s="1"/>
  <c r="A39" i="27" s="1"/>
  <c r="A40" i="27" s="1"/>
  <c r="A41" i="27" s="1"/>
  <c r="A42" i="27" s="1"/>
  <c r="A43" i="27" s="1"/>
  <c r="A44" i="27" s="1"/>
  <c r="A45" i="27" s="1"/>
  <c r="A46" i="27" s="1"/>
  <c r="A47" i="27" s="1"/>
  <c r="A48" i="27" s="1"/>
  <c r="A49" i="27" s="1"/>
  <c r="A50" i="27" s="1"/>
  <c r="A51" i="27" s="1"/>
  <c r="A52" i="27" s="1"/>
  <c r="A53" i="27" s="1"/>
  <c r="A54" i="27" s="1"/>
  <c r="A55" i="27" s="1"/>
  <c r="A56" i="27" s="1"/>
  <c r="A57" i="27" s="1"/>
  <c r="A58" i="27" s="1"/>
  <c r="A59" i="27" s="1"/>
  <c r="A60" i="27" s="1"/>
  <c r="A61" i="27" s="1"/>
  <c r="A62" i="27" s="1"/>
  <c r="A63" i="27" s="1"/>
  <c r="A64" i="27" s="1"/>
  <c r="A65" i="27" s="1"/>
  <c r="A66" i="27" s="1"/>
  <c r="A67" i="27" s="1"/>
  <c r="A68" i="27" s="1"/>
  <c r="A69" i="27" s="1"/>
  <c r="A70" i="27" s="1"/>
  <c r="A71" i="27" s="1"/>
  <c r="A72" i="27" s="1"/>
  <c r="A73" i="27" s="1"/>
  <c r="A74" i="27" s="1"/>
  <c r="A75" i="27" s="1"/>
  <c r="A76" i="27" s="1"/>
  <c r="A77" i="27" s="1"/>
  <c r="A78" i="27" s="1"/>
  <c r="A79" i="27" s="1"/>
  <c r="A80" i="27" s="1"/>
  <c r="A81" i="27" s="1"/>
  <c r="A82" i="27" s="1"/>
  <c r="A83" i="27" s="1"/>
  <c r="A84" i="27" s="1"/>
  <c r="A85" i="27" s="1"/>
  <c r="A86" i="27" s="1"/>
  <c r="A87" i="27" s="1"/>
  <c r="A88" i="27" s="1"/>
  <c r="A89" i="27" s="1"/>
  <c r="A90" i="27" s="1"/>
  <c r="A91" i="27" s="1"/>
  <c r="A92" i="27" s="1"/>
  <c r="A93" i="27" s="1"/>
  <c r="A94" i="27" s="1"/>
  <c r="A95" i="27" s="1"/>
  <c r="A96" i="27" s="1"/>
  <c r="A97" i="27" s="1"/>
  <c r="A98" i="27" s="1"/>
  <c r="A99" i="27" s="1"/>
  <c r="A100" i="27" s="1"/>
  <c r="A101" i="27" s="1"/>
  <c r="A102" i="27" s="1"/>
  <c r="A103" i="27" s="1"/>
  <c r="A104" i="27" s="1"/>
  <c r="A105" i="27" s="1"/>
  <c r="A106" i="27" s="1"/>
  <c r="A107" i="27" s="1"/>
  <c r="A108" i="27" s="1"/>
  <c r="A109" i="27" s="1"/>
  <c r="A110" i="27" s="1"/>
  <c r="A111" i="27" s="1"/>
  <c r="A112" i="27" s="1"/>
  <c r="A113" i="27" s="1"/>
  <c r="A114" i="27" s="1"/>
  <c r="A115" i="27" s="1"/>
  <c r="A116" i="27" s="1"/>
  <c r="A117" i="27" s="1"/>
  <c r="A118" i="27" s="1"/>
  <c r="A119" i="27" s="1"/>
  <c r="A120" i="27" s="1"/>
  <c r="A121" i="27" s="1"/>
  <c r="A122" i="27" s="1"/>
  <c r="A123" i="27" s="1"/>
  <c r="A124" i="27" s="1"/>
  <c r="A125" i="27" s="1"/>
  <c r="A126" i="27" s="1"/>
  <c r="A127" i="27" s="1"/>
  <c r="A128" i="27" s="1"/>
  <c r="A129" i="27" s="1"/>
  <c r="A130" i="27" s="1"/>
  <c r="A131" i="27" s="1"/>
  <c r="A132" i="27" s="1"/>
  <c r="A133" i="27" s="1"/>
  <c r="A134" i="27" s="1"/>
  <c r="A135" i="27" s="1"/>
  <c r="A136" i="27" s="1"/>
  <c r="A137" i="27" s="1"/>
  <c r="A138" i="27" s="1"/>
  <c r="A139" i="27" s="1"/>
  <c r="A140" i="27" s="1"/>
  <c r="A141" i="27" s="1"/>
  <c r="A142" i="27" s="1"/>
  <c r="A143" i="27" s="1"/>
  <c r="A144" i="27" s="1"/>
  <c r="A145" i="27" s="1"/>
  <c r="A146" i="27" s="1"/>
  <c r="A147" i="27" s="1"/>
  <c r="A148" i="27" s="1"/>
  <c r="A149" i="27" s="1"/>
  <c r="A150" i="27" s="1"/>
  <c r="A151" i="27" s="1"/>
  <c r="A152" i="27" s="1"/>
  <c r="A153" i="27" s="1"/>
  <c r="A154" i="27" s="1"/>
  <c r="A155" i="27" s="1"/>
  <c r="A156" i="27" s="1"/>
  <c r="A157" i="27" s="1"/>
  <c r="A158" i="27" s="1"/>
  <c r="A159" i="27" s="1"/>
  <c r="A160" i="27" s="1"/>
  <c r="A161" i="27" s="1"/>
  <c r="A162" i="27" s="1"/>
  <c r="A163" i="27" s="1"/>
  <c r="A164" i="27" s="1"/>
  <c r="A165" i="27" s="1"/>
  <c r="A166" i="27" s="1"/>
  <c r="A167" i="27" s="1"/>
  <c r="A168" i="27" s="1"/>
  <c r="A169" i="27" s="1"/>
  <c r="A170" i="27" s="1"/>
  <c r="A171" i="27" s="1"/>
  <c r="A172" i="27" s="1"/>
  <c r="A173" i="27" s="1"/>
  <c r="A174" i="27" s="1"/>
  <c r="A175" i="27" s="1"/>
  <c r="A176" i="27" s="1"/>
  <c r="A177" i="27" s="1"/>
  <c r="A178" i="27" s="1"/>
  <c r="A179" i="27" s="1"/>
  <c r="A180" i="27" s="1"/>
  <c r="A181" i="27" s="1"/>
  <c r="A182" i="27" s="1"/>
  <c r="A183" i="27" s="1"/>
  <c r="A184" i="27" s="1"/>
  <c r="A185" i="27" s="1"/>
  <c r="A186" i="27" s="1"/>
  <c r="A187" i="27" s="1"/>
  <c r="A188" i="27" s="1"/>
  <c r="A189" i="27" s="1"/>
  <c r="A190" i="27" s="1"/>
  <c r="A191" i="27" s="1"/>
  <c r="A192" i="27" s="1"/>
  <c r="A193" i="27" s="1"/>
  <c r="A194" i="27" s="1"/>
  <c r="A195" i="27" s="1"/>
  <c r="A196" i="27" s="1"/>
  <c r="A197" i="27" s="1"/>
  <c r="A198" i="27" s="1"/>
  <c r="A199" i="27" s="1"/>
  <c r="A200" i="27" s="1"/>
  <c r="A201" i="27" s="1"/>
  <c r="A202" i="27" s="1"/>
  <c r="A203" i="27" s="1"/>
  <c r="A204" i="27" s="1"/>
  <c r="A205" i="27" s="1"/>
  <c r="A206" i="27" s="1"/>
  <c r="A207" i="27" s="1"/>
  <c r="A208" i="27" s="1"/>
  <c r="A209" i="27" s="1"/>
  <c r="A210" i="27" s="1"/>
  <c r="A211" i="27" s="1"/>
  <c r="A212" i="27" s="1"/>
  <c r="A213" i="27" s="1"/>
  <c r="A214" i="27" s="1"/>
  <c r="A215" i="27" s="1"/>
  <c r="A216" i="27" s="1"/>
  <c r="A217" i="27" s="1"/>
  <c r="A218" i="27" s="1"/>
  <c r="A219" i="27" s="1"/>
  <c r="A220" i="27" s="1"/>
  <c r="A221" i="27" s="1"/>
  <c r="A222" i="27" s="1"/>
  <c r="A223" i="27" s="1"/>
  <c r="A224" i="27" s="1"/>
  <c r="A225" i="27" s="1"/>
  <c r="A226" i="27" s="1"/>
  <c r="A227" i="27" s="1"/>
  <c r="A228" i="27" s="1"/>
  <c r="A229" i="27" s="1"/>
  <c r="A230" i="27" s="1"/>
  <c r="A231" i="27" s="1"/>
  <c r="A232" i="27" s="1"/>
  <c r="A233" i="27" s="1"/>
  <c r="A234" i="27" s="1"/>
  <c r="A235" i="27" s="1"/>
  <c r="A236" i="27" s="1"/>
  <c r="A237" i="27" s="1"/>
  <c r="A238" i="27" s="1"/>
  <c r="A239" i="27" s="1"/>
  <c r="A240" i="27" s="1"/>
  <c r="A241" i="27" s="1"/>
  <c r="A242" i="27" s="1"/>
  <c r="A243" i="27" s="1"/>
  <c r="A244" i="27" s="1"/>
  <c r="A245" i="27" s="1"/>
  <c r="A246" i="27" s="1"/>
  <c r="A247" i="27" s="1"/>
  <c r="A248" i="27" s="1"/>
  <c r="A249" i="27" s="1"/>
  <c r="A250" i="27" s="1"/>
  <c r="A251" i="27" s="1"/>
  <c r="A252" i="27" s="1"/>
  <c r="A253" i="27" s="1"/>
  <c r="A254" i="27" s="1"/>
  <c r="A255" i="27" s="1"/>
  <c r="A256" i="27" s="1"/>
  <c r="A257" i="27" s="1"/>
  <c r="A258" i="27" s="1"/>
  <c r="A259" i="27" s="1"/>
  <c r="A260" i="27" s="1"/>
  <c r="A261" i="27" s="1"/>
  <c r="A262" i="27" s="1"/>
  <c r="A263" i="27" s="1"/>
  <c r="A264" i="27" s="1"/>
  <c r="A265" i="27" s="1"/>
  <c r="A266" i="27" s="1"/>
  <c r="A267" i="27" s="1"/>
  <c r="A268" i="27" s="1"/>
  <c r="A269" i="27" s="1"/>
  <c r="A270" i="27" s="1"/>
  <c r="A271" i="27" s="1"/>
  <c r="A272" i="27" s="1"/>
  <c r="A273" i="27" s="1"/>
  <c r="A274" i="27" s="1"/>
  <c r="A275" i="27" s="1"/>
  <c r="A276" i="27" s="1"/>
  <c r="A277" i="27" s="1"/>
  <c r="A278" i="27" s="1"/>
  <c r="A279" i="27" s="1"/>
  <c r="A280" i="27" s="1"/>
  <c r="A281" i="27" s="1"/>
  <c r="A282" i="27" s="1"/>
  <c r="A283" i="27" s="1"/>
  <c r="A284" i="27" s="1"/>
  <c r="A285" i="27" s="1"/>
  <c r="A286" i="27" s="1"/>
  <c r="A287" i="27" s="1"/>
  <c r="A288" i="27" s="1"/>
  <c r="A289" i="27" s="1"/>
  <c r="A290" i="27" s="1"/>
  <c r="A291" i="27" s="1"/>
  <c r="A292" i="27" s="1"/>
  <c r="A293" i="27" s="1"/>
  <c r="A294" i="27" s="1"/>
  <c r="A295" i="27" s="1"/>
  <c r="A296" i="27" s="1"/>
  <c r="A297" i="27" s="1"/>
  <c r="A298" i="27" s="1"/>
  <c r="A299" i="27" s="1"/>
  <c r="A300" i="27" s="1"/>
  <c r="A301" i="27" s="1"/>
  <c r="Q9" i="27"/>
  <c r="M9" i="27"/>
  <c r="M100" i="27" l="1"/>
  <c r="Q168" i="26"/>
  <c r="M168" i="26"/>
  <c r="Q167" i="26"/>
  <c r="M167" i="26"/>
  <c r="Q166" i="26"/>
  <c r="M166" i="26"/>
  <c r="Q165" i="26"/>
  <c r="M165" i="26"/>
  <c r="Q164" i="26"/>
  <c r="M164" i="26"/>
  <c r="Q163" i="26"/>
  <c r="M163" i="26"/>
  <c r="Q162" i="26"/>
  <c r="M162" i="26"/>
  <c r="Q161" i="26"/>
  <c r="M161" i="26"/>
  <c r="Q160" i="26"/>
  <c r="L160" i="26"/>
  <c r="K160" i="26"/>
  <c r="M160" i="26" s="1"/>
  <c r="Q159" i="26"/>
  <c r="M159" i="26"/>
  <c r="Q158" i="26"/>
  <c r="L158" i="26"/>
  <c r="K158" i="26"/>
  <c r="M158" i="26" s="1"/>
  <c r="P157" i="26"/>
  <c r="O157" i="26"/>
  <c r="Q157" i="26" s="1"/>
  <c r="M157" i="26"/>
  <c r="P156" i="26"/>
  <c r="Q156" i="26" s="1"/>
  <c r="M156" i="26"/>
  <c r="Q155" i="26"/>
  <c r="M155" i="26"/>
  <c r="L155" i="26"/>
  <c r="P154" i="26"/>
  <c r="O154" i="26"/>
  <c r="M154" i="26"/>
  <c r="Q153" i="26"/>
  <c r="L153" i="26"/>
  <c r="K153" i="26"/>
  <c r="Q152" i="26"/>
  <c r="M152" i="26"/>
  <c r="Q151" i="26"/>
  <c r="P151" i="26"/>
  <c r="M151" i="26"/>
  <c r="Q150" i="26"/>
  <c r="M150" i="26"/>
  <c r="Q149" i="26"/>
  <c r="M149" i="26"/>
  <c r="Q148" i="26"/>
  <c r="M148" i="26"/>
  <c r="Q147" i="26"/>
  <c r="M147" i="26"/>
  <c r="Q146" i="26"/>
  <c r="M146" i="26"/>
  <c r="Q145" i="26"/>
  <c r="M145" i="26"/>
  <c r="Q144" i="26"/>
  <c r="M144" i="26"/>
  <c r="Q143" i="26"/>
  <c r="M143" i="26"/>
  <c r="Q142" i="26"/>
  <c r="L142" i="26"/>
  <c r="M142" i="26" s="1"/>
  <c r="Q141" i="26"/>
  <c r="M141" i="26"/>
  <c r="Q140" i="26"/>
  <c r="M140" i="26"/>
  <c r="Q139" i="26"/>
  <c r="M139" i="26"/>
  <c r="Q138" i="26"/>
  <c r="M138" i="26"/>
  <c r="P137" i="26"/>
  <c r="O137" i="26"/>
  <c r="Q137" i="26" s="1"/>
  <c r="M137" i="26"/>
  <c r="Q136" i="26"/>
  <c r="M136" i="26"/>
  <c r="Q135" i="26"/>
  <c r="M135" i="26"/>
  <c r="P134" i="26"/>
  <c r="O134" i="26"/>
  <c r="Q134" i="26" s="1"/>
  <c r="M134" i="26"/>
  <c r="Q133" i="26"/>
  <c r="M133" i="26"/>
  <c r="Q132" i="26"/>
  <c r="M132" i="26"/>
  <c r="Q131" i="26"/>
  <c r="M131" i="26"/>
  <c r="Q130" i="26"/>
  <c r="M130" i="26"/>
  <c r="Q129" i="26"/>
  <c r="M129" i="26"/>
  <c r="Q128" i="26"/>
  <c r="M128" i="26"/>
  <c r="Q127" i="26"/>
  <c r="M127" i="26"/>
  <c r="Q126" i="26"/>
  <c r="M126" i="26"/>
  <c r="Q125" i="26"/>
  <c r="M125" i="26"/>
  <c r="Q124" i="26"/>
  <c r="M124" i="26"/>
  <c r="P123" i="26"/>
  <c r="O123" i="26"/>
  <c r="Q123" i="26" s="1"/>
  <c r="M123" i="26"/>
  <c r="Q122" i="26"/>
  <c r="M122" i="26"/>
  <c r="Q121" i="26"/>
  <c r="M121" i="26"/>
  <c r="P120" i="26"/>
  <c r="O120" i="26"/>
  <c r="Q120" i="26" s="1"/>
  <c r="M120" i="26"/>
  <c r="Q119" i="26"/>
  <c r="M119" i="26"/>
  <c r="Q118" i="26"/>
  <c r="M118" i="26"/>
  <c r="Q117" i="26"/>
  <c r="M117" i="26"/>
  <c r="Q116" i="26"/>
  <c r="M116" i="26"/>
  <c r="Q115" i="26"/>
  <c r="M115" i="26"/>
  <c r="Q114" i="26"/>
  <c r="M114" i="26"/>
  <c r="Q113" i="26"/>
  <c r="M113" i="26"/>
  <c r="Q112" i="26"/>
  <c r="M112" i="26"/>
  <c r="Q111" i="26"/>
  <c r="M111" i="26"/>
  <c r="Q110" i="26"/>
  <c r="M110" i="26"/>
  <c r="Q109" i="26"/>
  <c r="M109" i="26"/>
  <c r="Q108" i="26"/>
  <c r="P108" i="26"/>
  <c r="M108" i="26"/>
  <c r="Q107" i="26"/>
  <c r="M107" i="26"/>
  <c r="Q106" i="26"/>
  <c r="M106" i="26"/>
  <c r="Q105" i="26"/>
  <c r="M105" i="26"/>
  <c r="Q104" i="26"/>
  <c r="M104" i="26"/>
  <c r="Q103" i="26"/>
  <c r="K103" i="26"/>
  <c r="M103" i="26" s="1"/>
  <c r="Q102" i="26"/>
  <c r="L102" i="26"/>
  <c r="K102" i="26"/>
  <c r="M102" i="26" s="1"/>
  <c r="Q101" i="26"/>
  <c r="M101" i="26"/>
  <c r="L101" i="26"/>
  <c r="Q100" i="26"/>
  <c r="L100" i="26"/>
  <c r="K100" i="26"/>
  <c r="M100" i="26" s="1"/>
  <c r="Q99" i="26"/>
  <c r="M99" i="26"/>
  <c r="Q98" i="26"/>
  <c r="M98" i="26"/>
  <c r="Q97" i="26"/>
  <c r="L97" i="26"/>
  <c r="K97" i="26"/>
  <c r="M97" i="26" s="1"/>
  <c r="Q96" i="26"/>
  <c r="M96" i="26"/>
  <c r="P95" i="26"/>
  <c r="O95" i="26"/>
  <c r="Q95" i="26" s="1"/>
  <c r="M95" i="26"/>
  <c r="Q94" i="26"/>
  <c r="M94" i="26"/>
  <c r="Q93" i="26"/>
  <c r="M93" i="26"/>
  <c r="Q92" i="26"/>
  <c r="M92" i="26"/>
  <c r="L92" i="26"/>
  <c r="Q91" i="26"/>
  <c r="M91" i="26"/>
  <c r="Q90" i="26"/>
  <c r="L90" i="26"/>
  <c r="K90" i="26"/>
  <c r="M90" i="26" s="1"/>
  <c r="Q89" i="26"/>
  <c r="M89" i="26"/>
  <c r="Q88" i="26"/>
  <c r="L88" i="26"/>
  <c r="M88" i="26" s="1"/>
  <c r="Q87" i="26"/>
  <c r="M87" i="26"/>
  <c r="Q86" i="26"/>
  <c r="M86" i="26"/>
  <c r="Q85" i="26"/>
  <c r="M85" i="26"/>
  <c r="Q84" i="26"/>
  <c r="M84" i="26"/>
  <c r="Q83" i="26"/>
  <c r="L83" i="26"/>
  <c r="M83" i="26" s="1"/>
  <c r="Q82" i="26"/>
  <c r="M82" i="26"/>
  <c r="Q81" i="26"/>
  <c r="M81" i="26"/>
  <c r="Q80" i="26"/>
  <c r="L80" i="26"/>
  <c r="K80" i="26"/>
  <c r="M80" i="26" s="1"/>
  <c r="Q79" i="26"/>
  <c r="M79" i="26"/>
  <c r="Q78" i="26"/>
  <c r="M78" i="26"/>
  <c r="Q77" i="26"/>
  <c r="M77" i="26"/>
  <c r="Q76" i="26"/>
  <c r="M76" i="26"/>
  <c r="Q75" i="26"/>
  <c r="M75" i="26"/>
  <c r="Q74" i="26"/>
  <c r="L74" i="26"/>
  <c r="M74" i="26" s="1"/>
  <c r="Q73" i="26"/>
  <c r="M73" i="26"/>
  <c r="Q72" i="26"/>
  <c r="M72" i="26"/>
  <c r="Q71" i="26"/>
  <c r="P71" i="26"/>
  <c r="M71" i="26"/>
  <c r="Q70" i="26"/>
  <c r="L70" i="26"/>
  <c r="K70" i="26"/>
  <c r="M70" i="26" s="1"/>
  <c r="Q69" i="26"/>
  <c r="M69" i="26"/>
  <c r="Q68" i="26"/>
  <c r="M68" i="26"/>
  <c r="Q67" i="26"/>
  <c r="M67" i="26"/>
  <c r="Q66" i="26"/>
  <c r="M66" i="26"/>
  <c r="Q65" i="26"/>
  <c r="M65" i="26"/>
  <c r="Q64" i="26"/>
  <c r="L64" i="26"/>
  <c r="K64" i="26"/>
  <c r="M64" i="26" s="1"/>
  <c r="Q63" i="26"/>
  <c r="M63" i="26"/>
  <c r="P62" i="26"/>
  <c r="O62" i="26"/>
  <c r="Q62" i="26" s="1"/>
  <c r="M62" i="26"/>
  <c r="P61" i="26"/>
  <c r="O61" i="26"/>
  <c r="Q61" i="26" s="1"/>
  <c r="M61" i="26"/>
  <c r="Q60" i="26"/>
  <c r="M60" i="26"/>
  <c r="Q59" i="26"/>
  <c r="M59" i="26"/>
  <c r="Q58" i="26"/>
  <c r="M58" i="26"/>
  <c r="Q57" i="26"/>
  <c r="M57" i="26"/>
  <c r="Q56" i="26"/>
  <c r="L56" i="26"/>
  <c r="K56" i="26"/>
  <c r="M56" i="26" s="1"/>
  <c r="Q55" i="26"/>
  <c r="M55" i="26"/>
  <c r="Q54" i="26"/>
  <c r="L54" i="26"/>
  <c r="K54" i="26"/>
  <c r="M54" i="26" s="1"/>
  <c r="Q53" i="26"/>
  <c r="M53" i="26"/>
  <c r="Q52" i="26"/>
  <c r="L52" i="26"/>
  <c r="K52" i="26"/>
  <c r="M52" i="26" s="1"/>
  <c r="Q51" i="26"/>
  <c r="M51" i="26"/>
  <c r="P50" i="26"/>
  <c r="O50" i="26"/>
  <c r="Q50" i="26" s="1"/>
  <c r="M50" i="26"/>
  <c r="Q49" i="26"/>
  <c r="M49" i="26"/>
  <c r="L49" i="26"/>
  <c r="Q48" i="26"/>
  <c r="M48" i="26"/>
  <c r="Q47" i="26"/>
  <c r="M47" i="26"/>
  <c r="Q46" i="26"/>
  <c r="M46" i="26"/>
  <c r="L46" i="26"/>
  <c r="Q45" i="26"/>
  <c r="M45" i="26"/>
  <c r="L45" i="26"/>
  <c r="Q44" i="26"/>
  <c r="M44" i="26"/>
  <c r="P43" i="26"/>
  <c r="O43" i="26"/>
  <c r="Q43" i="26" s="1"/>
  <c r="M43" i="26"/>
  <c r="Q42" i="26"/>
  <c r="M42" i="26"/>
  <c r="Q41" i="26"/>
  <c r="M41" i="26"/>
  <c r="Q40" i="26"/>
  <c r="M40" i="26"/>
  <c r="Q39" i="26"/>
  <c r="K39" i="26"/>
  <c r="M39" i="26" s="1"/>
  <c r="Q38" i="26"/>
  <c r="M38" i="26"/>
  <c r="Q37" i="26"/>
  <c r="M37" i="26"/>
  <c r="Q36" i="26"/>
  <c r="M36" i="26"/>
  <c r="Q35" i="26"/>
  <c r="M35" i="26"/>
  <c r="Q34" i="26"/>
  <c r="L34" i="26"/>
  <c r="M34" i="26" s="1"/>
  <c r="Q33" i="26"/>
  <c r="M33" i="26"/>
  <c r="Q32" i="26"/>
  <c r="M32" i="26"/>
  <c r="L32" i="26"/>
  <c r="Q31" i="26"/>
  <c r="M31" i="26"/>
  <c r="Q30" i="26"/>
  <c r="M30" i="26"/>
  <c r="Q29" i="26"/>
  <c r="M29" i="26"/>
  <c r="Q28" i="26"/>
  <c r="M28" i="26"/>
  <c r="Q27" i="26"/>
  <c r="M27" i="26"/>
  <c r="Q26" i="26"/>
  <c r="M26" i="26"/>
  <c r="Q25" i="26"/>
  <c r="M25" i="26"/>
  <c r="Q24" i="26"/>
  <c r="L24" i="26"/>
  <c r="K24" i="26"/>
  <c r="M24" i="26" s="1"/>
  <c r="Q23" i="26"/>
  <c r="L23" i="26"/>
  <c r="K23" i="26"/>
  <c r="M23" i="26" s="1"/>
  <c r="Q22" i="26"/>
  <c r="L22" i="26"/>
  <c r="K22" i="26"/>
  <c r="Q21" i="26"/>
  <c r="M21" i="26"/>
  <c r="P20" i="26"/>
  <c r="O20" i="26"/>
  <c r="Q20" i="26" s="1"/>
  <c r="M20" i="26"/>
  <c r="Q19" i="26"/>
  <c r="L19" i="26"/>
  <c r="K19" i="26"/>
  <c r="M19" i="26" s="1"/>
  <c r="Q18" i="26"/>
  <c r="M18" i="26"/>
  <c r="Q17" i="26"/>
  <c r="M17" i="26"/>
  <c r="Q16" i="26"/>
  <c r="M16" i="26"/>
  <c r="Q15" i="26"/>
  <c r="M15" i="26"/>
  <c r="Q14" i="26"/>
  <c r="M14" i="26"/>
  <c r="Q13" i="26"/>
  <c r="M13" i="26"/>
  <c r="Q12" i="26"/>
  <c r="M12" i="26"/>
  <c r="Q11" i="26"/>
  <c r="M11" i="26"/>
  <c r="L11" i="26"/>
  <c r="A11" i="26"/>
  <c r="A12" i="26" s="1"/>
  <c r="A13" i="26" s="1"/>
  <c r="A14" i="26" s="1"/>
  <c r="A15" i="26" s="1"/>
  <c r="A16" i="26" s="1"/>
  <c r="A17" i="26" s="1"/>
  <c r="A18" i="26" s="1"/>
  <c r="A19" i="26" s="1"/>
  <c r="A20" i="26" s="1"/>
  <c r="A21" i="26" s="1"/>
  <c r="A22" i="26" s="1"/>
  <c r="A23" i="26" s="1"/>
  <c r="A24" i="26" s="1"/>
  <c r="A25" i="26" s="1"/>
  <c r="A26" i="26" s="1"/>
  <c r="A27" i="26" s="1"/>
  <c r="A28" i="26" s="1"/>
  <c r="A29" i="26" s="1"/>
  <c r="A30" i="26" s="1"/>
  <c r="A31" i="26" s="1"/>
  <c r="A32" i="26" s="1"/>
  <c r="A33" i="26" s="1"/>
  <c r="A34" i="26" s="1"/>
  <c r="A35" i="26" s="1"/>
  <c r="A36" i="26" s="1"/>
  <c r="A37" i="26" s="1"/>
  <c r="A38" i="26" s="1"/>
  <c r="A39" i="26" s="1"/>
  <c r="A40" i="26" s="1"/>
  <c r="A41" i="26" s="1"/>
  <c r="A42" i="26" s="1"/>
  <c r="A43" i="26" s="1"/>
  <c r="A44" i="26" s="1"/>
  <c r="A45" i="26" s="1"/>
  <c r="A46" i="26" s="1"/>
  <c r="A47" i="26" s="1"/>
  <c r="A48" i="26" s="1"/>
  <c r="A49" i="26" s="1"/>
  <c r="A50" i="26" s="1"/>
  <c r="A51" i="26" s="1"/>
  <c r="A52" i="26" s="1"/>
  <c r="A53" i="26" s="1"/>
  <c r="A54" i="26" s="1"/>
  <c r="A55" i="26" s="1"/>
  <c r="A56" i="26" s="1"/>
  <c r="A57" i="26" s="1"/>
  <c r="A58" i="26" s="1"/>
  <c r="A59" i="26" s="1"/>
  <c r="A60" i="26" s="1"/>
  <c r="A61" i="26" s="1"/>
  <c r="A62" i="26" s="1"/>
  <c r="A63" i="26" s="1"/>
  <c r="A64" i="26" s="1"/>
  <c r="A65" i="26" s="1"/>
  <c r="A66" i="26" s="1"/>
  <c r="A67" i="26" s="1"/>
  <c r="A68" i="26" s="1"/>
  <c r="A69" i="26" s="1"/>
  <c r="A70" i="26" s="1"/>
  <c r="A71" i="26" s="1"/>
  <c r="A72" i="26" s="1"/>
  <c r="A73" i="26" s="1"/>
  <c r="A74" i="26" s="1"/>
  <c r="A75" i="26" s="1"/>
  <c r="A76" i="26" s="1"/>
  <c r="A77" i="26" s="1"/>
  <c r="A78" i="26" s="1"/>
  <c r="A79" i="26" s="1"/>
  <c r="A80" i="26" s="1"/>
  <c r="A81" i="26" s="1"/>
  <c r="A82" i="26" s="1"/>
  <c r="A83" i="26" s="1"/>
  <c r="A84" i="26" s="1"/>
  <c r="A85" i="26" s="1"/>
  <c r="A86" i="26" s="1"/>
  <c r="A87" i="26" s="1"/>
  <c r="A88" i="26" s="1"/>
  <c r="A89" i="26" s="1"/>
  <c r="A90" i="26" s="1"/>
  <c r="A91" i="26" s="1"/>
  <c r="A92" i="26" s="1"/>
  <c r="A93" i="26" s="1"/>
  <c r="A94" i="26" s="1"/>
  <c r="A95" i="26" s="1"/>
  <c r="A96" i="26" s="1"/>
  <c r="A97" i="26" s="1"/>
  <c r="A98" i="26" s="1"/>
  <c r="A99" i="26" s="1"/>
  <c r="A100" i="26" s="1"/>
  <c r="A101" i="26" s="1"/>
  <c r="A102" i="26" s="1"/>
  <c r="A103" i="26" s="1"/>
  <c r="A104" i="26" s="1"/>
  <c r="A105" i="26" s="1"/>
  <c r="A106" i="26" s="1"/>
  <c r="A107" i="26" s="1"/>
  <c r="A108" i="26" s="1"/>
  <c r="A109" i="26" s="1"/>
  <c r="A110" i="26" s="1"/>
  <c r="A111" i="26" s="1"/>
  <c r="A112" i="26" s="1"/>
  <c r="A113" i="26" s="1"/>
  <c r="A114" i="26" s="1"/>
  <c r="A115" i="26" s="1"/>
  <c r="A116" i="26" s="1"/>
  <c r="A117" i="26" s="1"/>
  <c r="A118" i="26" s="1"/>
  <c r="A119" i="26" s="1"/>
  <c r="A120" i="26" s="1"/>
  <c r="A121" i="26" s="1"/>
  <c r="A122" i="26" s="1"/>
  <c r="A123" i="26" s="1"/>
  <c r="A124" i="26" s="1"/>
  <c r="A125" i="26" s="1"/>
  <c r="A126" i="26" s="1"/>
  <c r="A127" i="26" s="1"/>
  <c r="A128" i="26" s="1"/>
  <c r="A129" i="26" s="1"/>
  <c r="A130" i="26" s="1"/>
  <c r="A131" i="26" s="1"/>
  <c r="A132" i="26" s="1"/>
  <c r="A133" i="26" s="1"/>
  <c r="A134" i="26" s="1"/>
  <c r="A135" i="26" s="1"/>
  <c r="A136" i="26" s="1"/>
  <c r="A137" i="26" s="1"/>
  <c r="A138" i="26" s="1"/>
  <c r="A139" i="26" s="1"/>
  <c r="A140" i="26" s="1"/>
  <c r="A141" i="26" s="1"/>
  <c r="A142" i="26" s="1"/>
  <c r="A143" i="26" s="1"/>
  <c r="A144" i="26" s="1"/>
  <c r="A145" i="26" s="1"/>
  <c r="A146" i="26" s="1"/>
  <c r="A147" i="26" s="1"/>
  <c r="A148" i="26" s="1"/>
  <c r="A149" i="26" s="1"/>
  <c r="A150" i="26" s="1"/>
  <c r="A151" i="26" s="1"/>
  <c r="A152" i="26" s="1"/>
  <c r="A153" i="26" s="1"/>
  <c r="A154" i="26" s="1"/>
  <c r="A155" i="26" s="1"/>
  <c r="A156" i="26" s="1"/>
  <c r="A157" i="26" s="1"/>
  <c r="A158" i="26" s="1"/>
  <c r="A159" i="26" s="1"/>
  <c r="A160" i="26" s="1"/>
  <c r="A161" i="26" s="1"/>
  <c r="A162" i="26" s="1"/>
  <c r="A163" i="26" s="1"/>
  <c r="A164" i="26" s="1"/>
  <c r="A165" i="26" s="1"/>
  <c r="A166" i="26" s="1"/>
  <c r="A167" i="26" s="1"/>
  <c r="A168" i="26" s="1"/>
  <c r="A169" i="26" s="1"/>
  <c r="A170" i="26" s="1"/>
  <c r="A171" i="26" s="1"/>
  <c r="A172" i="26" s="1"/>
  <c r="A173" i="26" s="1"/>
  <c r="A174" i="26" s="1"/>
  <c r="A175" i="26" s="1"/>
  <c r="A176" i="26" s="1"/>
  <c r="A177" i="26" s="1"/>
  <c r="A178" i="26" s="1"/>
  <c r="A179" i="26" s="1"/>
  <c r="A180" i="26" s="1"/>
  <c r="A181" i="26" s="1"/>
  <c r="A182" i="26" s="1"/>
  <c r="A183" i="26" s="1"/>
  <c r="A184" i="26" s="1"/>
  <c r="A185" i="26" s="1"/>
  <c r="A186" i="26" s="1"/>
  <c r="A187" i="26" s="1"/>
  <c r="A188" i="26" s="1"/>
  <c r="A189" i="26" s="1"/>
  <c r="A190" i="26" s="1"/>
  <c r="A191" i="26" s="1"/>
  <c r="A192" i="26" s="1"/>
  <c r="A193" i="26" s="1"/>
  <c r="A194" i="26" s="1"/>
  <c r="A195" i="26" s="1"/>
  <c r="A196" i="26" s="1"/>
  <c r="A197" i="26" s="1"/>
  <c r="A198" i="26" s="1"/>
  <c r="A199" i="26" s="1"/>
  <c r="A200" i="26" s="1"/>
  <c r="A201" i="26" s="1"/>
  <c r="A202" i="26" s="1"/>
  <c r="A203" i="26" s="1"/>
  <c r="A204" i="26" s="1"/>
  <c r="A205" i="26" s="1"/>
  <c r="A206" i="26" s="1"/>
  <c r="A207" i="26" s="1"/>
  <c r="A208" i="26" s="1"/>
  <c r="A209" i="26" s="1"/>
  <c r="A210" i="26" s="1"/>
  <c r="A211" i="26" s="1"/>
  <c r="A212" i="26" s="1"/>
  <c r="A213" i="26" s="1"/>
  <c r="A214" i="26" s="1"/>
  <c r="A215" i="26" s="1"/>
  <c r="A216" i="26" s="1"/>
  <c r="A217" i="26" s="1"/>
  <c r="A218" i="26" s="1"/>
  <c r="A219" i="26" s="1"/>
  <c r="A220" i="26" s="1"/>
  <c r="A221" i="26" s="1"/>
  <c r="A222" i="26" s="1"/>
  <c r="A223" i="26" s="1"/>
  <c r="A224" i="26" s="1"/>
  <c r="A225" i="26" s="1"/>
  <c r="A226" i="26" s="1"/>
  <c r="A227" i="26" s="1"/>
  <c r="A228" i="26" s="1"/>
  <c r="A229" i="26" s="1"/>
  <c r="A230" i="26" s="1"/>
  <c r="A231" i="26" s="1"/>
  <c r="A232" i="26" s="1"/>
  <c r="A233" i="26" s="1"/>
  <c r="A234" i="26" s="1"/>
  <c r="A235" i="26" s="1"/>
  <c r="A236" i="26" s="1"/>
  <c r="A237" i="26" s="1"/>
  <c r="A238" i="26" s="1"/>
  <c r="A239" i="26" s="1"/>
  <c r="A240" i="26" s="1"/>
  <c r="A241" i="26" s="1"/>
  <c r="A242" i="26" s="1"/>
  <c r="A243" i="26" s="1"/>
  <c r="A244" i="26" s="1"/>
  <c r="A245" i="26" s="1"/>
  <c r="A246" i="26" s="1"/>
  <c r="A247" i="26" s="1"/>
  <c r="A248" i="26" s="1"/>
  <c r="A249" i="26" s="1"/>
  <c r="A250" i="26" s="1"/>
  <c r="A251" i="26" s="1"/>
  <c r="A252" i="26" s="1"/>
  <c r="A253" i="26" s="1"/>
  <c r="A254" i="26" s="1"/>
  <c r="A255" i="26" s="1"/>
  <c r="A256" i="26" s="1"/>
  <c r="A257" i="26" s="1"/>
  <c r="A258" i="26" s="1"/>
  <c r="A259" i="26" s="1"/>
  <c r="A260" i="26" s="1"/>
  <c r="A261" i="26" s="1"/>
  <c r="A262" i="26" s="1"/>
  <c r="A263" i="26" s="1"/>
  <c r="A264" i="26" s="1"/>
  <c r="A265" i="26" s="1"/>
  <c r="A266" i="26" s="1"/>
  <c r="A267" i="26" s="1"/>
  <c r="A268" i="26" s="1"/>
  <c r="A269" i="26" s="1"/>
  <c r="A270" i="26" s="1"/>
  <c r="A271" i="26" s="1"/>
  <c r="A272" i="26" s="1"/>
  <c r="A273" i="26" s="1"/>
  <c r="A274" i="26" s="1"/>
  <c r="A275" i="26" s="1"/>
  <c r="A276" i="26" s="1"/>
  <c r="A277" i="26" s="1"/>
  <c r="A278" i="26" s="1"/>
  <c r="A279" i="26" s="1"/>
  <c r="A280" i="26" s="1"/>
  <c r="A281" i="26" s="1"/>
  <c r="A282" i="26" s="1"/>
  <c r="A283" i="26" s="1"/>
  <c r="A284" i="26" s="1"/>
  <c r="A285" i="26" s="1"/>
  <c r="A286" i="26" s="1"/>
  <c r="A287" i="26" s="1"/>
  <c r="A288" i="26" s="1"/>
  <c r="A289" i="26" s="1"/>
  <c r="A290" i="26" s="1"/>
  <c r="A291" i="26" s="1"/>
  <c r="A292" i="26" s="1"/>
  <c r="A293" i="26" s="1"/>
  <c r="A294" i="26" s="1"/>
  <c r="A295" i="26" s="1"/>
  <c r="A296" i="26" s="1"/>
  <c r="A297" i="26" s="1"/>
  <c r="A298" i="26" s="1"/>
  <c r="A299" i="26" s="1"/>
  <c r="A300" i="26" s="1"/>
  <c r="A301" i="26" s="1"/>
  <c r="Q10" i="26"/>
  <c r="M10" i="26"/>
  <c r="A10" i="26"/>
  <c r="Q9" i="26"/>
  <c r="M9" i="26"/>
  <c r="M22" i="26" l="1"/>
  <c r="M153" i="26"/>
  <c r="Q154" i="26"/>
  <c r="A12" i="25"/>
  <c r="A13" i="25" s="1"/>
  <c r="A14" i="25" s="1"/>
  <c r="A15" i="25" s="1"/>
  <c r="A16" i="25" s="1"/>
  <c r="A17" i="25" s="1"/>
  <c r="A18" i="25" s="1"/>
  <c r="A19" i="25" s="1"/>
  <c r="A20" i="25" s="1"/>
  <c r="A21" i="25" s="1"/>
  <c r="A22" i="25" s="1"/>
  <c r="A23" i="25" s="1"/>
  <c r="A24" i="25" s="1"/>
  <c r="A25" i="25" s="1"/>
  <c r="A26" i="25" s="1"/>
  <c r="A27" i="25" s="1"/>
  <c r="A28" i="25" s="1"/>
  <c r="A29" i="25" s="1"/>
  <c r="A30" i="25" s="1"/>
  <c r="A31" i="25" s="1"/>
  <c r="A32" i="25" s="1"/>
  <c r="A33" i="25" s="1"/>
  <c r="A34" i="25" s="1"/>
  <c r="A35" i="25" s="1"/>
  <c r="A36" i="25" s="1"/>
  <c r="A37" i="25" s="1"/>
  <c r="A38" i="25" s="1"/>
  <c r="A39" i="25" s="1"/>
  <c r="A40" i="25" s="1"/>
  <c r="A41" i="25" s="1"/>
  <c r="A42" i="25" s="1"/>
  <c r="A43" i="25" s="1"/>
  <c r="A44" i="25" s="1"/>
  <c r="A45" i="25" s="1"/>
  <c r="A46" i="25" s="1"/>
  <c r="A47" i="25" s="1"/>
  <c r="A48" i="25" s="1"/>
  <c r="A49" i="25" s="1"/>
  <c r="A50" i="25" s="1"/>
  <c r="A51" i="25" s="1"/>
  <c r="A52" i="25" s="1"/>
  <c r="A53" i="25" s="1"/>
  <c r="A54" i="25" s="1"/>
  <c r="A55" i="25" s="1"/>
  <c r="A56" i="25" s="1"/>
  <c r="A57" i="25" s="1"/>
  <c r="A58" i="25" s="1"/>
  <c r="A59" i="25" s="1"/>
  <c r="A60" i="25" s="1"/>
  <c r="A61" i="25" s="1"/>
  <c r="A62" i="25" s="1"/>
  <c r="A63" i="25" s="1"/>
  <c r="A64" i="25" s="1"/>
  <c r="A65" i="25" s="1"/>
  <c r="A66" i="25" s="1"/>
  <c r="A67" i="25" s="1"/>
  <c r="A68" i="25" s="1"/>
  <c r="A69" i="25" s="1"/>
  <c r="A70" i="25" s="1"/>
  <c r="A71" i="25" s="1"/>
  <c r="A72" i="25" s="1"/>
  <c r="A73" i="25" s="1"/>
  <c r="A74" i="25" s="1"/>
  <c r="A75" i="25" s="1"/>
  <c r="A76" i="25" s="1"/>
  <c r="A77" i="25" s="1"/>
  <c r="A78" i="25" s="1"/>
  <c r="A79" i="25" s="1"/>
  <c r="A80" i="25" s="1"/>
  <c r="A81" i="25" s="1"/>
  <c r="A82" i="25" s="1"/>
  <c r="A83" i="25" s="1"/>
  <c r="A84" i="25" s="1"/>
  <c r="A85" i="25" s="1"/>
  <c r="A86" i="25" s="1"/>
  <c r="A87" i="25" s="1"/>
  <c r="A88" i="25" s="1"/>
  <c r="A89" i="25" s="1"/>
  <c r="A90" i="25" s="1"/>
  <c r="A91" i="25" s="1"/>
  <c r="A92" i="25" s="1"/>
  <c r="A93" i="25" s="1"/>
  <c r="A94" i="25" s="1"/>
  <c r="A95" i="25" s="1"/>
  <c r="A96" i="25" s="1"/>
  <c r="A97" i="25" s="1"/>
  <c r="A98" i="25" s="1"/>
  <c r="A99" i="25" s="1"/>
  <c r="A100" i="25" s="1"/>
  <c r="A101" i="25" s="1"/>
  <c r="A102" i="25" s="1"/>
  <c r="A103" i="25" s="1"/>
  <c r="A104" i="25" s="1"/>
  <c r="A105" i="25" s="1"/>
  <c r="A106" i="25" s="1"/>
  <c r="A107" i="25" s="1"/>
  <c r="A108" i="25" s="1"/>
  <c r="A109" i="25" s="1"/>
  <c r="A110" i="25" s="1"/>
  <c r="A111" i="25" s="1"/>
  <c r="A112" i="25" s="1"/>
  <c r="A113" i="25" s="1"/>
  <c r="A114" i="25" s="1"/>
  <c r="A115" i="25" s="1"/>
  <c r="A116" i="25" s="1"/>
  <c r="A117" i="25" s="1"/>
  <c r="A118" i="25" s="1"/>
  <c r="A119" i="25" s="1"/>
  <c r="A120" i="25" s="1"/>
  <c r="A121" i="25" s="1"/>
  <c r="A122" i="25" s="1"/>
  <c r="A123" i="25" s="1"/>
  <c r="A124" i="25" s="1"/>
  <c r="A125" i="25" s="1"/>
  <c r="A126" i="25" s="1"/>
  <c r="A127" i="25" s="1"/>
  <c r="A128" i="25" s="1"/>
  <c r="A129" i="25" s="1"/>
  <c r="A130" i="25" s="1"/>
  <c r="A131" i="25" s="1"/>
  <c r="A132" i="25" s="1"/>
  <c r="A133" i="25" s="1"/>
  <c r="A134" i="25" s="1"/>
  <c r="A135" i="25" s="1"/>
  <c r="A136" i="25" s="1"/>
  <c r="A137" i="25" s="1"/>
  <c r="A138" i="25" s="1"/>
  <c r="A139" i="25" s="1"/>
  <c r="A140" i="25" s="1"/>
  <c r="A141" i="25" s="1"/>
  <c r="A142" i="25" s="1"/>
  <c r="A143" i="25" s="1"/>
  <c r="A144" i="25" s="1"/>
  <c r="A145" i="25" s="1"/>
  <c r="A146" i="25" s="1"/>
  <c r="A147" i="25" s="1"/>
  <c r="A148" i="25" s="1"/>
  <c r="A149" i="25" s="1"/>
  <c r="A150" i="25" s="1"/>
  <c r="A151" i="25" s="1"/>
  <c r="A152" i="25" s="1"/>
  <c r="A153" i="25" s="1"/>
  <c r="A154" i="25" s="1"/>
  <c r="A155" i="25" s="1"/>
  <c r="A156" i="25" s="1"/>
  <c r="A157" i="25" s="1"/>
  <c r="A158" i="25" s="1"/>
  <c r="A159" i="25" s="1"/>
  <c r="A160" i="25" s="1"/>
  <c r="A161" i="25" s="1"/>
  <c r="A162" i="25" s="1"/>
  <c r="A163" i="25" s="1"/>
  <c r="A164" i="25" s="1"/>
  <c r="A165" i="25" s="1"/>
  <c r="A166" i="25" s="1"/>
  <c r="A167" i="25" s="1"/>
  <c r="A168" i="25" s="1"/>
  <c r="A169" i="25" s="1"/>
  <c r="A170" i="25" s="1"/>
  <c r="A171" i="25" s="1"/>
  <c r="A172" i="25" s="1"/>
  <c r="A173" i="25" s="1"/>
  <c r="A174" i="25" s="1"/>
  <c r="A175" i="25" s="1"/>
  <c r="A176" i="25" s="1"/>
  <c r="A177" i="25" s="1"/>
  <c r="A178" i="25" s="1"/>
  <c r="A179" i="25" s="1"/>
  <c r="A180" i="25" s="1"/>
  <c r="A181" i="25" s="1"/>
  <c r="A182" i="25" s="1"/>
  <c r="A183" i="25" s="1"/>
  <c r="A184" i="25" s="1"/>
  <c r="A185" i="25" s="1"/>
  <c r="A186" i="25" s="1"/>
  <c r="A187" i="25" s="1"/>
  <c r="A188" i="25" s="1"/>
  <c r="A189" i="25" s="1"/>
  <c r="A190" i="25" s="1"/>
  <c r="A191" i="25" s="1"/>
  <c r="A192" i="25" s="1"/>
  <c r="A193" i="25" s="1"/>
  <c r="A194" i="25" s="1"/>
  <c r="A195" i="25" s="1"/>
  <c r="A196" i="25" s="1"/>
  <c r="A197" i="25" s="1"/>
  <c r="A198" i="25" s="1"/>
  <c r="A199" i="25" s="1"/>
  <c r="A200" i="25" s="1"/>
  <c r="A201" i="25" s="1"/>
  <c r="A202" i="25" s="1"/>
  <c r="A203" i="25" s="1"/>
  <c r="A204" i="25" s="1"/>
  <c r="A205" i="25" s="1"/>
  <c r="A206" i="25" s="1"/>
  <c r="A207" i="25" s="1"/>
  <c r="A208" i="25" s="1"/>
  <c r="A209" i="25" s="1"/>
  <c r="A210" i="25" s="1"/>
  <c r="A211" i="25" s="1"/>
  <c r="A212" i="25" s="1"/>
  <c r="A213" i="25" s="1"/>
  <c r="A214" i="25" s="1"/>
  <c r="A215" i="25" s="1"/>
  <c r="A216" i="25" s="1"/>
  <c r="A217" i="25" s="1"/>
  <c r="A218" i="25" s="1"/>
  <c r="A219" i="25" s="1"/>
  <c r="A220" i="25" s="1"/>
  <c r="A221" i="25" s="1"/>
  <c r="A222" i="25" s="1"/>
  <c r="A223" i="25" s="1"/>
  <c r="A224" i="25" s="1"/>
  <c r="A225" i="25" s="1"/>
  <c r="A226" i="25" s="1"/>
  <c r="A227" i="25" s="1"/>
  <c r="A228" i="25" s="1"/>
  <c r="A229" i="25" s="1"/>
  <c r="A230" i="25" s="1"/>
  <c r="A231" i="25" s="1"/>
  <c r="A232" i="25" s="1"/>
  <c r="A233" i="25" s="1"/>
  <c r="A234" i="25" s="1"/>
  <c r="A235" i="25" s="1"/>
  <c r="A236" i="25" s="1"/>
  <c r="A237" i="25" s="1"/>
  <c r="A238" i="25" s="1"/>
  <c r="A239" i="25" s="1"/>
  <c r="A240" i="25" s="1"/>
  <c r="A241" i="25" s="1"/>
  <c r="A242" i="25" s="1"/>
  <c r="A243" i="25" s="1"/>
  <c r="A244" i="25" s="1"/>
  <c r="A245" i="25" s="1"/>
  <c r="A246" i="25" s="1"/>
  <c r="A247" i="25" s="1"/>
  <c r="A248" i="25" s="1"/>
  <c r="A249" i="25" s="1"/>
  <c r="A250" i="25" s="1"/>
  <c r="A251" i="25" s="1"/>
  <c r="A252" i="25" s="1"/>
  <c r="A253" i="25" s="1"/>
  <c r="A254" i="25" s="1"/>
  <c r="A255" i="25" s="1"/>
  <c r="A256" i="25" s="1"/>
  <c r="A257" i="25" s="1"/>
  <c r="A258" i="25" s="1"/>
  <c r="A259" i="25" s="1"/>
  <c r="A260" i="25" s="1"/>
  <c r="A261" i="25" s="1"/>
  <c r="A262" i="25" s="1"/>
  <c r="A263" i="25" s="1"/>
  <c r="A264" i="25" s="1"/>
  <c r="A265" i="25" s="1"/>
  <c r="A266" i="25" s="1"/>
  <c r="A267" i="25" s="1"/>
  <c r="A268" i="25" s="1"/>
  <c r="A269" i="25" s="1"/>
  <c r="A270" i="25" s="1"/>
  <c r="A271" i="25" s="1"/>
  <c r="A272" i="25" s="1"/>
  <c r="A273" i="25" s="1"/>
  <c r="A274" i="25" s="1"/>
  <c r="A275" i="25" s="1"/>
  <c r="A276" i="25" s="1"/>
  <c r="A277" i="25" s="1"/>
  <c r="A278" i="25" s="1"/>
  <c r="A279" i="25" s="1"/>
  <c r="A280" i="25" s="1"/>
  <c r="A281" i="25" s="1"/>
  <c r="A282" i="25" s="1"/>
  <c r="A283" i="25" s="1"/>
  <c r="A284" i="25" s="1"/>
  <c r="A285" i="25" s="1"/>
  <c r="A286" i="25" s="1"/>
  <c r="A287" i="25" s="1"/>
  <c r="A288" i="25" s="1"/>
  <c r="A289" i="25" s="1"/>
  <c r="A290" i="25" s="1"/>
  <c r="A291" i="25" s="1"/>
  <c r="A292" i="25" s="1"/>
  <c r="A293" i="25" s="1"/>
  <c r="A294" i="25" s="1"/>
  <c r="A295" i="25" s="1"/>
  <c r="A296" i="25" s="1"/>
  <c r="A297" i="25" s="1"/>
  <c r="A298" i="25" s="1"/>
  <c r="A290" i="24"/>
  <c r="A291" i="24" s="1"/>
  <c r="A292" i="24" s="1"/>
  <c r="A293" i="24" s="1"/>
  <c r="A294" i="24" s="1"/>
  <c r="A295" i="24" s="1"/>
  <c r="A296" i="24" s="1"/>
  <c r="A297" i="24" s="1"/>
  <c r="A298" i="24" s="1"/>
  <c r="A299" i="24" s="1"/>
  <c r="A300" i="24" s="1"/>
  <c r="M9" i="24" l="1"/>
  <c r="Q9" i="24"/>
  <c r="A10" i="24"/>
  <c r="A11" i="24" s="1"/>
  <c r="A12" i="24" s="1"/>
  <c r="A13" i="24" s="1"/>
  <c r="A14" i="24" s="1"/>
  <c r="A15" i="24" s="1"/>
  <c r="A16" i="24" s="1"/>
  <c r="A17" i="24" s="1"/>
  <c r="A18" i="24" s="1"/>
  <c r="A19" i="24" s="1"/>
  <c r="A20" i="24" s="1"/>
  <c r="A21" i="24" s="1"/>
  <c r="A22" i="24" s="1"/>
  <c r="A23" i="24" s="1"/>
  <c r="A24" i="24" s="1"/>
  <c r="A25" i="24" s="1"/>
  <c r="A26" i="24" s="1"/>
  <c r="A27" i="24" s="1"/>
  <c r="A28" i="24" s="1"/>
  <c r="A29" i="24" s="1"/>
  <c r="A30" i="24" s="1"/>
  <c r="A31" i="24" s="1"/>
  <c r="A32" i="24" s="1"/>
  <c r="A33" i="24" s="1"/>
  <c r="A34" i="24" s="1"/>
  <c r="A35" i="24" s="1"/>
  <c r="A36" i="24" s="1"/>
  <c r="A37" i="24" s="1"/>
  <c r="A38" i="24" s="1"/>
  <c r="A39" i="24" s="1"/>
  <c r="A40" i="24" s="1"/>
  <c r="A41" i="24" s="1"/>
  <c r="A42" i="24" s="1"/>
  <c r="A43" i="24" s="1"/>
  <c r="A44" i="24" s="1"/>
  <c r="A45" i="24" s="1"/>
  <c r="A46" i="24" s="1"/>
  <c r="A47" i="24" s="1"/>
  <c r="A48" i="24" s="1"/>
  <c r="A49" i="24" s="1"/>
  <c r="A50" i="24" s="1"/>
  <c r="A51" i="24" s="1"/>
  <c r="A52" i="24" s="1"/>
  <c r="A53" i="24" s="1"/>
  <c r="A54" i="24" s="1"/>
  <c r="A55" i="24" s="1"/>
  <c r="A56" i="24" s="1"/>
  <c r="A57" i="24" s="1"/>
  <c r="A58" i="24" s="1"/>
  <c r="A59" i="24" s="1"/>
  <c r="A60" i="24" s="1"/>
  <c r="A61" i="24" s="1"/>
  <c r="A62" i="24" s="1"/>
  <c r="A63" i="24" s="1"/>
  <c r="A64" i="24" s="1"/>
  <c r="A65" i="24" s="1"/>
  <c r="A66" i="24" s="1"/>
  <c r="A67" i="24" s="1"/>
  <c r="A68" i="24" s="1"/>
  <c r="A69" i="24" s="1"/>
  <c r="A70" i="24" s="1"/>
  <c r="A71" i="24" s="1"/>
  <c r="A72" i="24" s="1"/>
  <c r="A73" i="24" s="1"/>
  <c r="A74" i="24" s="1"/>
  <c r="A75" i="24" s="1"/>
  <c r="A76" i="24" s="1"/>
  <c r="A77" i="24" s="1"/>
  <c r="A78" i="24" s="1"/>
  <c r="A79" i="24" s="1"/>
  <c r="A80" i="24" s="1"/>
  <c r="A81" i="24" s="1"/>
  <c r="A82" i="24" s="1"/>
  <c r="A83" i="24" s="1"/>
  <c r="A84" i="24" s="1"/>
  <c r="A85" i="24" s="1"/>
  <c r="A86" i="24" s="1"/>
  <c r="A87" i="24" s="1"/>
  <c r="A88" i="24" s="1"/>
  <c r="A89" i="24" s="1"/>
  <c r="A90" i="24" s="1"/>
  <c r="A91" i="24" s="1"/>
  <c r="A92" i="24" s="1"/>
  <c r="A93" i="24" s="1"/>
  <c r="A94" i="24" s="1"/>
  <c r="A95" i="24" s="1"/>
  <c r="A96" i="24" s="1"/>
  <c r="A97" i="24" s="1"/>
  <c r="A98" i="24" s="1"/>
  <c r="A99" i="24" s="1"/>
  <c r="A100" i="24" s="1"/>
  <c r="A101" i="24" s="1"/>
  <c r="A102" i="24" s="1"/>
  <c r="A103" i="24" s="1"/>
  <c r="A104" i="24" s="1"/>
  <c r="A105" i="24" s="1"/>
  <c r="A106" i="24" s="1"/>
  <c r="A107" i="24" s="1"/>
  <c r="A108" i="24" s="1"/>
  <c r="A109" i="24" s="1"/>
  <c r="A110" i="24" s="1"/>
  <c r="A111" i="24" s="1"/>
  <c r="A112" i="24" s="1"/>
  <c r="A113" i="24" s="1"/>
  <c r="A114" i="24" s="1"/>
  <c r="A115" i="24" s="1"/>
  <c r="A116" i="24" s="1"/>
  <c r="A117" i="24" s="1"/>
  <c r="A118" i="24" s="1"/>
  <c r="A119" i="24" s="1"/>
  <c r="A120" i="24" s="1"/>
  <c r="A121" i="24" s="1"/>
  <c r="A122" i="24" s="1"/>
  <c r="A123" i="24" s="1"/>
  <c r="A124" i="24" s="1"/>
  <c r="A125" i="24" s="1"/>
  <c r="A126" i="24" s="1"/>
  <c r="A127" i="24" s="1"/>
  <c r="A128" i="24" s="1"/>
  <c r="A129" i="24" s="1"/>
  <c r="A130" i="24" s="1"/>
  <c r="A131" i="24" s="1"/>
  <c r="A132" i="24" s="1"/>
  <c r="A133" i="24" s="1"/>
  <c r="A134" i="24" s="1"/>
  <c r="A135" i="24" s="1"/>
  <c r="A136" i="24" s="1"/>
  <c r="A137" i="24" s="1"/>
  <c r="A138" i="24" s="1"/>
  <c r="A139" i="24" s="1"/>
  <c r="A140" i="24" s="1"/>
  <c r="A141" i="24" s="1"/>
  <c r="A142" i="24" s="1"/>
  <c r="A143" i="24" s="1"/>
  <c r="A144" i="24" s="1"/>
  <c r="A145" i="24" s="1"/>
  <c r="A146" i="24" s="1"/>
  <c r="A147" i="24" s="1"/>
  <c r="A148" i="24" s="1"/>
  <c r="A149" i="24" s="1"/>
  <c r="A150" i="24" s="1"/>
  <c r="A151" i="24" s="1"/>
  <c r="A152" i="24" s="1"/>
  <c r="A153" i="24" s="1"/>
  <c r="A154" i="24" s="1"/>
  <c r="A155" i="24" s="1"/>
  <c r="A156" i="24" s="1"/>
  <c r="A157" i="24" s="1"/>
  <c r="A158" i="24" s="1"/>
  <c r="A159" i="24" s="1"/>
  <c r="A160" i="24" s="1"/>
  <c r="A161" i="24" s="1"/>
  <c r="A162" i="24" s="1"/>
  <c r="A163" i="24" s="1"/>
  <c r="A164" i="24" s="1"/>
  <c r="A165" i="24" s="1"/>
  <c r="A166" i="24" s="1"/>
  <c r="A167" i="24" s="1"/>
  <c r="A168" i="24" s="1"/>
  <c r="A169" i="24" s="1"/>
  <c r="A170" i="24" s="1"/>
  <c r="A171" i="24" s="1"/>
  <c r="A172" i="24" s="1"/>
  <c r="A173" i="24" s="1"/>
  <c r="A174" i="24" s="1"/>
  <c r="A175" i="24" s="1"/>
  <c r="A176" i="24" s="1"/>
  <c r="A177" i="24" s="1"/>
  <c r="A178" i="24" s="1"/>
  <c r="A179" i="24" s="1"/>
  <c r="A180" i="24" s="1"/>
  <c r="A181" i="24" s="1"/>
  <c r="A182" i="24" s="1"/>
  <c r="A183" i="24" s="1"/>
  <c r="M10" i="24"/>
  <c r="Q10" i="24"/>
  <c r="L11" i="24"/>
  <c r="M11" i="24" s="1"/>
  <c r="Q11" i="24"/>
  <c r="M12" i="24"/>
  <c r="Q12" i="24"/>
  <c r="M13" i="24"/>
  <c r="Q13" i="24"/>
  <c r="M14" i="24"/>
  <c r="Q14" i="24"/>
  <c r="M15" i="24"/>
  <c r="Q15" i="24"/>
  <c r="M16" i="24"/>
  <c r="Q16" i="24"/>
  <c r="M17" i="24"/>
  <c r="Q17" i="24"/>
  <c r="M18" i="24"/>
  <c r="Q18" i="24"/>
  <c r="K19" i="24"/>
  <c r="L19" i="24"/>
  <c r="M19" i="24" s="1"/>
  <c r="Q19" i="24"/>
  <c r="M20" i="24"/>
  <c r="O20" i="24"/>
  <c r="P20" i="24"/>
  <c r="Q20" i="24" s="1"/>
  <c r="M21" i="24"/>
  <c r="Q21" i="24"/>
  <c r="K22" i="24"/>
  <c r="L22" i="24"/>
  <c r="M22" i="24"/>
  <c r="Q22" i="24"/>
  <c r="K23" i="24"/>
  <c r="L23" i="24"/>
  <c r="M23" i="24" s="1"/>
  <c r="Q23" i="24"/>
  <c r="K24" i="24"/>
  <c r="L24" i="24"/>
  <c r="M24" i="24"/>
  <c r="Q24" i="24"/>
  <c r="M25" i="24"/>
  <c r="Q25" i="24"/>
  <c r="M26" i="24"/>
  <c r="Q26" i="24"/>
  <c r="M27" i="24"/>
  <c r="Q27" i="24"/>
  <c r="M28" i="24"/>
  <c r="Q28" i="24"/>
  <c r="M29" i="24"/>
  <c r="Q29" i="24"/>
  <c r="M30" i="24"/>
  <c r="Q30" i="24"/>
  <c r="M31" i="24"/>
  <c r="Q31" i="24"/>
  <c r="L32" i="24"/>
  <c r="M32" i="24" s="1"/>
  <c r="Q32" i="24"/>
  <c r="M33" i="24"/>
  <c r="Q33" i="24"/>
  <c r="L34" i="24"/>
  <c r="M34" i="24"/>
  <c r="Q34" i="24"/>
  <c r="M35" i="24"/>
  <c r="Q35" i="24"/>
  <c r="M36" i="24"/>
  <c r="Q36" i="24"/>
  <c r="M37" i="24"/>
  <c r="Q37" i="24"/>
  <c r="M38" i="24"/>
  <c r="Q38" i="24"/>
  <c r="K39" i="24"/>
  <c r="M39" i="24"/>
  <c r="Q39" i="24"/>
  <c r="M40" i="24"/>
  <c r="Q40" i="24"/>
  <c r="M41" i="24"/>
  <c r="Q41" i="24"/>
  <c r="M42" i="24"/>
  <c r="Q42" i="24"/>
  <c r="M43" i="24"/>
  <c r="O43" i="24"/>
  <c r="P43" i="24"/>
  <c r="Q43" i="24" s="1"/>
  <c r="M44" i="24"/>
  <c r="Q44" i="24"/>
  <c r="L45" i="24"/>
  <c r="M45" i="24" s="1"/>
  <c r="Q45" i="24"/>
  <c r="L46" i="24"/>
  <c r="M46" i="24" s="1"/>
  <c r="Q46" i="24"/>
  <c r="M47" i="24"/>
  <c r="Q47" i="24"/>
  <c r="M48" i="24"/>
  <c r="Q48" i="24"/>
  <c r="L49" i="24"/>
  <c r="M49" i="24" s="1"/>
  <c r="Q49" i="24"/>
  <c r="M50" i="24"/>
  <c r="O50" i="24"/>
  <c r="P50" i="24"/>
  <c r="Q50" i="24" s="1"/>
  <c r="M51" i="24"/>
  <c r="Q51" i="24"/>
  <c r="K52" i="24"/>
  <c r="L52" i="24"/>
  <c r="M52" i="24"/>
  <c r="Q52" i="24"/>
  <c r="M53" i="24"/>
  <c r="Q53" i="24"/>
  <c r="K54" i="24"/>
  <c r="L54" i="24"/>
  <c r="M54" i="24"/>
  <c r="Q54" i="24"/>
  <c r="M55" i="24"/>
  <c r="Q55" i="24"/>
  <c r="K56" i="24"/>
  <c r="L56" i="24"/>
  <c r="M56" i="24"/>
  <c r="Q56" i="24"/>
  <c r="M57" i="24"/>
  <c r="Q57" i="24"/>
  <c r="M58" i="24"/>
  <c r="Q58" i="24"/>
  <c r="M59" i="24"/>
  <c r="Q59" i="24"/>
  <c r="M60" i="24"/>
  <c r="Q60" i="24"/>
  <c r="M61" i="24"/>
  <c r="O61" i="24"/>
  <c r="P61" i="24"/>
  <c r="Q61" i="24"/>
  <c r="M62" i="24"/>
  <c r="O62" i="24"/>
  <c r="P62" i="24"/>
  <c r="Q62" i="24" s="1"/>
  <c r="M63" i="24"/>
  <c r="Q63" i="24"/>
  <c r="K64" i="24"/>
  <c r="L64" i="24"/>
  <c r="M64" i="24"/>
  <c r="Q64" i="24"/>
  <c r="M65" i="24"/>
  <c r="Q65" i="24"/>
  <c r="M66" i="24"/>
  <c r="Q66" i="24"/>
  <c r="M67" i="24"/>
  <c r="Q67" i="24"/>
  <c r="M68" i="24"/>
  <c r="Q68" i="24"/>
  <c r="M69" i="24"/>
  <c r="Q69" i="24"/>
  <c r="K70" i="24"/>
  <c r="L70" i="24"/>
  <c r="M70" i="24"/>
  <c r="Q70" i="24"/>
  <c r="M71" i="24"/>
  <c r="P71" i="24"/>
  <c r="Q71" i="24" s="1"/>
  <c r="M72" i="24"/>
  <c r="Q72" i="24"/>
  <c r="M73" i="24"/>
  <c r="Q73" i="24"/>
  <c r="L74" i="24"/>
  <c r="M74" i="24"/>
  <c r="Q74" i="24"/>
  <c r="M75" i="24"/>
  <c r="Q75" i="24"/>
  <c r="M76" i="24"/>
  <c r="Q76" i="24"/>
  <c r="M77" i="24"/>
  <c r="Q77" i="24"/>
  <c r="M78" i="24"/>
  <c r="Q78" i="24"/>
  <c r="M79" i="24"/>
  <c r="Q79" i="24"/>
  <c r="K80" i="24"/>
  <c r="L80" i="24"/>
  <c r="M80" i="24"/>
  <c r="Q80" i="24"/>
  <c r="M81" i="24"/>
  <c r="Q81" i="24"/>
  <c r="M82" i="24"/>
  <c r="Q82" i="24"/>
  <c r="L83" i="24"/>
  <c r="M83" i="24"/>
  <c r="Q83" i="24"/>
  <c r="M84" i="24"/>
  <c r="Q84" i="24"/>
  <c r="M85" i="24"/>
  <c r="Q85" i="24"/>
  <c r="M86" i="24"/>
  <c r="Q86" i="24"/>
  <c r="M87" i="24"/>
  <c r="Q87" i="24"/>
  <c r="L88" i="24"/>
  <c r="M88" i="24"/>
  <c r="Q88" i="24"/>
  <c r="M89" i="24"/>
  <c r="Q89" i="24"/>
  <c r="K90" i="24"/>
  <c r="L90" i="24"/>
  <c r="M90" i="24"/>
  <c r="Q90" i="24"/>
  <c r="M91" i="24"/>
  <c r="Q91" i="24"/>
  <c r="L92" i="24"/>
  <c r="M92" i="24" s="1"/>
  <c r="Q92" i="24"/>
  <c r="M93" i="24"/>
  <c r="Q93" i="24"/>
  <c r="M94" i="24"/>
  <c r="Q94" i="24"/>
  <c r="M95" i="24"/>
  <c r="O95" i="24"/>
  <c r="P95" i="24"/>
  <c r="Q95" i="24" s="1"/>
  <c r="M96" i="24"/>
  <c r="Q96" i="24"/>
  <c r="K97" i="24"/>
  <c r="L97" i="24"/>
  <c r="M97" i="24"/>
  <c r="Q97" i="24"/>
  <c r="M98" i="24"/>
  <c r="Q98" i="24"/>
  <c r="M99" i="24"/>
  <c r="Q99" i="24"/>
  <c r="K100" i="24"/>
  <c r="L100" i="24"/>
  <c r="M100" i="24" s="1"/>
  <c r="Q100" i="24"/>
  <c r="L101" i="24"/>
  <c r="M101" i="24" s="1"/>
  <c r="Q101" i="24"/>
  <c r="K102" i="24"/>
  <c r="L102" i="24"/>
  <c r="M102" i="24"/>
  <c r="Q102" i="24"/>
  <c r="K103" i="24"/>
  <c r="M103" i="24"/>
  <c r="Q103" i="24"/>
  <c r="M104" i="24"/>
  <c r="Q104" i="24"/>
  <c r="M105" i="24"/>
  <c r="Q105" i="24"/>
  <c r="M106" i="24"/>
  <c r="Q106" i="24"/>
  <c r="M107" i="24"/>
  <c r="Q107" i="24"/>
  <c r="M108" i="24"/>
  <c r="P108" i="24"/>
  <c r="Q108" i="24" s="1"/>
  <c r="M109" i="24"/>
  <c r="Q109" i="24"/>
  <c r="M110" i="24"/>
  <c r="Q110" i="24"/>
  <c r="M111" i="24"/>
  <c r="Q111" i="24"/>
  <c r="M112" i="24"/>
  <c r="Q112" i="24"/>
  <c r="M113" i="24"/>
  <c r="Q113" i="24"/>
  <c r="M114" i="24"/>
  <c r="Q114" i="24"/>
  <c r="M115" i="24"/>
  <c r="Q115" i="24"/>
  <c r="M116" i="24"/>
  <c r="Q116" i="24"/>
  <c r="M117" i="24"/>
  <c r="Q117" i="24"/>
  <c r="M118" i="24"/>
  <c r="Q118" i="24"/>
  <c r="M119" i="24"/>
  <c r="Q119" i="24"/>
  <c r="M120" i="24"/>
  <c r="O120" i="24"/>
  <c r="P120" i="24"/>
  <c r="Q120" i="24" s="1"/>
  <c r="M121" i="24"/>
  <c r="Q121" i="24"/>
  <c r="M122" i="24"/>
  <c r="Q122" i="24"/>
  <c r="M123" i="24"/>
  <c r="O123" i="24"/>
  <c r="P123" i="24"/>
  <c r="Q123" i="24"/>
  <c r="M124" i="24"/>
  <c r="Q124" i="24"/>
  <c r="M125" i="24"/>
  <c r="Q125" i="24"/>
  <c r="M126" i="24"/>
  <c r="Q126" i="24"/>
  <c r="M127" i="24"/>
  <c r="Q127" i="24"/>
  <c r="M128" i="24"/>
  <c r="Q128" i="24"/>
  <c r="M129" i="24"/>
  <c r="Q129" i="24"/>
  <c r="M130" i="24"/>
  <c r="Q130" i="24"/>
  <c r="M131" i="24"/>
  <c r="Q131" i="24"/>
  <c r="M132" i="24"/>
  <c r="Q132" i="24"/>
  <c r="M133" i="24"/>
  <c r="Q133" i="24"/>
  <c r="M134" i="24"/>
  <c r="O134" i="24"/>
  <c r="P134" i="24"/>
  <c r="Q134" i="24" s="1"/>
  <c r="M135" i="24"/>
  <c r="Q135" i="24"/>
  <c r="M136" i="24"/>
  <c r="Q136" i="24"/>
  <c r="M137" i="24"/>
  <c r="O137" i="24"/>
  <c r="P137" i="24"/>
  <c r="Q137" i="24"/>
  <c r="M138" i="24"/>
  <c r="Q138" i="24"/>
  <c r="M139" i="24"/>
  <c r="Q139" i="24"/>
  <c r="M140" i="24"/>
  <c r="Q140" i="24"/>
  <c r="M141" i="24"/>
  <c r="Q141" i="24"/>
  <c r="L142" i="24"/>
  <c r="M142" i="24"/>
  <c r="Q142" i="24"/>
  <c r="M143" i="24"/>
  <c r="Q143" i="24"/>
  <c r="M144" i="24"/>
  <c r="Q144" i="24"/>
  <c r="M145" i="24"/>
  <c r="Q145" i="24"/>
  <c r="M146" i="24"/>
  <c r="Q146" i="24"/>
  <c r="M147" i="24"/>
  <c r="Q147" i="24"/>
  <c r="M148" i="24"/>
  <c r="Q148" i="24"/>
  <c r="M149" i="24"/>
  <c r="Q149" i="24"/>
  <c r="M150" i="24"/>
  <c r="Q150" i="24"/>
  <c r="M151" i="24"/>
  <c r="P151" i="24"/>
  <c r="Q151" i="24" s="1"/>
  <c r="M152" i="24"/>
  <c r="Q152" i="24"/>
  <c r="K153" i="24"/>
  <c r="L153" i="24"/>
  <c r="M153" i="24"/>
  <c r="Q153" i="24"/>
  <c r="M154" i="24"/>
  <c r="O154" i="24"/>
  <c r="P154" i="24"/>
  <c r="Q154" i="24"/>
  <c r="L155" i="24"/>
  <c r="M155" i="24" s="1"/>
  <c r="Q155" i="24"/>
  <c r="M156" i="24"/>
  <c r="P156" i="24"/>
  <c r="Q156" i="24"/>
  <c r="M157" i="24"/>
  <c r="O157" i="24"/>
  <c r="P157" i="24"/>
  <c r="Q157" i="24" s="1"/>
  <c r="K158" i="24"/>
  <c r="L158" i="24"/>
  <c r="M158" i="24" s="1"/>
  <c r="Q158" i="24"/>
  <c r="M159" i="24"/>
  <c r="Q159" i="24"/>
  <c r="K160" i="24"/>
  <c r="L160" i="24"/>
  <c r="M160" i="24" s="1"/>
  <c r="Q160" i="24"/>
  <c r="M161" i="24"/>
  <c r="Q161" i="24"/>
  <c r="M162" i="24"/>
  <c r="Q162" i="24"/>
  <c r="M163" i="24"/>
  <c r="Q163" i="24"/>
  <c r="M164" i="24"/>
  <c r="Q164" i="24"/>
  <c r="M165" i="24"/>
  <c r="Q165" i="24"/>
  <c r="M166" i="24"/>
  <c r="Q166" i="24"/>
  <c r="M167" i="24"/>
  <c r="Q167" i="24"/>
  <c r="M168" i="24"/>
  <c r="Q168" i="24"/>
  <c r="M178" i="24"/>
  <c r="Q178" i="24"/>
  <c r="M179" i="24"/>
  <c r="Q179" i="24"/>
  <c r="M180" i="24"/>
  <c r="Q180" i="24"/>
  <c r="M181" i="24"/>
  <c r="Q181" i="24"/>
  <c r="M182" i="24"/>
  <c r="Q182" i="24"/>
  <c r="M183" i="24"/>
  <c r="Q183" i="24"/>
  <c r="A184" i="24"/>
  <c r="A185" i="24" s="1"/>
  <c r="A186" i="24" s="1"/>
  <c r="A187" i="24" s="1"/>
  <c r="A188" i="24" s="1"/>
  <c r="A189" i="24" s="1"/>
  <c r="A190" i="24" s="1"/>
  <c r="A191" i="24" s="1"/>
  <c r="A192" i="24" s="1"/>
  <c r="A193" i="24" s="1"/>
  <c r="A194" i="24" s="1"/>
  <c r="A195" i="24" s="1"/>
  <c r="A196" i="24" s="1"/>
  <c r="A197" i="24" s="1"/>
  <c r="A198" i="24" s="1"/>
  <c r="A199" i="24" s="1"/>
  <c r="A200" i="24" s="1"/>
  <c r="A201" i="24" s="1"/>
  <c r="A202" i="24" s="1"/>
  <c r="A203" i="24" s="1"/>
  <c r="A204" i="24" s="1"/>
  <c r="A205" i="24" s="1"/>
  <c r="A206" i="24" s="1"/>
  <c r="A207" i="24" s="1"/>
  <c r="A208" i="24" s="1"/>
  <c r="A209" i="24" s="1"/>
  <c r="A210" i="24" s="1"/>
  <c r="A211" i="24" s="1"/>
  <c r="A212" i="24" s="1"/>
  <c r="A213" i="24" s="1"/>
  <c r="A214" i="24" s="1"/>
  <c r="A215" i="24" s="1"/>
  <c r="A216" i="24" s="1"/>
  <c r="A217" i="24" s="1"/>
  <c r="A218" i="24" s="1"/>
  <c r="A219" i="24" s="1"/>
  <c r="A220" i="24" s="1"/>
  <c r="A221" i="24" s="1"/>
  <c r="A222" i="24" s="1"/>
  <c r="A223" i="24" s="1"/>
  <c r="A224" i="24" s="1"/>
  <c r="A225" i="24" s="1"/>
  <c r="A226" i="24" s="1"/>
  <c r="A227" i="24" s="1"/>
  <c r="A228" i="24" s="1"/>
  <c r="A229" i="24" s="1"/>
  <c r="A230" i="24" s="1"/>
  <c r="A231" i="24" s="1"/>
  <c r="A232" i="24" s="1"/>
  <c r="A233" i="24" s="1"/>
  <c r="A234" i="24" s="1"/>
  <c r="A235" i="24" s="1"/>
  <c r="A236" i="24" s="1"/>
  <c r="A237" i="24" s="1"/>
  <c r="A238" i="24" s="1"/>
  <c r="A239" i="24" s="1"/>
  <c r="A240" i="24" s="1"/>
  <c r="A241" i="24" s="1"/>
  <c r="A242" i="24" s="1"/>
  <c r="A243" i="24" s="1"/>
  <c r="A244" i="24" s="1"/>
  <c r="A245" i="24" s="1"/>
  <c r="A246" i="24" s="1"/>
  <c r="A247" i="24" s="1"/>
  <c r="A248" i="24" s="1"/>
  <c r="A249" i="24" s="1"/>
  <c r="A250" i="24" s="1"/>
  <c r="A251" i="24" s="1"/>
  <c r="A252" i="24" s="1"/>
  <c r="A253" i="24" s="1"/>
  <c r="A254" i="24" s="1"/>
  <c r="A255" i="24" s="1"/>
  <c r="A256" i="24" s="1"/>
  <c r="A257" i="24" s="1"/>
  <c r="A258" i="24" s="1"/>
  <c r="A259" i="24" s="1"/>
  <c r="A260" i="24" s="1"/>
  <c r="A261" i="24" s="1"/>
  <c r="A262" i="24" s="1"/>
  <c r="A263" i="24" s="1"/>
  <c r="A264" i="24" s="1"/>
  <c r="A265" i="24" s="1"/>
  <c r="A266" i="24" s="1"/>
  <c r="A267" i="24" s="1"/>
  <c r="A268" i="24" s="1"/>
  <c r="A269" i="24" s="1"/>
  <c r="A270" i="24" s="1"/>
  <c r="A271" i="24" s="1"/>
  <c r="A272" i="24" s="1"/>
  <c r="A273" i="24" s="1"/>
  <c r="A274" i="24" s="1"/>
  <c r="A275" i="24" s="1"/>
  <c r="A276" i="24" s="1"/>
  <c r="A277" i="24" s="1"/>
  <c r="A278" i="24" s="1"/>
  <c r="A279" i="24" s="1"/>
  <c r="A280" i="24" s="1"/>
  <c r="A281" i="24" s="1"/>
  <c r="A282" i="24" s="1"/>
  <c r="A283" i="24" s="1"/>
  <c r="A284" i="24" s="1"/>
  <c r="A285" i="24" s="1"/>
  <c r="A286" i="24" s="1"/>
  <c r="A287" i="24" s="1"/>
  <c r="A288" i="24" s="1"/>
  <c r="A289" i="24" s="1"/>
  <c r="M184" i="24"/>
  <c r="Q184" i="24"/>
  <c r="M185" i="24"/>
  <c r="Q185" i="24"/>
  <c r="M186" i="24"/>
  <c r="Q186" i="24"/>
  <c r="M187" i="24"/>
  <c r="Q187" i="24"/>
  <c r="M188" i="24"/>
  <c r="Q188" i="24"/>
  <c r="M189" i="24"/>
  <c r="Q189" i="24"/>
  <c r="M190" i="24"/>
  <c r="Q190" i="24"/>
  <c r="M191" i="24"/>
  <c r="Q191" i="24"/>
  <c r="M192" i="24"/>
  <c r="Q192" i="24"/>
  <c r="M193" i="24"/>
  <c r="Q193" i="24"/>
  <c r="M194" i="24"/>
  <c r="Q194" i="24"/>
  <c r="M195" i="24"/>
  <c r="Q195" i="24"/>
  <c r="M196" i="24"/>
  <c r="Q196" i="24"/>
  <c r="M197" i="24"/>
  <c r="Q197" i="24"/>
  <c r="M198" i="24"/>
  <c r="Q198" i="24"/>
  <c r="M199" i="24"/>
  <c r="Q199" i="24"/>
  <c r="M200" i="24"/>
  <c r="Q200" i="24"/>
  <c r="M201" i="24"/>
  <c r="Q201" i="24"/>
  <c r="M202" i="24"/>
  <c r="Q202" i="24"/>
  <c r="M203" i="24"/>
  <c r="Q203" i="24"/>
  <c r="M204" i="24"/>
  <c r="Q204" i="24"/>
  <c r="M205" i="24"/>
  <c r="Q205" i="24"/>
  <c r="M206" i="24"/>
  <c r="Q206" i="24"/>
  <c r="M207" i="24"/>
  <c r="Q207" i="24"/>
  <c r="M208" i="24"/>
  <c r="Q208" i="24"/>
  <c r="M209" i="24"/>
  <c r="Q209" i="24"/>
  <c r="M210" i="24"/>
  <c r="Q210" i="24"/>
  <c r="M211" i="24"/>
  <c r="Q211" i="24"/>
  <c r="M212" i="24"/>
  <c r="Q212" i="24"/>
  <c r="M213" i="24"/>
  <c r="Q213" i="24"/>
  <c r="M214" i="24"/>
  <c r="Q214" i="24"/>
  <c r="M215" i="24"/>
  <c r="Q215" i="24"/>
  <c r="M216" i="24"/>
  <c r="Q216" i="24"/>
  <c r="M217" i="24"/>
  <c r="Q217" i="24"/>
  <c r="M218" i="24"/>
  <c r="Q218" i="24"/>
  <c r="M219" i="24"/>
  <c r="Q219" i="24"/>
  <c r="M220" i="24"/>
  <c r="Q220" i="24"/>
  <c r="M221" i="24"/>
  <c r="Q221" i="24"/>
  <c r="M222" i="24"/>
  <c r="Q222" i="24"/>
  <c r="M223" i="24"/>
  <c r="Q223" i="24"/>
  <c r="M224" i="24"/>
  <c r="Q224" i="24"/>
  <c r="M225" i="24"/>
  <c r="Q225" i="24"/>
  <c r="M226" i="24"/>
  <c r="Q226" i="24"/>
  <c r="M227" i="24"/>
  <c r="Q227" i="24"/>
  <c r="M228" i="24"/>
  <c r="Q228" i="24"/>
  <c r="M229" i="24"/>
  <c r="Q229" i="24"/>
  <c r="M230" i="24"/>
  <c r="Q230" i="24"/>
  <c r="M231" i="24"/>
  <c r="Q231" i="24"/>
  <c r="M232" i="24"/>
  <c r="Q232" i="24"/>
  <c r="M233" i="24"/>
  <c r="Q233" i="24"/>
  <c r="M234" i="24"/>
  <c r="Q234" i="24"/>
  <c r="M235" i="24"/>
  <c r="Q235" i="24"/>
  <c r="M236" i="24"/>
  <c r="Q236" i="24"/>
  <c r="M237" i="24"/>
  <c r="Q237" i="24"/>
  <c r="M238" i="24"/>
  <c r="Q238" i="24"/>
  <c r="M239" i="24"/>
  <c r="Q239" i="24"/>
  <c r="M240" i="24"/>
  <c r="Q240" i="24"/>
  <c r="M241" i="24"/>
  <c r="Q241" i="24"/>
  <c r="M242" i="24"/>
  <c r="Q242" i="24"/>
  <c r="M243" i="24"/>
  <c r="Q243" i="24"/>
  <c r="M244" i="24"/>
  <c r="Q244" i="24"/>
  <c r="M245" i="24"/>
  <c r="Q245" i="24"/>
  <c r="M246" i="24"/>
  <c r="Q246" i="24"/>
  <c r="M247" i="24"/>
  <c r="Q247" i="24"/>
  <c r="M248" i="24"/>
  <c r="Q248" i="24"/>
  <c r="M249" i="24"/>
  <c r="Q249" i="24"/>
  <c r="M250" i="24"/>
  <c r="Q250" i="24"/>
  <c r="M251" i="24"/>
  <c r="Q251" i="24"/>
  <c r="M252" i="24"/>
  <c r="Q252" i="24"/>
  <c r="M253" i="24"/>
  <c r="Q253" i="24"/>
  <c r="M254" i="24"/>
  <c r="Q254" i="24"/>
  <c r="M255" i="24"/>
  <c r="Q255" i="24"/>
  <c r="M256" i="24"/>
  <c r="Q256" i="24"/>
  <c r="M257" i="24"/>
  <c r="Q257" i="24"/>
  <c r="M258" i="24"/>
  <c r="Q258" i="24"/>
  <c r="M259" i="24"/>
  <c r="Q259" i="24"/>
  <c r="M260" i="24"/>
  <c r="Q260" i="24"/>
  <c r="M261" i="24"/>
  <c r="Q261" i="24"/>
  <c r="M262" i="24"/>
  <c r="Q262" i="24"/>
  <c r="M263" i="24"/>
  <c r="Q263" i="24"/>
  <c r="M264" i="24"/>
  <c r="Q264" i="24"/>
  <c r="M265" i="24"/>
  <c r="Q265" i="24"/>
  <c r="M266" i="24"/>
  <c r="Q266" i="24"/>
  <c r="M267" i="24"/>
  <c r="Q267" i="24"/>
  <c r="M268" i="24"/>
  <c r="Q268" i="24"/>
  <c r="M269" i="24"/>
  <c r="Q269" i="24"/>
  <c r="M270" i="24"/>
  <c r="Q270" i="24"/>
  <c r="M271" i="24"/>
  <c r="Q271" i="24"/>
  <c r="M272" i="24"/>
  <c r="Q272" i="24"/>
  <c r="M273" i="24"/>
  <c r="Q273" i="24"/>
  <c r="M274" i="24"/>
  <c r="Q274" i="24"/>
  <c r="M275" i="24"/>
  <c r="Q275" i="24"/>
  <c r="M276" i="24"/>
  <c r="Q276" i="24"/>
  <c r="M277" i="24"/>
  <c r="Q277" i="24"/>
  <c r="M278" i="24"/>
  <c r="Q278" i="24"/>
  <c r="M279" i="24"/>
  <c r="Q279" i="24"/>
  <c r="M280" i="24"/>
  <c r="Q280" i="24"/>
  <c r="M281" i="24"/>
  <c r="Q281" i="24"/>
  <c r="M282" i="24"/>
  <c r="Q282" i="24"/>
  <c r="M283" i="24"/>
  <c r="Q283" i="24"/>
  <c r="M284" i="24"/>
  <c r="Q284" i="24"/>
  <c r="M285" i="24"/>
  <c r="Q285" i="24"/>
  <c r="M286" i="24"/>
  <c r="Q286" i="24"/>
  <c r="M287" i="24"/>
  <c r="Q287" i="24"/>
  <c r="M288" i="24"/>
  <c r="Q288" i="24"/>
  <c r="M289" i="24"/>
  <c r="Q289" i="24"/>
  <c r="M290" i="24"/>
  <c r="Q290" i="24"/>
  <c r="M291" i="24"/>
  <c r="Q291" i="24"/>
  <c r="M292" i="24"/>
  <c r="Q292" i="24"/>
  <c r="M293" i="24"/>
  <c r="Q293" i="24"/>
  <c r="M294" i="24"/>
  <c r="Q294" i="24"/>
  <c r="M295" i="24"/>
  <c r="Q295" i="24"/>
  <c r="M296" i="24"/>
  <c r="Q296" i="24"/>
  <c r="M297" i="24"/>
  <c r="Q297" i="24"/>
  <c r="M298" i="24"/>
  <c r="Q298" i="24"/>
  <c r="M299" i="24"/>
  <c r="Q299" i="24"/>
  <c r="M300" i="24"/>
  <c r="Q300" i="24"/>
  <c r="Q305" i="22" l="1"/>
  <c r="M305" i="22"/>
  <c r="Q304" i="22"/>
  <c r="M304" i="22"/>
  <c r="Q303" i="22"/>
  <c r="M303" i="22"/>
  <c r="Q302" i="22"/>
  <c r="M302" i="22"/>
  <c r="Q301" i="22"/>
  <c r="M301" i="22"/>
  <c r="Q300" i="22"/>
  <c r="M300" i="22"/>
  <c r="Q299" i="22"/>
  <c r="M299" i="22"/>
  <c r="Q298" i="22"/>
  <c r="M298" i="22"/>
  <c r="Q297" i="22"/>
  <c r="M297" i="22"/>
  <c r="Q296" i="22"/>
  <c r="M296" i="22"/>
  <c r="Q295" i="22"/>
  <c r="Q294" i="22"/>
  <c r="M294" i="22"/>
  <c r="Q293" i="22"/>
  <c r="M293" i="22"/>
  <c r="Q292" i="22"/>
  <c r="M292" i="22"/>
  <c r="M291" i="22"/>
  <c r="Q290" i="22"/>
  <c r="P290" i="22"/>
  <c r="L290" i="22"/>
  <c r="K290" i="22"/>
  <c r="M290" i="22" s="1"/>
  <c r="Q289" i="22"/>
  <c r="L289" i="22"/>
  <c r="M289" i="22" s="1"/>
  <c r="P288" i="22"/>
  <c r="O288" i="22"/>
  <c r="Q288" i="22" s="1"/>
  <c r="M288" i="22"/>
  <c r="Q287" i="22"/>
  <c r="L287" i="22"/>
  <c r="K287" i="22"/>
  <c r="M287" i="22" s="1"/>
  <c r="P286" i="22"/>
  <c r="O286" i="22"/>
  <c r="Q286" i="22" s="1"/>
  <c r="L286" i="22"/>
  <c r="K286" i="22"/>
  <c r="M286" i="22" s="1"/>
  <c r="Q285" i="22"/>
  <c r="L285" i="22"/>
  <c r="K285" i="22"/>
  <c r="M285" i="22" s="1"/>
  <c r="Q284" i="22"/>
  <c r="Q283" i="22"/>
  <c r="Q282" i="22"/>
  <c r="L282" i="22"/>
  <c r="K282" i="22"/>
  <c r="M282" i="22" s="1"/>
  <c r="L281" i="22"/>
  <c r="K281" i="22"/>
  <c r="P280" i="22"/>
  <c r="O280" i="22"/>
  <c r="Q280" i="22" s="1"/>
  <c r="L280" i="22"/>
  <c r="K280" i="22"/>
  <c r="M280" i="22" s="1"/>
  <c r="Q279" i="22"/>
  <c r="P279" i="22"/>
  <c r="M279" i="22"/>
  <c r="K279" i="22"/>
  <c r="Q278" i="22"/>
  <c r="L278" i="22"/>
  <c r="K278" i="22"/>
  <c r="M278" i="22" s="1"/>
  <c r="L277" i="22"/>
  <c r="K277" i="22"/>
  <c r="M277" i="22" s="1"/>
  <c r="Q276" i="22"/>
  <c r="M276" i="22"/>
  <c r="P275" i="22"/>
  <c r="O275" i="22"/>
  <c r="Q275" i="22" s="1"/>
  <c r="L275" i="22"/>
  <c r="K275" i="22"/>
  <c r="M275" i="22" s="1"/>
  <c r="M274" i="22"/>
  <c r="M273" i="22"/>
  <c r="M272" i="22"/>
  <c r="L272" i="22"/>
  <c r="M271" i="22"/>
  <c r="P270" i="22"/>
  <c r="O270" i="22"/>
  <c r="Q270" i="22" s="1"/>
  <c r="M270" i="22"/>
  <c r="P269" i="22"/>
  <c r="O269" i="22"/>
  <c r="Q269" i="22" s="1"/>
  <c r="K269" i="22"/>
  <c r="M269" i="22" s="1"/>
  <c r="Q268" i="22"/>
  <c r="L268" i="22"/>
  <c r="M268" i="22" s="1"/>
  <c r="Q267" i="22"/>
  <c r="M267" i="22"/>
  <c r="Q266" i="22"/>
  <c r="L266" i="22"/>
  <c r="K266" i="22"/>
  <c r="M266" i="22" s="1"/>
  <c r="Q265" i="22"/>
  <c r="L265" i="22"/>
  <c r="K265" i="22"/>
  <c r="Q264" i="22"/>
  <c r="L264" i="22"/>
  <c r="K264" i="22"/>
  <c r="M264" i="22" s="1"/>
  <c r="Q263" i="22"/>
  <c r="M263" i="22"/>
  <c r="Q262" i="22"/>
  <c r="L262" i="22"/>
  <c r="K262" i="22"/>
  <c r="M262" i="22" s="1"/>
  <c r="Q261" i="22"/>
  <c r="L261" i="22"/>
  <c r="K261" i="22"/>
  <c r="M261" i="22" s="1"/>
  <c r="Q260" i="22"/>
  <c r="L260" i="22"/>
  <c r="K260" i="22"/>
  <c r="M260" i="22" s="1"/>
  <c r="Q259" i="22"/>
  <c r="Q258" i="22"/>
  <c r="L258" i="22"/>
  <c r="K258" i="22"/>
  <c r="P257" i="22"/>
  <c r="Q257" i="22" s="1"/>
  <c r="L257" i="22"/>
  <c r="K257" i="22"/>
  <c r="Q256" i="22"/>
  <c r="M256" i="22"/>
  <c r="Q255" i="22"/>
  <c r="M255" i="22"/>
  <c r="P254" i="22"/>
  <c r="O254" i="22"/>
  <c r="L254" i="22"/>
  <c r="K254" i="22"/>
  <c r="M254" i="22" s="1"/>
  <c r="Q253" i="22"/>
  <c r="L253" i="22"/>
  <c r="K253" i="22"/>
  <c r="Q252" i="22"/>
  <c r="Q251" i="22"/>
  <c r="M251" i="22"/>
  <c r="L251" i="22"/>
  <c r="P250" i="22"/>
  <c r="O250" i="22"/>
  <c r="Q250" i="22" s="1"/>
  <c r="L250" i="22"/>
  <c r="K250" i="22"/>
  <c r="M250" i="22" s="1"/>
  <c r="Q249" i="22"/>
  <c r="L249" i="22"/>
  <c r="K249" i="22"/>
  <c r="M249" i="22" s="1"/>
  <c r="Q248" i="22"/>
  <c r="L248" i="22"/>
  <c r="K248" i="22"/>
  <c r="M248" i="22" s="1"/>
  <c r="P247" i="22"/>
  <c r="O247" i="22"/>
  <c r="Q247" i="22" s="1"/>
  <c r="L247" i="22"/>
  <c r="K247" i="22"/>
  <c r="M247" i="22" s="1"/>
  <c r="Q246" i="22"/>
  <c r="L246" i="22"/>
  <c r="K246" i="22"/>
  <c r="M246" i="22" s="1"/>
  <c r="Q245" i="22"/>
  <c r="L245" i="22"/>
  <c r="K245" i="22"/>
  <c r="M245" i="22" s="1"/>
  <c r="P243" i="22"/>
  <c r="O243" i="22"/>
  <c r="Q243" i="22" s="1"/>
  <c r="L243" i="22"/>
  <c r="K243" i="22"/>
  <c r="M243" i="22" s="1"/>
  <c r="Q242" i="22"/>
  <c r="L242" i="22"/>
  <c r="K242" i="22"/>
  <c r="M242" i="22" s="1"/>
  <c r="Q241" i="22"/>
  <c r="L241" i="22"/>
  <c r="K241" i="22"/>
  <c r="M241" i="22" s="1"/>
  <c r="Q240" i="22"/>
  <c r="L240" i="22"/>
  <c r="K240" i="22"/>
  <c r="M240" i="22" s="1"/>
  <c r="Q239" i="22"/>
  <c r="P239" i="22"/>
  <c r="L239" i="22"/>
  <c r="K239" i="22"/>
  <c r="M239" i="22" s="1"/>
  <c r="Q238" i="22"/>
  <c r="M238" i="22"/>
  <c r="Q237" i="22"/>
  <c r="M237" i="22"/>
  <c r="Q236" i="22"/>
  <c r="M236" i="22"/>
  <c r="Q235" i="22"/>
  <c r="M235" i="22"/>
  <c r="Q234" i="22"/>
  <c r="M234" i="22"/>
  <c r="Q233" i="22"/>
  <c r="M233" i="22"/>
  <c r="Q232" i="22"/>
  <c r="M232" i="22"/>
  <c r="Q231" i="22"/>
  <c r="M231" i="22"/>
  <c r="Q230" i="22"/>
  <c r="M230" i="22"/>
  <c r="Q229" i="22"/>
  <c r="M229" i="22"/>
  <c r="Q228" i="22"/>
  <c r="M228" i="22"/>
  <c r="Q227" i="22"/>
  <c r="M227" i="22"/>
  <c r="Q226" i="22"/>
  <c r="M226" i="22"/>
  <c r="Q225" i="22"/>
  <c r="M225" i="22"/>
  <c r="Q224" i="22"/>
  <c r="M224" i="22"/>
  <c r="Q223" i="22"/>
  <c r="M223" i="22"/>
  <c r="Q222" i="22"/>
  <c r="M222" i="22"/>
  <c r="Q221" i="22"/>
  <c r="M221" i="22"/>
  <c r="Q220" i="22"/>
  <c r="M220" i="22"/>
  <c r="Q219" i="22"/>
  <c r="M219" i="22"/>
  <c r="Q218" i="22"/>
  <c r="M218" i="22"/>
  <c r="Q217" i="22"/>
  <c r="M217" i="22"/>
  <c r="Q216" i="22"/>
  <c r="M216" i="22"/>
  <c r="Q215" i="22"/>
  <c r="M215" i="22"/>
  <c r="Q214" i="22"/>
  <c r="M214" i="22"/>
  <c r="Q213" i="22"/>
  <c r="M213" i="22"/>
  <c r="Q212" i="22"/>
  <c r="M212" i="22"/>
  <c r="Q211" i="22"/>
  <c r="M211" i="22"/>
  <c r="Q210" i="22"/>
  <c r="M210" i="22"/>
  <c r="Q209" i="22"/>
  <c r="M209" i="22"/>
  <c r="Q208" i="22"/>
  <c r="M208" i="22"/>
  <c r="Q207" i="22"/>
  <c r="M207" i="22"/>
  <c r="Q206" i="22"/>
  <c r="M206" i="22"/>
  <c r="Q205" i="22"/>
  <c r="M205" i="22"/>
  <c r="Q204" i="22"/>
  <c r="M204" i="22"/>
  <c r="Q203" i="22"/>
  <c r="M203" i="22"/>
  <c r="Q202" i="22"/>
  <c r="M202" i="22"/>
  <c r="Q201" i="22"/>
  <c r="M201" i="22"/>
  <c r="Q200" i="22"/>
  <c r="M200" i="22"/>
  <c r="Q199" i="22"/>
  <c r="M199" i="22"/>
  <c r="Q198" i="22"/>
  <c r="M198" i="22"/>
  <c r="Q197" i="22"/>
  <c r="M197" i="22"/>
  <c r="Q196" i="22"/>
  <c r="M196" i="22"/>
  <c r="Q195" i="22"/>
  <c r="M195" i="22"/>
  <c r="Q194" i="22"/>
  <c r="M194" i="22"/>
  <c r="Q193" i="22"/>
  <c r="M193" i="22"/>
  <c r="Q192" i="22"/>
  <c r="M192" i="22"/>
  <c r="Q191" i="22"/>
  <c r="M191" i="22"/>
  <c r="Q190" i="22"/>
  <c r="M190" i="22"/>
  <c r="P159" i="22"/>
  <c r="O159" i="22"/>
  <c r="P158" i="22"/>
  <c r="O158" i="22"/>
  <c r="P155" i="22"/>
  <c r="O155" i="22"/>
  <c r="P138" i="22"/>
  <c r="O138" i="22"/>
  <c r="P135" i="22"/>
  <c r="O135" i="22"/>
  <c r="P123" i="22"/>
  <c r="O123" i="22"/>
  <c r="O103" i="22"/>
  <c r="K103" i="22"/>
  <c r="P92" i="22"/>
  <c r="O92" i="22"/>
  <c r="P85" i="22"/>
  <c r="O85" i="22"/>
  <c r="P64" i="22"/>
  <c r="O64" i="22"/>
  <c r="P63" i="22"/>
  <c r="O63" i="22"/>
  <c r="P58" i="22"/>
  <c r="M58" i="22"/>
  <c r="P39" i="22"/>
  <c r="O39" i="22"/>
  <c r="P20" i="22"/>
  <c r="O20" i="22"/>
  <c r="P14" i="22"/>
  <c r="O14" i="22"/>
  <c r="A11" i="22"/>
  <c r="A12" i="22" s="1"/>
  <c r="A13" i="22" s="1"/>
  <c r="A14" i="22" s="1"/>
  <c r="A15" i="22" s="1"/>
  <c r="A16" i="22" s="1"/>
  <c r="A17" i="22" s="1"/>
  <c r="A18" i="22" s="1"/>
  <c r="A19" i="22" s="1"/>
  <c r="A20" i="22" s="1"/>
  <c r="A21" i="22" s="1"/>
  <c r="A22" i="22" s="1"/>
  <c r="A23" i="22" s="1"/>
  <c r="A24" i="22" s="1"/>
  <c r="A25" i="22" s="1"/>
  <c r="A26" i="22" s="1"/>
  <c r="A27" i="22" s="1"/>
  <c r="A28" i="22" s="1"/>
  <c r="A29" i="22" s="1"/>
  <c r="A30" i="22" s="1"/>
  <c r="A31" i="22" s="1"/>
  <c r="A32" i="22" s="1"/>
  <c r="A33" i="22" s="1"/>
  <c r="A34" i="22" s="1"/>
  <c r="A35" i="22" s="1"/>
  <c r="A36" i="22" s="1"/>
  <c r="A37" i="22" s="1"/>
  <c r="A38" i="22" s="1"/>
  <c r="A39" i="22" s="1"/>
  <c r="A40" i="22" s="1"/>
  <c r="A41" i="22" s="1"/>
  <c r="A42" i="22" s="1"/>
  <c r="A43" i="22" s="1"/>
  <c r="A44" i="22" s="1"/>
  <c r="A45" i="22" s="1"/>
  <c r="A46" i="22" s="1"/>
  <c r="A47" i="22" s="1"/>
  <c r="A48" i="22" s="1"/>
  <c r="A49" i="22" s="1"/>
  <c r="A50" i="22" s="1"/>
  <c r="A51" i="22" s="1"/>
  <c r="A52" i="22" s="1"/>
  <c r="A53" i="22" s="1"/>
  <c r="A54" i="22" s="1"/>
  <c r="A55" i="22" s="1"/>
  <c r="A56" i="22" s="1"/>
  <c r="A57" i="22" s="1"/>
  <c r="A58" i="22" s="1"/>
  <c r="A59" i="22" s="1"/>
  <c r="A60" i="22" s="1"/>
  <c r="A61" i="22" s="1"/>
  <c r="A62" i="22" s="1"/>
  <c r="A63" i="22" s="1"/>
  <c r="A64" i="22" s="1"/>
  <c r="A65" i="22" s="1"/>
  <c r="A66" i="22" s="1"/>
  <c r="A67" i="22" s="1"/>
  <c r="A68" i="22" s="1"/>
  <c r="A69" i="22" s="1"/>
  <c r="A70" i="22" s="1"/>
  <c r="A71" i="22" s="1"/>
  <c r="A72" i="22" s="1"/>
  <c r="A73" i="22" s="1"/>
  <c r="A74" i="22" s="1"/>
  <c r="A75" i="22" s="1"/>
  <c r="A76" i="22" s="1"/>
  <c r="A77" i="22" s="1"/>
  <c r="A78" i="22" s="1"/>
  <c r="A79" i="22" s="1"/>
  <c r="A80" i="22" s="1"/>
  <c r="A81" i="22" s="1"/>
  <c r="A82" i="22" s="1"/>
  <c r="A83" i="22" s="1"/>
  <c r="A84" i="22" s="1"/>
  <c r="A85" i="22" s="1"/>
  <c r="A86" i="22" s="1"/>
  <c r="A87" i="22" s="1"/>
  <c r="A88" i="22" s="1"/>
  <c r="A89" i="22" s="1"/>
  <c r="A90" i="22" s="1"/>
  <c r="A91" i="22" s="1"/>
  <c r="A92" i="22" s="1"/>
  <c r="A93" i="22" s="1"/>
  <c r="A94" i="22" s="1"/>
  <c r="A95" i="22" s="1"/>
  <c r="A96" i="22" s="1"/>
  <c r="A97" i="22" s="1"/>
  <c r="A98" i="22" s="1"/>
  <c r="A99" i="22" s="1"/>
  <c r="A100" i="22" s="1"/>
  <c r="A101" i="22" s="1"/>
  <c r="A102" i="22" s="1"/>
  <c r="A103" i="22" s="1"/>
  <c r="A104" i="22" s="1"/>
  <c r="A105" i="22" s="1"/>
  <c r="A106" i="22" s="1"/>
  <c r="A107" i="22" s="1"/>
  <c r="A108" i="22" s="1"/>
  <c r="A109" i="22" s="1"/>
  <c r="A110" i="22" s="1"/>
  <c r="A111" i="22" s="1"/>
  <c r="A112" i="22" s="1"/>
  <c r="A113" i="22" s="1"/>
  <c r="A114" i="22" s="1"/>
  <c r="A115" i="22" s="1"/>
  <c r="A116" i="22" s="1"/>
  <c r="A117" i="22" s="1"/>
  <c r="A118" i="22" s="1"/>
  <c r="A119" i="22" s="1"/>
  <c r="A120" i="22" s="1"/>
  <c r="A121" i="22" s="1"/>
  <c r="A122" i="22" s="1"/>
  <c r="A123" i="22" s="1"/>
  <c r="A124" i="22" s="1"/>
  <c r="A125" i="22" s="1"/>
  <c r="A126" i="22" s="1"/>
  <c r="A127" i="22" s="1"/>
  <c r="A128" i="22" s="1"/>
  <c r="A129" i="22" s="1"/>
  <c r="A130" i="22" s="1"/>
  <c r="A131" i="22" s="1"/>
  <c r="A132" i="22" s="1"/>
  <c r="A133" i="22" s="1"/>
  <c r="A134" i="22" s="1"/>
  <c r="A135" i="22" s="1"/>
  <c r="A136" i="22" s="1"/>
  <c r="A137" i="22" s="1"/>
  <c r="A138" i="22" s="1"/>
  <c r="A139" i="22" s="1"/>
  <c r="A140" i="22" s="1"/>
  <c r="A141" i="22" s="1"/>
  <c r="A142" i="22" s="1"/>
  <c r="A143" i="22" s="1"/>
  <c r="A144" i="22" s="1"/>
  <c r="A145" i="22" s="1"/>
  <c r="A146" i="22" s="1"/>
  <c r="A147" i="22" s="1"/>
  <c r="A148" i="22" s="1"/>
  <c r="A149" i="22" s="1"/>
  <c r="A150" i="22" s="1"/>
  <c r="A151" i="22" s="1"/>
  <c r="A152" i="22" s="1"/>
  <c r="A153" i="22" s="1"/>
  <c r="A154" i="22" s="1"/>
  <c r="A155" i="22" s="1"/>
  <c r="A156" i="22" s="1"/>
  <c r="A157" i="22" s="1"/>
  <c r="A158" i="22" s="1"/>
  <c r="A159" i="22" s="1"/>
  <c r="A160" i="22" s="1"/>
  <c r="A161" i="22" s="1"/>
  <c r="A162" i="22" s="1"/>
  <c r="A163" i="22" s="1"/>
  <c r="A164" i="22" s="1"/>
  <c r="A165" i="22" s="1"/>
  <c r="A166" i="22" s="1"/>
  <c r="A167" i="22" s="1"/>
  <c r="A168" i="22" s="1"/>
  <c r="A169" i="22" s="1"/>
  <c r="A170" i="22" s="1"/>
  <c r="A171" i="22" s="1"/>
  <c r="A172" i="22" s="1"/>
  <c r="A173" i="22" s="1"/>
  <c r="A174" i="22" s="1"/>
  <c r="A175" i="22" s="1"/>
  <c r="A176" i="22" s="1"/>
  <c r="A177" i="22" s="1"/>
  <c r="A178" i="22" s="1"/>
  <c r="A179" i="22" s="1"/>
  <c r="A180" i="22" s="1"/>
  <c r="A181" i="22" s="1"/>
  <c r="A182" i="22" s="1"/>
  <c r="A183" i="22" s="1"/>
  <c r="A184" i="22" s="1"/>
  <c r="A185" i="22" s="1"/>
  <c r="A186" i="22" s="1"/>
  <c r="A187" i="22" s="1"/>
  <c r="A188" i="22" s="1"/>
  <c r="A189" i="22" s="1"/>
  <c r="A190" i="22" s="1"/>
  <c r="A191" i="22" s="1"/>
  <c r="A192" i="22" s="1"/>
  <c r="A193" i="22" s="1"/>
  <c r="A194" i="22" s="1"/>
  <c r="A195" i="22" s="1"/>
  <c r="A196" i="22" s="1"/>
  <c r="A197" i="22" s="1"/>
  <c r="A198" i="22" s="1"/>
  <c r="A199" i="22" s="1"/>
  <c r="A200" i="22" s="1"/>
  <c r="A201" i="22" s="1"/>
  <c r="A202" i="22" s="1"/>
  <c r="A203" i="22" s="1"/>
  <c r="A204" i="22" s="1"/>
  <c r="A205" i="22" s="1"/>
  <c r="A206" i="22" s="1"/>
  <c r="A207" i="22" s="1"/>
  <c r="A208" i="22" s="1"/>
  <c r="A209" i="22" s="1"/>
  <c r="A210" i="22" s="1"/>
  <c r="A211" i="22" s="1"/>
  <c r="A212" i="22" s="1"/>
  <c r="A213" i="22" s="1"/>
  <c r="A214" i="22" s="1"/>
  <c r="A215" i="22" s="1"/>
  <c r="A216" i="22" s="1"/>
  <c r="A217" i="22" s="1"/>
  <c r="A218" i="22" s="1"/>
  <c r="A219" i="22" s="1"/>
  <c r="A220" i="22" s="1"/>
  <c r="A221" i="22" s="1"/>
  <c r="A222" i="22" s="1"/>
  <c r="A223" i="22" s="1"/>
  <c r="A224" i="22" s="1"/>
  <c r="A225" i="22" s="1"/>
  <c r="A226" i="22" s="1"/>
  <c r="A227" i="22" s="1"/>
  <c r="A228" i="22" s="1"/>
  <c r="A229" i="22" s="1"/>
  <c r="A230" i="22" s="1"/>
  <c r="A231" i="22" s="1"/>
  <c r="A232" i="22" s="1"/>
  <c r="A233" i="22" s="1"/>
  <c r="A234" i="22" s="1"/>
  <c r="A235" i="22" s="1"/>
  <c r="A236" i="22" s="1"/>
  <c r="A237" i="22" s="1"/>
  <c r="A238" i="22" s="1"/>
  <c r="A239" i="22" s="1"/>
  <c r="A240" i="22" s="1"/>
  <c r="A241" i="22" s="1"/>
  <c r="A242" i="22" s="1"/>
  <c r="A243" i="22" s="1"/>
  <c r="A244" i="22" s="1"/>
  <c r="A245" i="22" s="1"/>
  <c r="A246" i="22" s="1"/>
  <c r="A247" i="22" s="1"/>
  <c r="A248" i="22" s="1"/>
  <c r="A249" i="22" s="1"/>
  <c r="A250" i="22" s="1"/>
  <c r="A251" i="22" s="1"/>
  <c r="A252" i="22" s="1"/>
  <c r="A253" i="22" s="1"/>
  <c r="A254" i="22" s="1"/>
  <c r="A255" i="22" s="1"/>
  <c r="A256" i="22" s="1"/>
  <c r="A257" i="22" s="1"/>
  <c r="A258" i="22" s="1"/>
  <c r="A259" i="22" s="1"/>
  <c r="A260" i="22" s="1"/>
  <c r="A261" i="22" s="1"/>
  <c r="A262" i="22" s="1"/>
  <c r="A263" i="22" s="1"/>
  <c r="A264" i="22" s="1"/>
  <c r="A265" i="22" s="1"/>
  <c r="A266" i="22" s="1"/>
  <c r="A267" i="22" s="1"/>
  <c r="A268" i="22" s="1"/>
  <c r="A269" i="22" s="1"/>
  <c r="A270" i="22" s="1"/>
  <c r="A271" i="22" s="1"/>
  <c r="A272" i="22" s="1"/>
  <c r="A273" i="22" s="1"/>
  <c r="A274" i="22" s="1"/>
  <c r="A275" i="22" s="1"/>
  <c r="A276" i="22" s="1"/>
  <c r="A277" i="22" s="1"/>
  <c r="A278" i="22" s="1"/>
  <c r="A279" i="22" s="1"/>
  <c r="A280" i="22" s="1"/>
  <c r="A281" i="22" s="1"/>
  <c r="A282" i="22" s="1"/>
  <c r="A283" i="22" s="1"/>
  <c r="A284" i="22" s="1"/>
  <c r="A285" i="22" s="1"/>
  <c r="A286" i="22" s="1"/>
  <c r="A287" i="22" s="1"/>
  <c r="A288" i="22" s="1"/>
  <c r="A289" i="22" s="1"/>
  <c r="A290" i="22" s="1"/>
  <c r="A291" i="22" s="1"/>
  <c r="A292" i="22" s="1"/>
  <c r="A293" i="22" s="1"/>
  <c r="A294" i="22" s="1"/>
  <c r="A295" i="22" s="1"/>
  <c r="A296" i="22" s="1"/>
  <c r="A297" i="22" s="1"/>
  <c r="A298" i="22" s="1"/>
  <c r="A299" i="22" s="1"/>
  <c r="A300" i="22" s="1"/>
  <c r="A301" i="22" s="1"/>
  <c r="A302" i="22" s="1"/>
  <c r="A303" i="22" s="1"/>
  <c r="A304" i="22" s="1"/>
  <c r="A305" i="22" s="1"/>
  <c r="A10" i="22"/>
  <c r="M253" i="22" l="1"/>
  <c r="Q254" i="22"/>
  <c r="M257" i="22"/>
  <c r="M258" i="22"/>
  <c r="M265" i="22"/>
  <c r="M281" i="22"/>
  <c r="A144" i="20"/>
  <c r="A145" i="20" s="1"/>
  <c r="A146" i="20" s="1"/>
  <c r="A147" i="20" s="1"/>
  <c r="A148" i="20" s="1"/>
  <c r="A149" i="20" s="1"/>
  <c r="A150" i="20" s="1"/>
  <c r="A151" i="20" s="1"/>
  <c r="A152" i="20" s="1"/>
  <c r="A153" i="20" s="1"/>
  <c r="A154" i="20" s="1"/>
  <c r="A155" i="20" s="1"/>
  <c r="A156" i="20" s="1"/>
  <c r="A157" i="20" s="1"/>
  <c r="A158" i="20" s="1"/>
  <c r="A159" i="20" s="1"/>
  <c r="A160" i="20" s="1"/>
  <c r="A161" i="20" s="1"/>
  <c r="A162" i="20" s="1"/>
  <c r="A163" i="20" s="1"/>
  <c r="A164" i="20" s="1"/>
  <c r="A165" i="20" s="1"/>
  <c r="A166" i="20" s="1"/>
  <c r="A167" i="20" s="1"/>
  <c r="A168" i="20" s="1"/>
  <c r="A169" i="20" s="1"/>
  <c r="A170" i="20" s="1"/>
  <c r="A171" i="20" s="1"/>
  <c r="A172" i="20" s="1"/>
  <c r="A173" i="20" s="1"/>
  <c r="A174" i="20" s="1"/>
  <c r="A175" i="20" s="1"/>
  <c r="A176" i="20" s="1"/>
  <c r="A177" i="20" s="1"/>
  <c r="A178" i="20" s="1"/>
  <c r="A179" i="20" s="1"/>
  <c r="A180" i="20" s="1"/>
  <c r="A181" i="20" s="1"/>
  <c r="A182" i="20" s="1"/>
  <c r="A183" i="20" s="1"/>
  <c r="A184" i="20" s="1"/>
  <c r="A185" i="20" s="1"/>
  <c r="A186" i="20" s="1"/>
  <c r="A187" i="20" s="1"/>
  <c r="A188" i="20" s="1"/>
  <c r="A189" i="20" s="1"/>
  <c r="A190" i="20" s="1"/>
  <c r="A191" i="20" s="1"/>
  <c r="A192" i="20" s="1"/>
  <c r="A193" i="20" s="1"/>
  <c r="A194" i="20" s="1"/>
  <c r="A195" i="20" s="1"/>
  <c r="A196" i="20" s="1"/>
  <c r="A197" i="20" s="1"/>
  <c r="A198" i="20" s="1"/>
  <c r="A199" i="20" s="1"/>
  <c r="A200" i="20" s="1"/>
  <c r="A201" i="20" s="1"/>
  <c r="A202" i="20" s="1"/>
  <c r="A203" i="20" s="1"/>
  <c r="A204" i="20" s="1"/>
  <c r="A205" i="20" s="1"/>
  <c r="A206" i="20" s="1"/>
  <c r="A207" i="20" s="1"/>
  <c r="A208" i="20" s="1"/>
  <c r="A209" i="20" s="1"/>
  <c r="A210" i="20" s="1"/>
  <c r="A211" i="20" s="1"/>
  <c r="A212" i="20" s="1"/>
  <c r="A213" i="20" s="1"/>
  <c r="A214" i="20" s="1"/>
  <c r="A215" i="20" s="1"/>
  <c r="A216" i="20" s="1"/>
  <c r="A217" i="20" s="1"/>
  <c r="A218" i="20" s="1"/>
  <c r="A219" i="20" s="1"/>
  <c r="A220" i="20" s="1"/>
  <c r="A221" i="20" s="1"/>
  <c r="A222" i="20" s="1"/>
  <c r="A223" i="20" s="1"/>
  <c r="A224" i="20" s="1"/>
  <c r="A225" i="20" s="1"/>
  <c r="A226" i="20" s="1"/>
  <c r="A227" i="20" s="1"/>
  <c r="A228" i="20" s="1"/>
  <c r="A229" i="20" s="1"/>
  <c r="A230" i="20" s="1"/>
  <c r="A231" i="20" s="1"/>
  <c r="A232" i="20" s="1"/>
  <c r="A233" i="20" s="1"/>
  <c r="A234" i="20" s="1"/>
  <c r="A235" i="20" s="1"/>
  <c r="A236" i="20" s="1"/>
  <c r="A237" i="20" s="1"/>
  <c r="A238" i="20" s="1"/>
  <c r="A239" i="20" s="1"/>
  <c r="A240" i="20" s="1"/>
  <c r="A241" i="20" s="1"/>
  <c r="A242" i="20" s="1"/>
  <c r="A243" i="20" s="1"/>
  <c r="A244" i="20" s="1"/>
  <c r="A245" i="20" s="1"/>
  <c r="A246" i="20" s="1"/>
  <c r="A247" i="20" s="1"/>
  <c r="A248" i="20" s="1"/>
  <c r="A249" i="20" s="1"/>
  <c r="A250" i="20" s="1"/>
  <c r="A251" i="20" s="1"/>
  <c r="A252" i="20" s="1"/>
  <c r="A253" i="20" s="1"/>
  <c r="A254" i="20" s="1"/>
  <c r="A255" i="20" s="1"/>
  <c r="A256" i="20" s="1"/>
  <c r="A257" i="20" s="1"/>
  <c r="A258" i="20" s="1"/>
  <c r="A259" i="20" s="1"/>
  <c r="A260" i="20" s="1"/>
  <c r="A261" i="20" s="1"/>
  <c r="A262" i="20" s="1"/>
  <c r="A263" i="20" s="1"/>
  <c r="A264" i="20" s="1"/>
  <c r="A265" i="20" s="1"/>
  <c r="A266" i="20" s="1"/>
  <c r="A267" i="20" s="1"/>
  <c r="A268" i="20" s="1"/>
  <c r="A269" i="20" s="1"/>
  <c r="A270" i="20" s="1"/>
  <c r="A271" i="20" s="1"/>
  <c r="A272" i="20" s="1"/>
  <c r="A273" i="20" s="1"/>
  <c r="A274" i="20" s="1"/>
  <c r="A275" i="20" s="1"/>
  <c r="A276" i="20" s="1"/>
  <c r="A277" i="20" s="1"/>
  <c r="A278" i="20" s="1"/>
  <c r="A279" i="20" s="1"/>
  <c r="A280" i="20" s="1"/>
  <c r="A281" i="20" s="1"/>
  <c r="A282" i="20" s="1"/>
  <c r="A283" i="20" s="1"/>
  <c r="A284" i="20" s="1"/>
  <c r="A285" i="20" s="1"/>
  <c r="A286" i="20" s="1"/>
  <c r="A287" i="20" s="1"/>
  <c r="A288" i="20" s="1"/>
  <c r="A289" i="20" s="1"/>
  <c r="A290" i="20" s="1"/>
  <c r="A291" i="20" s="1"/>
  <c r="A292" i="20" s="1"/>
  <c r="A293" i="20" s="1"/>
  <c r="A294" i="20" s="1"/>
  <c r="A295" i="20" s="1"/>
  <c r="A296" i="20" s="1"/>
  <c r="A297" i="20" s="1"/>
  <c r="A298" i="20" s="1"/>
  <c r="A299" i="20" s="1"/>
  <c r="A300" i="20" s="1"/>
  <c r="A301" i="20" s="1"/>
  <c r="O301" i="20"/>
  <c r="K301" i="20"/>
  <c r="O300" i="20"/>
  <c r="K300" i="20"/>
  <c r="O299" i="20"/>
  <c r="K299" i="20"/>
  <c r="O298" i="20"/>
  <c r="K298" i="20"/>
  <c r="O297" i="20"/>
  <c r="K297" i="20"/>
  <c r="O296" i="20"/>
  <c r="K296" i="20"/>
  <c r="O295" i="20"/>
  <c r="K295" i="20"/>
  <c r="O294" i="20"/>
  <c r="K294" i="20"/>
  <c r="O293" i="20"/>
  <c r="K293" i="20"/>
  <c r="O292" i="20"/>
  <c r="K292" i="20"/>
  <c r="O291" i="20"/>
  <c r="L291" i="20"/>
  <c r="K291" i="20"/>
  <c r="P290" i="20"/>
  <c r="O290" i="20" s="1"/>
  <c r="K290" i="20"/>
  <c r="O289" i="20"/>
  <c r="K289" i="20"/>
  <c r="O288" i="20"/>
  <c r="K288" i="20"/>
  <c r="P287" i="20"/>
  <c r="O287" i="20" s="1"/>
  <c r="K287" i="20"/>
  <c r="O286" i="20"/>
  <c r="K286" i="20"/>
  <c r="O285" i="20"/>
  <c r="K285" i="20"/>
  <c r="O284" i="20"/>
  <c r="K284" i="20"/>
  <c r="O283" i="20"/>
  <c r="K283" i="20"/>
  <c r="O282" i="20"/>
  <c r="K282" i="20"/>
  <c r="O281" i="20"/>
  <c r="K281" i="20"/>
  <c r="O280" i="20"/>
  <c r="K280" i="20"/>
  <c r="O279" i="20"/>
  <c r="K279" i="20"/>
  <c r="O278" i="20"/>
  <c r="L278" i="20"/>
  <c r="K278" i="20" s="1"/>
  <c r="O277" i="20"/>
  <c r="K277" i="20"/>
  <c r="P276" i="20"/>
  <c r="O276" i="20" s="1"/>
  <c r="L276" i="20"/>
  <c r="K276" i="20" s="1"/>
  <c r="O275" i="20"/>
  <c r="K275" i="20"/>
  <c r="O274" i="20"/>
  <c r="K274" i="20"/>
  <c r="O273" i="20"/>
  <c r="K273" i="20"/>
  <c r="O272" i="20"/>
  <c r="K272" i="20"/>
  <c r="O271" i="20"/>
  <c r="L271" i="20"/>
  <c r="K271" i="20"/>
  <c r="O270" i="20"/>
  <c r="K270" i="20"/>
  <c r="O269" i="20"/>
  <c r="K269" i="20"/>
  <c r="O268" i="20"/>
  <c r="L268" i="20"/>
  <c r="K268" i="20" s="1"/>
  <c r="O267" i="20"/>
  <c r="K267" i="20"/>
  <c r="O266" i="20"/>
  <c r="K266" i="20"/>
  <c r="O265" i="20"/>
  <c r="K265" i="20"/>
  <c r="O264" i="20"/>
  <c r="K264" i="20"/>
  <c r="O263" i="20"/>
  <c r="K263" i="20"/>
  <c r="O262" i="20"/>
  <c r="K262" i="20"/>
  <c r="O261" i="20"/>
  <c r="K261" i="20"/>
  <c r="O260" i="20"/>
  <c r="K260" i="20"/>
  <c r="O259" i="20"/>
  <c r="K259" i="20"/>
  <c r="O258" i="20"/>
  <c r="K258" i="20"/>
  <c r="O257" i="20"/>
  <c r="L257" i="20"/>
  <c r="K257" i="20"/>
  <c r="O256" i="20"/>
  <c r="K256" i="20"/>
  <c r="O255" i="20"/>
  <c r="K255" i="20"/>
  <c r="O254" i="20"/>
  <c r="L254" i="20"/>
  <c r="K254" i="20" s="1"/>
  <c r="O253" i="20"/>
  <c r="K253" i="20"/>
  <c r="O252" i="20"/>
  <c r="K252" i="20"/>
  <c r="O251" i="20"/>
  <c r="K251" i="20"/>
  <c r="O250" i="20"/>
  <c r="K250" i="20"/>
  <c r="O249" i="20"/>
  <c r="K249" i="20"/>
  <c r="O248" i="20"/>
  <c r="L248" i="20"/>
  <c r="O247" i="20"/>
  <c r="L247" i="20"/>
  <c r="O246" i="20"/>
  <c r="K246" i="20"/>
  <c r="O245" i="20"/>
  <c r="K245" i="20"/>
  <c r="O244" i="20"/>
  <c r="K244" i="20"/>
  <c r="O243" i="20"/>
  <c r="K243" i="20"/>
  <c r="O242" i="20"/>
  <c r="K242" i="20"/>
  <c r="O241" i="20"/>
  <c r="L241" i="20"/>
  <c r="K241" i="20"/>
  <c r="O240" i="20"/>
  <c r="L240" i="20"/>
  <c r="K240" i="20" s="1"/>
  <c r="O239" i="20"/>
  <c r="L239" i="20"/>
  <c r="K239" i="20"/>
  <c r="O238" i="20"/>
  <c r="K238" i="20"/>
  <c r="O237" i="20"/>
  <c r="K237" i="20"/>
  <c r="O236" i="20"/>
  <c r="K236" i="20"/>
  <c r="O235" i="20"/>
  <c r="K235" i="20"/>
  <c r="O234" i="20"/>
  <c r="K234" i="20"/>
  <c r="O233" i="20"/>
  <c r="K233" i="20"/>
  <c r="O232" i="20"/>
  <c r="K232" i="20"/>
  <c r="O231" i="20"/>
  <c r="L231" i="20"/>
  <c r="O230" i="20"/>
  <c r="K230" i="20"/>
  <c r="O229" i="20"/>
  <c r="K229" i="20"/>
  <c r="P228" i="20"/>
  <c r="O228" i="20"/>
  <c r="K228" i="20"/>
  <c r="O227" i="20"/>
  <c r="K227" i="20"/>
  <c r="O226" i="20"/>
  <c r="K226" i="20"/>
  <c r="O225" i="20"/>
  <c r="K225" i="20"/>
  <c r="O224" i="20"/>
  <c r="K224" i="20"/>
  <c r="O223" i="20"/>
  <c r="K223" i="20"/>
  <c r="O222" i="20"/>
  <c r="K222" i="20"/>
  <c r="O221" i="20"/>
  <c r="L221" i="20"/>
  <c r="O220" i="20"/>
  <c r="K220" i="20"/>
  <c r="O219" i="20"/>
  <c r="K219" i="20"/>
  <c r="O218" i="20"/>
  <c r="K218" i="20"/>
  <c r="O217" i="20"/>
  <c r="K217" i="20"/>
  <c r="O216" i="20"/>
  <c r="K216" i="20"/>
  <c r="O215" i="20"/>
  <c r="K215" i="20"/>
  <c r="O214" i="20"/>
  <c r="K214" i="20"/>
  <c r="P213" i="20"/>
  <c r="O213" i="20" s="1"/>
  <c r="K213" i="20"/>
  <c r="O212" i="20"/>
  <c r="K212" i="20"/>
  <c r="O211" i="20"/>
  <c r="K211" i="20"/>
  <c r="O210" i="20"/>
  <c r="K210" i="20"/>
  <c r="O209" i="20"/>
  <c r="L209" i="20"/>
  <c r="O208" i="20"/>
  <c r="K208" i="20"/>
  <c r="O207" i="20"/>
  <c r="L207" i="20"/>
  <c r="K207" i="20"/>
  <c r="O206" i="20"/>
  <c r="K206" i="20"/>
  <c r="O205" i="20"/>
  <c r="K205" i="20"/>
  <c r="P204" i="20"/>
  <c r="O204" i="20" s="1"/>
  <c r="L204" i="20"/>
  <c r="K204" i="20" s="1"/>
  <c r="O203" i="20"/>
  <c r="K203" i="20"/>
  <c r="O202" i="20"/>
  <c r="K202" i="20"/>
  <c r="O201" i="20"/>
  <c r="L201" i="20"/>
  <c r="O200" i="20"/>
  <c r="K200" i="20"/>
  <c r="O199" i="20"/>
  <c r="K199" i="20"/>
  <c r="O198" i="20"/>
  <c r="K198" i="20"/>
  <c r="P197" i="20"/>
  <c r="O197" i="20" s="1"/>
  <c r="L197" i="20"/>
  <c r="K197" i="20" s="1"/>
  <c r="O196" i="20"/>
  <c r="K196" i="20"/>
  <c r="P195" i="20"/>
  <c r="O195" i="20" s="1"/>
  <c r="K195" i="20"/>
  <c r="P194" i="20"/>
  <c r="O194" i="20" s="1"/>
  <c r="L194" i="20"/>
  <c r="K194" i="20" s="1"/>
  <c r="O193" i="20"/>
  <c r="K193" i="20"/>
  <c r="O192" i="20"/>
  <c r="K192" i="20"/>
  <c r="O191" i="20"/>
  <c r="K191" i="20"/>
  <c r="O190" i="20"/>
  <c r="K190" i="20"/>
  <c r="O189" i="20"/>
  <c r="K189" i="20"/>
  <c r="O188" i="20"/>
  <c r="K188" i="20"/>
  <c r="P187" i="20"/>
  <c r="O187" i="20" s="1"/>
  <c r="K187" i="20"/>
  <c r="O186" i="20"/>
  <c r="K186" i="20"/>
  <c r="O185" i="20"/>
  <c r="K185" i="20"/>
  <c r="O184" i="20"/>
  <c r="K184" i="20"/>
  <c r="O183" i="20"/>
  <c r="K183" i="20"/>
  <c r="O182" i="20"/>
  <c r="K182" i="20"/>
  <c r="O181" i="20"/>
  <c r="K181" i="20"/>
  <c r="O180" i="20"/>
  <c r="K180" i="20"/>
  <c r="O179" i="20"/>
  <c r="L179" i="20"/>
  <c r="O178" i="20"/>
  <c r="K178" i="20"/>
  <c r="O177" i="20"/>
  <c r="K177" i="20"/>
  <c r="P176" i="20"/>
  <c r="O176" i="20"/>
  <c r="L176" i="20"/>
  <c r="K176" i="20"/>
  <c r="O175" i="20"/>
  <c r="K175" i="20"/>
  <c r="O174" i="20"/>
  <c r="K174" i="20"/>
  <c r="O173" i="20"/>
  <c r="K173" i="20"/>
  <c r="O172" i="20"/>
  <c r="K172" i="20"/>
  <c r="O171" i="20"/>
  <c r="K171" i="20"/>
  <c r="O170" i="20"/>
  <c r="K170" i="20"/>
  <c r="O169" i="20"/>
  <c r="K169" i="20"/>
  <c r="O168" i="20"/>
  <c r="K168" i="20"/>
  <c r="O167" i="20"/>
  <c r="K167" i="20"/>
  <c r="O166" i="20"/>
  <c r="K166" i="20"/>
  <c r="O165" i="20"/>
  <c r="K165" i="20"/>
  <c r="O164" i="20"/>
  <c r="K164" i="20"/>
  <c r="O163" i="20"/>
  <c r="K163" i="20"/>
  <c r="O162" i="20"/>
  <c r="K162" i="20"/>
  <c r="O161" i="20"/>
  <c r="K161" i="20"/>
  <c r="O160" i="20"/>
  <c r="K160" i="20"/>
  <c r="O159" i="20"/>
  <c r="K159" i="20"/>
  <c r="O158" i="20"/>
  <c r="K158" i="20"/>
  <c r="O157" i="20"/>
  <c r="K157" i="20"/>
  <c r="O156" i="20"/>
  <c r="K156" i="20"/>
  <c r="O155" i="20"/>
  <c r="K155" i="20"/>
  <c r="O154" i="20"/>
  <c r="K154" i="20"/>
  <c r="O153" i="20"/>
  <c r="K153" i="20"/>
  <c r="O152" i="20"/>
  <c r="L152" i="20"/>
  <c r="O151" i="20"/>
  <c r="L151" i="20"/>
  <c r="O150" i="20"/>
  <c r="K150" i="20"/>
  <c r="O149" i="20"/>
  <c r="K149" i="20"/>
  <c r="O148" i="20"/>
  <c r="K148" i="20"/>
  <c r="O147" i="20"/>
  <c r="K147" i="20"/>
  <c r="O146" i="20"/>
  <c r="K146" i="20"/>
  <c r="O145" i="20"/>
  <c r="K145" i="20"/>
  <c r="O144" i="20"/>
  <c r="K144" i="20"/>
  <c r="O143" i="20"/>
  <c r="K143" i="20"/>
  <c r="Q142" i="20"/>
  <c r="M142" i="20"/>
  <c r="Q141" i="20"/>
  <c r="M141" i="20"/>
  <c r="Q140" i="20"/>
  <c r="M140" i="20"/>
  <c r="Q139" i="20"/>
  <c r="M139" i="20"/>
  <c r="Q138" i="20"/>
  <c r="M138" i="20"/>
  <c r="Q137" i="20"/>
  <c r="M137" i="20"/>
  <c r="Q136" i="20"/>
  <c r="M136" i="20"/>
  <c r="Q135" i="20"/>
  <c r="M135" i="20"/>
  <c r="Q134" i="20"/>
  <c r="M134" i="20"/>
  <c r="Q133" i="20"/>
  <c r="M133" i="20"/>
  <c r="A133" i="20"/>
  <c r="A134" i="20" s="1"/>
  <c r="Q132" i="20"/>
  <c r="K201" i="20" l="1"/>
  <c r="K209" i="20"/>
  <c r="K231" i="20"/>
  <c r="K151" i="20"/>
  <c r="K152" i="20"/>
  <c r="K179" i="20"/>
  <c r="K221" i="20"/>
  <c r="K247" i="20"/>
  <c r="K248" i="20"/>
  <c r="O292" i="19"/>
  <c r="K292" i="19"/>
  <c r="O291" i="19"/>
  <c r="K291" i="19"/>
  <c r="O290" i="19"/>
  <c r="K290" i="19"/>
  <c r="O289" i="19"/>
  <c r="K289" i="19"/>
  <c r="O288" i="19"/>
  <c r="K288" i="19"/>
  <c r="O287" i="19"/>
  <c r="K287" i="19"/>
  <c r="O286" i="19"/>
  <c r="K286" i="19"/>
  <c r="O285" i="19"/>
  <c r="K285" i="19"/>
  <c r="O284" i="19"/>
  <c r="K284" i="19"/>
  <c r="O283" i="19"/>
  <c r="L283" i="19"/>
  <c r="K283" i="19"/>
  <c r="P282" i="19"/>
  <c r="O282" i="19" s="1"/>
  <c r="K282" i="19"/>
  <c r="O281" i="19"/>
  <c r="K281" i="19"/>
  <c r="O280" i="19"/>
  <c r="K280" i="19"/>
  <c r="P279" i="19"/>
  <c r="O279" i="19" s="1"/>
  <c r="K279" i="19"/>
  <c r="O278" i="19"/>
  <c r="K278" i="19"/>
  <c r="O277" i="19"/>
  <c r="K277" i="19"/>
  <c r="O276" i="19"/>
  <c r="K276" i="19"/>
  <c r="O275" i="19"/>
  <c r="K275" i="19"/>
  <c r="O274" i="19"/>
  <c r="K274" i="19"/>
  <c r="O273" i="19"/>
  <c r="K273" i="19"/>
  <c r="O272" i="19"/>
  <c r="K272" i="19"/>
  <c r="O271" i="19"/>
  <c r="K271" i="19"/>
  <c r="O270" i="19"/>
  <c r="K270" i="19"/>
  <c r="O269" i="19"/>
  <c r="K269" i="19"/>
  <c r="O268" i="19"/>
  <c r="K268" i="19"/>
  <c r="O267" i="19"/>
  <c r="K267" i="19"/>
  <c r="O266" i="19"/>
  <c r="K266" i="19"/>
  <c r="O265" i="19"/>
  <c r="K265" i="19"/>
  <c r="O264" i="19"/>
  <c r="K264" i="19"/>
  <c r="O263" i="19"/>
  <c r="K263" i="19"/>
  <c r="O262" i="19"/>
  <c r="K262" i="19"/>
  <c r="O261" i="19"/>
  <c r="K261" i="19"/>
  <c r="O260" i="19"/>
  <c r="L260" i="19"/>
  <c r="K260" i="19"/>
  <c r="O259" i="19"/>
  <c r="K259" i="19"/>
  <c r="O258" i="19"/>
  <c r="K258" i="19"/>
  <c r="O257" i="19"/>
  <c r="K257" i="19"/>
  <c r="O256" i="19"/>
  <c r="K256" i="19"/>
  <c r="O255" i="19"/>
  <c r="K255" i="19"/>
  <c r="O254" i="19"/>
  <c r="K254" i="19"/>
  <c r="O253" i="19"/>
  <c r="K253" i="19"/>
  <c r="O252" i="19"/>
  <c r="K252" i="19"/>
  <c r="O251" i="19"/>
  <c r="K251" i="19"/>
  <c r="O250" i="19"/>
  <c r="M250" i="19"/>
  <c r="L250" i="19"/>
  <c r="K250" i="19"/>
  <c r="O249" i="19"/>
  <c r="K249" i="19"/>
  <c r="O248" i="19"/>
  <c r="K248" i="19"/>
  <c r="O247" i="19"/>
  <c r="L247" i="19"/>
  <c r="K247" i="19"/>
  <c r="O246" i="19"/>
  <c r="K246" i="19"/>
  <c r="O245" i="19"/>
  <c r="K245" i="19"/>
  <c r="O244" i="19"/>
  <c r="K244" i="19"/>
  <c r="O243" i="19"/>
  <c r="K243" i="19"/>
  <c r="O242" i="19"/>
  <c r="K242" i="19"/>
  <c r="O241" i="19"/>
  <c r="L241" i="19"/>
  <c r="K241" i="19" s="1"/>
  <c r="O240" i="19"/>
  <c r="K240" i="19"/>
  <c r="O239" i="19"/>
  <c r="K239" i="19"/>
  <c r="O238" i="19"/>
  <c r="K238" i="19"/>
  <c r="O237" i="19"/>
  <c r="K237" i="19"/>
  <c r="O236" i="19"/>
  <c r="K236" i="19"/>
  <c r="O235" i="19"/>
  <c r="K235" i="19"/>
  <c r="O234" i="19"/>
  <c r="K234" i="19"/>
  <c r="O233" i="19"/>
  <c r="K233" i="19"/>
  <c r="O232" i="19"/>
  <c r="K232" i="19"/>
  <c r="O231" i="19"/>
  <c r="K231" i="19"/>
  <c r="O230" i="19"/>
  <c r="K230" i="19"/>
  <c r="O229" i="19"/>
  <c r="K229" i="19"/>
  <c r="O228" i="19"/>
  <c r="K228" i="19"/>
  <c r="O227" i="19"/>
  <c r="K227" i="19"/>
  <c r="O226" i="19"/>
  <c r="K226" i="19"/>
  <c r="O225" i="19"/>
  <c r="K225" i="19"/>
  <c r="P224" i="19"/>
  <c r="O224" i="19"/>
  <c r="K224" i="19"/>
  <c r="O223" i="19"/>
  <c r="K223" i="19"/>
  <c r="O222" i="19"/>
  <c r="K222" i="19"/>
  <c r="O221" i="19"/>
  <c r="K221" i="19"/>
  <c r="O220" i="19"/>
  <c r="K220" i="19"/>
  <c r="O219" i="19"/>
  <c r="K219" i="19"/>
  <c r="O218" i="19"/>
  <c r="K218" i="19"/>
  <c r="O217" i="19"/>
  <c r="K217" i="19"/>
  <c r="O216" i="19"/>
  <c r="K216" i="19"/>
  <c r="O215" i="19"/>
  <c r="K215" i="19"/>
  <c r="O214" i="19"/>
  <c r="K214" i="19"/>
  <c r="O213" i="19"/>
  <c r="K213" i="19"/>
  <c r="O212" i="19"/>
  <c r="K212" i="19"/>
  <c r="P211" i="19"/>
  <c r="O211" i="19"/>
  <c r="K211" i="19"/>
  <c r="O210" i="19"/>
  <c r="K210" i="19"/>
  <c r="O209" i="19"/>
  <c r="K209" i="19"/>
  <c r="O208" i="19"/>
  <c r="K208" i="19"/>
  <c r="O207" i="19"/>
  <c r="K207" i="19"/>
  <c r="O206" i="19"/>
  <c r="K206" i="19"/>
  <c r="O205" i="19"/>
  <c r="K205" i="19"/>
  <c r="O204" i="19"/>
  <c r="K204" i="19"/>
  <c r="O203" i="19"/>
  <c r="K203" i="19"/>
  <c r="O202" i="19"/>
  <c r="K202" i="19"/>
  <c r="O201" i="19"/>
  <c r="K201" i="19"/>
  <c r="O200" i="19"/>
  <c r="K200" i="19"/>
  <c r="O199" i="19"/>
  <c r="K199" i="19"/>
  <c r="O198" i="19"/>
  <c r="K198" i="19"/>
  <c r="O197" i="19"/>
  <c r="K197" i="19"/>
  <c r="O196" i="19"/>
  <c r="K196" i="19"/>
  <c r="P195" i="19"/>
  <c r="O195" i="19" s="1"/>
  <c r="K195" i="19"/>
  <c r="O194" i="19"/>
  <c r="K194" i="19"/>
  <c r="P193" i="19"/>
  <c r="O193" i="19"/>
  <c r="K193" i="19"/>
  <c r="O192" i="19"/>
  <c r="L192" i="19"/>
  <c r="K192" i="19" s="1"/>
  <c r="O191" i="19"/>
  <c r="K191" i="19"/>
  <c r="O190" i="19"/>
  <c r="K190" i="19"/>
  <c r="O189" i="19"/>
  <c r="K189" i="19"/>
  <c r="O188" i="19"/>
  <c r="K188" i="19"/>
  <c r="O187" i="19"/>
  <c r="K187" i="19"/>
  <c r="O186" i="19"/>
  <c r="K186" i="19"/>
  <c r="O185" i="19"/>
  <c r="L185" i="19"/>
  <c r="K185" i="19" s="1"/>
  <c r="O184" i="19"/>
  <c r="K184" i="19"/>
  <c r="O183" i="19"/>
  <c r="K183" i="19"/>
  <c r="O182" i="19"/>
  <c r="K182" i="19"/>
  <c r="O181" i="19"/>
  <c r="K181" i="19"/>
  <c r="O180" i="19"/>
  <c r="K180" i="19"/>
  <c r="O179" i="19"/>
  <c r="K179" i="19"/>
  <c r="O178" i="19"/>
  <c r="K178" i="19"/>
  <c r="O177" i="19"/>
  <c r="K177" i="19"/>
  <c r="O176" i="19"/>
  <c r="K176" i="19"/>
  <c r="O175" i="19"/>
  <c r="K175" i="19"/>
  <c r="P174" i="19"/>
  <c r="O174" i="19"/>
  <c r="K174" i="19"/>
  <c r="O173" i="19"/>
  <c r="K173" i="19"/>
  <c r="O172" i="19"/>
  <c r="K172" i="19"/>
  <c r="O171" i="19"/>
  <c r="K171" i="19"/>
  <c r="O170" i="19"/>
  <c r="K170" i="19"/>
  <c r="O169" i="19"/>
  <c r="K169" i="19"/>
  <c r="O168" i="19"/>
  <c r="K168" i="19"/>
  <c r="O167" i="19"/>
  <c r="K167" i="19"/>
  <c r="O166" i="19"/>
  <c r="K166" i="19"/>
  <c r="O165" i="19"/>
  <c r="K165" i="19"/>
  <c r="O164" i="19"/>
  <c r="K164" i="19"/>
  <c r="O163" i="19"/>
  <c r="K163" i="19"/>
  <c r="O162" i="19"/>
  <c r="K162" i="19"/>
  <c r="O161" i="19"/>
  <c r="K161" i="19"/>
  <c r="O160" i="19"/>
  <c r="K160" i="19"/>
  <c r="O159" i="19"/>
  <c r="K159" i="19"/>
  <c r="O158" i="19"/>
  <c r="K158" i="19"/>
  <c r="O157" i="19"/>
  <c r="K157" i="19"/>
  <c r="O156" i="19"/>
  <c r="K156" i="19"/>
  <c r="O155" i="19"/>
  <c r="K155" i="19"/>
  <c r="O154" i="19"/>
  <c r="K154" i="19"/>
  <c r="O153" i="19"/>
  <c r="K153" i="19"/>
  <c r="O152" i="19"/>
  <c r="K152" i="19"/>
  <c r="O151" i="19"/>
  <c r="L151" i="19"/>
  <c r="K151" i="19" s="1"/>
  <c r="P150" i="19"/>
  <c r="O150" i="19"/>
  <c r="K150" i="19"/>
  <c r="O149" i="19"/>
  <c r="K149" i="19"/>
  <c r="O148" i="19"/>
  <c r="K148" i="19"/>
  <c r="O147" i="19"/>
  <c r="K147" i="19"/>
  <c r="O146" i="19"/>
  <c r="K146" i="19"/>
  <c r="A146" i="19"/>
  <c r="A147" i="19" s="1"/>
  <c r="A148" i="19" s="1"/>
  <c r="A149" i="19" s="1"/>
  <c r="A150" i="19" s="1"/>
  <c r="A151" i="19" s="1"/>
  <c r="A152" i="19" s="1"/>
  <c r="A153" i="19" s="1"/>
  <c r="A154" i="19" s="1"/>
  <c r="A155" i="19" s="1"/>
  <c r="A156" i="19" s="1"/>
  <c r="A157" i="19" s="1"/>
  <c r="A158" i="19" s="1"/>
  <c r="A159" i="19" s="1"/>
  <c r="A160" i="19" s="1"/>
  <c r="A161" i="19" s="1"/>
  <c r="A162" i="19" s="1"/>
  <c r="A163" i="19" s="1"/>
  <c r="A164" i="19" s="1"/>
  <c r="A165" i="19" s="1"/>
  <c r="A166" i="19" s="1"/>
  <c r="A167" i="19" s="1"/>
  <c r="A168" i="19" s="1"/>
  <c r="A169" i="19" s="1"/>
  <c r="A170" i="19" s="1"/>
  <c r="A171" i="19" s="1"/>
  <c r="A172" i="19" s="1"/>
  <c r="A173" i="19" s="1"/>
  <c r="A174" i="19" s="1"/>
  <c r="A175" i="19" s="1"/>
  <c r="A176" i="19" s="1"/>
  <c r="A177" i="19" s="1"/>
  <c r="A178" i="19" s="1"/>
  <c r="A179" i="19" s="1"/>
  <c r="A180" i="19" s="1"/>
  <c r="A181" i="19" s="1"/>
  <c r="A182" i="19" s="1"/>
  <c r="A183" i="19" s="1"/>
  <c r="A184" i="19" s="1"/>
  <c r="A185" i="19" s="1"/>
  <c r="A186" i="19" s="1"/>
  <c r="A187" i="19" s="1"/>
  <c r="A188" i="19" s="1"/>
  <c r="A189" i="19" s="1"/>
  <c r="A190" i="19" s="1"/>
  <c r="A191" i="19" s="1"/>
  <c r="A192" i="19" s="1"/>
  <c r="A193" i="19" s="1"/>
  <c r="A194" i="19" s="1"/>
  <c r="A195" i="19" s="1"/>
  <c r="A196" i="19" s="1"/>
  <c r="A197" i="19" s="1"/>
  <c r="A198" i="19" s="1"/>
  <c r="A199" i="19" s="1"/>
  <c r="A200" i="19" s="1"/>
  <c r="A201" i="19" s="1"/>
  <c r="A202" i="19" s="1"/>
  <c r="A203" i="19" s="1"/>
  <c r="A204" i="19" s="1"/>
  <c r="A205" i="19" s="1"/>
  <c r="A206" i="19" s="1"/>
  <c r="A207" i="19" s="1"/>
  <c r="A208" i="19" s="1"/>
  <c r="A209" i="19" s="1"/>
  <c r="A210" i="19" s="1"/>
  <c r="A211" i="19" s="1"/>
  <c r="A212" i="19" s="1"/>
  <c r="A213" i="19" s="1"/>
  <c r="A214" i="19" s="1"/>
  <c r="A215" i="19" s="1"/>
  <c r="A216" i="19" s="1"/>
  <c r="A217" i="19" s="1"/>
  <c r="A218" i="19" s="1"/>
  <c r="A219" i="19" s="1"/>
  <c r="A220" i="19" s="1"/>
  <c r="A221" i="19" s="1"/>
  <c r="A222" i="19" s="1"/>
  <c r="A223" i="19" s="1"/>
  <c r="A224" i="19" s="1"/>
  <c r="A225" i="19" s="1"/>
  <c r="A226" i="19" s="1"/>
  <c r="A227" i="19" s="1"/>
  <c r="A228" i="19" s="1"/>
  <c r="A229" i="19" s="1"/>
  <c r="A230" i="19" s="1"/>
  <c r="A231" i="19" s="1"/>
  <c r="A232" i="19" s="1"/>
  <c r="A233" i="19" s="1"/>
  <c r="A234" i="19" s="1"/>
  <c r="A235" i="19" s="1"/>
  <c r="A236" i="19" s="1"/>
  <c r="A237" i="19" s="1"/>
  <c r="A238" i="19" s="1"/>
  <c r="A239" i="19" s="1"/>
  <c r="A240" i="19" s="1"/>
  <c r="A241" i="19" s="1"/>
  <c r="A242" i="19" s="1"/>
  <c r="A243" i="19" s="1"/>
  <c r="A244" i="19" s="1"/>
  <c r="A245" i="19" s="1"/>
  <c r="A246" i="19" s="1"/>
  <c r="A247" i="19" s="1"/>
  <c r="A248" i="19" s="1"/>
  <c r="A249" i="19" s="1"/>
  <c r="A250" i="19" s="1"/>
  <c r="A251" i="19" s="1"/>
  <c r="A252" i="19" s="1"/>
  <c r="A253" i="19" s="1"/>
  <c r="A254" i="19" s="1"/>
  <c r="A255" i="19" s="1"/>
  <c r="A256" i="19" s="1"/>
  <c r="A257" i="19" s="1"/>
  <c r="A258" i="19" s="1"/>
  <c r="A259" i="19" s="1"/>
  <c r="A260" i="19" s="1"/>
  <c r="A261" i="19" s="1"/>
  <c r="A262" i="19" s="1"/>
  <c r="A263" i="19" s="1"/>
  <c r="A264" i="19" s="1"/>
  <c r="A265" i="19" s="1"/>
  <c r="A266" i="19" s="1"/>
  <c r="A267" i="19" s="1"/>
  <c r="A268" i="19" s="1"/>
  <c r="A269" i="19" s="1"/>
  <c r="A270" i="19" s="1"/>
  <c r="A271" i="19" s="1"/>
  <c r="A272" i="19" s="1"/>
  <c r="A273" i="19" s="1"/>
  <c r="A274" i="19" s="1"/>
  <c r="A275" i="19" s="1"/>
  <c r="A276" i="19" s="1"/>
  <c r="A277" i="19" s="1"/>
  <c r="A278" i="19" s="1"/>
  <c r="A279" i="19" s="1"/>
  <c r="A280" i="19" s="1"/>
  <c r="A281" i="19" s="1"/>
  <c r="A282" i="19" s="1"/>
  <c r="A283" i="19" s="1"/>
  <c r="A284" i="19" s="1"/>
  <c r="A285" i="19" s="1"/>
  <c r="A286" i="19" s="1"/>
  <c r="A287" i="19" s="1"/>
  <c r="A288" i="19" s="1"/>
  <c r="A289" i="19" s="1"/>
  <c r="A290" i="19" s="1"/>
  <c r="A291" i="19" s="1"/>
  <c r="A292" i="19" s="1"/>
  <c r="O145" i="19"/>
  <c r="K145" i="19"/>
  <c r="O144" i="19"/>
  <c r="K144" i="19"/>
  <c r="A144" i="19"/>
  <c r="A145" i="19" s="1"/>
  <c r="P143" i="19"/>
  <c r="O143" i="19"/>
  <c r="K143" i="19"/>
  <c r="Q142" i="19"/>
  <c r="M142" i="19"/>
  <c r="Q141" i="19"/>
  <c r="M141" i="19"/>
  <c r="Q140" i="19"/>
  <c r="M140" i="19"/>
  <c r="Q139" i="19"/>
  <c r="M139" i="19"/>
  <c r="Q138" i="19"/>
  <c r="M138" i="19"/>
  <c r="Q137" i="19"/>
  <c r="M137" i="19"/>
  <c r="Q136" i="19"/>
  <c r="M136" i="19"/>
  <c r="Q135" i="19"/>
  <c r="M135" i="19"/>
  <c r="Q134" i="19"/>
  <c r="M134" i="19"/>
  <c r="A134" i="19"/>
  <c r="Q133" i="19"/>
  <c r="M133" i="19"/>
  <c r="A133" i="19"/>
  <c r="Q132" i="19"/>
  <c r="A122" i="19" l="1"/>
  <c r="A123" i="19" s="1"/>
  <c r="A124" i="19" s="1"/>
  <c r="A125" i="19" s="1"/>
  <c r="Q110" i="19" l="1"/>
  <c r="M110" i="19"/>
  <c r="Q109" i="19"/>
  <c r="M109" i="19"/>
  <c r="Q108" i="19"/>
  <c r="M108" i="19"/>
  <c r="P106" i="19"/>
  <c r="Q106" i="19" s="1"/>
  <c r="L106" i="19"/>
  <c r="K106" i="19"/>
  <c r="M106" i="19" s="1"/>
  <c r="Q105" i="19"/>
  <c r="L105" i="19"/>
  <c r="M105" i="19" s="1"/>
  <c r="P104" i="19"/>
  <c r="O104" i="19"/>
  <c r="Q104" i="19" s="1"/>
  <c r="M104" i="19"/>
  <c r="Q103" i="19"/>
  <c r="L103" i="19"/>
  <c r="K103" i="19"/>
  <c r="M103" i="19" s="1"/>
  <c r="P102" i="19"/>
  <c r="O102" i="19"/>
  <c r="Q102" i="19" s="1"/>
  <c r="L102" i="19"/>
  <c r="K102" i="19"/>
  <c r="M102" i="19" s="1"/>
  <c r="Q101" i="19"/>
  <c r="L101" i="19"/>
  <c r="K101" i="19"/>
  <c r="M101" i="19" s="1"/>
  <c r="Q100" i="19"/>
  <c r="L100" i="19"/>
  <c r="K100" i="19"/>
  <c r="M100" i="19" s="1"/>
  <c r="L99" i="19"/>
  <c r="K99" i="19"/>
  <c r="M99" i="19" s="1"/>
  <c r="P98" i="19"/>
  <c r="O98" i="19"/>
  <c r="Q98" i="19" s="1"/>
  <c r="L98" i="19"/>
  <c r="K98" i="19"/>
  <c r="M98" i="19" s="1"/>
  <c r="Q97" i="19"/>
  <c r="P97" i="19"/>
  <c r="M97" i="19"/>
  <c r="K97" i="19"/>
  <c r="Q96" i="19"/>
  <c r="L96" i="19"/>
  <c r="K96" i="19"/>
  <c r="M96" i="19" s="1"/>
  <c r="L95" i="19"/>
  <c r="K95" i="19"/>
  <c r="M95" i="19" s="1"/>
  <c r="Q94" i="19"/>
  <c r="M94" i="19"/>
  <c r="P93" i="19"/>
  <c r="O93" i="19"/>
  <c r="Q93" i="19" s="1"/>
  <c r="L93" i="19"/>
  <c r="K93" i="19"/>
  <c r="M93" i="19" s="1"/>
  <c r="M92" i="19"/>
  <c r="M91" i="19"/>
  <c r="M90" i="19"/>
  <c r="P89" i="19"/>
  <c r="O89" i="19"/>
  <c r="Q89" i="19" s="1"/>
  <c r="M89" i="19"/>
  <c r="P88" i="19"/>
  <c r="O88" i="19"/>
  <c r="Q88" i="19" s="1"/>
  <c r="M88" i="19"/>
  <c r="Q87" i="19"/>
  <c r="L87" i="19"/>
  <c r="M87" i="19" s="1"/>
  <c r="Q86" i="19"/>
  <c r="Q85" i="19"/>
  <c r="L85" i="19"/>
  <c r="K85" i="19"/>
  <c r="M85" i="19" s="1"/>
  <c r="Q84" i="19"/>
  <c r="L84" i="19"/>
  <c r="K84" i="19"/>
  <c r="M84" i="19" s="1"/>
  <c r="Q83" i="19"/>
  <c r="L83" i="19"/>
  <c r="K83" i="19"/>
  <c r="M83" i="19" s="1"/>
  <c r="Q82" i="19"/>
  <c r="Q81" i="19"/>
  <c r="L81" i="19"/>
  <c r="K81" i="19"/>
  <c r="M81" i="19" s="1"/>
  <c r="Q80" i="19"/>
  <c r="M80" i="19"/>
  <c r="L80" i="19"/>
  <c r="Q79" i="19"/>
  <c r="L79" i="19"/>
  <c r="K79" i="19"/>
  <c r="M79" i="19" s="1"/>
  <c r="Q78" i="19"/>
  <c r="L78" i="19"/>
  <c r="K78" i="19"/>
  <c r="M78" i="19" s="1"/>
  <c r="Q77" i="19"/>
  <c r="P77" i="19"/>
  <c r="L77" i="19"/>
  <c r="K77" i="19"/>
  <c r="M77" i="19" s="1"/>
  <c r="Q76" i="19"/>
  <c r="M76" i="19"/>
  <c r="Q75" i="19"/>
  <c r="M75" i="19"/>
  <c r="P74" i="19"/>
  <c r="O74" i="19"/>
  <c r="Q74" i="19" s="1"/>
  <c r="L74" i="19"/>
  <c r="K74" i="19"/>
  <c r="M74" i="19" s="1"/>
  <c r="Q73" i="19"/>
  <c r="L73" i="19"/>
  <c r="K73" i="19"/>
  <c r="M73" i="19" s="1"/>
  <c r="Q72" i="19"/>
  <c r="Q71" i="19"/>
  <c r="Q70" i="19"/>
  <c r="M70" i="19"/>
  <c r="L70" i="19"/>
  <c r="P69" i="19"/>
  <c r="O69" i="19"/>
  <c r="Q69" i="19" s="1"/>
  <c r="L69" i="19"/>
  <c r="K69" i="19"/>
  <c r="M69" i="19" s="1"/>
  <c r="Q68" i="19"/>
  <c r="L68" i="19"/>
  <c r="K68" i="19"/>
  <c r="M68" i="19" s="1"/>
  <c r="Q67" i="19"/>
  <c r="L67" i="19"/>
  <c r="K67" i="19"/>
  <c r="M67" i="19" s="1"/>
  <c r="P66" i="19"/>
  <c r="O66" i="19"/>
  <c r="Q66" i="19" s="1"/>
  <c r="L66" i="19"/>
  <c r="K66" i="19"/>
  <c r="M66" i="19" s="1"/>
  <c r="Q65" i="19"/>
  <c r="L65" i="19"/>
  <c r="K65" i="19"/>
  <c r="M65" i="19" s="1"/>
  <c r="Q64" i="19"/>
  <c r="L64" i="19"/>
  <c r="K64" i="19"/>
  <c r="M64" i="19" s="1"/>
  <c r="P62" i="19"/>
  <c r="O62" i="19"/>
  <c r="Q62" i="19" s="1"/>
  <c r="L62" i="19"/>
  <c r="K62" i="19"/>
  <c r="M62" i="19" s="1"/>
  <c r="Q61" i="19"/>
  <c r="L61" i="19"/>
  <c r="K61" i="19"/>
  <c r="M61" i="19" s="1"/>
  <c r="Q60" i="19"/>
  <c r="L60" i="19"/>
  <c r="K60" i="19"/>
  <c r="M60" i="19" s="1"/>
  <c r="Q59" i="19"/>
  <c r="L59" i="19"/>
  <c r="K59" i="19"/>
  <c r="M59" i="19" s="1"/>
  <c r="Q58" i="19"/>
  <c r="P58" i="19"/>
  <c r="L58" i="19"/>
  <c r="K58" i="19"/>
  <c r="M58" i="19" s="1"/>
  <c r="Q57" i="19"/>
  <c r="M57" i="19"/>
  <c r="Q56" i="19"/>
  <c r="M56" i="19"/>
  <c r="Q55" i="19"/>
  <c r="M55" i="19"/>
  <c r="Q54" i="19"/>
  <c r="M54" i="19"/>
  <c r="Q53" i="19"/>
  <c r="M53" i="19"/>
  <c r="Q52" i="19"/>
  <c r="M52" i="19"/>
  <c r="Q51" i="19"/>
  <c r="M51" i="19"/>
  <c r="Q50" i="19"/>
  <c r="M50" i="19"/>
  <c r="Q49" i="19"/>
  <c r="M49" i="19"/>
  <c r="Q48" i="19"/>
  <c r="M48" i="19"/>
  <c r="Q47" i="19"/>
  <c r="M47" i="19"/>
  <c r="Q46" i="19"/>
  <c r="M46" i="19"/>
  <c r="Q45" i="19"/>
  <c r="M45" i="19"/>
  <c r="Q44" i="19"/>
  <c r="M44" i="19"/>
  <c r="Q43" i="19"/>
  <c r="M43" i="19"/>
  <c r="Q42" i="19"/>
  <c r="M42" i="19"/>
  <c r="Q41" i="19"/>
  <c r="M41" i="19"/>
  <c r="Q40" i="19"/>
  <c r="M40" i="19"/>
  <c r="Q39" i="19"/>
  <c r="M39" i="19"/>
  <c r="Q38" i="19"/>
  <c r="M38" i="19"/>
  <c r="Q37" i="19"/>
  <c r="M37" i="19"/>
  <c r="Q36" i="19"/>
  <c r="M36" i="19"/>
  <c r="Q35" i="19"/>
  <c r="M35" i="19"/>
  <c r="Q34" i="19"/>
  <c r="M34" i="19"/>
  <c r="Q33" i="19"/>
  <c r="M33" i="19"/>
  <c r="Q32" i="19"/>
  <c r="M32" i="19"/>
  <c r="Q31" i="19"/>
  <c r="M31" i="19"/>
  <c r="Q30" i="19"/>
  <c r="M30" i="19"/>
  <c r="Q29" i="19"/>
  <c r="M29" i="19"/>
  <c r="Q28" i="19"/>
  <c r="M28" i="19"/>
  <c r="Q27" i="19"/>
  <c r="M27" i="19"/>
  <c r="Q26" i="19"/>
  <c r="M26" i="19"/>
  <c r="Q25" i="19"/>
  <c r="M25" i="19"/>
  <c r="Q24" i="19"/>
  <c r="M24" i="19"/>
  <c r="Q23" i="19"/>
  <c r="M23" i="19"/>
  <c r="Q22" i="19"/>
  <c r="M22" i="19"/>
  <c r="Q21" i="19"/>
  <c r="M21" i="19"/>
  <c r="Q20" i="19"/>
  <c r="M20" i="19"/>
  <c r="Q19" i="19"/>
  <c r="M19" i="19"/>
  <c r="Q18" i="19"/>
  <c r="M18" i="19"/>
  <c r="Q17" i="19"/>
  <c r="M17" i="19"/>
  <c r="Q16" i="19"/>
  <c r="M16" i="19"/>
  <c r="Q15" i="19"/>
  <c r="M15" i="19"/>
  <c r="Q14" i="19"/>
  <c r="M14" i="19"/>
  <c r="Q13" i="19"/>
  <c r="M13" i="19"/>
  <c r="Q12" i="19"/>
  <c r="M12" i="19"/>
  <c r="Q11" i="19"/>
  <c r="M11" i="19"/>
  <c r="Q10" i="19"/>
  <c r="M10" i="19"/>
  <c r="Q9" i="19"/>
  <c r="M9" i="19"/>
  <c r="A141" i="18" l="1"/>
  <c r="A142" i="18" s="1"/>
  <c r="A143" i="18" s="1"/>
  <c r="A144" i="18" s="1"/>
  <c r="A145" i="18" s="1"/>
  <c r="A146" i="18" s="1"/>
  <c r="A147" i="18" s="1"/>
  <c r="A148" i="18" s="1"/>
  <c r="A149" i="18" s="1"/>
  <c r="A150" i="18" s="1"/>
  <c r="A151" i="18" s="1"/>
  <c r="A152" i="18" s="1"/>
  <c r="A153" i="18" s="1"/>
  <c r="A154" i="18" s="1"/>
  <c r="A155" i="18" s="1"/>
  <c r="A156" i="18" s="1"/>
  <c r="A157" i="18" s="1"/>
  <c r="A158" i="18" s="1"/>
  <c r="A159" i="18" s="1"/>
  <c r="A160" i="18" s="1"/>
  <c r="A161" i="18" s="1"/>
  <c r="A162" i="18" s="1"/>
  <c r="A163" i="18" s="1"/>
  <c r="A164" i="18" s="1"/>
  <c r="A165" i="18" s="1"/>
  <c r="A166" i="18" s="1"/>
  <c r="A167" i="18" s="1"/>
  <c r="A168" i="18" s="1"/>
  <c r="A169" i="18" s="1"/>
  <c r="A170" i="18" s="1"/>
  <c r="A171" i="18" s="1"/>
  <c r="A172" i="18" s="1"/>
  <c r="A173" i="18" s="1"/>
  <c r="A174" i="18" s="1"/>
  <c r="A175" i="18" s="1"/>
  <c r="A176" i="18" s="1"/>
  <c r="A177" i="18" s="1"/>
  <c r="A178" i="18" s="1"/>
  <c r="A179" i="18" s="1"/>
  <c r="A180" i="18" s="1"/>
  <c r="A181" i="18" s="1"/>
  <c r="A182" i="18" s="1"/>
  <c r="A183" i="18" s="1"/>
  <c r="A184" i="18" s="1"/>
  <c r="A185" i="18" s="1"/>
  <c r="A186" i="18" s="1"/>
  <c r="A187" i="18" s="1"/>
  <c r="A188" i="18" s="1"/>
  <c r="A189" i="18" s="1"/>
  <c r="A190" i="18" s="1"/>
  <c r="A191" i="18" s="1"/>
  <c r="A192" i="18" s="1"/>
  <c r="A193" i="18" s="1"/>
  <c r="A194" i="18" s="1"/>
  <c r="A195" i="18" s="1"/>
  <c r="A196" i="18" s="1"/>
  <c r="A197" i="18" s="1"/>
  <c r="A198" i="18" s="1"/>
  <c r="A199" i="18" s="1"/>
  <c r="A200" i="18" s="1"/>
  <c r="A201" i="18" s="1"/>
  <c r="A202" i="18" s="1"/>
  <c r="A203" i="18" s="1"/>
  <c r="A204" i="18" s="1"/>
  <c r="A205" i="18" s="1"/>
  <c r="A206" i="18" s="1"/>
  <c r="A207" i="18" s="1"/>
  <c r="A208" i="18" s="1"/>
  <c r="A209" i="18" s="1"/>
  <c r="A210" i="18" s="1"/>
  <c r="A211" i="18" s="1"/>
  <c r="A212" i="18" s="1"/>
  <c r="A213" i="18" s="1"/>
  <c r="A214" i="18" s="1"/>
  <c r="A215" i="18" s="1"/>
  <c r="A216" i="18" s="1"/>
  <c r="A217" i="18" s="1"/>
  <c r="A218" i="18" s="1"/>
  <c r="A219" i="18" s="1"/>
  <c r="A220" i="18" s="1"/>
  <c r="A221" i="18" s="1"/>
  <c r="A222" i="18" s="1"/>
  <c r="A223" i="18" s="1"/>
  <c r="A224" i="18" s="1"/>
  <c r="A225" i="18" s="1"/>
  <c r="A226" i="18" s="1"/>
  <c r="A227" i="18" s="1"/>
  <c r="A228" i="18" s="1"/>
  <c r="A229" i="18" s="1"/>
  <c r="A230" i="18" s="1"/>
  <c r="A231" i="18" s="1"/>
  <c r="A232" i="18" s="1"/>
  <c r="A233" i="18" s="1"/>
  <c r="A234" i="18" s="1"/>
  <c r="A235" i="18" s="1"/>
  <c r="A236" i="18" s="1"/>
  <c r="A237" i="18" s="1"/>
  <c r="A238" i="18" s="1"/>
  <c r="A239" i="18" s="1"/>
  <c r="A240" i="18" s="1"/>
  <c r="A241" i="18" s="1"/>
  <c r="A242" i="18" s="1"/>
  <c r="A243" i="18" s="1"/>
  <c r="A244" i="18" s="1"/>
  <c r="A245" i="18" s="1"/>
  <c r="A246" i="18" s="1"/>
  <c r="A247" i="18" s="1"/>
  <c r="A248" i="18" s="1"/>
  <c r="A249" i="18" s="1"/>
  <c r="A250" i="18" s="1"/>
  <c r="A251" i="18" s="1"/>
  <c r="A252" i="18" s="1"/>
  <c r="A253" i="18" s="1"/>
  <c r="A254" i="18" s="1"/>
  <c r="A255" i="18" s="1"/>
  <c r="A256" i="18" s="1"/>
  <c r="A257" i="18" s="1"/>
  <c r="A258" i="18" s="1"/>
  <c r="A259" i="18" s="1"/>
  <c r="A260" i="18" s="1"/>
  <c r="A261" i="18" s="1"/>
  <c r="A262" i="18" s="1"/>
  <c r="A263" i="18" s="1"/>
  <c r="A264" i="18" s="1"/>
  <c r="A265" i="18" s="1"/>
  <c r="A266" i="18" s="1"/>
  <c r="A267" i="18" s="1"/>
  <c r="A268" i="18" s="1"/>
  <c r="A269" i="18" s="1"/>
  <c r="A270" i="18" s="1"/>
  <c r="A271" i="18" s="1"/>
  <c r="A272" i="18" s="1"/>
  <c r="A273" i="18" s="1"/>
  <c r="A274" i="18" s="1"/>
  <c r="A275" i="18" s="1"/>
  <c r="A276" i="18" s="1"/>
  <c r="A277" i="18" s="1"/>
  <c r="A278" i="18" s="1"/>
  <c r="A279" i="18" s="1"/>
  <c r="A280" i="18" s="1"/>
  <c r="A281" i="18" s="1"/>
  <c r="A282" i="18" s="1"/>
  <c r="A283" i="18" s="1"/>
  <c r="A284" i="18" s="1"/>
  <c r="A285" i="18" s="1"/>
  <c r="A286" i="18" s="1"/>
  <c r="A287" i="18" s="1"/>
  <c r="O287" i="18"/>
  <c r="K287" i="18"/>
  <c r="O286" i="18"/>
  <c r="K286" i="18"/>
  <c r="O285" i="18"/>
  <c r="K285" i="18"/>
  <c r="O284" i="18"/>
  <c r="K284" i="18"/>
  <c r="O283" i="18"/>
  <c r="K283" i="18"/>
  <c r="O282" i="18"/>
  <c r="K282" i="18"/>
  <c r="O281" i="18"/>
  <c r="K281" i="18"/>
  <c r="O280" i="18"/>
  <c r="K280" i="18"/>
  <c r="O279" i="18"/>
  <c r="L279" i="18"/>
  <c r="P278" i="18"/>
  <c r="O278" i="18"/>
  <c r="K278" i="18"/>
  <c r="O277" i="18"/>
  <c r="K277" i="18"/>
  <c r="Q276" i="18"/>
  <c r="O276" i="18" s="1"/>
  <c r="M276" i="18"/>
  <c r="P275" i="18"/>
  <c r="O275" i="18" s="1"/>
  <c r="K275" i="18"/>
  <c r="O274" i="18"/>
  <c r="K274" i="18"/>
  <c r="O273" i="18"/>
  <c r="K273" i="18"/>
  <c r="O272" i="18"/>
  <c r="K272" i="18"/>
  <c r="O271" i="18"/>
  <c r="K271" i="18"/>
  <c r="O270" i="18"/>
  <c r="K270" i="18"/>
  <c r="O269" i="18"/>
  <c r="K269" i="18"/>
  <c r="O268" i="18"/>
  <c r="K268" i="18"/>
  <c r="O267" i="18"/>
  <c r="K267" i="18"/>
  <c r="O266" i="18"/>
  <c r="K266" i="18"/>
  <c r="O265" i="18"/>
  <c r="K265" i="18"/>
  <c r="O264" i="18"/>
  <c r="K264" i="18"/>
  <c r="O263" i="18"/>
  <c r="K263" i="18"/>
  <c r="O262" i="18"/>
  <c r="K262" i="18"/>
  <c r="O261" i="18"/>
  <c r="K261" i="18"/>
  <c r="O260" i="18"/>
  <c r="K260" i="18"/>
  <c r="O259" i="18"/>
  <c r="K259" i="18"/>
  <c r="O258" i="18"/>
  <c r="L258" i="18"/>
  <c r="O257" i="18"/>
  <c r="K257" i="18"/>
  <c r="O256" i="18"/>
  <c r="K256" i="18"/>
  <c r="O255" i="18"/>
  <c r="K255" i="18"/>
  <c r="O254" i="18"/>
  <c r="K254" i="18"/>
  <c r="O253" i="18"/>
  <c r="K253" i="18"/>
  <c r="O252" i="18"/>
  <c r="K252" i="18"/>
  <c r="O251" i="18"/>
  <c r="K251" i="18"/>
  <c r="O250" i="18"/>
  <c r="K250" i="18"/>
  <c r="O249" i="18"/>
  <c r="K249" i="18"/>
  <c r="O248" i="18"/>
  <c r="M248" i="18"/>
  <c r="L248" i="18"/>
  <c r="P247" i="18"/>
  <c r="O247" i="18" s="1"/>
  <c r="K247" i="18"/>
  <c r="O246" i="18"/>
  <c r="K246" i="18"/>
  <c r="O245" i="18"/>
  <c r="K245" i="18"/>
  <c r="O244" i="18"/>
  <c r="K244" i="18"/>
  <c r="O243" i="18"/>
  <c r="K243" i="18"/>
  <c r="O242" i="18"/>
  <c r="K242" i="18"/>
  <c r="O241" i="18"/>
  <c r="K241" i="18"/>
  <c r="O240" i="18"/>
  <c r="K240" i="18"/>
  <c r="O239" i="18"/>
  <c r="L239" i="18"/>
  <c r="K239" i="18" s="1"/>
  <c r="O238" i="18"/>
  <c r="K238" i="18"/>
  <c r="O237" i="18"/>
  <c r="K237" i="18"/>
  <c r="O236" i="18"/>
  <c r="K236" i="18"/>
  <c r="O235" i="18"/>
  <c r="K235" i="18"/>
  <c r="O234" i="18"/>
  <c r="K234" i="18"/>
  <c r="O233" i="18"/>
  <c r="K233" i="18"/>
  <c r="O232" i="18"/>
  <c r="K232" i="18"/>
  <c r="O231" i="18"/>
  <c r="K231" i="18"/>
  <c r="O230" i="18"/>
  <c r="K230" i="18"/>
  <c r="O229" i="18"/>
  <c r="K229" i="18"/>
  <c r="O228" i="18"/>
  <c r="K228" i="18"/>
  <c r="O227" i="18"/>
  <c r="K227" i="18"/>
  <c r="O226" i="18"/>
  <c r="K226" i="18"/>
  <c r="O225" i="18"/>
  <c r="K225" i="18"/>
  <c r="O224" i="18"/>
  <c r="K224" i="18"/>
  <c r="O223" i="18"/>
  <c r="K223" i="18"/>
  <c r="O222" i="18"/>
  <c r="K222" i="18"/>
  <c r="O221" i="18"/>
  <c r="K221" i="18"/>
  <c r="O220" i="18"/>
  <c r="K220" i="18"/>
  <c r="O219" i="18"/>
  <c r="K219" i="18"/>
  <c r="P218" i="18"/>
  <c r="K218" i="18"/>
  <c r="O217" i="18"/>
  <c r="K217" i="18"/>
  <c r="O216" i="18"/>
  <c r="K216" i="18"/>
  <c r="O215" i="18"/>
  <c r="K215" i="18"/>
  <c r="O214" i="18"/>
  <c r="K214" i="18"/>
  <c r="O213" i="18"/>
  <c r="K213" i="18"/>
  <c r="P212" i="18"/>
  <c r="O212" i="18" s="1"/>
  <c r="K212" i="18"/>
  <c r="O211" i="18"/>
  <c r="K211" i="18"/>
  <c r="O210" i="18"/>
  <c r="K210" i="18"/>
  <c r="O209" i="18"/>
  <c r="K209" i="18"/>
  <c r="O208" i="18"/>
  <c r="K208" i="18"/>
  <c r="O207" i="18"/>
  <c r="K207" i="18"/>
  <c r="O206" i="18"/>
  <c r="K206" i="18"/>
  <c r="O205" i="18"/>
  <c r="K205" i="18"/>
  <c r="O204" i="18"/>
  <c r="K204" i="18"/>
  <c r="O203" i="18"/>
  <c r="K203" i="18"/>
  <c r="O202" i="18"/>
  <c r="K202" i="18"/>
  <c r="O201" i="18"/>
  <c r="K201" i="18"/>
  <c r="O200" i="18"/>
  <c r="K200" i="18"/>
  <c r="O199" i="18"/>
  <c r="K199" i="18"/>
  <c r="O198" i="18"/>
  <c r="K198" i="18"/>
  <c r="O197" i="18"/>
  <c r="K197" i="18"/>
  <c r="O196" i="18"/>
  <c r="K196" i="18"/>
  <c r="O195" i="18"/>
  <c r="K195" i="18"/>
  <c r="O194" i="18"/>
  <c r="K194" i="18"/>
  <c r="P193" i="18"/>
  <c r="O193" i="18"/>
  <c r="K193" i="18"/>
  <c r="P192" i="18"/>
  <c r="O192" i="18" s="1"/>
  <c r="K192" i="18"/>
  <c r="O191" i="18"/>
  <c r="K191" i="18"/>
  <c r="O190" i="18"/>
  <c r="K190" i="18"/>
  <c r="O189" i="18"/>
  <c r="K189" i="18"/>
  <c r="O188" i="18"/>
  <c r="K188" i="18"/>
  <c r="O187" i="18"/>
  <c r="K187" i="18"/>
  <c r="O186" i="18"/>
  <c r="K186" i="18"/>
  <c r="O185" i="18"/>
  <c r="K185" i="18"/>
  <c r="O184" i="18"/>
  <c r="K184" i="18"/>
  <c r="O183" i="18"/>
  <c r="K183" i="18"/>
  <c r="O182" i="18"/>
  <c r="K182" i="18"/>
  <c r="P181" i="18"/>
  <c r="O181" i="18"/>
  <c r="K181" i="18"/>
  <c r="O180" i="18"/>
  <c r="K180" i="18"/>
  <c r="O179" i="18"/>
  <c r="K179" i="18"/>
  <c r="O178" i="18"/>
  <c r="K178" i="18"/>
  <c r="O177" i="18"/>
  <c r="K177" i="18"/>
  <c r="P176" i="18"/>
  <c r="O176" i="18" s="1"/>
  <c r="K176" i="18"/>
  <c r="O175" i="18"/>
  <c r="K175" i="18"/>
  <c r="O174" i="18"/>
  <c r="K174" i="18"/>
  <c r="O173" i="18"/>
  <c r="K173" i="18"/>
  <c r="O172" i="18"/>
  <c r="K172" i="18"/>
  <c r="O171" i="18"/>
  <c r="K171" i="18"/>
  <c r="O170" i="18"/>
  <c r="K170" i="18"/>
  <c r="P169" i="18"/>
  <c r="O169" i="18"/>
  <c r="K169" i="18"/>
  <c r="O168" i="18"/>
  <c r="K168" i="18"/>
  <c r="O167" i="18"/>
  <c r="K167" i="18"/>
  <c r="O166" i="18"/>
  <c r="K166" i="18"/>
  <c r="O165" i="18"/>
  <c r="K165" i="18"/>
  <c r="O164" i="18"/>
  <c r="K164" i="18"/>
  <c r="O163" i="18"/>
  <c r="K163" i="18"/>
  <c r="O162" i="18"/>
  <c r="K162" i="18"/>
  <c r="O161" i="18"/>
  <c r="K161" i="18"/>
  <c r="O160" i="18"/>
  <c r="K160" i="18"/>
  <c r="O159" i="18"/>
  <c r="K159" i="18"/>
  <c r="O158" i="18"/>
  <c r="K158" i="18"/>
  <c r="O157" i="18"/>
  <c r="K157" i="18"/>
  <c r="O156" i="18"/>
  <c r="K156" i="18"/>
  <c r="O155" i="18"/>
  <c r="K155" i="18"/>
  <c r="O154" i="18"/>
  <c r="K154" i="18"/>
  <c r="O153" i="18"/>
  <c r="K153" i="18"/>
  <c r="O152" i="18"/>
  <c r="K152" i="18"/>
  <c r="O151" i="18"/>
  <c r="K151" i="18"/>
  <c r="P150" i="18"/>
  <c r="O150" i="18" s="1"/>
  <c r="K150" i="18"/>
  <c r="O149" i="18"/>
  <c r="K149" i="18"/>
  <c r="O148" i="18"/>
  <c r="K148" i="18"/>
  <c r="O147" i="18"/>
  <c r="K147" i="18"/>
  <c r="O146" i="18"/>
  <c r="K146" i="18"/>
  <c r="O145" i="18"/>
  <c r="K145" i="18"/>
  <c r="Q144" i="18"/>
  <c r="P144" i="18"/>
  <c r="O144" i="18" s="1"/>
  <c r="K144" i="18"/>
  <c r="O143" i="18"/>
  <c r="K143" i="18"/>
  <c r="O142" i="18"/>
  <c r="K142" i="18"/>
  <c r="O141" i="18"/>
  <c r="K141" i="18"/>
  <c r="P140" i="18"/>
  <c r="O140" i="18" s="1"/>
  <c r="K140" i="18"/>
  <c r="Q139" i="18"/>
  <c r="M139" i="18"/>
  <c r="Q138" i="18"/>
  <c r="M138" i="18"/>
  <c r="Q137" i="18"/>
  <c r="M137" i="18"/>
  <c r="Q136" i="18"/>
  <c r="M136" i="18"/>
  <c r="Q135" i="18"/>
  <c r="M135" i="18"/>
  <c r="Q134" i="18"/>
  <c r="M134" i="18"/>
  <c r="Q133" i="18"/>
  <c r="M133" i="18"/>
  <c r="Q132" i="18"/>
  <c r="M132" i="18"/>
  <c r="Q131" i="18"/>
  <c r="M131" i="18"/>
  <c r="Q130" i="18"/>
  <c r="M130" i="18"/>
  <c r="A130" i="18"/>
  <c r="A131" i="18" s="1"/>
  <c r="Q129" i="18"/>
  <c r="K248" i="18" l="1"/>
  <c r="O218" i="18"/>
  <c r="K258" i="18"/>
  <c r="K279" i="18"/>
  <c r="K276" i="18"/>
  <c r="A119" i="18"/>
  <c r="A120" i="18" s="1"/>
  <c r="A121" i="18" s="1"/>
  <c r="A122" i="18" s="1"/>
  <c r="Q108" i="18" l="1"/>
  <c r="M108" i="18"/>
  <c r="Q107" i="18"/>
  <c r="M107" i="18"/>
  <c r="Q106" i="18"/>
  <c r="M106" i="18"/>
  <c r="P104" i="18"/>
  <c r="Q104" i="18" s="1"/>
  <c r="L104" i="18"/>
  <c r="K104" i="18"/>
  <c r="Q103" i="18"/>
  <c r="L103" i="18"/>
  <c r="M103" i="18" s="1"/>
  <c r="P102" i="18"/>
  <c r="O102" i="18"/>
  <c r="M102" i="18"/>
  <c r="Q101" i="18"/>
  <c r="L101" i="18"/>
  <c r="K101" i="18"/>
  <c r="P100" i="18"/>
  <c r="O100" i="18"/>
  <c r="L100" i="18"/>
  <c r="K100" i="18"/>
  <c r="Q99" i="18"/>
  <c r="L99" i="18"/>
  <c r="K99" i="18"/>
  <c r="M99" i="18" s="1"/>
  <c r="Q98" i="18"/>
  <c r="L98" i="18"/>
  <c r="K98" i="18"/>
  <c r="L97" i="18"/>
  <c r="K97" i="18"/>
  <c r="P96" i="18"/>
  <c r="O96" i="18"/>
  <c r="L96" i="18"/>
  <c r="K96" i="18"/>
  <c r="Q95" i="18"/>
  <c r="P95" i="18"/>
  <c r="M95" i="18"/>
  <c r="K95" i="18"/>
  <c r="Q94" i="18"/>
  <c r="L94" i="18"/>
  <c r="K94" i="18"/>
  <c r="M94" i="18" s="1"/>
  <c r="L93" i="18"/>
  <c r="K93" i="18"/>
  <c r="M93" i="18" s="1"/>
  <c r="Q92" i="18"/>
  <c r="M92" i="18"/>
  <c r="P91" i="18"/>
  <c r="O91" i="18"/>
  <c r="Q91" i="18" s="1"/>
  <c r="L91" i="18"/>
  <c r="K91" i="18"/>
  <c r="M91" i="18" s="1"/>
  <c r="M90" i="18"/>
  <c r="M89" i="18"/>
  <c r="M88" i="18"/>
  <c r="P87" i="18"/>
  <c r="O87" i="18"/>
  <c r="M87" i="18"/>
  <c r="P86" i="18"/>
  <c r="O86" i="18"/>
  <c r="Q86" i="18" s="1"/>
  <c r="M86" i="18"/>
  <c r="Q85" i="18"/>
  <c r="L85" i="18"/>
  <c r="M85" i="18" s="1"/>
  <c r="Q84" i="18"/>
  <c r="L84" i="18"/>
  <c r="K84" i="18"/>
  <c r="M84" i="18" s="1"/>
  <c r="Q83" i="18"/>
  <c r="L83" i="18"/>
  <c r="K83" i="18"/>
  <c r="Q82" i="18"/>
  <c r="L82" i="18"/>
  <c r="K82" i="18"/>
  <c r="M82" i="18" s="1"/>
  <c r="Q81" i="18"/>
  <c r="Q80" i="18"/>
  <c r="L80" i="18"/>
  <c r="K80" i="18"/>
  <c r="M80" i="18" s="1"/>
  <c r="Q79" i="18"/>
  <c r="L79" i="18"/>
  <c r="M79" i="18" s="1"/>
  <c r="Q78" i="18"/>
  <c r="L78" i="18"/>
  <c r="K78" i="18"/>
  <c r="Q77" i="18"/>
  <c r="L77" i="18"/>
  <c r="K77" i="18"/>
  <c r="M77" i="18" s="1"/>
  <c r="P76" i="18"/>
  <c r="Q76" i="18" s="1"/>
  <c r="L76" i="18"/>
  <c r="K76" i="18"/>
  <c r="Q75" i="18"/>
  <c r="M75" i="18"/>
  <c r="Q74" i="18"/>
  <c r="M74" i="18"/>
  <c r="P73" i="18"/>
  <c r="O73" i="18"/>
  <c r="L73" i="18"/>
  <c r="K73" i="18"/>
  <c r="Q72" i="18"/>
  <c r="L72" i="18"/>
  <c r="K72" i="18"/>
  <c r="M72" i="18" s="1"/>
  <c r="Q71" i="18"/>
  <c r="Q70" i="18"/>
  <c r="L70" i="18"/>
  <c r="M70" i="18" s="1"/>
  <c r="P69" i="18"/>
  <c r="O69" i="18"/>
  <c r="Q69" i="18" s="1"/>
  <c r="L69" i="18"/>
  <c r="K69" i="18"/>
  <c r="M69" i="18" s="1"/>
  <c r="Q68" i="18"/>
  <c r="L68" i="18"/>
  <c r="K68" i="18"/>
  <c r="Q67" i="18"/>
  <c r="L67" i="18"/>
  <c r="K67" i="18"/>
  <c r="M67" i="18" s="1"/>
  <c r="P66" i="18"/>
  <c r="O66" i="18"/>
  <c r="Q66" i="18" s="1"/>
  <c r="L66" i="18"/>
  <c r="K66" i="18"/>
  <c r="M66" i="18" s="1"/>
  <c r="Q65" i="18"/>
  <c r="L65" i="18"/>
  <c r="K65" i="18"/>
  <c r="Q64" i="18"/>
  <c r="L64" i="18"/>
  <c r="K64" i="18"/>
  <c r="M64" i="18" s="1"/>
  <c r="P62" i="18"/>
  <c r="O62" i="18"/>
  <c r="Q62" i="18" s="1"/>
  <c r="L62" i="18"/>
  <c r="K62" i="18"/>
  <c r="M62" i="18" s="1"/>
  <c r="Q61" i="18"/>
  <c r="L61" i="18"/>
  <c r="K61" i="18"/>
  <c r="Q60" i="18"/>
  <c r="L60" i="18"/>
  <c r="K60" i="18"/>
  <c r="M60" i="18" s="1"/>
  <c r="Q59" i="18"/>
  <c r="L59" i="18"/>
  <c r="K59" i="18"/>
  <c r="Q58" i="18"/>
  <c r="P58" i="18"/>
  <c r="L58" i="18"/>
  <c r="K58" i="18"/>
  <c r="Q57" i="18"/>
  <c r="M57" i="18"/>
  <c r="Q56" i="18"/>
  <c r="M56" i="18"/>
  <c r="Q55" i="18"/>
  <c r="M55" i="18"/>
  <c r="Q54" i="18"/>
  <c r="M54" i="18"/>
  <c r="Q53" i="18"/>
  <c r="M53" i="18"/>
  <c r="Q52" i="18"/>
  <c r="M52" i="18"/>
  <c r="Q51" i="18"/>
  <c r="M51" i="18"/>
  <c r="Q50" i="18"/>
  <c r="M50" i="18"/>
  <c r="Q49" i="18"/>
  <c r="M49" i="18"/>
  <c r="Q48" i="18"/>
  <c r="M48" i="18"/>
  <c r="Q47" i="18"/>
  <c r="M47" i="18"/>
  <c r="Q46" i="18"/>
  <c r="M46" i="18"/>
  <c r="Q45" i="18"/>
  <c r="M45" i="18"/>
  <c r="Q44" i="18"/>
  <c r="M44" i="18"/>
  <c r="Q43" i="18"/>
  <c r="M43" i="18"/>
  <c r="Q42" i="18"/>
  <c r="M42" i="18"/>
  <c r="Q41" i="18"/>
  <c r="M41" i="18"/>
  <c r="Q40" i="18"/>
  <c r="M40" i="18"/>
  <c r="Q39" i="18"/>
  <c r="M39" i="18"/>
  <c r="Q38" i="18"/>
  <c r="M38" i="18"/>
  <c r="Q37" i="18"/>
  <c r="M37" i="18"/>
  <c r="Q36" i="18"/>
  <c r="M36" i="18"/>
  <c r="Q35" i="18"/>
  <c r="M35" i="18"/>
  <c r="Q34" i="18"/>
  <c r="M34" i="18"/>
  <c r="Q33" i="18"/>
  <c r="M33" i="18"/>
  <c r="Q32" i="18"/>
  <c r="M32" i="18"/>
  <c r="Q31" i="18"/>
  <c r="M31" i="18"/>
  <c r="Q30" i="18"/>
  <c r="M30" i="18"/>
  <c r="Q29" i="18"/>
  <c r="M29" i="18"/>
  <c r="Q28" i="18"/>
  <c r="M28" i="18"/>
  <c r="Q27" i="18"/>
  <c r="M27" i="18"/>
  <c r="Q26" i="18"/>
  <c r="M26" i="18"/>
  <c r="Q25" i="18"/>
  <c r="M25" i="18"/>
  <c r="Q24" i="18"/>
  <c r="M24" i="18"/>
  <c r="Q23" i="18"/>
  <c r="M23" i="18"/>
  <c r="Q22" i="18"/>
  <c r="M22" i="18"/>
  <c r="Q21" i="18"/>
  <c r="M21" i="18"/>
  <c r="Q20" i="18"/>
  <c r="M20" i="18"/>
  <c r="Q19" i="18"/>
  <c r="M19" i="18"/>
  <c r="Q18" i="18"/>
  <c r="M18" i="18"/>
  <c r="Q17" i="18"/>
  <c r="M17" i="18"/>
  <c r="Q16" i="18"/>
  <c r="M16" i="18"/>
  <c r="Q15" i="18"/>
  <c r="M15" i="18"/>
  <c r="Q14" i="18"/>
  <c r="M14" i="18"/>
  <c r="Q13" i="18"/>
  <c r="M13" i="18"/>
  <c r="Q12" i="18"/>
  <c r="M12" i="18"/>
  <c r="Q11" i="18"/>
  <c r="M11" i="18"/>
  <c r="Q10" i="18"/>
  <c r="M10" i="18"/>
  <c r="Q9" i="18"/>
  <c r="M9" i="18"/>
  <c r="M58" i="18" l="1"/>
  <c r="M59" i="18"/>
  <c r="M61" i="18"/>
  <c r="M65" i="18"/>
  <c r="M68" i="18"/>
  <c r="M73" i="18"/>
  <c r="Q73" i="18"/>
  <c r="M76" i="18"/>
  <c r="M78" i="18"/>
  <c r="M83" i="18"/>
  <c r="Q87" i="18"/>
  <c r="M96" i="18"/>
  <c r="Q96" i="18"/>
  <c r="M97" i="18"/>
  <c r="M98" i="18"/>
  <c r="M100" i="18"/>
  <c r="Q100" i="18"/>
  <c r="M101" i="18"/>
  <c r="Q102" i="18"/>
  <c r="M104" i="18"/>
  <c r="A271" i="17"/>
  <c r="A272" i="17"/>
  <c r="A273" i="17" s="1"/>
  <c r="A274" i="17" s="1"/>
  <c r="A275" i="17" s="1"/>
  <c r="A276" i="17" s="1"/>
  <c r="A277" i="17" s="1"/>
  <c r="A278" i="17" s="1"/>
  <c r="A279" i="17" s="1"/>
  <c r="A280" i="17" s="1"/>
  <c r="A281" i="17" s="1"/>
  <c r="A282" i="17" s="1"/>
  <c r="A283" i="17" s="1"/>
  <c r="A284" i="17" s="1"/>
  <c r="A285" i="17" s="1"/>
  <c r="A286" i="17" s="1"/>
  <c r="A287" i="17" s="1"/>
  <c r="A288" i="17" s="1"/>
  <c r="A289" i="17" s="1"/>
  <c r="A290" i="17" s="1"/>
  <c r="A291" i="17" s="1"/>
  <c r="A292" i="17" s="1"/>
  <c r="A293" i="17" s="1"/>
  <c r="A294" i="17" s="1"/>
  <c r="A295" i="17" s="1"/>
  <c r="A296" i="17" s="1"/>
  <c r="A297" i="17" s="1"/>
  <c r="A298" i="17" s="1"/>
  <c r="A299" i="17" s="1"/>
  <c r="A300" i="17" s="1"/>
  <c r="A301" i="17" s="1"/>
  <c r="A302" i="17" s="1"/>
  <c r="A303" i="17" s="1"/>
  <c r="A304" i="17" s="1"/>
  <c r="A305" i="17" s="1"/>
  <c r="A306" i="17" s="1"/>
  <c r="A307" i="17" s="1"/>
  <c r="A308" i="17" s="1"/>
  <c r="A309" i="17" s="1"/>
  <c r="A310" i="17" s="1"/>
  <c r="A311" i="17" s="1"/>
  <c r="A312" i="17" s="1"/>
  <c r="A313" i="17" s="1"/>
  <c r="A314" i="17" s="1"/>
  <c r="A315" i="17" s="1"/>
  <c r="A316" i="17" s="1"/>
  <c r="A317" i="17" s="1"/>
  <c r="A318" i="17" s="1"/>
  <c r="A319" i="17" s="1"/>
  <c r="A320" i="17" s="1"/>
  <c r="A321" i="17" s="1"/>
  <c r="A322" i="17" s="1"/>
  <c r="A323" i="17" s="1"/>
  <c r="A324" i="17" s="1"/>
  <c r="A325" i="17" s="1"/>
  <c r="A326" i="17" s="1"/>
  <c r="A327" i="17" s="1"/>
  <c r="A328" i="17" s="1"/>
  <c r="A329" i="17" s="1"/>
  <c r="A330" i="17" s="1"/>
  <c r="A331" i="17" s="1"/>
  <c r="A332" i="17" s="1"/>
  <c r="A333" i="17" s="1"/>
  <c r="A334" i="17" s="1"/>
  <c r="A335" i="17" s="1"/>
  <c r="A336" i="17" s="1"/>
  <c r="A337" i="17" s="1"/>
  <c r="A338" i="17" s="1"/>
  <c r="A339" i="17" s="1"/>
  <c r="A340" i="17" s="1"/>
  <c r="A341" i="17" s="1"/>
  <c r="A342" i="17" s="1"/>
  <c r="A343" i="17" s="1"/>
  <c r="A344" i="17" s="1"/>
  <c r="A345" i="17" s="1"/>
  <c r="A346" i="17" s="1"/>
  <c r="A347" i="17" s="1"/>
  <c r="A348" i="17" s="1"/>
  <c r="A349" i="17" s="1"/>
  <c r="A350" i="17" s="1"/>
  <c r="A351" i="17" s="1"/>
  <c r="A352" i="17" s="1"/>
  <c r="A353" i="17" s="1"/>
  <c r="A354" i="17" s="1"/>
  <c r="A355" i="17" s="1"/>
  <c r="A356" i="17" s="1"/>
  <c r="A357" i="17" s="1"/>
  <c r="A358" i="17" s="1"/>
  <c r="A359" i="17" s="1"/>
  <c r="A360" i="17" s="1"/>
  <c r="A361" i="17" s="1"/>
  <c r="A362" i="17" s="1"/>
  <c r="A363" i="17" s="1"/>
  <c r="A364" i="17" s="1"/>
  <c r="A365" i="17" s="1"/>
  <c r="A366" i="17" s="1"/>
  <c r="A367" i="17" s="1"/>
  <c r="A368" i="17" s="1"/>
  <c r="A369" i="17" s="1"/>
  <c r="A370" i="17" s="1"/>
  <c r="A371" i="17" s="1"/>
  <c r="A372" i="17" s="1"/>
  <c r="A373" i="17" s="1"/>
  <c r="A374" i="17" s="1"/>
  <c r="A375" i="17" s="1"/>
  <c r="A376" i="17" s="1"/>
  <c r="A377" i="17" s="1"/>
  <c r="A378" i="17" s="1"/>
  <c r="A379" i="17" s="1"/>
  <c r="A380" i="17" s="1"/>
  <c r="A381" i="17" s="1"/>
  <c r="A382" i="17" s="1"/>
  <c r="A383" i="17" s="1"/>
  <c r="A384" i="17" s="1"/>
  <c r="A385" i="17" s="1"/>
  <c r="A386" i="17" s="1"/>
  <c r="A387" i="17" s="1"/>
  <c r="A388" i="17" s="1"/>
  <c r="A389" i="17" s="1"/>
  <c r="A390" i="17" s="1"/>
  <c r="A391" i="17" s="1"/>
  <c r="A392" i="17" s="1"/>
  <c r="A393" i="17" s="1"/>
  <c r="A394" i="17" s="1"/>
  <c r="A395" i="17" s="1"/>
  <c r="A396" i="17" s="1"/>
  <c r="A397" i="17" s="1"/>
  <c r="A398" i="17" s="1"/>
  <c r="A399" i="17" s="1"/>
  <c r="A400" i="17" s="1"/>
  <c r="A401" i="17" s="1"/>
  <c r="A402" i="17" s="1"/>
  <c r="A403" i="17" s="1"/>
  <c r="A404" i="17" s="1"/>
  <c r="A405" i="17" s="1"/>
  <c r="A406" i="17" s="1"/>
  <c r="A407" i="17" s="1"/>
  <c r="A408" i="17" s="1"/>
  <c r="A409" i="17" s="1"/>
  <c r="A410" i="17" s="1"/>
  <c r="A411" i="17" s="1"/>
  <c r="A412" i="17" s="1"/>
  <c r="A413" i="17" s="1"/>
  <c r="A414" i="17" s="1"/>
  <c r="A415" i="17" s="1"/>
  <c r="A270" i="17"/>
  <c r="O415" i="17"/>
  <c r="K415" i="17"/>
  <c r="P414" i="17"/>
  <c r="O414" i="17"/>
  <c r="L414" i="17"/>
  <c r="K414" i="17"/>
  <c r="O413" i="17"/>
  <c r="K413" i="17"/>
  <c r="O412" i="17"/>
  <c r="K412" i="17"/>
  <c r="O411" i="17"/>
  <c r="K411" i="17"/>
  <c r="O410" i="17"/>
  <c r="K410" i="17"/>
  <c r="O409" i="17"/>
  <c r="K409" i="17"/>
  <c r="O408" i="17"/>
  <c r="L408" i="17"/>
  <c r="K408" i="17" s="1"/>
  <c r="O407" i="17"/>
  <c r="L407" i="17"/>
  <c r="K407" i="17"/>
  <c r="P406" i="17"/>
  <c r="O406" i="17"/>
  <c r="K406" i="17"/>
  <c r="P405" i="17"/>
  <c r="O405" i="17" s="1"/>
  <c r="L405" i="17"/>
  <c r="K405" i="17" s="1"/>
  <c r="Q404" i="17"/>
  <c r="P404" i="17"/>
  <c r="O404" i="17"/>
  <c r="M404" i="17"/>
  <c r="L404" i="17"/>
  <c r="K404" i="17" s="1"/>
  <c r="P403" i="17"/>
  <c r="O403" i="17" s="1"/>
  <c r="K403" i="17"/>
  <c r="O402" i="17"/>
  <c r="L402" i="17"/>
  <c r="K402" i="17" s="1"/>
  <c r="Q401" i="17"/>
  <c r="P401" i="17"/>
  <c r="O401" i="17"/>
  <c r="M401" i="17"/>
  <c r="L401" i="17"/>
  <c r="K401" i="17" s="1"/>
  <c r="O400" i="17"/>
  <c r="K400" i="17"/>
  <c r="O399" i="17"/>
  <c r="K399" i="17"/>
  <c r="P398" i="17"/>
  <c r="O398" i="17" s="1"/>
  <c r="L398" i="17"/>
  <c r="K398" i="17" s="1"/>
  <c r="O397" i="17"/>
  <c r="K397" i="17"/>
  <c r="P396" i="17"/>
  <c r="O396" i="17" s="1"/>
  <c r="L396" i="17"/>
  <c r="K396" i="17" s="1"/>
  <c r="O395" i="17"/>
  <c r="K395" i="17"/>
  <c r="P394" i="17"/>
  <c r="O394" i="17" s="1"/>
  <c r="L394" i="17"/>
  <c r="K394" i="17" s="1"/>
  <c r="O393" i="17"/>
  <c r="L393" i="17"/>
  <c r="K393" i="17"/>
  <c r="O392" i="17"/>
  <c r="K392" i="17"/>
  <c r="O391" i="17"/>
  <c r="K391" i="17"/>
  <c r="P390" i="17"/>
  <c r="O390" i="17"/>
  <c r="K390" i="17"/>
  <c r="O389" i="17"/>
  <c r="K389" i="17"/>
  <c r="O388" i="17"/>
  <c r="K388" i="17"/>
  <c r="O387" i="17"/>
  <c r="L387" i="17"/>
  <c r="K387" i="17"/>
  <c r="O386" i="17"/>
  <c r="L386" i="17"/>
  <c r="K386" i="17" s="1"/>
  <c r="O385" i="17"/>
  <c r="M385" i="17"/>
  <c r="L385" i="17"/>
  <c r="K385" i="17" s="1"/>
  <c r="P384" i="17"/>
  <c r="O384" i="17" s="1"/>
  <c r="L384" i="17"/>
  <c r="K384" i="17" s="1"/>
  <c r="P383" i="17"/>
  <c r="O383" i="17" s="1"/>
  <c r="K383" i="17"/>
  <c r="O382" i="17"/>
  <c r="K382" i="17"/>
  <c r="O381" i="17"/>
  <c r="K381" i="17"/>
  <c r="O380" i="17"/>
  <c r="K380" i="17"/>
  <c r="O379" i="17"/>
  <c r="K379" i="17"/>
  <c r="O378" i="17"/>
  <c r="K378" i="17"/>
  <c r="P377" i="17"/>
  <c r="O377" i="17"/>
  <c r="L377" i="17"/>
  <c r="K377" i="17"/>
  <c r="O376" i="17"/>
  <c r="L376" i="17"/>
  <c r="K376" i="17" s="1"/>
  <c r="O375" i="17"/>
  <c r="K375" i="17"/>
  <c r="O374" i="17"/>
  <c r="K374" i="17"/>
  <c r="P373" i="17"/>
  <c r="O373" i="17" s="1"/>
  <c r="L373" i="17"/>
  <c r="K373" i="17" s="1"/>
  <c r="P372" i="17"/>
  <c r="O372" i="17" s="1"/>
  <c r="L372" i="17"/>
  <c r="K372" i="17" s="1"/>
  <c r="O371" i="17"/>
  <c r="K371" i="17"/>
  <c r="O370" i="17"/>
  <c r="K370" i="17"/>
  <c r="O369" i="17"/>
  <c r="K369" i="17"/>
  <c r="O368" i="17"/>
  <c r="L368" i="17"/>
  <c r="K368" i="17"/>
  <c r="O367" i="17"/>
  <c r="K367" i="17"/>
  <c r="O366" i="17"/>
  <c r="L366" i="17"/>
  <c r="K366" i="17" s="1"/>
  <c r="O365" i="17"/>
  <c r="K365" i="17"/>
  <c r="O364" i="17"/>
  <c r="K364" i="17"/>
  <c r="P363" i="17"/>
  <c r="O363" i="17" s="1"/>
  <c r="L363" i="17"/>
  <c r="K363" i="17" s="1"/>
  <c r="O362" i="17"/>
  <c r="L362" i="17"/>
  <c r="K362" i="17"/>
  <c r="O361" i="17"/>
  <c r="K361" i="17"/>
  <c r="O360" i="17"/>
  <c r="K360" i="17"/>
  <c r="O359" i="17"/>
  <c r="K359" i="17"/>
  <c r="P358" i="17"/>
  <c r="O358" i="17"/>
  <c r="L358" i="17"/>
  <c r="K358" i="17"/>
  <c r="O357" i="17"/>
  <c r="K357" i="17"/>
  <c r="Q356" i="17"/>
  <c r="P356" i="17"/>
  <c r="O356" i="17" s="1"/>
  <c r="K356" i="17"/>
  <c r="O355" i="17"/>
  <c r="L355" i="17"/>
  <c r="K355" i="17" s="1"/>
  <c r="O354" i="17"/>
  <c r="K354" i="17"/>
  <c r="O353" i="17"/>
  <c r="K353" i="17"/>
  <c r="P352" i="17"/>
  <c r="O352" i="17" s="1"/>
  <c r="M352" i="17"/>
  <c r="L352" i="17"/>
  <c r="K352" i="17"/>
  <c r="O351" i="17"/>
  <c r="M351" i="17"/>
  <c r="L351" i="17"/>
  <c r="K351" i="17"/>
  <c r="O350" i="17"/>
  <c r="K350" i="17"/>
  <c r="O349" i="17"/>
  <c r="L349" i="17"/>
  <c r="K349" i="17" s="1"/>
  <c r="O348" i="17"/>
  <c r="K348" i="17"/>
  <c r="P347" i="17"/>
  <c r="O347" i="17" s="1"/>
  <c r="K347" i="17"/>
  <c r="O346" i="17"/>
  <c r="K346" i="17"/>
  <c r="O345" i="17"/>
  <c r="K345" i="17"/>
  <c r="O344" i="17"/>
  <c r="L344" i="17"/>
  <c r="K344" i="17" s="1"/>
  <c r="Q343" i="17"/>
  <c r="P343" i="17"/>
  <c r="O343" i="17"/>
  <c r="M343" i="17"/>
  <c r="L343" i="17"/>
  <c r="K343" i="17" s="1"/>
  <c r="P342" i="17"/>
  <c r="O342" i="17" s="1"/>
  <c r="L342" i="17"/>
  <c r="K342" i="17" s="1"/>
  <c r="P341" i="17"/>
  <c r="O341" i="17" s="1"/>
  <c r="K341" i="17"/>
  <c r="O340" i="17"/>
  <c r="K340" i="17"/>
  <c r="O339" i="17"/>
  <c r="K339" i="17"/>
  <c r="O338" i="17"/>
  <c r="L338" i="17"/>
  <c r="K338" i="17" s="1"/>
  <c r="P337" i="17"/>
  <c r="O337" i="17" s="1"/>
  <c r="L337" i="17"/>
  <c r="K337" i="17" s="1"/>
  <c r="O336" i="17"/>
  <c r="K336" i="17"/>
  <c r="O335" i="17"/>
  <c r="K335" i="17"/>
  <c r="O334" i="17"/>
  <c r="K334" i="17"/>
  <c r="O333" i="17"/>
  <c r="M333" i="17"/>
  <c r="L333" i="17"/>
  <c r="K333" i="17" s="1"/>
  <c r="O332" i="17"/>
  <c r="L332" i="17"/>
  <c r="K332" i="17"/>
  <c r="O331" i="17"/>
  <c r="K331" i="17"/>
  <c r="O330" i="17"/>
  <c r="L330" i="17"/>
  <c r="K330" i="17" s="1"/>
  <c r="O329" i="17"/>
  <c r="K329" i="17"/>
  <c r="P328" i="17"/>
  <c r="O328" i="17" s="1"/>
  <c r="M328" i="17"/>
  <c r="L328" i="17"/>
  <c r="K328" i="17"/>
  <c r="O327" i="17"/>
  <c r="K327" i="17"/>
  <c r="P326" i="17"/>
  <c r="O326" i="17"/>
  <c r="K326" i="17"/>
  <c r="O325" i="17"/>
  <c r="K325" i="17"/>
  <c r="O324" i="17"/>
  <c r="K324" i="17"/>
  <c r="O323" i="17"/>
  <c r="K323" i="17"/>
  <c r="O322" i="17"/>
  <c r="K322" i="17"/>
  <c r="P321" i="17"/>
  <c r="O321" i="17" s="1"/>
  <c r="K321" i="17"/>
  <c r="P320" i="17"/>
  <c r="O320" i="17"/>
  <c r="K320" i="17"/>
  <c r="O319" i="17"/>
  <c r="K319" i="17"/>
  <c r="O318" i="17"/>
  <c r="K318" i="17"/>
  <c r="P317" i="17"/>
  <c r="O317" i="17" s="1"/>
  <c r="L317" i="17"/>
  <c r="K317" i="17" s="1"/>
  <c r="P316" i="17"/>
  <c r="O316" i="17" s="1"/>
  <c r="L316" i="17"/>
  <c r="K316" i="17" s="1"/>
  <c r="O315" i="17"/>
  <c r="K315" i="17"/>
  <c r="O314" i="17"/>
  <c r="M314" i="17"/>
  <c r="L314" i="17"/>
  <c r="K314" i="17" s="1"/>
  <c r="O313" i="17"/>
  <c r="K313" i="17"/>
  <c r="O312" i="17"/>
  <c r="K312" i="17"/>
  <c r="O311" i="17"/>
  <c r="K311" i="17"/>
  <c r="O310" i="17"/>
  <c r="K310" i="17"/>
  <c r="P309" i="17"/>
  <c r="O309" i="17" s="1"/>
  <c r="L309" i="17"/>
  <c r="K309" i="17" s="1"/>
  <c r="O308" i="17"/>
  <c r="L308" i="17"/>
  <c r="K308" i="17"/>
  <c r="O307" i="17"/>
  <c r="K307" i="17"/>
  <c r="O306" i="17"/>
  <c r="K306" i="17"/>
  <c r="P305" i="17"/>
  <c r="O305" i="17"/>
  <c r="L305" i="17"/>
  <c r="K305" i="17"/>
  <c r="O304" i="17"/>
  <c r="L304" i="17"/>
  <c r="K304" i="17" s="1"/>
  <c r="O303" i="17"/>
  <c r="K303" i="17"/>
  <c r="O302" i="17"/>
  <c r="K302" i="17"/>
  <c r="O301" i="17"/>
  <c r="K301" i="17"/>
  <c r="P300" i="17"/>
  <c r="O300" i="17" s="1"/>
  <c r="L300" i="17"/>
  <c r="K300" i="17" s="1"/>
  <c r="O299" i="17"/>
  <c r="K299" i="17"/>
  <c r="P298" i="17"/>
  <c r="O298" i="17" s="1"/>
  <c r="K298" i="17"/>
  <c r="O297" i="17"/>
  <c r="K297" i="17"/>
  <c r="O296" i="17"/>
  <c r="K296" i="17"/>
  <c r="O295" i="17"/>
  <c r="K295" i="17"/>
  <c r="O294" i="17"/>
  <c r="K294" i="17"/>
  <c r="O293" i="17"/>
  <c r="K293" i="17"/>
  <c r="O292" i="17"/>
  <c r="K292" i="17"/>
  <c r="O291" i="17"/>
  <c r="K291" i="17"/>
  <c r="O290" i="17"/>
  <c r="K290" i="17"/>
  <c r="O289" i="17"/>
  <c r="K289" i="17"/>
  <c r="O288" i="17"/>
  <c r="K288" i="17"/>
  <c r="O287" i="17"/>
  <c r="K287" i="17"/>
  <c r="O286" i="17"/>
  <c r="K286" i="17"/>
  <c r="O285" i="17"/>
  <c r="K285" i="17"/>
  <c r="O284" i="17"/>
  <c r="K284" i="17"/>
  <c r="O283" i="17"/>
  <c r="K283" i="17"/>
  <c r="O282" i="17"/>
  <c r="K282" i="17"/>
  <c r="O281" i="17"/>
  <c r="K281" i="17"/>
  <c r="O280" i="17"/>
  <c r="K280" i="17"/>
  <c r="O279" i="17"/>
  <c r="L279" i="17"/>
  <c r="K279" i="17" s="1"/>
  <c r="O278" i="17"/>
  <c r="K278" i="17"/>
  <c r="O277" i="17"/>
  <c r="K277" i="17"/>
  <c r="O276" i="17"/>
  <c r="L276" i="17"/>
  <c r="K276" i="17"/>
  <c r="O275" i="17"/>
  <c r="K275" i="17"/>
  <c r="O274" i="17"/>
  <c r="K274" i="17"/>
  <c r="O273" i="17"/>
  <c r="L273" i="17"/>
  <c r="K273" i="17" s="1"/>
  <c r="O272" i="17"/>
  <c r="M272" i="17"/>
  <c r="L272" i="17"/>
  <c r="K272" i="17" s="1"/>
  <c r="O271" i="17"/>
  <c r="K271" i="17"/>
  <c r="O270" i="17"/>
  <c r="K270" i="17"/>
  <c r="P269" i="17"/>
  <c r="O269" i="17" s="1"/>
  <c r="K269" i="17"/>
  <c r="Q268" i="17" l="1"/>
  <c r="M267" i="17"/>
  <c r="M266" i="17"/>
  <c r="Q265" i="17"/>
  <c r="M265" i="17"/>
  <c r="Q264" i="17"/>
  <c r="M264" i="17"/>
  <c r="Q263" i="17"/>
  <c r="M263" i="17"/>
  <c r="Q262" i="17"/>
  <c r="M262" i="17"/>
  <c r="Q261" i="17"/>
  <c r="M261" i="17"/>
  <c r="Q260" i="17"/>
  <c r="M260" i="17"/>
  <c r="A260" i="17"/>
  <c r="Q259" i="17"/>
  <c r="M259" i="17"/>
  <c r="A259" i="17"/>
  <c r="Q258" i="17"/>
  <c r="A248" i="17" l="1"/>
  <c r="A249" i="17" s="1"/>
  <c r="A250" i="17" s="1"/>
  <c r="A251" i="17" s="1"/>
  <c r="Q237" i="17" l="1"/>
  <c r="M237" i="17"/>
  <c r="Q236" i="17"/>
  <c r="M236" i="17"/>
  <c r="Q235" i="17"/>
  <c r="M235" i="17"/>
  <c r="P233" i="17"/>
  <c r="Q233" i="17" s="1"/>
  <c r="L233" i="17"/>
  <c r="K233" i="17"/>
  <c r="M233" i="17" s="1"/>
  <c r="Q232" i="17"/>
  <c r="L232" i="17"/>
  <c r="M232" i="17" s="1"/>
  <c r="P231" i="17"/>
  <c r="O231" i="17"/>
  <c r="Q231" i="17" s="1"/>
  <c r="M231" i="17"/>
  <c r="Q230" i="17"/>
  <c r="L230" i="17"/>
  <c r="K230" i="17"/>
  <c r="M230" i="17" s="1"/>
  <c r="P229" i="17"/>
  <c r="O229" i="17"/>
  <c r="Q229" i="17" s="1"/>
  <c r="L229" i="17"/>
  <c r="K229" i="17"/>
  <c r="M229" i="17" s="1"/>
  <c r="Q228" i="17"/>
  <c r="L228" i="17"/>
  <c r="K228" i="17"/>
  <c r="M228" i="17" s="1"/>
  <c r="Q227" i="17"/>
  <c r="L227" i="17"/>
  <c r="K227" i="17"/>
  <c r="M227" i="17" s="1"/>
  <c r="L226" i="17"/>
  <c r="K226" i="17"/>
  <c r="M226" i="17" s="1"/>
  <c r="P225" i="17"/>
  <c r="O225" i="17"/>
  <c r="Q225" i="17" s="1"/>
  <c r="L225" i="17"/>
  <c r="K225" i="17"/>
  <c r="M225" i="17" s="1"/>
  <c r="Q224" i="17"/>
  <c r="P224" i="17"/>
  <c r="M224" i="17"/>
  <c r="K224" i="17"/>
  <c r="Q223" i="17"/>
  <c r="L223" i="17"/>
  <c r="K223" i="17"/>
  <c r="M223" i="17" s="1"/>
  <c r="L222" i="17"/>
  <c r="K222" i="17"/>
  <c r="M222" i="17" s="1"/>
  <c r="Q221" i="17"/>
  <c r="M221" i="17"/>
  <c r="P220" i="17"/>
  <c r="O220" i="17"/>
  <c r="Q220" i="17" s="1"/>
  <c r="L220" i="17"/>
  <c r="K220" i="17"/>
  <c r="M220" i="17" s="1"/>
  <c r="M219" i="17"/>
  <c r="M218" i="17"/>
  <c r="M217" i="17"/>
  <c r="P216" i="17"/>
  <c r="O216" i="17"/>
  <c r="Q216" i="17" s="1"/>
  <c r="M216" i="17"/>
  <c r="P215" i="17"/>
  <c r="O215" i="17"/>
  <c r="Q215" i="17" s="1"/>
  <c r="M215" i="17"/>
  <c r="Q214" i="17"/>
  <c r="L214" i="17"/>
  <c r="M214" i="17" s="1"/>
  <c r="Q213" i="17"/>
  <c r="L213" i="17"/>
  <c r="K213" i="17"/>
  <c r="M213" i="17" s="1"/>
  <c r="Q212" i="17"/>
  <c r="L212" i="17"/>
  <c r="K212" i="17"/>
  <c r="M212" i="17" s="1"/>
  <c r="Q211" i="17"/>
  <c r="L211" i="17"/>
  <c r="K211" i="17"/>
  <c r="M211" i="17" s="1"/>
  <c r="Q210" i="17"/>
  <c r="Q209" i="17"/>
  <c r="L209" i="17"/>
  <c r="K209" i="17"/>
  <c r="M209" i="17" s="1"/>
  <c r="Q208" i="17"/>
  <c r="L208" i="17"/>
  <c r="M208" i="17" s="1"/>
  <c r="Q207" i="17"/>
  <c r="L207" i="17"/>
  <c r="K207" i="17"/>
  <c r="M207" i="17" s="1"/>
  <c r="Q206" i="17"/>
  <c r="L206" i="17"/>
  <c r="K206" i="17"/>
  <c r="M206" i="17" s="1"/>
  <c r="P205" i="17"/>
  <c r="Q205" i="17" s="1"/>
  <c r="L205" i="17"/>
  <c r="K205" i="17"/>
  <c r="M205" i="17" s="1"/>
  <c r="Q204" i="17"/>
  <c r="M204" i="17"/>
  <c r="Q203" i="17"/>
  <c r="M203" i="17"/>
  <c r="P202" i="17"/>
  <c r="O202" i="17"/>
  <c r="Q202" i="17" s="1"/>
  <c r="L202" i="17"/>
  <c r="K202" i="17"/>
  <c r="M202" i="17" s="1"/>
  <c r="Q201" i="17"/>
  <c r="L201" i="17"/>
  <c r="K201" i="17"/>
  <c r="M201" i="17" s="1"/>
  <c r="Q200" i="17"/>
  <c r="Q199" i="17"/>
  <c r="M199" i="17"/>
  <c r="L199" i="17"/>
  <c r="P198" i="17"/>
  <c r="O198" i="17"/>
  <c r="Q198" i="17" s="1"/>
  <c r="L198" i="17"/>
  <c r="K198" i="17"/>
  <c r="M198" i="17" s="1"/>
  <c r="Q197" i="17"/>
  <c r="L197" i="17"/>
  <c r="K197" i="17"/>
  <c r="M197" i="17" s="1"/>
  <c r="Q196" i="17"/>
  <c r="L196" i="17"/>
  <c r="K196" i="17"/>
  <c r="M196" i="17" s="1"/>
  <c r="P195" i="17"/>
  <c r="O195" i="17"/>
  <c r="Q195" i="17" s="1"/>
  <c r="L195" i="17"/>
  <c r="K195" i="17"/>
  <c r="M195" i="17" s="1"/>
  <c r="Q194" i="17"/>
  <c r="L194" i="17"/>
  <c r="K194" i="17"/>
  <c r="M194" i="17" s="1"/>
  <c r="Q193" i="17"/>
  <c r="L193" i="17"/>
  <c r="K193" i="17"/>
  <c r="M193" i="17" s="1"/>
  <c r="P191" i="17"/>
  <c r="O191" i="17"/>
  <c r="Q191" i="17" s="1"/>
  <c r="L191" i="17"/>
  <c r="K191" i="17"/>
  <c r="M191" i="17" s="1"/>
  <c r="Q190" i="17"/>
  <c r="L190" i="17"/>
  <c r="K190" i="17"/>
  <c r="M190" i="17" s="1"/>
  <c r="Q189" i="17"/>
  <c r="L189" i="17"/>
  <c r="K189" i="17"/>
  <c r="M189" i="17" s="1"/>
  <c r="Q188" i="17"/>
  <c r="L188" i="17"/>
  <c r="K188" i="17"/>
  <c r="M188" i="17" s="1"/>
  <c r="Q187" i="17"/>
  <c r="P187" i="17"/>
  <c r="L187" i="17"/>
  <c r="K187" i="17"/>
  <c r="M187" i="17" s="1"/>
  <c r="Q186" i="17" l="1"/>
  <c r="M186" i="17"/>
  <c r="Q185" i="17"/>
  <c r="M185" i="17"/>
  <c r="Q184" i="17"/>
  <c r="M184" i="17"/>
  <c r="Q183" i="17"/>
  <c r="M183" i="17"/>
  <c r="Q182" i="17"/>
  <c r="M182" i="17"/>
  <c r="Q181" i="17"/>
  <c r="M181" i="17"/>
  <c r="Q180" i="17"/>
  <c r="M180" i="17"/>
  <c r="Q179" i="17"/>
  <c r="M179" i="17"/>
  <c r="Q178" i="17"/>
  <c r="M178" i="17"/>
  <c r="Q177" i="17"/>
  <c r="M177" i="17"/>
  <c r="Q176" i="17"/>
  <c r="M176" i="17"/>
  <c r="Q175" i="17"/>
  <c r="M175" i="17"/>
  <c r="Q174" i="17"/>
  <c r="M174" i="17"/>
  <c r="Q173" i="17"/>
  <c r="M173" i="17"/>
  <c r="Q172" i="17"/>
  <c r="M172" i="17"/>
  <c r="Q171" i="17"/>
  <c r="M171" i="17"/>
  <c r="Q170" i="17"/>
  <c r="M170" i="17"/>
  <c r="Q169" i="17"/>
  <c r="M169" i="17"/>
  <c r="Q168" i="17"/>
  <c r="M168" i="17"/>
  <c r="Q167" i="17"/>
  <c r="M167" i="17"/>
  <c r="Q166" i="17"/>
  <c r="M166" i="17"/>
  <c r="Q165" i="17"/>
  <c r="M165" i="17"/>
  <c r="Q164" i="17"/>
  <c r="M164" i="17"/>
  <c r="Q163" i="17"/>
  <c r="M163" i="17"/>
  <c r="Q162" i="17"/>
  <c r="M162" i="17"/>
  <c r="Q161" i="17"/>
  <c r="M161" i="17"/>
  <c r="Q160" i="17"/>
  <c r="M160" i="17"/>
  <c r="Q159" i="17"/>
  <c r="M159" i="17"/>
  <c r="Q158" i="17"/>
  <c r="M158" i="17"/>
  <c r="Q157" i="17"/>
  <c r="M157" i="17"/>
  <c r="Q156" i="17"/>
  <c r="M156" i="17"/>
  <c r="Q155" i="17"/>
  <c r="M155" i="17"/>
  <c r="Q154" i="17"/>
  <c r="M154" i="17"/>
  <c r="Q153" i="17"/>
  <c r="M153" i="17"/>
  <c r="Q152" i="17"/>
  <c r="M152" i="17"/>
  <c r="Q151" i="17"/>
  <c r="M151" i="17"/>
  <c r="Q150" i="17"/>
  <c r="M150" i="17"/>
  <c r="Q149" i="17"/>
  <c r="M149" i="17"/>
  <c r="Q148" i="17"/>
  <c r="M148" i="17"/>
  <c r="Q147" i="17"/>
  <c r="M147" i="17"/>
  <c r="Q146" i="17"/>
  <c r="M146" i="17"/>
  <c r="Q145" i="17"/>
  <c r="M145" i="17"/>
  <c r="Q144" i="17"/>
  <c r="M144" i="17"/>
  <c r="Q143" i="17"/>
  <c r="M143" i="17"/>
  <c r="Q142" i="17"/>
  <c r="M142" i="17"/>
  <c r="Q141" i="17"/>
  <c r="M141" i="17"/>
  <c r="Q140" i="17"/>
  <c r="M140" i="17"/>
  <c r="Q139" i="17"/>
  <c r="M139" i="17"/>
  <c r="Q138" i="17"/>
  <c r="M138" i="17"/>
  <c r="M137" i="17"/>
  <c r="M136" i="17"/>
  <c r="Q135" i="17"/>
  <c r="M135" i="17"/>
  <c r="Q134" i="17"/>
  <c r="M134" i="17"/>
  <c r="Q133" i="17"/>
  <c r="M133" i="17"/>
  <c r="Q132" i="17"/>
  <c r="M132" i="17"/>
  <c r="Q131" i="17"/>
  <c r="M131" i="17"/>
  <c r="Q130" i="17"/>
  <c r="M130" i="17"/>
  <c r="Q129" i="17"/>
  <c r="M129" i="17"/>
  <c r="A129" i="17"/>
  <c r="A130" i="17" s="1"/>
  <c r="Q128" i="17"/>
  <c r="A118" i="17"/>
  <c r="A119" i="17" s="1"/>
  <c r="A120" i="17" s="1"/>
  <c r="A121" i="17" s="1"/>
  <c r="Q107" i="17"/>
  <c r="M107" i="17"/>
  <c r="Q106" i="17"/>
  <c r="M106" i="17"/>
  <c r="Q105" i="17"/>
  <c r="M105" i="17"/>
  <c r="P103" i="17"/>
  <c r="Q103" i="17" s="1"/>
  <c r="L103" i="17"/>
  <c r="K103" i="17"/>
  <c r="M103" i="17" s="1"/>
  <c r="Q102" i="17"/>
  <c r="L102" i="17"/>
  <c r="M102" i="17" s="1"/>
  <c r="P101" i="17"/>
  <c r="O101" i="17"/>
  <c r="Q101" i="17" s="1"/>
  <c r="M101" i="17"/>
  <c r="Q100" i="17"/>
  <c r="L100" i="17"/>
  <c r="K100" i="17"/>
  <c r="M100" i="17" s="1"/>
  <c r="P99" i="17"/>
  <c r="O99" i="17"/>
  <c r="Q99" i="17" s="1"/>
  <c r="L99" i="17"/>
  <c r="K99" i="17"/>
  <c r="M99" i="17" s="1"/>
  <c r="Q98" i="17"/>
  <c r="L98" i="17"/>
  <c r="K98" i="17"/>
  <c r="Q97" i="17"/>
  <c r="L97" i="17"/>
  <c r="K97" i="17"/>
  <c r="M97" i="17" s="1"/>
  <c r="K96" i="17"/>
  <c r="M96" i="17" s="1"/>
  <c r="P95" i="17"/>
  <c r="O95" i="17"/>
  <c r="L95" i="17"/>
  <c r="K95" i="17"/>
  <c r="P94" i="17"/>
  <c r="Q94" i="17" s="1"/>
  <c r="K94" i="17"/>
  <c r="M94" i="17" s="1"/>
  <c r="Q93" i="17"/>
  <c r="L93" i="17"/>
  <c r="K93" i="17"/>
  <c r="M93" i="17" s="1"/>
  <c r="L92" i="17"/>
  <c r="K92" i="17"/>
  <c r="M92" i="17" s="1"/>
  <c r="Q91" i="17"/>
  <c r="M91" i="17"/>
  <c r="P90" i="17"/>
  <c r="O90" i="17"/>
  <c r="Q90" i="17" s="1"/>
  <c r="L90" i="17"/>
  <c r="K90" i="17"/>
  <c r="M90" i="17" s="1"/>
  <c r="M89" i="17"/>
  <c r="M88" i="17"/>
  <c r="M87" i="17"/>
  <c r="P86" i="17"/>
  <c r="O86" i="17"/>
  <c r="M86" i="17"/>
  <c r="O85" i="17"/>
  <c r="Q85" i="17" s="1"/>
  <c r="M85" i="17"/>
  <c r="Q84" i="17"/>
  <c r="L84" i="17"/>
  <c r="M84" i="17" s="1"/>
  <c r="Q83" i="17"/>
  <c r="L83" i="17"/>
  <c r="K83" i="17"/>
  <c r="Q82" i="17"/>
  <c r="K82" i="17"/>
  <c r="M82" i="17" s="1"/>
  <c r="Q81" i="17"/>
  <c r="L81" i="17"/>
  <c r="K81" i="17"/>
  <c r="M81" i="17" s="1"/>
  <c r="Q80" i="17"/>
  <c r="Q79" i="17"/>
  <c r="K79" i="17"/>
  <c r="M79" i="17" s="1"/>
  <c r="Q78" i="17"/>
  <c r="L78" i="17"/>
  <c r="M78" i="17" s="1"/>
  <c r="Q77" i="17"/>
  <c r="L77" i="17"/>
  <c r="K77" i="17"/>
  <c r="M77" i="17" s="1"/>
  <c r="Q76" i="17"/>
  <c r="L76" i="17"/>
  <c r="K76" i="17"/>
  <c r="P75" i="17"/>
  <c r="Q75" i="17" s="1"/>
  <c r="L75" i="17"/>
  <c r="K75" i="17"/>
  <c r="M75" i="17" s="1"/>
  <c r="Q74" i="17"/>
  <c r="M74" i="17"/>
  <c r="Q73" i="17"/>
  <c r="M73" i="17"/>
  <c r="P72" i="17"/>
  <c r="O72" i="17"/>
  <c r="Q72" i="17" s="1"/>
  <c r="L72" i="17"/>
  <c r="K72" i="17"/>
  <c r="M72" i="17" s="1"/>
  <c r="Q71" i="17"/>
  <c r="L71" i="17"/>
  <c r="K71" i="17"/>
  <c r="Q70" i="17"/>
  <c r="Q69" i="17"/>
  <c r="M69" i="17"/>
  <c r="L69" i="17"/>
  <c r="P68" i="17"/>
  <c r="O68" i="17"/>
  <c r="L68" i="17"/>
  <c r="K68" i="17"/>
  <c r="Q67" i="17"/>
  <c r="L67" i="17"/>
  <c r="K67" i="17"/>
  <c r="M67" i="17" s="1"/>
  <c r="Q66" i="17"/>
  <c r="L66" i="17"/>
  <c r="K66" i="17"/>
  <c r="P65" i="17"/>
  <c r="O65" i="17"/>
  <c r="L65" i="17"/>
  <c r="K65" i="17"/>
  <c r="Q64" i="17"/>
  <c r="L64" i="17"/>
  <c r="K64" i="17"/>
  <c r="M64" i="17" s="1"/>
  <c r="Q63" i="17"/>
  <c r="L63" i="17"/>
  <c r="K63" i="17"/>
  <c r="P61" i="17"/>
  <c r="O61" i="17"/>
  <c r="L61" i="17"/>
  <c r="K61" i="17"/>
  <c r="Q60" i="17"/>
  <c r="L60" i="17"/>
  <c r="K60" i="17"/>
  <c r="M60" i="17" s="1"/>
  <c r="Q59" i="17"/>
  <c r="L59" i="17"/>
  <c r="K59" i="17"/>
  <c r="Q58" i="17"/>
  <c r="L58" i="17"/>
  <c r="K58" i="17"/>
  <c r="M58" i="17" s="1"/>
  <c r="P57" i="17"/>
  <c r="Q57" i="17" s="1"/>
  <c r="L57" i="17"/>
  <c r="K57" i="17"/>
  <c r="M57" i="17" s="1"/>
  <c r="Q52" i="17"/>
  <c r="M52" i="17"/>
  <c r="Q51" i="17"/>
  <c r="M51" i="17"/>
  <c r="Q50" i="17"/>
  <c r="M50" i="17"/>
  <c r="Q49" i="17"/>
  <c r="M49" i="17"/>
  <c r="Q48" i="17"/>
  <c r="M48" i="17"/>
  <c r="Q47" i="17"/>
  <c r="M47" i="17"/>
  <c r="Q46" i="17"/>
  <c r="M46" i="17"/>
  <c r="Q45" i="17"/>
  <c r="M45" i="17"/>
  <c r="Q44" i="17"/>
  <c r="M44" i="17"/>
  <c r="Q43" i="17"/>
  <c r="M43" i="17"/>
  <c r="Q42" i="17"/>
  <c r="M42" i="17"/>
  <c r="Q41" i="17"/>
  <c r="M41" i="17"/>
  <c r="Q40" i="17"/>
  <c r="M40" i="17"/>
  <c r="Q39" i="17"/>
  <c r="M39" i="17"/>
  <c r="Q38" i="17"/>
  <c r="M38" i="17"/>
  <c r="Q37" i="17"/>
  <c r="M37" i="17"/>
  <c r="Q36" i="17"/>
  <c r="M36" i="17"/>
  <c r="Q35" i="17"/>
  <c r="M35" i="17"/>
  <c r="Q34" i="17"/>
  <c r="M34" i="17"/>
  <c r="Q33" i="17"/>
  <c r="M33" i="17"/>
  <c r="Q32" i="17"/>
  <c r="M32" i="17"/>
  <c r="Q31" i="17"/>
  <c r="M31" i="17"/>
  <c r="Q30" i="17"/>
  <c r="M30" i="17"/>
  <c r="Q29" i="17"/>
  <c r="M29" i="17"/>
  <c r="Q28" i="17"/>
  <c r="M28" i="17"/>
  <c r="Q27" i="17"/>
  <c r="M27" i="17"/>
  <c r="Q26" i="17"/>
  <c r="M26" i="17"/>
  <c r="Q25" i="17"/>
  <c r="M25" i="17"/>
  <c r="Q24" i="17"/>
  <c r="M24" i="17"/>
  <c r="Q23" i="17"/>
  <c r="M23" i="17"/>
  <c r="Q22" i="17"/>
  <c r="M22" i="17"/>
  <c r="Q21" i="17"/>
  <c r="M21" i="17"/>
  <c r="Q20" i="17"/>
  <c r="M20" i="17"/>
  <c r="Q19" i="17"/>
  <c r="M19" i="17"/>
  <c r="Q18" i="17"/>
  <c r="M18" i="17"/>
  <c r="Q17" i="17"/>
  <c r="M17" i="17"/>
  <c r="Q16" i="17"/>
  <c r="M16" i="17"/>
  <c r="Q15" i="17"/>
  <c r="M15" i="17"/>
  <c r="Q14" i="17"/>
  <c r="M14" i="17"/>
  <c r="Q13" i="17"/>
  <c r="M13" i="17"/>
  <c r="Q12" i="17"/>
  <c r="M12" i="17"/>
  <c r="Q11" i="17"/>
  <c r="M11" i="17"/>
  <c r="Q10" i="17"/>
  <c r="M10" i="17"/>
  <c r="Q9" i="17"/>
  <c r="M9" i="17"/>
  <c r="M59" i="17" l="1"/>
  <c r="M61" i="17"/>
  <c r="Q61" i="17"/>
  <c r="M63" i="17"/>
  <c r="M65" i="17"/>
  <c r="Q65" i="17"/>
  <c r="M66" i="17"/>
  <c r="M68" i="17"/>
  <c r="Q68" i="17"/>
  <c r="M71" i="17"/>
  <c r="M76" i="17"/>
  <c r="M83" i="17"/>
  <c r="Q86" i="17"/>
  <c r="M95" i="17"/>
  <c r="Q95" i="17"/>
  <c r="M98" i="17"/>
  <c r="A270" i="16"/>
  <c r="A271" i="16"/>
  <c r="A272" i="16" s="1"/>
  <c r="A273" i="16" s="1"/>
  <c r="A274" i="16" s="1"/>
  <c r="A275" i="16" s="1"/>
  <c r="A276" i="16" s="1"/>
  <c r="A277" i="16" s="1"/>
  <c r="A278" i="16" s="1"/>
  <c r="A279" i="16" s="1"/>
  <c r="A280" i="16" s="1"/>
  <c r="A281" i="16" s="1"/>
  <c r="A282" i="16" s="1"/>
  <c r="A283" i="16" s="1"/>
  <c r="A284" i="16" s="1"/>
  <c r="A285" i="16" s="1"/>
  <c r="A286" i="16" s="1"/>
  <c r="A287" i="16" s="1"/>
  <c r="A288" i="16" s="1"/>
  <c r="A289" i="16" s="1"/>
  <c r="A290" i="16" s="1"/>
  <c r="A291" i="16" s="1"/>
  <c r="A292" i="16" s="1"/>
  <c r="A293" i="16" s="1"/>
  <c r="A294" i="16" s="1"/>
  <c r="A295" i="16" s="1"/>
  <c r="A296" i="16" s="1"/>
  <c r="A297" i="16" s="1"/>
  <c r="A298" i="16" s="1"/>
  <c r="A299" i="16" s="1"/>
  <c r="A300" i="16" s="1"/>
  <c r="A301" i="16" s="1"/>
  <c r="A302" i="16" s="1"/>
  <c r="A303" i="16" s="1"/>
  <c r="A304" i="16" s="1"/>
  <c r="A305" i="16" s="1"/>
  <c r="A306" i="16" s="1"/>
  <c r="A307" i="16" s="1"/>
  <c r="A308" i="16" s="1"/>
  <c r="A309" i="16" s="1"/>
  <c r="A310" i="16" s="1"/>
  <c r="A311" i="16" s="1"/>
  <c r="A312" i="16" s="1"/>
  <c r="A313" i="16" s="1"/>
  <c r="A314" i="16" s="1"/>
  <c r="A315" i="16" s="1"/>
  <c r="A316" i="16" s="1"/>
  <c r="A317" i="16" s="1"/>
  <c r="A318" i="16" s="1"/>
  <c r="A319" i="16" s="1"/>
  <c r="A320" i="16" s="1"/>
  <c r="A321" i="16" s="1"/>
  <c r="A322" i="16" s="1"/>
  <c r="A323" i="16" s="1"/>
  <c r="A324" i="16" s="1"/>
  <c r="A325" i="16" s="1"/>
  <c r="A326" i="16" s="1"/>
  <c r="A327" i="16" s="1"/>
  <c r="A328" i="16" s="1"/>
  <c r="A329" i="16" s="1"/>
  <c r="A330" i="16" s="1"/>
  <c r="A331" i="16" s="1"/>
  <c r="A332" i="16" s="1"/>
  <c r="A333" i="16" s="1"/>
  <c r="A334" i="16" s="1"/>
  <c r="A335" i="16" s="1"/>
  <c r="A336" i="16" s="1"/>
  <c r="A337" i="16" s="1"/>
  <c r="A338" i="16" s="1"/>
  <c r="A339" i="16" s="1"/>
  <c r="A340" i="16" s="1"/>
  <c r="A341" i="16" s="1"/>
  <c r="A342" i="16" s="1"/>
  <c r="A343" i="16" s="1"/>
  <c r="A344" i="16" s="1"/>
  <c r="A345" i="16" s="1"/>
  <c r="A346" i="16" s="1"/>
  <c r="A347" i="16" s="1"/>
  <c r="A348" i="16" s="1"/>
  <c r="A349" i="16" s="1"/>
  <c r="A350" i="16" s="1"/>
  <c r="A351" i="16" s="1"/>
  <c r="A352" i="16" s="1"/>
  <c r="A353" i="16" s="1"/>
  <c r="A354" i="16" s="1"/>
  <c r="A355" i="16" s="1"/>
  <c r="A356" i="16" s="1"/>
  <c r="A357" i="16" s="1"/>
  <c r="A358" i="16" s="1"/>
  <c r="A359" i="16" s="1"/>
  <c r="A360" i="16" s="1"/>
  <c r="A361" i="16" s="1"/>
  <c r="A362" i="16" s="1"/>
  <c r="A363" i="16" s="1"/>
  <c r="A364" i="16" s="1"/>
  <c r="A365" i="16" s="1"/>
  <c r="A366" i="16" s="1"/>
  <c r="A367" i="16" s="1"/>
  <c r="A368" i="16" s="1"/>
  <c r="A369" i="16" s="1"/>
  <c r="A370" i="16" s="1"/>
  <c r="A371" i="16" s="1"/>
  <c r="A372" i="16" s="1"/>
  <c r="A373" i="16" s="1"/>
  <c r="A374" i="16" s="1"/>
  <c r="A375" i="16" s="1"/>
  <c r="A376" i="16" s="1"/>
  <c r="A377" i="16" s="1"/>
  <c r="A378" i="16" s="1"/>
  <c r="A379" i="16" s="1"/>
  <c r="A380" i="16" s="1"/>
  <c r="A381" i="16" s="1"/>
  <c r="A382" i="16" s="1"/>
  <c r="A383" i="16" s="1"/>
  <c r="A384" i="16" s="1"/>
  <c r="A385" i="16" s="1"/>
  <c r="A386" i="16" s="1"/>
  <c r="A387" i="16" s="1"/>
  <c r="A388" i="16" s="1"/>
  <c r="A389" i="16" s="1"/>
  <c r="A390" i="16" s="1"/>
  <c r="A391" i="16" s="1"/>
  <c r="A392" i="16" s="1"/>
  <c r="A393" i="16" s="1"/>
  <c r="A394" i="16" s="1"/>
  <c r="A395" i="16" s="1"/>
  <c r="A396" i="16" s="1"/>
  <c r="A397" i="16" s="1"/>
  <c r="A398" i="16" s="1"/>
  <c r="A399" i="16" s="1"/>
  <c r="A400" i="16" s="1"/>
  <c r="A401" i="16" s="1"/>
  <c r="A402" i="16" s="1"/>
  <c r="A403" i="16" s="1"/>
  <c r="A404" i="16" s="1"/>
  <c r="A405" i="16" s="1"/>
  <c r="A406" i="16" s="1"/>
  <c r="A407" i="16" s="1"/>
  <c r="A408" i="16" s="1"/>
  <c r="A409" i="16" s="1"/>
  <c r="A410" i="16" s="1"/>
  <c r="A411" i="16" s="1"/>
  <c r="A412" i="16" s="1"/>
  <c r="A413" i="16" s="1"/>
  <c r="A414" i="16" s="1"/>
  <c r="A269" i="16"/>
  <c r="O414" i="16"/>
  <c r="K414" i="16"/>
  <c r="O413" i="16"/>
  <c r="K413" i="16"/>
  <c r="O412" i="16"/>
  <c r="K412" i="16"/>
  <c r="O411" i="16"/>
  <c r="K411" i="16"/>
  <c r="O410" i="16"/>
  <c r="K410" i="16"/>
  <c r="O409" i="16"/>
  <c r="K409" i="16"/>
  <c r="O408" i="16"/>
  <c r="K408" i="16"/>
  <c r="O407" i="16"/>
  <c r="K407" i="16"/>
  <c r="O406" i="16"/>
  <c r="L406" i="16"/>
  <c r="K406" i="16" s="1"/>
  <c r="O405" i="16"/>
  <c r="K405" i="16"/>
  <c r="O404" i="16"/>
  <c r="K404" i="16"/>
  <c r="O403" i="16"/>
  <c r="K403" i="16"/>
  <c r="P402" i="16"/>
  <c r="O402" i="16" s="1"/>
  <c r="K402" i="16"/>
  <c r="O401" i="16"/>
  <c r="K401" i="16"/>
  <c r="O400" i="16"/>
  <c r="K400" i="16"/>
  <c r="O399" i="16"/>
  <c r="K399" i="16"/>
  <c r="O398" i="16"/>
  <c r="K398" i="16"/>
  <c r="O397" i="16"/>
  <c r="K397" i="16"/>
  <c r="O396" i="16"/>
  <c r="K396" i="16"/>
  <c r="O395" i="16"/>
  <c r="K395" i="16"/>
  <c r="O394" i="16"/>
  <c r="K394" i="16"/>
  <c r="O393" i="16"/>
  <c r="K393" i="16"/>
  <c r="O392" i="16"/>
  <c r="K392" i="16"/>
  <c r="O391" i="16"/>
  <c r="K391" i="16"/>
  <c r="O390" i="16"/>
  <c r="K390" i="16"/>
  <c r="O389" i="16"/>
  <c r="K389" i="16"/>
  <c r="O388" i="16"/>
  <c r="K388" i="16"/>
  <c r="O387" i="16"/>
  <c r="K387" i="16"/>
  <c r="P386" i="16"/>
  <c r="O386" i="16"/>
  <c r="M386" i="16"/>
  <c r="K386" i="16"/>
  <c r="O385" i="16"/>
  <c r="K385" i="16"/>
  <c r="O384" i="16"/>
  <c r="K384" i="16"/>
  <c r="O383" i="16"/>
  <c r="K383" i="16"/>
  <c r="O382" i="16"/>
  <c r="K382" i="16"/>
  <c r="O381" i="16"/>
  <c r="K381" i="16"/>
  <c r="O380" i="16"/>
  <c r="K380" i="16"/>
  <c r="O379" i="16"/>
  <c r="K379" i="16"/>
  <c r="O378" i="16"/>
  <c r="K378" i="16"/>
  <c r="O377" i="16"/>
  <c r="K377" i="16"/>
  <c r="O376" i="16"/>
  <c r="M376" i="16"/>
  <c r="K376" i="16" s="1"/>
  <c r="O375" i="16"/>
  <c r="M375" i="16"/>
  <c r="K375" i="16"/>
  <c r="O374" i="16"/>
  <c r="K374" i="16"/>
  <c r="O373" i="16"/>
  <c r="K373" i="16"/>
  <c r="O372" i="16"/>
  <c r="K372" i="16"/>
  <c r="O371" i="16"/>
  <c r="K371" i="16"/>
  <c r="O370" i="16"/>
  <c r="K370" i="16"/>
  <c r="O369" i="16"/>
  <c r="K369" i="16"/>
  <c r="O368" i="16"/>
  <c r="K368" i="16"/>
  <c r="O367" i="16"/>
  <c r="M367" i="16"/>
  <c r="L367" i="16"/>
  <c r="K367" i="16"/>
  <c r="O366" i="16"/>
  <c r="K366" i="16"/>
  <c r="O365" i="16"/>
  <c r="K365" i="16"/>
  <c r="O364" i="16"/>
  <c r="K364" i="16"/>
  <c r="O363" i="16"/>
  <c r="K363" i="16"/>
  <c r="O362" i="16"/>
  <c r="K362" i="16"/>
  <c r="O361" i="16"/>
  <c r="K361" i="16"/>
  <c r="O360" i="16"/>
  <c r="K360" i="16"/>
  <c r="O359" i="16"/>
  <c r="K359" i="16"/>
  <c r="O358" i="16"/>
  <c r="K358" i="16"/>
  <c r="O357" i="16"/>
  <c r="K357" i="16"/>
  <c r="O356" i="16"/>
  <c r="K356" i="16"/>
  <c r="O355" i="16"/>
  <c r="K355" i="16"/>
  <c r="O354" i="16"/>
  <c r="K354" i="16"/>
  <c r="O353" i="16"/>
  <c r="K353" i="16"/>
  <c r="O352" i="16"/>
  <c r="K352" i="16"/>
  <c r="O351" i="16"/>
  <c r="K351" i="16"/>
  <c r="O350" i="16"/>
  <c r="K350" i="16"/>
  <c r="O349" i="16"/>
  <c r="K349" i="16"/>
  <c r="O348" i="16"/>
  <c r="K348" i="16"/>
  <c r="O347" i="16"/>
  <c r="K347" i="16"/>
  <c r="O346" i="16"/>
  <c r="K346" i="16"/>
  <c r="P345" i="16"/>
  <c r="O345" i="16"/>
  <c r="K345" i="16"/>
  <c r="O344" i="16"/>
  <c r="K344" i="16"/>
  <c r="O343" i="16"/>
  <c r="K343" i="16"/>
  <c r="O342" i="16"/>
  <c r="K342" i="16"/>
  <c r="O341" i="16"/>
  <c r="K341" i="16"/>
  <c r="O340" i="16"/>
  <c r="K340" i="16"/>
  <c r="P339" i="16"/>
  <c r="O339" i="16" s="1"/>
  <c r="K339" i="16"/>
  <c r="O338" i="16"/>
  <c r="K338" i="16"/>
  <c r="O337" i="16"/>
  <c r="K337" i="16"/>
  <c r="O336" i="16"/>
  <c r="K336" i="16"/>
  <c r="O335" i="16"/>
  <c r="K335" i="16"/>
  <c r="O334" i="16"/>
  <c r="K334" i="16"/>
  <c r="O333" i="16"/>
  <c r="K333" i="16"/>
  <c r="O332" i="16"/>
  <c r="K332" i="16"/>
  <c r="O331" i="16"/>
  <c r="K331" i="16"/>
  <c r="O330" i="16"/>
  <c r="K330" i="16"/>
  <c r="O329" i="16"/>
  <c r="K329" i="16"/>
  <c r="O328" i="16"/>
  <c r="K328" i="16"/>
  <c r="O327" i="16"/>
  <c r="K327" i="16"/>
  <c r="O326" i="16"/>
  <c r="K326" i="16"/>
  <c r="O325" i="16"/>
  <c r="K325" i="16"/>
  <c r="O324" i="16"/>
  <c r="K324" i="16"/>
  <c r="O323" i="16"/>
  <c r="K323" i="16"/>
  <c r="O322" i="16"/>
  <c r="K322" i="16"/>
  <c r="O321" i="16"/>
  <c r="K321" i="16"/>
  <c r="P320" i="16"/>
  <c r="O320" i="16"/>
  <c r="K320" i="16"/>
  <c r="O319" i="16"/>
  <c r="M319" i="16"/>
  <c r="K319" i="16"/>
  <c r="O318" i="16"/>
  <c r="K318" i="16"/>
  <c r="O317" i="16"/>
  <c r="K317" i="16"/>
  <c r="O316" i="16"/>
  <c r="K316" i="16"/>
  <c r="P315" i="16"/>
  <c r="O315" i="16"/>
  <c r="K315" i="16"/>
  <c r="O314" i="16"/>
  <c r="K314" i="16"/>
  <c r="O313" i="16"/>
  <c r="K313" i="16"/>
  <c r="O312" i="16"/>
  <c r="K312" i="16"/>
  <c r="O311" i="16"/>
  <c r="K311" i="16"/>
  <c r="Q310" i="16"/>
  <c r="P310" i="16"/>
  <c r="O310" i="16"/>
  <c r="K310" i="16"/>
  <c r="P309" i="16"/>
  <c r="O309" i="16" s="1"/>
  <c r="K309" i="16"/>
  <c r="O308" i="16"/>
  <c r="K308" i="16"/>
  <c r="O307" i="16"/>
  <c r="K307" i="16"/>
  <c r="O306" i="16"/>
  <c r="K306" i="16"/>
  <c r="O305" i="16"/>
  <c r="K305" i="16"/>
  <c r="O304" i="16"/>
  <c r="K304" i="16"/>
  <c r="O303" i="16"/>
  <c r="K303" i="16"/>
  <c r="O302" i="16"/>
  <c r="K302" i="16"/>
  <c r="O301" i="16"/>
  <c r="K301" i="16"/>
  <c r="O300" i="16"/>
  <c r="K300" i="16"/>
  <c r="O299" i="16"/>
  <c r="K299" i="16"/>
  <c r="O298" i="16"/>
  <c r="K298" i="16"/>
  <c r="P297" i="16"/>
  <c r="O297" i="16"/>
  <c r="K297" i="16"/>
  <c r="O296" i="16"/>
  <c r="K296" i="16"/>
  <c r="O295" i="16"/>
  <c r="K295" i="16"/>
  <c r="O294" i="16"/>
  <c r="K294" i="16"/>
  <c r="O293" i="16"/>
  <c r="K293" i="16"/>
  <c r="O292" i="16"/>
  <c r="K292" i="16"/>
  <c r="O291" i="16"/>
  <c r="K291" i="16"/>
  <c r="O290" i="16"/>
  <c r="K290" i="16"/>
  <c r="O289" i="16"/>
  <c r="K289" i="16"/>
  <c r="O288" i="16"/>
  <c r="K288" i="16"/>
  <c r="O287" i="16"/>
  <c r="K287" i="16"/>
  <c r="O286" i="16"/>
  <c r="K286" i="16"/>
  <c r="O285" i="16"/>
  <c r="K285" i="16"/>
  <c r="O284" i="16"/>
  <c r="K284" i="16"/>
  <c r="O283" i="16"/>
  <c r="K283" i="16"/>
  <c r="O282" i="16"/>
  <c r="K282" i="16"/>
  <c r="O281" i="16"/>
  <c r="K281" i="16"/>
  <c r="O280" i="16"/>
  <c r="K280" i="16"/>
  <c r="O279" i="16"/>
  <c r="K279" i="16"/>
  <c r="O278" i="16"/>
  <c r="M278" i="16"/>
  <c r="K278" i="16"/>
  <c r="O277" i="16"/>
  <c r="K277" i="16"/>
  <c r="O276" i="16"/>
  <c r="K276" i="16"/>
  <c r="O275" i="16"/>
  <c r="K275" i="16"/>
  <c r="O274" i="16"/>
  <c r="K274" i="16"/>
  <c r="O273" i="16"/>
  <c r="K273" i="16"/>
  <c r="O272" i="16"/>
  <c r="L272" i="16"/>
  <c r="K272" i="16" s="1"/>
  <c r="O271" i="16"/>
  <c r="K271" i="16"/>
  <c r="O270" i="16"/>
  <c r="K270" i="16"/>
  <c r="O269" i="16"/>
  <c r="K269" i="16"/>
  <c r="P268" i="16"/>
  <c r="O268" i="16" s="1"/>
  <c r="K268" i="16"/>
  <c r="M267" i="16"/>
  <c r="M266" i="16"/>
  <c r="Q265" i="16"/>
  <c r="M265" i="16"/>
  <c r="Q264" i="16"/>
  <c r="M264" i="16"/>
  <c r="Q263" i="16"/>
  <c r="M263" i="16"/>
  <c r="Q262" i="16"/>
  <c r="M262" i="16"/>
  <c r="Q261" i="16"/>
  <c r="M261" i="16"/>
  <c r="Q260" i="16"/>
  <c r="M260" i="16"/>
  <c r="Q259" i="16"/>
  <c r="M259" i="16"/>
  <c r="A259" i="16"/>
  <c r="A260" i="16" s="1"/>
  <c r="Q258" i="16"/>
  <c r="A239" i="16"/>
  <c r="A240" i="16" s="1"/>
  <c r="A241" i="16" s="1"/>
  <c r="A242" i="16" s="1"/>
  <c r="Q237" i="16" l="1"/>
  <c r="M237" i="16"/>
  <c r="Q236" i="16"/>
  <c r="M236" i="16"/>
  <c r="Q235" i="16"/>
  <c r="M235" i="16"/>
  <c r="P233" i="16"/>
  <c r="Q233" i="16" s="1"/>
  <c r="L233" i="16"/>
  <c r="K233" i="16"/>
  <c r="M233" i="16" s="1"/>
  <c r="Q232" i="16"/>
  <c r="L232" i="16"/>
  <c r="M232" i="16" s="1"/>
  <c r="P231" i="16"/>
  <c r="O231" i="16"/>
  <c r="Q231" i="16" s="1"/>
  <c r="M231" i="16"/>
  <c r="Q230" i="16"/>
  <c r="L230" i="16"/>
  <c r="K230" i="16"/>
  <c r="M230" i="16" s="1"/>
  <c r="P229" i="16"/>
  <c r="O229" i="16"/>
  <c r="Q229" i="16" s="1"/>
  <c r="L229" i="16"/>
  <c r="K229" i="16"/>
  <c r="M229" i="16" s="1"/>
  <c r="Q228" i="16"/>
  <c r="L228" i="16"/>
  <c r="K228" i="16"/>
  <c r="M228" i="16" s="1"/>
  <c r="Q227" i="16"/>
  <c r="L227" i="16"/>
  <c r="K227" i="16"/>
  <c r="M227" i="16" s="1"/>
  <c r="K226" i="16"/>
  <c r="M226" i="16" s="1"/>
  <c r="P225" i="16"/>
  <c r="O225" i="16"/>
  <c r="Q225" i="16" s="1"/>
  <c r="L225" i="16"/>
  <c r="K225" i="16"/>
  <c r="M225" i="16" s="1"/>
  <c r="P224" i="16"/>
  <c r="Q224" i="16" s="1"/>
  <c r="K224" i="16"/>
  <c r="M224" i="16" s="1"/>
  <c r="Q223" i="16"/>
  <c r="L223" i="16"/>
  <c r="K223" i="16"/>
  <c r="M223" i="16" s="1"/>
  <c r="L222" i="16"/>
  <c r="K222" i="16"/>
  <c r="M222" i="16" s="1"/>
  <c r="Q221" i="16"/>
  <c r="M221" i="16"/>
  <c r="P220" i="16"/>
  <c r="O220" i="16"/>
  <c r="Q220" i="16" s="1"/>
  <c r="L220" i="16"/>
  <c r="K220" i="16"/>
  <c r="M220" i="16" s="1"/>
  <c r="M219" i="16"/>
  <c r="M218" i="16"/>
  <c r="M217" i="16"/>
  <c r="P216" i="16"/>
  <c r="O216" i="16"/>
  <c r="Q216" i="16" s="1"/>
  <c r="M216" i="16"/>
  <c r="O215" i="16"/>
  <c r="Q215" i="16" s="1"/>
  <c r="M215" i="16"/>
  <c r="Q214" i="16"/>
  <c r="L214" i="16"/>
  <c r="M214" i="16" s="1"/>
  <c r="Q213" i="16"/>
  <c r="L213" i="16"/>
  <c r="K213" i="16"/>
  <c r="M213" i="16" s="1"/>
  <c r="Q212" i="16"/>
  <c r="M212" i="16"/>
  <c r="K212" i="16"/>
  <c r="Q211" i="16"/>
  <c r="L211" i="16"/>
  <c r="K211" i="16"/>
  <c r="M211" i="16" s="1"/>
  <c r="Q210" i="16"/>
  <c r="Q209" i="16"/>
  <c r="M209" i="16"/>
  <c r="K209" i="16"/>
  <c r="Q208" i="16"/>
  <c r="L208" i="16"/>
  <c r="M208" i="16" s="1"/>
  <c r="Q207" i="16"/>
  <c r="L207" i="16"/>
  <c r="K207" i="16"/>
  <c r="M207" i="16" s="1"/>
  <c r="Q206" i="16"/>
  <c r="L206" i="16"/>
  <c r="K206" i="16"/>
  <c r="M206" i="16" s="1"/>
  <c r="P205" i="16"/>
  <c r="Q205" i="16" s="1"/>
  <c r="L205" i="16"/>
  <c r="K205" i="16"/>
  <c r="M205" i="16" s="1"/>
  <c r="Q204" i="16"/>
  <c r="M204" i="16"/>
  <c r="Q203" i="16"/>
  <c r="M203" i="16"/>
  <c r="P202" i="16"/>
  <c r="O202" i="16"/>
  <c r="Q202" i="16" s="1"/>
  <c r="L202" i="16"/>
  <c r="K202" i="16"/>
  <c r="M202" i="16" s="1"/>
  <c r="Q201" i="16"/>
  <c r="L201" i="16"/>
  <c r="K201" i="16"/>
  <c r="M201" i="16" s="1"/>
  <c r="Q200" i="16"/>
  <c r="Q199" i="16"/>
  <c r="M199" i="16"/>
  <c r="L199" i="16"/>
  <c r="P198" i="16"/>
  <c r="O198" i="16"/>
  <c r="Q198" i="16" s="1"/>
  <c r="L198" i="16"/>
  <c r="K198" i="16"/>
  <c r="M198" i="16" s="1"/>
  <c r="Q197" i="16"/>
  <c r="L197" i="16"/>
  <c r="K197" i="16"/>
  <c r="M197" i="16" s="1"/>
  <c r="Q196" i="16"/>
  <c r="L196" i="16"/>
  <c r="K196" i="16"/>
  <c r="M196" i="16" s="1"/>
  <c r="P195" i="16"/>
  <c r="O195" i="16"/>
  <c r="Q195" i="16" s="1"/>
  <c r="L195" i="16"/>
  <c r="K195" i="16"/>
  <c r="M195" i="16" s="1"/>
  <c r="Q194" i="16"/>
  <c r="L194" i="16"/>
  <c r="K194" i="16"/>
  <c r="M194" i="16" s="1"/>
  <c r="Q193" i="16"/>
  <c r="L193" i="16"/>
  <c r="K193" i="16"/>
  <c r="M193" i="16" s="1"/>
  <c r="P191" i="16"/>
  <c r="O191" i="16"/>
  <c r="Q191" i="16" s="1"/>
  <c r="L191" i="16"/>
  <c r="K191" i="16"/>
  <c r="M191" i="16" s="1"/>
  <c r="Q190" i="16"/>
  <c r="L190" i="16"/>
  <c r="K190" i="16"/>
  <c r="M190" i="16" s="1"/>
  <c r="Q189" i="16"/>
  <c r="L189" i="16"/>
  <c r="K189" i="16"/>
  <c r="M189" i="16" s="1"/>
  <c r="Q188" i="16"/>
  <c r="L188" i="16"/>
  <c r="K188" i="16"/>
  <c r="M188" i="16" s="1"/>
  <c r="Q187" i="16"/>
  <c r="P187" i="16"/>
  <c r="L187" i="16"/>
  <c r="K187" i="16"/>
  <c r="M187" i="16" s="1"/>
  <c r="Q182" i="16" l="1"/>
  <c r="M182" i="16"/>
  <c r="Q181" i="16"/>
  <c r="M181" i="16"/>
  <c r="Q180" i="16"/>
  <c r="M180" i="16"/>
  <c r="Q179" i="16"/>
  <c r="M179" i="16"/>
  <c r="Q178" i="16"/>
  <c r="M178" i="16"/>
  <c r="Q177" i="16"/>
  <c r="M177" i="16"/>
  <c r="Q176" i="16"/>
  <c r="M176" i="16"/>
  <c r="Q175" i="16"/>
  <c r="M175" i="16"/>
  <c r="Q174" i="16"/>
  <c r="M174" i="16"/>
  <c r="Q173" i="16"/>
  <c r="M173" i="16"/>
  <c r="Q172" i="16"/>
  <c r="M172" i="16"/>
  <c r="Q171" i="16"/>
  <c r="M171" i="16"/>
  <c r="Q170" i="16"/>
  <c r="M170" i="16"/>
  <c r="Q169" i="16"/>
  <c r="M169" i="16"/>
  <c r="Q168" i="16"/>
  <c r="M168" i="16"/>
  <c r="Q167" i="16"/>
  <c r="M167" i="16"/>
  <c r="Q166" i="16"/>
  <c r="M166" i="16"/>
  <c r="Q165" i="16"/>
  <c r="M165" i="16"/>
  <c r="Q164" i="16"/>
  <c r="M164" i="16"/>
  <c r="Q163" i="16"/>
  <c r="M163" i="16"/>
  <c r="Q162" i="16"/>
  <c r="M162" i="16"/>
  <c r="Q161" i="16"/>
  <c r="M161" i="16"/>
  <c r="Q160" i="16"/>
  <c r="M160" i="16"/>
  <c r="Q159" i="16"/>
  <c r="M159" i="16"/>
  <c r="Q158" i="16"/>
  <c r="M158" i="16"/>
  <c r="Q157" i="16"/>
  <c r="M157" i="16"/>
  <c r="Q156" i="16"/>
  <c r="M156" i="16"/>
  <c r="Q155" i="16"/>
  <c r="M155" i="16"/>
  <c r="Q154" i="16"/>
  <c r="M154" i="16"/>
  <c r="Q153" i="16"/>
  <c r="M153" i="16"/>
  <c r="Q152" i="16"/>
  <c r="M152" i="16"/>
  <c r="Q151" i="16"/>
  <c r="M151" i="16"/>
  <c r="Q150" i="16"/>
  <c r="M150" i="16"/>
  <c r="Q149" i="16"/>
  <c r="M149" i="16"/>
  <c r="Q148" i="16"/>
  <c r="M148" i="16"/>
  <c r="Q147" i="16"/>
  <c r="M147" i="16"/>
  <c r="Q146" i="16"/>
  <c r="M146" i="16"/>
  <c r="Q145" i="16"/>
  <c r="M145" i="16"/>
  <c r="Q144" i="16"/>
  <c r="M144" i="16"/>
  <c r="Q143" i="16"/>
  <c r="M143" i="16"/>
  <c r="Q142" i="16"/>
  <c r="M142" i="16"/>
  <c r="Q141" i="16"/>
  <c r="M141" i="16"/>
  <c r="Q140" i="16"/>
  <c r="M140" i="16"/>
  <c r="Q139" i="16"/>
  <c r="M139" i="16"/>
  <c r="Q138" i="16"/>
  <c r="M138" i="16"/>
  <c r="M137" i="16" l="1"/>
  <c r="M136" i="16"/>
  <c r="Q135" i="16"/>
  <c r="M135" i="16"/>
  <c r="Q134" i="16"/>
  <c r="M134" i="16"/>
  <c r="Q133" i="16"/>
  <c r="M133" i="16"/>
  <c r="Q132" i="16"/>
  <c r="M132" i="16"/>
  <c r="Q131" i="16"/>
  <c r="M131" i="16"/>
  <c r="Q130" i="16"/>
  <c r="M130" i="16"/>
  <c r="Q129" i="16"/>
  <c r="M129" i="16"/>
  <c r="A129" i="16"/>
  <c r="A130" i="16" s="1"/>
  <c r="Q128" i="16"/>
  <c r="A118" i="16" l="1"/>
  <c r="A119" i="16" s="1"/>
  <c r="A120" i="16" s="1"/>
  <c r="A121" i="16" s="1"/>
  <c r="Q107" i="16" l="1"/>
  <c r="M107" i="16"/>
  <c r="Q106" i="16"/>
  <c r="M106" i="16"/>
  <c r="Q105" i="16"/>
  <c r="M105" i="16"/>
  <c r="P103" i="16"/>
  <c r="Q103" i="16" s="1"/>
  <c r="L103" i="16"/>
  <c r="K103" i="16"/>
  <c r="Q102" i="16"/>
  <c r="L102" i="16"/>
  <c r="M102" i="16" s="1"/>
  <c r="P101" i="16"/>
  <c r="O101" i="16"/>
  <c r="M101" i="16"/>
  <c r="Q100" i="16"/>
  <c r="L100" i="16"/>
  <c r="K100" i="16"/>
  <c r="P99" i="16"/>
  <c r="O99" i="16"/>
  <c r="L99" i="16"/>
  <c r="K99" i="16"/>
  <c r="Q98" i="16"/>
  <c r="L98" i="16"/>
  <c r="K98" i="16"/>
  <c r="M98" i="16" s="1"/>
  <c r="Q97" i="16"/>
  <c r="L97" i="16"/>
  <c r="K97" i="16"/>
  <c r="K96" i="16"/>
  <c r="M96" i="16" s="1"/>
  <c r="P95" i="16"/>
  <c r="O95" i="16"/>
  <c r="Q95" i="16" s="1"/>
  <c r="L95" i="16"/>
  <c r="K95" i="16"/>
  <c r="M95" i="16" s="1"/>
  <c r="P94" i="16"/>
  <c r="Q94" i="16" s="1"/>
  <c r="K94" i="16"/>
  <c r="M94" i="16" s="1"/>
  <c r="Q93" i="16"/>
  <c r="L93" i="16"/>
  <c r="K93" i="16"/>
  <c r="L92" i="16"/>
  <c r="K92" i="16"/>
  <c r="Q91" i="16"/>
  <c r="M91" i="16"/>
  <c r="P90" i="16"/>
  <c r="O90" i="16"/>
  <c r="L90" i="16"/>
  <c r="K90" i="16"/>
  <c r="M89" i="16"/>
  <c r="M88" i="16"/>
  <c r="M87" i="16"/>
  <c r="P86" i="16"/>
  <c r="O86" i="16"/>
  <c r="Q86" i="16" s="1"/>
  <c r="M86" i="16"/>
  <c r="O85" i="16"/>
  <c r="Q85" i="16" s="1"/>
  <c r="M85" i="16"/>
  <c r="Q84" i="16"/>
  <c r="L84" i="16"/>
  <c r="M84" i="16" s="1"/>
  <c r="Q83" i="16"/>
  <c r="L83" i="16"/>
  <c r="K83" i="16"/>
  <c r="M83" i="16" s="1"/>
  <c r="Q82" i="16"/>
  <c r="M82" i="16"/>
  <c r="K82" i="16"/>
  <c r="Q81" i="16"/>
  <c r="L81" i="16"/>
  <c r="K81" i="16"/>
  <c r="M81" i="16" s="1"/>
  <c r="Q80" i="16"/>
  <c r="Q79" i="16"/>
  <c r="K79" i="16"/>
  <c r="M79" i="16" s="1"/>
  <c r="Q78" i="16"/>
  <c r="L78" i="16"/>
  <c r="M78" i="16" s="1"/>
  <c r="Q77" i="16"/>
  <c r="L77" i="16"/>
  <c r="K77" i="16"/>
  <c r="Q76" i="16"/>
  <c r="L76" i="16"/>
  <c r="K76" i="16"/>
  <c r="M76" i="16" s="1"/>
  <c r="P75" i="16"/>
  <c r="Q75" i="16" s="1"/>
  <c r="L75" i="16"/>
  <c r="K75" i="16"/>
  <c r="Q74" i="16"/>
  <c r="M74" i="16"/>
  <c r="Q73" i="16"/>
  <c r="M73" i="16"/>
  <c r="P72" i="16"/>
  <c r="O72" i="16"/>
  <c r="L72" i="16"/>
  <c r="K72" i="16"/>
  <c r="Q71" i="16"/>
  <c r="L71" i="16"/>
  <c r="K71" i="16"/>
  <c r="M71" i="16" s="1"/>
  <c r="Q70" i="16"/>
  <c r="Q69" i="16"/>
  <c r="L69" i="16"/>
  <c r="M69" i="16" s="1"/>
  <c r="P68" i="16"/>
  <c r="O68" i="16"/>
  <c r="Q68" i="16" s="1"/>
  <c r="L68" i="16"/>
  <c r="K68" i="16"/>
  <c r="M68" i="16" s="1"/>
  <c r="Q67" i="16"/>
  <c r="L67" i="16"/>
  <c r="K67" i="16"/>
  <c r="Q66" i="16"/>
  <c r="L66" i="16"/>
  <c r="K66" i="16"/>
  <c r="M66" i="16" s="1"/>
  <c r="P65" i="16"/>
  <c r="O65" i="16"/>
  <c r="Q65" i="16" s="1"/>
  <c r="L65" i="16"/>
  <c r="K65" i="16"/>
  <c r="M65" i="16" s="1"/>
  <c r="Q64" i="16"/>
  <c r="L64" i="16"/>
  <c r="K64" i="16"/>
  <c r="Q63" i="16"/>
  <c r="L63" i="16"/>
  <c r="K63" i="16"/>
  <c r="M63" i="16" s="1"/>
  <c r="P61" i="16"/>
  <c r="O61" i="16"/>
  <c r="Q61" i="16" s="1"/>
  <c r="L61" i="16"/>
  <c r="K61" i="16"/>
  <c r="M61" i="16" s="1"/>
  <c r="Q60" i="16"/>
  <c r="L60" i="16"/>
  <c r="K60" i="16"/>
  <c r="Q59" i="16"/>
  <c r="L59" i="16"/>
  <c r="K59" i="16"/>
  <c r="M59" i="16" s="1"/>
  <c r="Q58" i="16"/>
  <c r="L58" i="16"/>
  <c r="K58" i="16"/>
  <c r="Q57" i="16"/>
  <c r="P57" i="16"/>
  <c r="L57" i="16"/>
  <c r="K57" i="16"/>
  <c r="M57" i="16" l="1"/>
  <c r="M58" i="16"/>
  <c r="M60" i="16"/>
  <c r="M64" i="16"/>
  <c r="M67" i="16"/>
  <c r="M72" i="16"/>
  <c r="Q72" i="16"/>
  <c r="M75" i="16"/>
  <c r="M77" i="16"/>
  <c r="M90" i="16"/>
  <c r="Q90" i="16"/>
  <c r="M92" i="16"/>
  <c r="M93" i="16"/>
  <c r="M97" i="16"/>
  <c r="M99" i="16"/>
  <c r="Q99" i="16"/>
  <c r="M100" i="16"/>
  <c r="Q101" i="16"/>
  <c r="M103" i="16"/>
  <c r="Q52" i="16"/>
  <c r="M52" i="16"/>
  <c r="Q51" i="16"/>
  <c r="M51" i="16"/>
  <c r="Q50" i="16"/>
  <c r="M50" i="16"/>
  <c r="Q49" i="16"/>
  <c r="M49" i="16"/>
  <c r="Q48" i="16"/>
  <c r="M48" i="16"/>
  <c r="Q47" i="16"/>
  <c r="M47" i="16"/>
  <c r="Q46" i="16"/>
  <c r="M46" i="16"/>
  <c r="Q45" i="16"/>
  <c r="M45" i="16"/>
  <c r="Q44" i="16"/>
  <c r="M44" i="16"/>
  <c r="Q43" i="16"/>
  <c r="M43" i="16"/>
  <c r="Q42" i="16"/>
  <c r="M42" i="16"/>
  <c r="Q41" i="16"/>
  <c r="M41" i="16"/>
  <c r="Q40" i="16"/>
  <c r="M40" i="16"/>
  <c r="Q39" i="16"/>
  <c r="M39" i="16"/>
  <c r="Q38" i="16"/>
  <c r="M38" i="16"/>
  <c r="Q37" i="16"/>
  <c r="M37" i="16"/>
  <c r="Q36" i="16"/>
  <c r="M36" i="16"/>
  <c r="Q35" i="16"/>
  <c r="M35" i="16"/>
  <c r="Q34" i="16"/>
  <c r="M34" i="16"/>
  <c r="Q33" i="16"/>
  <c r="M33" i="16"/>
  <c r="Q32" i="16"/>
  <c r="M32" i="16"/>
  <c r="Q31" i="16"/>
  <c r="M31" i="16"/>
  <c r="Q30" i="16"/>
  <c r="M30" i="16"/>
  <c r="Q29" i="16"/>
  <c r="M29" i="16"/>
  <c r="Q28" i="16"/>
  <c r="M28" i="16"/>
  <c r="Q27" i="16"/>
  <c r="M27" i="16"/>
  <c r="Q26" i="16"/>
  <c r="M26" i="16"/>
  <c r="Q25" i="16"/>
  <c r="M25" i="16"/>
  <c r="Q24" i="16"/>
  <c r="M24" i="16"/>
  <c r="Q23" i="16"/>
  <c r="M23" i="16"/>
  <c r="Q22" i="16"/>
  <c r="M22" i="16"/>
  <c r="Q21" i="16"/>
  <c r="M21" i="16"/>
  <c r="Q20" i="16"/>
  <c r="M20" i="16"/>
  <c r="Q19" i="16"/>
  <c r="M19" i="16"/>
  <c r="Q18" i="16"/>
  <c r="M18" i="16"/>
  <c r="Q17" i="16"/>
  <c r="M17" i="16"/>
  <c r="Q16" i="16"/>
  <c r="M16" i="16"/>
  <c r="Q15" i="16"/>
  <c r="M15" i="16"/>
  <c r="Q14" i="16"/>
  <c r="M14" i="16"/>
  <c r="Q13" i="16"/>
  <c r="M13" i="16"/>
  <c r="Q12" i="16"/>
  <c r="M12" i="16"/>
  <c r="Q11" i="16"/>
  <c r="M11" i="16"/>
  <c r="Q10" i="16"/>
  <c r="M10" i="16"/>
  <c r="Q9" i="16"/>
  <c r="M9" i="16"/>
  <c r="A279" i="15" l="1"/>
  <c r="A280" i="15"/>
  <c r="A281" i="15" s="1"/>
  <c r="A282" i="15" s="1"/>
  <c r="A139" i="15"/>
  <c r="A140" i="15"/>
  <c r="A141" i="15" s="1"/>
  <c r="A142" i="15" s="1"/>
  <c r="A143" i="15" s="1"/>
  <c r="A144" i="15" s="1"/>
  <c r="A145" i="15" s="1"/>
  <c r="A146" i="15" s="1"/>
  <c r="A147" i="15" s="1"/>
  <c r="A148" i="15" s="1"/>
  <c r="A149" i="15" s="1"/>
  <c r="A150" i="15" s="1"/>
  <c r="A151" i="15" s="1"/>
  <c r="A152" i="15" s="1"/>
  <c r="A153" i="15" s="1"/>
  <c r="A154" i="15" s="1"/>
  <c r="A155" i="15" s="1"/>
  <c r="A156" i="15" s="1"/>
  <c r="A157" i="15" s="1"/>
  <c r="A158" i="15" s="1"/>
  <c r="A159" i="15" s="1"/>
  <c r="A160" i="15" s="1"/>
  <c r="A161" i="15" s="1"/>
  <c r="A162" i="15" s="1"/>
  <c r="A163" i="15" s="1"/>
  <c r="A164" i="15" s="1"/>
  <c r="A165" i="15" s="1"/>
  <c r="A166" i="15" s="1"/>
  <c r="A167" i="15" s="1"/>
  <c r="A168" i="15" s="1"/>
  <c r="A169" i="15" s="1"/>
  <c r="A170" i="15" s="1"/>
  <c r="A171" i="15" s="1"/>
  <c r="A172" i="15" s="1"/>
  <c r="A173" i="15" s="1"/>
  <c r="A174" i="15" s="1"/>
  <c r="A175" i="15" s="1"/>
  <c r="A176" i="15" s="1"/>
  <c r="A177" i="15" s="1"/>
  <c r="A178" i="15" s="1"/>
  <c r="A179" i="15" s="1"/>
  <c r="A180" i="15" s="1"/>
  <c r="A181" i="15" s="1"/>
  <c r="A182" i="15" s="1"/>
  <c r="A183" i="15" s="1"/>
  <c r="A184" i="15" s="1"/>
  <c r="A185" i="15" s="1"/>
  <c r="A186" i="15" s="1"/>
  <c r="A187" i="15" s="1"/>
  <c r="A188" i="15" s="1"/>
  <c r="A189" i="15" s="1"/>
  <c r="A190" i="15" s="1"/>
  <c r="A191" i="15" s="1"/>
  <c r="A192" i="15" s="1"/>
  <c r="A193" i="15" s="1"/>
  <c r="A194" i="15" s="1"/>
  <c r="A195" i="15" s="1"/>
  <c r="A196" i="15" s="1"/>
  <c r="A197" i="15" s="1"/>
  <c r="A198" i="15" s="1"/>
  <c r="A199" i="15" s="1"/>
  <c r="A200" i="15" s="1"/>
  <c r="A201" i="15" s="1"/>
  <c r="A202" i="15" s="1"/>
  <c r="A203" i="15" s="1"/>
  <c r="A204" i="15" s="1"/>
  <c r="A205" i="15" s="1"/>
  <c r="A206" i="15" s="1"/>
  <c r="A207" i="15" s="1"/>
  <c r="A208" i="15" s="1"/>
  <c r="A209" i="15" s="1"/>
  <c r="A210" i="15" s="1"/>
  <c r="A211" i="15" s="1"/>
  <c r="A212" i="15" s="1"/>
  <c r="A213" i="15" s="1"/>
  <c r="A214" i="15" s="1"/>
  <c r="A215" i="15" s="1"/>
  <c r="A216" i="15" s="1"/>
  <c r="A217" i="15" s="1"/>
  <c r="A218" i="15" s="1"/>
  <c r="A219" i="15" s="1"/>
  <c r="A220" i="15" s="1"/>
  <c r="A221" i="15" s="1"/>
  <c r="A222" i="15" s="1"/>
  <c r="A223" i="15" s="1"/>
  <c r="A224" i="15" s="1"/>
  <c r="A225" i="15" s="1"/>
  <c r="A226" i="15" s="1"/>
  <c r="A227" i="15" s="1"/>
  <c r="A228" i="15" s="1"/>
  <c r="A229" i="15" s="1"/>
  <c r="A230" i="15" s="1"/>
  <c r="A231" i="15" s="1"/>
  <c r="A232" i="15" s="1"/>
  <c r="A233" i="15" s="1"/>
  <c r="A234" i="15" s="1"/>
  <c r="A235" i="15" s="1"/>
  <c r="A236" i="15" s="1"/>
  <c r="A237" i="15" s="1"/>
  <c r="A238" i="15" s="1"/>
  <c r="A239" i="15" s="1"/>
  <c r="A240" i="15" s="1"/>
  <c r="A241" i="15" s="1"/>
  <c r="A242" i="15" s="1"/>
  <c r="A243" i="15" s="1"/>
  <c r="A244" i="15" s="1"/>
  <c r="A245" i="15" s="1"/>
  <c r="A246" i="15" s="1"/>
  <c r="A247" i="15" s="1"/>
  <c r="A248" i="15" s="1"/>
  <c r="A249" i="15" s="1"/>
  <c r="A250" i="15" s="1"/>
  <c r="A251" i="15" s="1"/>
  <c r="A252" i="15" s="1"/>
  <c r="A253" i="15" s="1"/>
  <c r="A254" i="15" s="1"/>
  <c r="A255" i="15" s="1"/>
  <c r="A256" i="15" s="1"/>
  <c r="A257" i="15" s="1"/>
  <c r="A258" i="15" s="1"/>
  <c r="A259" i="15" s="1"/>
  <c r="A260" i="15" s="1"/>
  <c r="A261" i="15" s="1"/>
  <c r="A262" i="15" s="1"/>
  <c r="A263" i="15" s="1"/>
  <c r="A264" i="15" s="1"/>
  <c r="A265" i="15" s="1"/>
  <c r="A266" i="15" s="1"/>
  <c r="A267" i="15" s="1"/>
  <c r="A268" i="15" s="1"/>
  <c r="A269" i="15" s="1"/>
  <c r="A270" i="15" s="1"/>
  <c r="A271" i="15" s="1"/>
  <c r="A272" i="15" s="1"/>
  <c r="A273" i="15" s="1"/>
  <c r="A274" i="15" s="1"/>
  <c r="A275" i="15" s="1"/>
  <c r="A276" i="15" s="1"/>
  <c r="A277" i="15" s="1"/>
  <c r="A278" i="15" s="1"/>
  <c r="A138" i="15"/>
  <c r="O282" i="15"/>
  <c r="K282" i="15"/>
  <c r="O281" i="15"/>
  <c r="K281" i="15"/>
  <c r="O280" i="15"/>
  <c r="K280" i="15"/>
  <c r="O279" i="15"/>
  <c r="K279" i="15"/>
  <c r="O278" i="15"/>
  <c r="K278" i="15"/>
  <c r="O277" i="15"/>
  <c r="K277" i="15"/>
  <c r="O276" i="15"/>
  <c r="K276" i="15"/>
  <c r="O275" i="15"/>
  <c r="K275" i="15"/>
  <c r="O274" i="15"/>
  <c r="L274" i="15"/>
  <c r="K274" i="15" s="1"/>
  <c r="O273" i="15"/>
  <c r="K273" i="15"/>
  <c r="O272" i="15"/>
  <c r="K272" i="15"/>
  <c r="O271" i="15"/>
  <c r="K271" i="15"/>
  <c r="P270" i="15"/>
  <c r="O270" i="15" s="1"/>
  <c r="K270" i="15"/>
  <c r="O269" i="15"/>
  <c r="K269" i="15"/>
  <c r="O268" i="15"/>
  <c r="K268" i="15"/>
  <c r="O267" i="15"/>
  <c r="K267" i="15"/>
  <c r="O266" i="15"/>
  <c r="K266" i="15"/>
  <c r="O265" i="15"/>
  <c r="K265" i="15"/>
  <c r="O264" i="15"/>
  <c r="K264" i="15"/>
  <c r="O263" i="15"/>
  <c r="K263" i="15"/>
  <c r="O262" i="15"/>
  <c r="K262" i="15"/>
  <c r="O261" i="15"/>
  <c r="K261" i="15"/>
  <c r="O260" i="15"/>
  <c r="K260" i="15"/>
  <c r="O259" i="15"/>
  <c r="K259" i="15"/>
  <c r="O258" i="15"/>
  <c r="K258" i="15"/>
  <c r="O257" i="15"/>
  <c r="K257" i="15"/>
  <c r="O256" i="15"/>
  <c r="K256" i="15"/>
  <c r="O255" i="15"/>
  <c r="K255" i="15"/>
  <c r="O254" i="15"/>
  <c r="K254" i="15"/>
  <c r="O253" i="15"/>
  <c r="K253" i="15"/>
  <c r="O252" i="15"/>
  <c r="K252" i="15"/>
  <c r="O251" i="15"/>
  <c r="K251" i="15"/>
  <c r="O250" i="15"/>
  <c r="K250" i="15"/>
  <c r="O249" i="15"/>
  <c r="K249" i="15"/>
  <c r="O248" i="15"/>
  <c r="K248" i="15"/>
  <c r="O247" i="15"/>
  <c r="K247" i="15"/>
  <c r="O246" i="15"/>
  <c r="K246" i="15"/>
  <c r="O245" i="15"/>
  <c r="K245" i="15"/>
  <c r="O244" i="15"/>
  <c r="K244" i="15"/>
  <c r="O243" i="15"/>
  <c r="K243" i="15"/>
  <c r="O242" i="15"/>
  <c r="K242" i="15"/>
  <c r="O241" i="15"/>
  <c r="K241" i="15"/>
  <c r="O240" i="15"/>
  <c r="K240" i="15"/>
  <c r="O239" i="15"/>
  <c r="K239" i="15"/>
  <c r="O238" i="15"/>
  <c r="K238" i="15"/>
  <c r="O237" i="15"/>
  <c r="K237" i="15"/>
  <c r="O236" i="15"/>
  <c r="K236" i="15"/>
  <c r="O235" i="15"/>
  <c r="L235" i="15"/>
  <c r="K235" i="15" s="1"/>
  <c r="O234" i="15"/>
  <c r="K234" i="15"/>
  <c r="O233" i="15"/>
  <c r="K233" i="15"/>
  <c r="O232" i="15"/>
  <c r="K232" i="15"/>
  <c r="O231" i="15"/>
  <c r="K231" i="15"/>
  <c r="O230" i="15"/>
  <c r="K230" i="15"/>
  <c r="O229" i="15"/>
  <c r="K229" i="15"/>
  <c r="O228" i="15"/>
  <c r="L228" i="15"/>
  <c r="K228" i="15"/>
  <c r="O227" i="15"/>
  <c r="K227" i="15"/>
  <c r="O226" i="15"/>
  <c r="K226" i="15"/>
  <c r="O225" i="15"/>
  <c r="K225" i="15"/>
  <c r="O224" i="15"/>
  <c r="K224" i="15"/>
  <c r="O223" i="15"/>
  <c r="K223" i="15"/>
  <c r="O222" i="15"/>
  <c r="K222" i="15"/>
  <c r="O221" i="15"/>
  <c r="K221" i="15"/>
  <c r="O220" i="15"/>
  <c r="K220" i="15"/>
  <c r="O219" i="15"/>
  <c r="K219" i="15"/>
  <c r="O218" i="15"/>
  <c r="K218" i="15"/>
  <c r="O217" i="15"/>
  <c r="K217" i="15"/>
  <c r="O216" i="15"/>
  <c r="K216" i="15"/>
  <c r="O215" i="15"/>
  <c r="K215" i="15"/>
  <c r="P214" i="15"/>
  <c r="O214" i="15"/>
  <c r="K214" i="15"/>
  <c r="O213" i="15"/>
  <c r="K213" i="15"/>
  <c r="O212" i="15"/>
  <c r="K212" i="15"/>
  <c r="O211" i="15"/>
  <c r="K211" i="15"/>
  <c r="O210" i="15"/>
  <c r="K210" i="15"/>
  <c r="O209" i="15"/>
  <c r="K209" i="15"/>
  <c r="P208" i="15"/>
  <c r="O208" i="15" s="1"/>
  <c r="K208" i="15"/>
  <c r="O207" i="15"/>
  <c r="K207" i="15"/>
  <c r="O206" i="15"/>
  <c r="K206" i="15"/>
  <c r="O205" i="15"/>
  <c r="K205" i="15"/>
  <c r="O204" i="15"/>
  <c r="K204" i="15"/>
  <c r="O203" i="15"/>
  <c r="K203" i="15"/>
  <c r="O202" i="15"/>
  <c r="K202" i="15"/>
  <c r="O201" i="15"/>
  <c r="K201" i="15"/>
  <c r="O200" i="15"/>
  <c r="K200" i="15"/>
  <c r="O199" i="15"/>
  <c r="K199" i="15"/>
  <c r="O198" i="15"/>
  <c r="K198" i="15"/>
  <c r="O197" i="15"/>
  <c r="K197" i="15"/>
  <c r="O196" i="15"/>
  <c r="K196" i="15"/>
  <c r="O195" i="15"/>
  <c r="K195" i="15"/>
  <c r="O194" i="15"/>
  <c r="K194" i="15"/>
  <c r="O193" i="15"/>
  <c r="K193" i="15"/>
  <c r="O192" i="15"/>
  <c r="K192" i="15"/>
  <c r="O191" i="15"/>
  <c r="K191" i="15"/>
  <c r="O190" i="15"/>
  <c r="K190" i="15"/>
  <c r="O189" i="15"/>
  <c r="K189" i="15"/>
  <c r="P188" i="15"/>
  <c r="O188" i="15"/>
  <c r="K188" i="15"/>
  <c r="O187" i="15"/>
  <c r="K187" i="15"/>
  <c r="O186" i="15"/>
  <c r="K186" i="15"/>
  <c r="O185" i="15"/>
  <c r="K185" i="15"/>
  <c r="O184" i="15"/>
  <c r="K184" i="15"/>
  <c r="P183" i="15"/>
  <c r="O183" i="15" s="1"/>
  <c r="K183" i="15"/>
  <c r="O182" i="15"/>
  <c r="K182" i="15"/>
  <c r="O181" i="15"/>
  <c r="K181" i="15"/>
  <c r="O180" i="15"/>
  <c r="K180" i="15"/>
  <c r="Q179" i="15"/>
  <c r="P179" i="15"/>
  <c r="O179" i="15" s="1"/>
  <c r="K179" i="15"/>
  <c r="Q178" i="15"/>
  <c r="P178" i="15"/>
  <c r="O178" i="15" s="1"/>
  <c r="K178" i="15"/>
  <c r="O177" i="15"/>
  <c r="K177" i="15"/>
  <c r="O176" i="15"/>
  <c r="K176" i="15"/>
  <c r="O175" i="15"/>
  <c r="K175" i="15"/>
  <c r="O174" i="15"/>
  <c r="K174" i="15"/>
  <c r="O173" i="15"/>
  <c r="K173" i="15"/>
  <c r="O172" i="15"/>
  <c r="K172" i="15"/>
  <c r="O171" i="15"/>
  <c r="K171" i="15"/>
  <c r="O170" i="15"/>
  <c r="K170" i="15"/>
  <c r="O169" i="15"/>
  <c r="K169" i="15"/>
  <c r="O168" i="15"/>
  <c r="K168" i="15"/>
  <c r="O167" i="15"/>
  <c r="K167" i="15"/>
  <c r="P166" i="15"/>
  <c r="O166" i="15"/>
  <c r="K166" i="15"/>
  <c r="O165" i="15"/>
  <c r="K165" i="15"/>
  <c r="O164" i="15"/>
  <c r="K164" i="15"/>
  <c r="O163" i="15"/>
  <c r="K163" i="15"/>
  <c r="O162" i="15"/>
  <c r="K162" i="15"/>
  <c r="O161" i="15"/>
  <c r="K161" i="15"/>
  <c r="O160" i="15"/>
  <c r="K160" i="15"/>
  <c r="O159" i="15"/>
  <c r="K159" i="15"/>
  <c r="O158" i="15"/>
  <c r="K158" i="15"/>
  <c r="O157" i="15"/>
  <c r="K157" i="15"/>
  <c r="O156" i="15"/>
  <c r="K156" i="15"/>
  <c r="O155" i="15"/>
  <c r="K155" i="15"/>
  <c r="O154" i="15"/>
  <c r="K154" i="15"/>
  <c r="O153" i="15"/>
  <c r="K153" i="15"/>
  <c r="O152" i="15"/>
  <c r="L152" i="15"/>
  <c r="K152" i="15"/>
  <c r="O151" i="15"/>
  <c r="K151" i="15"/>
  <c r="O150" i="15"/>
  <c r="K150" i="15"/>
  <c r="O149" i="15"/>
  <c r="K149" i="15"/>
  <c r="O148" i="15"/>
  <c r="K148" i="15"/>
  <c r="O147" i="15"/>
  <c r="K147" i="15"/>
  <c r="O146" i="15"/>
  <c r="K146" i="15"/>
  <c r="O145" i="15"/>
  <c r="K145" i="15"/>
  <c r="O144" i="15"/>
  <c r="K144" i="15"/>
  <c r="O143" i="15"/>
  <c r="K143" i="15"/>
  <c r="O142" i="15"/>
  <c r="K142" i="15"/>
  <c r="P141" i="15"/>
  <c r="O141" i="15"/>
  <c r="K141" i="15"/>
  <c r="O140" i="15"/>
  <c r="K140" i="15"/>
  <c r="O139" i="15"/>
  <c r="K139" i="15"/>
  <c r="O138" i="15"/>
  <c r="K138" i="15"/>
  <c r="P137" i="15"/>
  <c r="O137" i="15" s="1"/>
  <c r="K137" i="15"/>
  <c r="M136" i="15" l="1"/>
  <c r="M135" i="15"/>
  <c r="Q134" i="15"/>
  <c r="M134" i="15"/>
  <c r="Q133" i="15"/>
  <c r="M133" i="15"/>
  <c r="Q132" i="15"/>
  <c r="M132" i="15"/>
  <c r="Q131" i="15"/>
  <c r="M131" i="15"/>
  <c r="Q130" i="15"/>
  <c r="M130" i="15"/>
  <c r="Q129" i="15"/>
  <c r="M129" i="15"/>
  <c r="Q128" i="15"/>
  <c r="M128" i="15"/>
  <c r="A128" i="15"/>
  <c r="A129" i="15" s="1"/>
  <c r="Q127" i="15"/>
  <c r="A108" i="15" l="1"/>
  <c r="A109" i="15" s="1"/>
  <c r="A110" i="15" s="1"/>
  <c r="A111" i="15" s="1"/>
  <c r="Q106" i="15"/>
  <c r="M106" i="15"/>
  <c r="Q105" i="15"/>
  <c r="M105" i="15"/>
  <c r="Q104" i="15"/>
  <c r="M104" i="15"/>
  <c r="P102" i="15"/>
  <c r="Q102" i="15" s="1"/>
  <c r="L102" i="15"/>
  <c r="K102" i="15"/>
  <c r="M102" i="15" s="1"/>
  <c r="Q101" i="15"/>
  <c r="L101" i="15"/>
  <c r="M101" i="15" s="1"/>
  <c r="P100" i="15"/>
  <c r="O100" i="15"/>
  <c r="Q100" i="15" s="1"/>
  <c r="M100" i="15"/>
  <c r="Q99" i="15"/>
  <c r="M99" i="15"/>
  <c r="L99" i="15"/>
  <c r="P98" i="15"/>
  <c r="O98" i="15"/>
  <c r="Q98" i="15" s="1"/>
  <c r="L98" i="15"/>
  <c r="K98" i="15"/>
  <c r="M98" i="15" s="1"/>
  <c r="Q97" i="15"/>
  <c r="L97" i="15"/>
  <c r="K97" i="15"/>
  <c r="M97" i="15" s="1"/>
  <c r="Q96" i="15"/>
  <c r="L96" i="15"/>
  <c r="K96" i="15"/>
  <c r="M96" i="15" s="1"/>
  <c r="P94" i="15"/>
  <c r="O94" i="15"/>
  <c r="Q94" i="15" s="1"/>
  <c r="L94" i="15"/>
  <c r="K94" i="15"/>
  <c r="M94" i="15" s="1"/>
  <c r="Q93" i="15"/>
  <c r="P93" i="15"/>
  <c r="M93" i="15"/>
  <c r="K93" i="15"/>
  <c r="Q92" i="15"/>
  <c r="L92" i="15"/>
  <c r="K92" i="15"/>
  <c r="M92" i="15" s="1"/>
  <c r="L91" i="15"/>
  <c r="K91" i="15"/>
  <c r="M91" i="15" s="1"/>
  <c r="Q90" i="15"/>
  <c r="M90" i="15"/>
  <c r="P89" i="15"/>
  <c r="O89" i="15"/>
  <c r="Q89" i="15" s="1"/>
  <c r="L89" i="15"/>
  <c r="K89" i="15"/>
  <c r="M89" i="15" s="1"/>
  <c r="M88" i="15"/>
  <c r="M87" i="15"/>
  <c r="M86" i="15"/>
  <c r="P85" i="15"/>
  <c r="O85" i="15"/>
  <c r="Q85" i="15" s="1"/>
  <c r="M85" i="15"/>
  <c r="Q84" i="15"/>
  <c r="O84" i="15"/>
  <c r="M84" i="15"/>
  <c r="Q83" i="15"/>
  <c r="M83" i="15"/>
  <c r="L83" i="15"/>
  <c r="Q82" i="15"/>
  <c r="L82" i="15"/>
  <c r="K82" i="15"/>
  <c r="M82" i="15" s="1"/>
  <c r="Q81" i="15"/>
  <c r="M81" i="15"/>
  <c r="Q80" i="15"/>
  <c r="L80" i="15"/>
  <c r="K80" i="15"/>
  <c r="M80" i="15" s="1"/>
  <c r="Q79" i="15"/>
  <c r="M79" i="15"/>
  <c r="Q78" i="15"/>
  <c r="L78" i="15"/>
  <c r="M78" i="15" s="1"/>
  <c r="Q77" i="15"/>
  <c r="L77" i="15"/>
  <c r="K77" i="15"/>
  <c r="M77" i="15" s="1"/>
  <c r="Q76" i="15"/>
  <c r="L76" i="15"/>
  <c r="K76" i="15"/>
  <c r="M76" i="15" s="1"/>
  <c r="P75" i="15"/>
  <c r="Q75" i="15" s="1"/>
  <c r="L75" i="15"/>
  <c r="K75" i="15"/>
  <c r="M75" i="15" s="1"/>
  <c r="Q74" i="15"/>
  <c r="M74" i="15"/>
  <c r="Q73" i="15"/>
  <c r="M73" i="15"/>
  <c r="P72" i="15"/>
  <c r="O72" i="15"/>
  <c r="Q72" i="15" s="1"/>
  <c r="L72" i="15"/>
  <c r="K72" i="15"/>
  <c r="M72" i="15" s="1"/>
  <c r="Q71" i="15"/>
  <c r="L71" i="15"/>
  <c r="K71" i="15"/>
  <c r="M71" i="15" s="1"/>
  <c r="Q70" i="15"/>
  <c r="L70" i="15"/>
  <c r="M70" i="15" s="1"/>
  <c r="P69" i="15"/>
  <c r="O69" i="15"/>
  <c r="Q69" i="15" s="1"/>
  <c r="L69" i="15"/>
  <c r="K69" i="15"/>
  <c r="M69" i="15" s="1"/>
  <c r="Q68" i="15"/>
  <c r="L68" i="15"/>
  <c r="K68" i="15"/>
  <c r="M68" i="15" s="1"/>
  <c r="Q67" i="15"/>
  <c r="L67" i="15"/>
  <c r="K67" i="15"/>
  <c r="M67" i="15" s="1"/>
  <c r="P66" i="15"/>
  <c r="O66" i="15"/>
  <c r="Q66" i="15" s="1"/>
  <c r="L66" i="15"/>
  <c r="K66" i="15"/>
  <c r="M66" i="15" s="1"/>
  <c r="Q65" i="15"/>
  <c r="L65" i="15"/>
  <c r="K65" i="15"/>
  <c r="M65" i="15" s="1"/>
  <c r="Q64" i="15"/>
  <c r="L64" i="15"/>
  <c r="K64" i="15"/>
  <c r="M64" i="15" s="1"/>
  <c r="P62" i="15"/>
  <c r="Q62" i="15" s="1"/>
  <c r="L62" i="15"/>
  <c r="K62" i="15"/>
  <c r="M62" i="15" s="1"/>
  <c r="Q61" i="15"/>
  <c r="L61" i="15"/>
  <c r="K61" i="15"/>
  <c r="M61" i="15" s="1"/>
  <c r="Q60" i="15"/>
  <c r="L60" i="15"/>
  <c r="K60" i="15"/>
  <c r="M60" i="15" s="1"/>
  <c r="Q59" i="15"/>
  <c r="L59" i="15"/>
  <c r="K59" i="15"/>
  <c r="M59" i="15" s="1"/>
  <c r="Q58" i="15"/>
  <c r="P58" i="15"/>
  <c r="L58" i="15"/>
  <c r="K58" i="15"/>
  <c r="M58" i="15" s="1"/>
  <c r="Q53" i="15" l="1"/>
  <c r="M53" i="15"/>
  <c r="Q52" i="15"/>
  <c r="M52" i="15"/>
  <c r="Q51" i="15"/>
  <c r="M51" i="15"/>
  <c r="Q50" i="15"/>
  <c r="M50" i="15"/>
  <c r="Q49" i="15"/>
  <c r="M49" i="15"/>
  <c r="Q48" i="15"/>
  <c r="M48" i="15"/>
  <c r="Q47" i="15"/>
  <c r="M47" i="15"/>
  <c r="Q46" i="15"/>
  <c r="M46" i="15"/>
  <c r="Q45" i="15"/>
  <c r="M45" i="15"/>
  <c r="Q44" i="15"/>
  <c r="M44" i="15"/>
  <c r="Q43" i="15"/>
  <c r="M43" i="15"/>
  <c r="Q42" i="15"/>
  <c r="M42" i="15"/>
  <c r="Q41" i="15"/>
  <c r="M41" i="15"/>
  <c r="Q40" i="15"/>
  <c r="M40" i="15"/>
  <c r="Q39" i="15"/>
  <c r="M39" i="15"/>
  <c r="Q38" i="15"/>
  <c r="M38" i="15"/>
  <c r="Q37" i="15"/>
  <c r="M37" i="15"/>
  <c r="Q36" i="15"/>
  <c r="M36" i="15"/>
  <c r="Q35" i="15"/>
  <c r="M35" i="15"/>
  <c r="Q34" i="15"/>
  <c r="M34" i="15"/>
  <c r="Q33" i="15"/>
  <c r="M33" i="15"/>
  <c r="Q32" i="15"/>
  <c r="M32" i="15"/>
  <c r="Q31" i="15"/>
  <c r="M31" i="15"/>
  <c r="Q30" i="15"/>
  <c r="M30" i="15"/>
  <c r="Q29" i="15"/>
  <c r="M29" i="15"/>
  <c r="Q28" i="15"/>
  <c r="M28" i="15"/>
  <c r="Q27" i="15"/>
  <c r="M27" i="15"/>
  <c r="Q26" i="15"/>
  <c r="M26" i="15"/>
  <c r="Q25" i="15"/>
  <c r="M25" i="15"/>
  <c r="Q24" i="15"/>
  <c r="M24" i="15"/>
  <c r="Q23" i="15"/>
  <c r="M23" i="15"/>
  <c r="Q22" i="15"/>
  <c r="M22" i="15"/>
  <c r="Q21" i="15"/>
  <c r="M21" i="15"/>
  <c r="Q20" i="15"/>
  <c r="M20" i="15"/>
  <c r="Q19" i="15"/>
  <c r="M19" i="15"/>
  <c r="Q18" i="15"/>
  <c r="M18" i="15"/>
  <c r="Q17" i="15"/>
  <c r="M17" i="15"/>
  <c r="Q16" i="15"/>
  <c r="M16" i="15"/>
  <c r="Q15" i="15"/>
  <c r="M15" i="15"/>
  <c r="Q14" i="15"/>
  <c r="M14" i="15"/>
  <c r="Q13" i="15"/>
  <c r="M13" i="15"/>
  <c r="Q12" i="15"/>
  <c r="M12" i="15"/>
  <c r="Q11" i="15"/>
  <c r="M11" i="15"/>
  <c r="Q10" i="15"/>
  <c r="M10" i="15"/>
  <c r="Q9" i="15"/>
  <c r="M9" i="15"/>
  <c r="A138" i="14" l="1"/>
  <c r="A139" i="14"/>
  <c r="A140" i="14" s="1"/>
  <c r="A141" i="14" s="1"/>
  <c r="A142" i="14" s="1"/>
  <c r="A143" i="14" s="1"/>
  <c r="A144" i="14" s="1"/>
  <c r="A145" i="14" s="1"/>
  <c r="A146" i="14" s="1"/>
  <c r="A147" i="14" s="1"/>
  <c r="A148" i="14" s="1"/>
  <c r="A149" i="14" s="1"/>
  <c r="A150" i="14" s="1"/>
  <c r="A151" i="14" s="1"/>
  <c r="A152" i="14" s="1"/>
  <c r="A153" i="14" s="1"/>
  <c r="A154" i="14" s="1"/>
  <c r="A155" i="14" s="1"/>
  <c r="A156" i="14" s="1"/>
  <c r="A157" i="14" s="1"/>
  <c r="A158" i="14" s="1"/>
  <c r="A159" i="14" s="1"/>
  <c r="A160" i="14" s="1"/>
  <c r="A161" i="14" s="1"/>
  <c r="A162" i="14" s="1"/>
  <c r="A163" i="14" s="1"/>
  <c r="A164" i="14" s="1"/>
  <c r="A165" i="14" s="1"/>
  <c r="A166" i="14" s="1"/>
  <c r="A167" i="14" s="1"/>
  <c r="A168" i="14" s="1"/>
  <c r="A169" i="14" s="1"/>
  <c r="A170" i="14" s="1"/>
  <c r="A171" i="14" s="1"/>
  <c r="A172" i="14" s="1"/>
  <c r="A173" i="14" s="1"/>
  <c r="A174" i="14" s="1"/>
  <c r="A175" i="14" s="1"/>
  <c r="A176" i="14" s="1"/>
  <c r="A177" i="14" s="1"/>
  <c r="A178" i="14" s="1"/>
  <c r="A179" i="14" s="1"/>
  <c r="A180" i="14" s="1"/>
  <c r="A181" i="14" s="1"/>
  <c r="A182" i="14" s="1"/>
  <c r="A183" i="14" s="1"/>
  <c r="A184" i="14" s="1"/>
  <c r="A185" i="14" s="1"/>
  <c r="A186" i="14" s="1"/>
  <c r="A187" i="14" s="1"/>
  <c r="A188" i="14" s="1"/>
  <c r="A189" i="14" s="1"/>
  <c r="A190" i="14" s="1"/>
  <c r="A191" i="14" s="1"/>
  <c r="A192" i="14" s="1"/>
  <c r="A193" i="14" s="1"/>
  <c r="A194" i="14" s="1"/>
  <c r="A195" i="14" s="1"/>
  <c r="A196" i="14" s="1"/>
  <c r="A197" i="14" s="1"/>
  <c r="A198" i="14" s="1"/>
  <c r="A199" i="14" s="1"/>
  <c r="A200" i="14" s="1"/>
  <c r="A201" i="14" s="1"/>
  <c r="A202" i="14" s="1"/>
  <c r="A203" i="14" s="1"/>
  <c r="A204" i="14" s="1"/>
  <c r="A205" i="14" s="1"/>
  <c r="A206" i="14" s="1"/>
  <c r="A207" i="14" s="1"/>
  <c r="A208" i="14" s="1"/>
  <c r="A209" i="14" s="1"/>
  <c r="A210" i="14" s="1"/>
  <c r="A211" i="14" s="1"/>
  <c r="A212" i="14" s="1"/>
  <c r="A213" i="14" s="1"/>
  <c r="A214" i="14" s="1"/>
  <c r="A215" i="14" s="1"/>
  <c r="A216" i="14" s="1"/>
  <c r="A217" i="14" s="1"/>
  <c r="A218" i="14" s="1"/>
  <c r="A219" i="14" s="1"/>
  <c r="A220" i="14" s="1"/>
  <c r="A221" i="14" s="1"/>
  <c r="A222" i="14" s="1"/>
  <c r="A223" i="14" s="1"/>
  <c r="A224" i="14" s="1"/>
  <c r="A225" i="14" s="1"/>
  <c r="A226" i="14" s="1"/>
  <c r="A227" i="14" s="1"/>
  <c r="A228" i="14" s="1"/>
  <c r="A229" i="14" s="1"/>
  <c r="A230" i="14" s="1"/>
  <c r="A231" i="14" s="1"/>
  <c r="A232" i="14" s="1"/>
  <c r="A233" i="14" s="1"/>
  <c r="A234" i="14" s="1"/>
  <c r="A235" i="14" s="1"/>
  <c r="A236" i="14" s="1"/>
  <c r="A237" i="14" s="1"/>
  <c r="A238" i="14" s="1"/>
  <c r="A239" i="14" s="1"/>
  <c r="A240" i="14" s="1"/>
  <c r="A241" i="14" s="1"/>
  <c r="A242" i="14" s="1"/>
  <c r="A243" i="14" s="1"/>
  <c r="A244" i="14" s="1"/>
  <c r="A245" i="14" s="1"/>
  <c r="A246" i="14" s="1"/>
  <c r="A247" i="14" s="1"/>
  <c r="A248" i="14" s="1"/>
  <c r="A249" i="14" s="1"/>
  <c r="A250" i="14" s="1"/>
  <c r="A251" i="14" s="1"/>
  <c r="A252" i="14" s="1"/>
  <c r="A253" i="14" s="1"/>
  <c r="A254" i="14" s="1"/>
  <c r="A255" i="14" s="1"/>
  <c r="A256" i="14" s="1"/>
  <c r="A257" i="14" s="1"/>
  <c r="A258" i="14" s="1"/>
  <c r="A259" i="14" s="1"/>
  <c r="A260" i="14" s="1"/>
  <c r="A261" i="14" s="1"/>
  <c r="A262" i="14" s="1"/>
  <c r="A263" i="14" s="1"/>
  <c r="A264" i="14" s="1"/>
  <c r="A265" i="14" s="1"/>
  <c r="A266" i="14" s="1"/>
  <c r="A267" i="14" s="1"/>
  <c r="A268" i="14" s="1"/>
  <c r="A269" i="14" s="1"/>
  <c r="A270" i="14" s="1"/>
  <c r="A271" i="14" s="1"/>
  <c r="A272" i="14" s="1"/>
  <c r="A273" i="14" s="1"/>
  <c r="A274" i="14" s="1"/>
  <c r="A275" i="14" s="1"/>
  <c r="A276" i="14" s="1"/>
  <c r="A277" i="14" s="1"/>
  <c r="A278" i="14" s="1"/>
  <c r="A279" i="14" s="1"/>
  <c r="A280" i="14" s="1"/>
  <c r="A281" i="14" s="1"/>
  <c r="A282" i="14" s="1"/>
  <c r="A137" i="14"/>
  <c r="O282" i="14"/>
  <c r="K282" i="14"/>
  <c r="P281" i="14"/>
  <c r="O281" i="14"/>
  <c r="L281" i="14"/>
  <c r="K281" i="14"/>
  <c r="O280" i="14"/>
  <c r="L280" i="14"/>
  <c r="K280" i="14" s="1"/>
  <c r="O279" i="14"/>
  <c r="K279" i="14"/>
  <c r="O278" i="14"/>
  <c r="K278" i="14"/>
  <c r="O277" i="14"/>
  <c r="K277" i="14"/>
  <c r="P276" i="14"/>
  <c r="O276" i="14" s="1"/>
  <c r="L276" i="14"/>
  <c r="K276" i="14" s="1"/>
  <c r="O275" i="14"/>
  <c r="K275" i="14"/>
  <c r="O274" i="14"/>
  <c r="L274" i="14"/>
  <c r="K274" i="14"/>
  <c r="P273" i="14"/>
  <c r="O273" i="14"/>
  <c r="K273" i="14"/>
  <c r="O272" i="14"/>
  <c r="L272" i="14"/>
  <c r="K272" i="14"/>
  <c r="P271" i="14"/>
  <c r="O271" i="14"/>
  <c r="L271" i="14"/>
  <c r="K271" i="14"/>
  <c r="P270" i="14"/>
  <c r="O270" i="14"/>
  <c r="K270" i="14"/>
  <c r="P269" i="14"/>
  <c r="O269" i="14" s="1"/>
  <c r="K269" i="14"/>
  <c r="P268" i="14"/>
  <c r="O268" i="14"/>
  <c r="K268" i="14"/>
  <c r="O267" i="14"/>
  <c r="K267" i="14"/>
  <c r="O266" i="14"/>
  <c r="K266" i="14"/>
  <c r="P265" i="14"/>
  <c r="O265" i="14" s="1"/>
  <c r="L265" i="14"/>
  <c r="K265" i="14" s="1"/>
  <c r="O264" i="14"/>
  <c r="L264" i="14"/>
  <c r="K264" i="14"/>
  <c r="O263" i="14"/>
  <c r="K263" i="14"/>
  <c r="O262" i="14"/>
  <c r="K262" i="14"/>
  <c r="P261" i="14"/>
  <c r="O261" i="14"/>
  <c r="L261" i="14"/>
  <c r="K261" i="14"/>
  <c r="O260" i="14"/>
  <c r="L260" i="14"/>
  <c r="K260" i="14" s="1"/>
  <c r="O259" i="14"/>
  <c r="K259" i="14"/>
  <c r="O258" i="14"/>
  <c r="K258" i="14"/>
  <c r="P257" i="14"/>
  <c r="O257" i="14" s="1"/>
  <c r="K257" i="14"/>
  <c r="P256" i="14"/>
  <c r="O256" i="14"/>
  <c r="K256" i="14"/>
  <c r="P255" i="14"/>
  <c r="O255" i="14" s="1"/>
  <c r="K255" i="14"/>
  <c r="O254" i="14"/>
  <c r="K254" i="14"/>
  <c r="O253" i="14"/>
  <c r="K253" i="14"/>
  <c r="O252" i="14"/>
  <c r="L252" i="14"/>
  <c r="K252" i="14" s="1"/>
  <c r="O251" i="14"/>
  <c r="L251" i="14"/>
  <c r="K251" i="14"/>
  <c r="P250" i="14"/>
  <c r="O250" i="14"/>
  <c r="L250" i="14"/>
  <c r="K250" i="14"/>
  <c r="O249" i="14"/>
  <c r="K249" i="14"/>
  <c r="O248" i="14"/>
  <c r="K248" i="14"/>
  <c r="O247" i="14"/>
  <c r="K247" i="14"/>
  <c r="O246" i="14"/>
  <c r="L246" i="14"/>
  <c r="K246" i="14" s="1"/>
  <c r="O245" i="14"/>
  <c r="L245" i="14"/>
  <c r="K245" i="14"/>
  <c r="O244" i="14"/>
  <c r="L244" i="14"/>
  <c r="K244" i="14" s="1"/>
  <c r="O243" i="14"/>
  <c r="L243" i="14"/>
  <c r="K243" i="14"/>
  <c r="O242" i="14"/>
  <c r="K242" i="14"/>
  <c r="P241" i="14"/>
  <c r="O241" i="14"/>
  <c r="K241" i="14"/>
  <c r="P240" i="14"/>
  <c r="O240" i="14" s="1"/>
  <c r="L240" i="14"/>
  <c r="K240" i="14" s="1"/>
  <c r="P239" i="14"/>
  <c r="O239" i="14" s="1"/>
  <c r="K239" i="14"/>
  <c r="O238" i="14"/>
  <c r="L238" i="14"/>
  <c r="K238" i="14" s="1"/>
  <c r="P237" i="14"/>
  <c r="O237" i="14" s="1"/>
  <c r="L237" i="14"/>
  <c r="K237" i="14" s="1"/>
  <c r="O236" i="14"/>
  <c r="K236" i="14"/>
  <c r="O235" i="14"/>
  <c r="K235" i="14"/>
  <c r="O234" i="14"/>
  <c r="K234" i="14"/>
  <c r="O233" i="14"/>
  <c r="K233" i="14"/>
  <c r="O232" i="14"/>
  <c r="K232" i="14"/>
  <c r="O231" i="14"/>
  <c r="K231" i="14"/>
  <c r="P230" i="14"/>
  <c r="O230" i="14" s="1"/>
  <c r="L230" i="14"/>
  <c r="K230" i="14" s="1"/>
  <c r="P229" i="14"/>
  <c r="O229" i="14" s="1"/>
  <c r="L229" i="14"/>
  <c r="K229" i="14" s="1"/>
  <c r="O228" i="14"/>
  <c r="L228" i="14"/>
  <c r="K228" i="14"/>
  <c r="O227" i="14"/>
  <c r="L227" i="14"/>
  <c r="K227" i="14" s="1"/>
  <c r="O226" i="14"/>
  <c r="L226" i="14"/>
  <c r="K226" i="14"/>
  <c r="P225" i="14"/>
  <c r="O225" i="14"/>
  <c r="K225" i="14"/>
  <c r="P224" i="14"/>
  <c r="O224" i="14" s="1"/>
  <c r="L224" i="14"/>
  <c r="K224" i="14" s="1"/>
  <c r="P223" i="14"/>
  <c r="O223" i="14" s="1"/>
  <c r="L223" i="14"/>
  <c r="K223" i="14" s="1"/>
  <c r="O222" i="14"/>
  <c r="L222" i="14"/>
  <c r="K222" i="14"/>
  <c r="O221" i="14"/>
  <c r="K221" i="14"/>
  <c r="O220" i="14"/>
  <c r="L220" i="14"/>
  <c r="K220" i="14" s="1"/>
  <c r="P219" i="14"/>
  <c r="O219" i="14" s="1"/>
  <c r="L219" i="14"/>
  <c r="K219" i="14" s="1"/>
  <c r="O218" i="14"/>
  <c r="K218" i="14"/>
  <c r="O217" i="14"/>
  <c r="K217" i="14"/>
  <c r="O216" i="14"/>
  <c r="K216" i="14"/>
  <c r="O215" i="14"/>
  <c r="K215" i="14"/>
  <c r="O214" i="14"/>
  <c r="K214" i="14"/>
  <c r="O213" i="14"/>
  <c r="K213" i="14"/>
  <c r="O212" i="14"/>
  <c r="K212" i="14"/>
  <c r="O211" i="14"/>
  <c r="L211" i="14"/>
  <c r="K211" i="14"/>
  <c r="O210" i="14"/>
  <c r="L210" i="14"/>
  <c r="K210" i="14" s="1"/>
  <c r="P209" i="14"/>
  <c r="O209" i="14" s="1"/>
  <c r="L209" i="14"/>
  <c r="K209" i="14" s="1"/>
  <c r="P208" i="14"/>
  <c r="O208" i="14" s="1"/>
  <c r="K208" i="14"/>
  <c r="O207" i="14"/>
  <c r="K207" i="14"/>
  <c r="O206" i="14"/>
  <c r="K206" i="14"/>
  <c r="O205" i="14"/>
  <c r="L205" i="14"/>
  <c r="K205" i="14" s="1"/>
  <c r="P204" i="14"/>
  <c r="O204" i="14" s="1"/>
  <c r="L204" i="14"/>
  <c r="K204" i="14" s="1"/>
  <c r="O203" i="14"/>
  <c r="L203" i="14"/>
  <c r="K203" i="14"/>
  <c r="O202" i="14"/>
  <c r="K202" i="14"/>
  <c r="O201" i="14"/>
  <c r="K201" i="14"/>
  <c r="O200" i="14"/>
  <c r="K200" i="14"/>
  <c r="O199" i="14"/>
  <c r="K199" i="14"/>
  <c r="P198" i="14"/>
  <c r="O198" i="14"/>
  <c r="L198" i="14"/>
  <c r="K198" i="14"/>
  <c r="O197" i="14"/>
  <c r="K197" i="14"/>
  <c r="O196" i="14"/>
  <c r="K196" i="14"/>
  <c r="P195" i="14"/>
  <c r="O195" i="14"/>
  <c r="L195" i="14"/>
  <c r="K195" i="14"/>
  <c r="O194" i="14"/>
  <c r="L194" i="14"/>
  <c r="K194" i="14" s="1"/>
  <c r="P193" i="14"/>
  <c r="O193" i="14" s="1"/>
  <c r="L193" i="14"/>
  <c r="K193" i="14" s="1"/>
  <c r="O192" i="14"/>
  <c r="K192" i="14"/>
  <c r="O191" i="14"/>
  <c r="K191" i="14"/>
  <c r="O190" i="14"/>
  <c r="K190" i="14"/>
  <c r="O189" i="14"/>
  <c r="K189" i="14"/>
  <c r="O188" i="14"/>
  <c r="K188" i="14"/>
  <c r="O187" i="14"/>
  <c r="K187" i="14"/>
  <c r="P186" i="14"/>
  <c r="O186" i="14" s="1"/>
  <c r="L186" i="14"/>
  <c r="K186" i="14" s="1"/>
  <c r="O185" i="14"/>
  <c r="K185" i="14"/>
  <c r="P184" i="14"/>
  <c r="O184" i="14" s="1"/>
  <c r="L184" i="14"/>
  <c r="K184" i="14" s="1"/>
  <c r="P183" i="14"/>
  <c r="O183" i="14" s="1"/>
  <c r="L183" i="14"/>
  <c r="K183" i="14" s="1"/>
  <c r="P182" i="14"/>
  <c r="O182" i="14" s="1"/>
  <c r="K182" i="14"/>
  <c r="P181" i="14"/>
  <c r="O181" i="14"/>
  <c r="L181" i="14"/>
  <c r="K181" i="14"/>
  <c r="O180" i="14"/>
  <c r="K180" i="14"/>
  <c r="P179" i="14"/>
  <c r="O179" i="14"/>
  <c r="L179" i="14"/>
  <c r="K179" i="14"/>
  <c r="P178" i="14"/>
  <c r="O178" i="14"/>
  <c r="M178" i="14"/>
  <c r="L178" i="14"/>
  <c r="K178" i="14" s="1"/>
  <c r="P177" i="14"/>
  <c r="O177" i="14" s="1"/>
  <c r="L177" i="14"/>
  <c r="K177" i="14" s="1"/>
  <c r="O176" i="14"/>
  <c r="L176" i="14"/>
  <c r="K176" i="14"/>
  <c r="P175" i="14"/>
  <c r="O175" i="14"/>
  <c r="L175" i="14"/>
  <c r="K175" i="14"/>
  <c r="O174" i="14"/>
  <c r="K174" i="14"/>
  <c r="P173" i="14"/>
  <c r="O173" i="14"/>
  <c r="L173" i="14"/>
  <c r="K173" i="14"/>
  <c r="O172" i="14"/>
  <c r="L172" i="14"/>
  <c r="K172" i="14" s="1"/>
  <c r="P171" i="14"/>
  <c r="O171" i="14" s="1"/>
  <c r="L171" i="14"/>
  <c r="K171" i="14" s="1"/>
  <c r="O170" i="14"/>
  <c r="K170" i="14"/>
  <c r="O169" i="14"/>
  <c r="L169" i="14"/>
  <c r="K169" i="14"/>
  <c r="P168" i="14"/>
  <c r="O168" i="14"/>
  <c r="L168" i="14"/>
  <c r="K168" i="14"/>
  <c r="O167" i="14"/>
  <c r="K167" i="14"/>
  <c r="P166" i="14"/>
  <c r="O166" i="14"/>
  <c r="L166" i="14"/>
  <c r="K166" i="14"/>
  <c r="O165" i="14"/>
  <c r="K165" i="14"/>
  <c r="O164" i="14"/>
  <c r="K164" i="14"/>
  <c r="O163" i="14"/>
  <c r="K163" i="14"/>
  <c r="O162" i="14"/>
  <c r="L162" i="14"/>
  <c r="K162" i="14" s="1"/>
  <c r="O161" i="14"/>
  <c r="K161" i="14"/>
  <c r="P160" i="14"/>
  <c r="O160" i="14" s="1"/>
  <c r="K160" i="14"/>
  <c r="O159" i="14"/>
  <c r="L159" i="14"/>
  <c r="K159" i="14" s="1"/>
  <c r="P158" i="14"/>
  <c r="O158" i="14" s="1"/>
  <c r="L158" i="14"/>
  <c r="K158" i="14" s="1"/>
  <c r="P157" i="14"/>
  <c r="O157" i="14" s="1"/>
  <c r="K157" i="14"/>
  <c r="P156" i="14"/>
  <c r="O156" i="14"/>
  <c r="L156" i="14"/>
  <c r="K156" i="14"/>
  <c r="O155" i="14"/>
  <c r="K155" i="14"/>
  <c r="O154" i="14"/>
  <c r="K154" i="14"/>
  <c r="P153" i="14"/>
  <c r="O153" i="14"/>
  <c r="K153" i="14"/>
  <c r="O152" i="14"/>
  <c r="K152" i="14"/>
  <c r="O151" i="14"/>
  <c r="K151" i="14"/>
  <c r="O150" i="14"/>
  <c r="L150" i="14"/>
  <c r="K150" i="14"/>
  <c r="P149" i="14"/>
  <c r="O149" i="14"/>
  <c r="K149" i="14"/>
  <c r="P148" i="14"/>
  <c r="O148" i="14" s="1"/>
  <c r="L148" i="14"/>
  <c r="K148" i="14" s="1"/>
  <c r="O147" i="14"/>
  <c r="K147" i="14"/>
  <c r="P146" i="14"/>
  <c r="O146" i="14" s="1"/>
  <c r="K146" i="14"/>
  <c r="O145" i="14"/>
  <c r="K145" i="14"/>
  <c r="P144" i="14"/>
  <c r="O144" i="14"/>
  <c r="L144" i="14"/>
  <c r="K144" i="14"/>
  <c r="P143" i="14"/>
  <c r="O143" i="14"/>
  <c r="L143" i="14"/>
  <c r="K143" i="14"/>
  <c r="O142" i="14"/>
  <c r="L142" i="14"/>
  <c r="K142" i="14" s="1"/>
  <c r="O141" i="14"/>
  <c r="K141" i="14"/>
  <c r="P140" i="14"/>
  <c r="O140" i="14" s="1"/>
  <c r="K140" i="14"/>
  <c r="P139" i="14"/>
  <c r="L139" i="14"/>
  <c r="Q133" i="14"/>
  <c r="M133" i="14"/>
  <c r="Q132" i="14"/>
  <c r="M132" i="14"/>
  <c r="Q131" i="14"/>
  <c r="M131" i="14"/>
  <c r="Q130" i="14"/>
  <c r="M130" i="14"/>
  <c r="Q129" i="14"/>
  <c r="M129" i="14"/>
  <c r="Q128" i="14"/>
  <c r="M128" i="14"/>
  <c r="Q127" i="14"/>
  <c r="M127" i="14"/>
  <c r="A127" i="14"/>
  <c r="A128" i="14" s="1"/>
  <c r="Q126" i="14"/>
  <c r="A116" i="14"/>
  <c r="A117" i="14" s="1"/>
  <c r="A118" i="14" s="1"/>
  <c r="A119" i="14" s="1"/>
  <c r="Q105" i="14" l="1"/>
  <c r="M105" i="14"/>
  <c r="Q104" i="14"/>
  <c r="M104" i="14"/>
  <c r="Q103" i="14"/>
  <c r="M103" i="14"/>
  <c r="P101" i="14"/>
  <c r="Q101" i="14" s="1"/>
  <c r="L101" i="14"/>
  <c r="K101" i="14"/>
  <c r="M101" i="14" s="1"/>
  <c r="Q100" i="14"/>
  <c r="L100" i="14"/>
  <c r="M100" i="14" s="1"/>
  <c r="P99" i="14"/>
  <c r="O99" i="14"/>
  <c r="Q99" i="14" s="1"/>
  <c r="M99" i="14"/>
  <c r="Q98" i="14"/>
  <c r="M98" i="14"/>
  <c r="L98" i="14"/>
  <c r="P97" i="14"/>
  <c r="O97" i="14"/>
  <c r="Q97" i="14" s="1"/>
  <c r="L97" i="14"/>
  <c r="K97" i="14"/>
  <c r="M97" i="14" s="1"/>
  <c r="Q96" i="14"/>
  <c r="L96" i="14"/>
  <c r="K96" i="14"/>
  <c r="M96" i="14" s="1"/>
  <c r="Q95" i="14"/>
  <c r="L95" i="14"/>
  <c r="K95" i="14"/>
  <c r="M95" i="14" s="1"/>
  <c r="P93" i="14"/>
  <c r="O93" i="14"/>
  <c r="Q93" i="14" s="1"/>
  <c r="L93" i="14"/>
  <c r="K93" i="14"/>
  <c r="M93" i="14" s="1"/>
  <c r="Q92" i="14"/>
  <c r="P92" i="14"/>
  <c r="M92" i="14"/>
  <c r="K92" i="14"/>
  <c r="Q91" i="14"/>
  <c r="L91" i="14"/>
  <c r="K91" i="14"/>
  <c r="M91" i="14" s="1"/>
  <c r="L90" i="14"/>
  <c r="K90" i="14"/>
  <c r="M90" i="14" s="1"/>
  <c r="Q89" i="14"/>
  <c r="M89" i="14"/>
  <c r="P88" i="14"/>
  <c r="O88" i="14"/>
  <c r="Q88" i="14" s="1"/>
  <c r="L88" i="14"/>
  <c r="K88" i="14"/>
  <c r="M88" i="14" s="1"/>
  <c r="M87" i="14"/>
  <c r="M86" i="14"/>
  <c r="M85" i="14"/>
  <c r="P84" i="14"/>
  <c r="O84" i="14"/>
  <c r="Q84" i="14" s="1"/>
  <c r="M84" i="14"/>
  <c r="Q83" i="14"/>
  <c r="O83" i="14"/>
  <c r="M83" i="14"/>
  <c r="Q82" i="14"/>
  <c r="M82" i="14"/>
  <c r="L82" i="14"/>
  <c r="Q81" i="14"/>
  <c r="L81" i="14"/>
  <c r="K81" i="14"/>
  <c r="M81" i="14" s="1"/>
  <c r="Q80" i="14"/>
  <c r="M80" i="14"/>
  <c r="Q79" i="14"/>
  <c r="L79" i="14"/>
  <c r="K79" i="14"/>
  <c r="M79" i="14" s="1"/>
  <c r="Q78" i="14"/>
  <c r="M78" i="14"/>
  <c r="Q77" i="14"/>
  <c r="L77" i="14"/>
  <c r="M77" i="14" s="1"/>
  <c r="Q76" i="14"/>
  <c r="L76" i="14"/>
  <c r="K76" i="14"/>
  <c r="M76" i="14" s="1"/>
  <c r="Q75" i="14"/>
  <c r="L75" i="14"/>
  <c r="K75" i="14"/>
  <c r="M75" i="14" s="1"/>
  <c r="P74" i="14"/>
  <c r="Q74" i="14" s="1"/>
  <c r="L74" i="14"/>
  <c r="K74" i="14"/>
  <c r="M74" i="14" s="1"/>
  <c r="Q73" i="14"/>
  <c r="M73" i="14"/>
  <c r="Q72" i="14"/>
  <c r="M72" i="14"/>
  <c r="P71" i="14"/>
  <c r="O71" i="14"/>
  <c r="Q71" i="14" s="1"/>
  <c r="L71" i="14"/>
  <c r="K71" i="14"/>
  <c r="M71" i="14" s="1"/>
  <c r="Q70" i="14"/>
  <c r="L70" i="14"/>
  <c r="K70" i="14"/>
  <c r="M70" i="14" s="1"/>
  <c r="Q69" i="14"/>
  <c r="L69" i="14"/>
  <c r="M69" i="14" s="1"/>
  <c r="P68" i="14"/>
  <c r="O68" i="14"/>
  <c r="Q68" i="14" s="1"/>
  <c r="L68" i="14"/>
  <c r="K68" i="14"/>
  <c r="M68" i="14" s="1"/>
  <c r="Q67" i="14"/>
  <c r="L67" i="14"/>
  <c r="K67" i="14"/>
  <c r="M67" i="14" s="1"/>
  <c r="Q66" i="14"/>
  <c r="L66" i="14"/>
  <c r="K66" i="14"/>
  <c r="M66" i="14" s="1"/>
  <c r="P65" i="14"/>
  <c r="O65" i="14"/>
  <c r="Q65" i="14" s="1"/>
  <c r="L65" i="14"/>
  <c r="K65" i="14"/>
  <c r="M65" i="14" s="1"/>
  <c r="Q64" i="14"/>
  <c r="L64" i="14"/>
  <c r="K64" i="14"/>
  <c r="M64" i="14" s="1"/>
  <c r="Q63" i="14"/>
  <c r="L63" i="14"/>
  <c r="K63" i="14"/>
  <c r="M63" i="14" s="1"/>
  <c r="P61" i="14"/>
  <c r="Q61" i="14" s="1"/>
  <c r="L61" i="14"/>
  <c r="K61" i="14"/>
  <c r="M61" i="14" s="1"/>
  <c r="Q60" i="14"/>
  <c r="L60" i="14"/>
  <c r="K60" i="14"/>
  <c r="M60" i="14" s="1"/>
  <c r="Q59" i="14"/>
  <c r="L59" i="14"/>
  <c r="K59" i="14"/>
  <c r="M59" i="14" s="1"/>
  <c r="Q58" i="14"/>
  <c r="L58" i="14"/>
  <c r="K58" i="14"/>
  <c r="M58" i="14" s="1"/>
  <c r="Q57" i="14"/>
  <c r="P57" i="14"/>
  <c r="L57" i="14"/>
  <c r="K57" i="14"/>
  <c r="M57" i="14" s="1"/>
  <c r="Q53" i="14" l="1"/>
  <c r="M53" i="14"/>
  <c r="Q52" i="14"/>
  <c r="M52" i="14"/>
  <c r="Q51" i="14"/>
  <c r="M51" i="14"/>
  <c r="Q50" i="14"/>
  <c r="M50" i="14"/>
  <c r="Q49" i="14"/>
  <c r="M49" i="14"/>
  <c r="Q48" i="14"/>
  <c r="M48" i="14"/>
  <c r="Q47" i="14"/>
  <c r="M47" i="14"/>
  <c r="Q46" i="14"/>
  <c r="M46" i="14"/>
  <c r="Q45" i="14"/>
  <c r="M45" i="14"/>
  <c r="Q44" i="14"/>
  <c r="M44" i="14"/>
  <c r="Q43" i="14"/>
  <c r="M43" i="14"/>
  <c r="Q42" i="14"/>
  <c r="M42" i="14"/>
  <c r="Q41" i="14"/>
  <c r="M41" i="14"/>
  <c r="Q40" i="14"/>
  <c r="M40" i="14"/>
  <c r="Q39" i="14"/>
  <c r="M39" i="14"/>
  <c r="Q38" i="14"/>
  <c r="M38" i="14"/>
  <c r="Q37" i="14"/>
  <c r="M37" i="14"/>
  <c r="Q36" i="14"/>
  <c r="M36" i="14"/>
  <c r="Q35" i="14"/>
  <c r="M35" i="14"/>
  <c r="Q34" i="14"/>
  <c r="M34" i="14"/>
  <c r="Q33" i="14"/>
  <c r="M33" i="14"/>
  <c r="Q32" i="14"/>
  <c r="M32" i="14"/>
  <c r="Q31" i="14"/>
  <c r="M31" i="14"/>
  <c r="Q30" i="14"/>
  <c r="M30" i="14"/>
  <c r="Q29" i="14"/>
  <c r="M29" i="14"/>
  <c r="Q28" i="14"/>
  <c r="M28" i="14"/>
  <c r="Q27" i="14"/>
  <c r="M27" i="14"/>
  <c r="Q26" i="14"/>
  <c r="M26" i="14"/>
  <c r="Q25" i="14"/>
  <c r="M25" i="14"/>
  <c r="Q24" i="14"/>
  <c r="M24" i="14"/>
  <c r="Q23" i="14"/>
  <c r="M23" i="14"/>
  <c r="Q22" i="14"/>
  <c r="M22" i="14"/>
  <c r="Q21" i="14"/>
  <c r="M21" i="14"/>
  <c r="Q20" i="14"/>
  <c r="M20" i="14"/>
  <c r="Q19" i="14"/>
  <c r="M19" i="14"/>
  <c r="Q18" i="14"/>
  <c r="M18" i="14"/>
  <c r="Q17" i="14"/>
  <c r="M17" i="14"/>
  <c r="Q16" i="14"/>
  <c r="M16" i="14"/>
  <c r="Q15" i="14"/>
  <c r="M15" i="14"/>
  <c r="Q14" i="14"/>
  <c r="M14" i="14"/>
  <c r="Q13" i="14"/>
  <c r="M13" i="14"/>
  <c r="Q12" i="14"/>
  <c r="M12" i="14"/>
  <c r="Q11" i="14"/>
  <c r="M11" i="14"/>
  <c r="Q10" i="14"/>
  <c r="M10" i="14"/>
  <c r="Q9" i="14"/>
  <c r="M9" i="14"/>
  <c r="Q279" i="13" l="1"/>
  <c r="P279" i="13"/>
  <c r="O279" i="13"/>
  <c r="Q269" i="13"/>
  <c r="P269" i="13"/>
  <c r="O268" i="13"/>
  <c r="P252" i="13"/>
  <c r="O252" i="13"/>
  <c r="K241" i="13"/>
  <c r="Q238" i="13"/>
  <c r="O238" i="13" s="1"/>
  <c r="M226" i="13"/>
  <c r="L226" i="13"/>
  <c r="K226" i="13"/>
  <c r="K221" i="13"/>
  <c r="K218" i="13"/>
  <c r="O205" i="13"/>
  <c r="K203" i="13"/>
  <c r="P181" i="13"/>
  <c r="O181" i="13" s="1"/>
  <c r="P176" i="13"/>
  <c r="O176" i="13"/>
  <c r="M175" i="13"/>
  <c r="L175" i="13"/>
  <c r="K175" i="13"/>
  <c r="P164" i="13"/>
  <c r="O164" i="13"/>
  <c r="O156" i="13"/>
  <c r="O145" i="13"/>
  <c r="M145" i="13"/>
  <c r="K145" i="13"/>
  <c r="L139" i="13"/>
  <c r="K139" i="13"/>
  <c r="A138" i="13"/>
  <c r="A139" i="13" s="1"/>
  <c r="A140" i="13" s="1"/>
  <c r="A141" i="13" s="1"/>
  <c r="A142" i="13" s="1"/>
  <c r="A143" i="13" s="1"/>
  <c r="A144" i="13" s="1"/>
  <c r="A145" i="13" s="1"/>
  <c r="A146" i="13" s="1"/>
  <c r="A147" i="13" s="1"/>
  <c r="A148" i="13" s="1"/>
  <c r="A149" i="13" s="1"/>
  <c r="A150" i="13" s="1"/>
  <c r="A151" i="13" s="1"/>
  <c r="A152" i="13" s="1"/>
  <c r="A153" i="13" s="1"/>
  <c r="A154" i="13" s="1"/>
  <c r="A155" i="13" s="1"/>
  <c r="A156" i="13" s="1"/>
  <c r="A157" i="13" s="1"/>
  <c r="A158" i="13" s="1"/>
  <c r="A159" i="13" s="1"/>
  <c r="A160" i="13" s="1"/>
  <c r="A161" i="13" s="1"/>
  <c r="A162" i="13" s="1"/>
  <c r="A163" i="13" s="1"/>
  <c r="A164" i="13" s="1"/>
  <c r="A165" i="13" s="1"/>
  <c r="A166" i="13" s="1"/>
  <c r="A167" i="13" s="1"/>
  <c r="A168" i="13" s="1"/>
  <c r="A169" i="13" s="1"/>
  <c r="A170" i="13" s="1"/>
  <c r="A171" i="13" s="1"/>
  <c r="A172" i="13" s="1"/>
  <c r="A173" i="13" s="1"/>
  <c r="A174" i="13" s="1"/>
  <c r="A175" i="13" s="1"/>
  <c r="A176" i="13" s="1"/>
  <c r="A177" i="13" s="1"/>
  <c r="A178" i="13" s="1"/>
  <c r="A179" i="13" s="1"/>
  <c r="A180" i="13" s="1"/>
  <c r="A181" i="13" s="1"/>
  <c r="A182" i="13" s="1"/>
  <c r="A183" i="13" s="1"/>
  <c r="A184" i="13" s="1"/>
  <c r="A185" i="13" s="1"/>
  <c r="A186" i="13" s="1"/>
  <c r="A187" i="13" s="1"/>
  <c r="A188" i="13" s="1"/>
  <c r="A189" i="13" s="1"/>
  <c r="A190" i="13" s="1"/>
  <c r="A191" i="13" s="1"/>
  <c r="A192" i="13" s="1"/>
  <c r="A193" i="13" s="1"/>
  <c r="A194" i="13" s="1"/>
  <c r="A195" i="13" s="1"/>
  <c r="A196" i="13" s="1"/>
  <c r="A197" i="13" s="1"/>
  <c r="A198" i="13" s="1"/>
  <c r="A199" i="13" s="1"/>
  <c r="A200" i="13" s="1"/>
  <c r="A201" i="13" s="1"/>
  <c r="A202" i="13" s="1"/>
  <c r="A203" i="13" s="1"/>
  <c r="A204" i="13" s="1"/>
  <c r="A205" i="13" s="1"/>
  <c r="A206" i="13" s="1"/>
  <c r="A207" i="13" s="1"/>
  <c r="A208" i="13" s="1"/>
  <c r="A209" i="13" s="1"/>
  <c r="A210" i="13" s="1"/>
  <c r="A211" i="13" s="1"/>
  <c r="A212" i="13" s="1"/>
  <c r="A213" i="13" s="1"/>
  <c r="A214" i="13" s="1"/>
  <c r="A215" i="13" s="1"/>
  <c r="A216" i="13" s="1"/>
  <c r="A217" i="13" s="1"/>
  <c r="A218" i="13" s="1"/>
  <c r="A219" i="13" s="1"/>
  <c r="A220" i="13" s="1"/>
  <c r="A221" i="13" s="1"/>
  <c r="A222" i="13" s="1"/>
  <c r="A223" i="13" s="1"/>
  <c r="A224" i="13" s="1"/>
  <c r="A225" i="13" s="1"/>
  <c r="A226" i="13" s="1"/>
  <c r="A227" i="13" s="1"/>
  <c r="A228" i="13" s="1"/>
  <c r="A229" i="13" s="1"/>
  <c r="A230" i="13" s="1"/>
  <c r="A231" i="13" s="1"/>
  <c r="A232" i="13" s="1"/>
  <c r="A233" i="13" s="1"/>
  <c r="A234" i="13" s="1"/>
  <c r="A235" i="13" s="1"/>
  <c r="A236" i="13" s="1"/>
  <c r="A237" i="13" s="1"/>
  <c r="A238" i="13" s="1"/>
  <c r="A239" i="13" s="1"/>
  <c r="A240" i="13" s="1"/>
  <c r="A241" i="13" s="1"/>
  <c r="A242" i="13" s="1"/>
  <c r="A243" i="13" s="1"/>
  <c r="A244" i="13" s="1"/>
  <c r="A245" i="13" s="1"/>
  <c r="A246" i="13" s="1"/>
  <c r="A247" i="13" s="1"/>
  <c r="A248" i="13" s="1"/>
  <c r="A249" i="13" s="1"/>
  <c r="A250" i="13" s="1"/>
  <c r="A251" i="13" s="1"/>
  <c r="A252" i="13" s="1"/>
  <c r="A253" i="13" s="1"/>
  <c r="A254" i="13" s="1"/>
  <c r="A255" i="13" s="1"/>
  <c r="A256" i="13" s="1"/>
  <c r="A257" i="13" s="1"/>
  <c r="A258" i="13" s="1"/>
  <c r="A259" i="13" s="1"/>
  <c r="A260" i="13" s="1"/>
  <c r="A261" i="13" s="1"/>
  <c r="A262" i="13" s="1"/>
  <c r="A263" i="13" s="1"/>
  <c r="A264" i="13" s="1"/>
  <c r="A265" i="13" s="1"/>
  <c r="A266" i="13" s="1"/>
  <c r="A267" i="13" s="1"/>
  <c r="A268" i="13" s="1"/>
  <c r="A269" i="13" s="1"/>
  <c r="A270" i="13" s="1"/>
  <c r="A271" i="13" s="1"/>
  <c r="A272" i="13" s="1"/>
  <c r="A273" i="13" s="1"/>
  <c r="A274" i="13" s="1"/>
  <c r="A275" i="13" s="1"/>
  <c r="A276" i="13" s="1"/>
  <c r="A277" i="13" s="1"/>
  <c r="A278" i="13" s="1"/>
  <c r="A279" i="13" s="1"/>
  <c r="A280" i="13" s="1"/>
  <c r="A136" i="13"/>
  <c r="A137" i="13" s="1"/>
  <c r="P135" i="13"/>
  <c r="O135" i="13"/>
  <c r="Q132" i="13"/>
  <c r="M132" i="13"/>
  <c r="Q131" i="13"/>
  <c r="M131" i="13"/>
  <c r="Q130" i="13"/>
  <c r="M130" i="13"/>
  <c r="Q129" i="13"/>
  <c r="M129" i="13"/>
  <c r="Q128" i="13"/>
  <c r="M128" i="13"/>
  <c r="Q127" i="13"/>
  <c r="M127" i="13"/>
  <c r="Q126" i="13"/>
  <c r="M126" i="13"/>
  <c r="A126" i="13"/>
  <c r="A127" i="13" s="1"/>
  <c r="Q125" i="13"/>
  <c r="A115" i="13" l="1"/>
  <c r="A116" i="13" s="1"/>
  <c r="A117" i="13" s="1"/>
  <c r="A118" i="13" s="1"/>
  <c r="Q104" i="13" l="1"/>
  <c r="M104" i="13"/>
  <c r="Q103" i="13"/>
  <c r="M103" i="13"/>
  <c r="Q102" i="13"/>
  <c r="M102" i="13"/>
  <c r="P100" i="13"/>
  <c r="Q100" i="13" s="1"/>
  <c r="L100" i="13"/>
  <c r="K100" i="13"/>
  <c r="M100" i="13" s="1"/>
  <c r="Q99" i="13"/>
  <c r="L99" i="13"/>
  <c r="M99" i="13" s="1"/>
  <c r="O98" i="13"/>
  <c r="Q98" i="13" s="1"/>
  <c r="M98" i="13"/>
  <c r="Q97" i="13"/>
  <c r="L97" i="13"/>
  <c r="M97" i="13" s="1"/>
  <c r="P96" i="13"/>
  <c r="O96" i="13"/>
  <c r="Q96" i="13" s="1"/>
  <c r="L96" i="13"/>
  <c r="K96" i="13"/>
  <c r="M96" i="13" s="1"/>
  <c r="Q95" i="13"/>
  <c r="L95" i="13"/>
  <c r="K95" i="13"/>
  <c r="M95" i="13" s="1"/>
  <c r="Q94" i="13"/>
  <c r="L94" i="13"/>
  <c r="K94" i="13"/>
  <c r="M94" i="13" s="1"/>
  <c r="P92" i="13"/>
  <c r="O92" i="13"/>
  <c r="Q92" i="13" s="1"/>
  <c r="L92" i="13"/>
  <c r="K92" i="13"/>
  <c r="M92" i="13" s="1"/>
  <c r="P91" i="13"/>
  <c r="Q91" i="13" s="1"/>
  <c r="K91" i="13"/>
  <c r="M91" i="13" s="1"/>
  <c r="Q90" i="13"/>
  <c r="L90" i="13"/>
  <c r="K90" i="13"/>
  <c r="M90" i="13" s="1"/>
  <c r="L89" i="13"/>
  <c r="K89" i="13"/>
  <c r="M89" i="13" s="1"/>
  <c r="Q88" i="13"/>
  <c r="M88" i="13"/>
  <c r="P87" i="13"/>
  <c r="O87" i="13"/>
  <c r="Q87" i="13" s="1"/>
  <c r="L87" i="13"/>
  <c r="K87" i="13"/>
  <c r="M87" i="13" s="1"/>
  <c r="M86" i="13"/>
  <c r="M85" i="13"/>
  <c r="P84" i="13"/>
  <c r="O84" i="13"/>
  <c r="Q84" i="13" s="1"/>
  <c r="M84" i="13"/>
  <c r="Q83" i="13"/>
  <c r="M83" i="13"/>
  <c r="Q82" i="13"/>
  <c r="M82" i="13"/>
  <c r="Q81" i="13"/>
  <c r="L81" i="13"/>
  <c r="K81" i="13"/>
  <c r="M81" i="13" s="1"/>
  <c r="Q80" i="13"/>
  <c r="M80" i="13"/>
  <c r="Q79" i="13"/>
  <c r="L79" i="13"/>
  <c r="K79" i="13"/>
  <c r="M79" i="13" s="1"/>
  <c r="Q78" i="13"/>
  <c r="M78" i="13"/>
  <c r="Q77" i="13"/>
  <c r="L77" i="13"/>
  <c r="M77" i="13" s="1"/>
  <c r="Q76" i="13"/>
  <c r="L76" i="13"/>
  <c r="K76" i="13"/>
  <c r="M76" i="13" s="1"/>
  <c r="Q75" i="13"/>
  <c r="L75" i="13"/>
  <c r="K75" i="13"/>
  <c r="M75" i="13" s="1"/>
  <c r="P74" i="13"/>
  <c r="Q74" i="13" s="1"/>
  <c r="K74" i="13"/>
  <c r="M74" i="13" s="1"/>
  <c r="Q73" i="13"/>
  <c r="M73" i="13"/>
  <c r="Q72" i="13"/>
  <c r="M72" i="13"/>
  <c r="P71" i="13"/>
  <c r="O71" i="13"/>
  <c r="Q71" i="13" s="1"/>
  <c r="L71" i="13"/>
  <c r="K71" i="13"/>
  <c r="M71" i="13" s="1"/>
  <c r="Q70" i="13"/>
  <c r="L70" i="13"/>
  <c r="K70" i="13"/>
  <c r="M70" i="13" s="1"/>
  <c r="Q69" i="13"/>
  <c r="M69" i="13"/>
  <c r="L69" i="13"/>
  <c r="P68" i="13"/>
  <c r="O68" i="13"/>
  <c r="Q68" i="13" s="1"/>
  <c r="L68" i="13"/>
  <c r="K68" i="13"/>
  <c r="M68" i="13" s="1"/>
  <c r="Q67" i="13"/>
  <c r="L67" i="13"/>
  <c r="K67" i="13"/>
  <c r="M67" i="13" s="1"/>
  <c r="Q66" i="13"/>
  <c r="L66" i="13"/>
  <c r="K66" i="13"/>
  <c r="M66" i="13" s="1"/>
  <c r="P65" i="13"/>
  <c r="O65" i="13"/>
  <c r="Q65" i="13" s="1"/>
  <c r="L65" i="13"/>
  <c r="K65" i="13"/>
  <c r="M65" i="13" s="1"/>
  <c r="Q64" i="13"/>
  <c r="L64" i="13"/>
  <c r="K64" i="13"/>
  <c r="M64" i="13" s="1"/>
  <c r="Q63" i="13"/>
  <c r="L63" i="13"/>
  <c r="K63" i="13"/>
  <c r="M63" i="13" s="1"/>
  <c r="Q61" i="13"/>
  <c r="P61" i="13"/>
  <c r="L61" i="13"/>
  <c r="K61" i="13"/>
  <c r="M61" i="13" s="1"/>
  <c r="Q60" i="13"/>
  <c r="L60" i="13"/>
  <c r="K60" i="13"/>
  <c r="M60" i="13" s="1"/>
  <c r="Q59" i="13"/>
  <c r="L59" i="13"/>
  <c r="K59" i="13"/>
  <c r="M59" i="13" s="1"/>
  <c r="Q58" i="13"/>
  <c r="L58" i="13"/>
  <c r="K58" i="13"/>
  <c r="M58" i="13" s="1"/>
  <c r="P57" i="13"/>
  <c r="Q57" i="13" s="1"/>
  <c r="L57" i="13"/>
  <c r="K57" i="13"/>
  <c r="M57" i="13" s="1"/>
  <c r="Q53" i="13" l="1"/>
  <c r="M53" i="13"/>
  <c r="Q52" i="13"/>
  <c r="M52" i="13"/>
  <c r="Q51" i="13"/>
  <c r="M51" i="13"/>
  <c r="Q50" i="13"/>
  <c r="M50" i="13"/>
  <c r="Q49" i="13"/>
  <c r="M49" i="13"/>
  <c r="Q48" i="13"/>
  <c r="M48" i="13"/>
  <c r="Q47" i="13"/>
  <c r="M47" i="13"/>
  <c r="Q46" i="13"/>
  <c r="M46" i="13"/>
  <c r="Q45" i="13"/>
  <c r="M45" i="13"/>
  <c r="Q44" i="13"/>
  <c r="M44" i="13"/>
  <c r="Q43" i="13"/>
  <c r="M43" i="13"/>
  <c r="Q42" i="13"/>
  <c r="M42" i="13"/>
  <c r="Q41" i="13"/>
  <c r="M41" i="13"/>
  <c r="Q40" i="13"/>
  <c r="M40" i="13"/>
  <c r="Q39" i="13"/>
  <c r="M39" i="13"/>
  <c r="Q38" i="13"/>
  <c r="M38" i="13"/>
  <c r="Q37" i="13"/>
  <c r="M37" i="13"/>
  <c r="Q36" i="13"/>
  <c r="M36" i="13"/>
  <c r="Q35" i="13"/>
  <c r="M35" i="13"/>
  <c r="Q34" i="13"/>
  <c r="M34" i="13"/>
  <c r="Q33" i="13"/>
  <c r="M33" i="13"/>
  <c r="Q32" i="13"/>
  <c r="M32" i="13"/>
  <c r="Q31" i="13"/>
  <c r="M31" i="13"/>
  <c r="Q30" i="13"/>
  <c r="M30" i="13"/>
  <c r="Q29" i="13"/>
  <c r="M29" i="13"/>
  <c r="Q28" i="13"/>
  <c r="M28" i="13"/>
  <c r="Q27" i="13"/>
  <c r="M27" i="13"/>
  <c r="Q26" i="13"/>
  <c r="M26" i="13"/>
  <c r="Q25" i="13"/>
  <c r="M25" i="13"/>
  <c r="Q24" i="13"/>
  <c r="M24" i="13"/>
  <c r="Q23" i="13"/>
  <c r="M23" i="13"/>
  <c r="Q22" i="13"/>
  <c r="M22" i="13"/>
  <c r="Q21" i="13"/>
  <c r="M21" i="13"/>
  <c r="Q20" i="13"/>
  <c r="M20" i="13"/>
  <c r="Q19" i="13"/>
  <c r="M19" i="13"/>
  <c r="Q18" i="13"/>
  <c r="M18" i="13"/>
  <c r="Q17" i="13"/>
  <c r="M17" i="13"/>
  <c r="Q16" i="13"/>
  <c r="M16" i="13"/>
  <c r="Q15" i="13"/>
  <c r="M15" i="13"/>
  <c r="Q14" i="13"/>
  <c r="M14" i="13"/>
  <c r="Q13" i="13"/>
  <c r="M13" i="13"/>
  <c r="Q12" i="13"/>
  <c r="M12" i="13"/>
  <c r="Q11" i="13"/>
  <c r="M11" i="13"/>
  <c r="Q10" i="13"/>
  <c r="M10" i="13"/>
  <c r="Q9" i="13"/>
  <c r="M9" i="13"/>
  <c r="Q265" i="12" l="1"/>
  <c r="P265" i="12"/>
  <c r="M222" i="12"/>
  <c r="L222" i="12"/>
  <c r="P202" i="12"/>
  <c r="O202" i="12"/>
  <c r="M172" i="12"/>
  <c r="L172" i="12"/>
  <c r="P161" i="12"/>
  <c r="O161" i="12"/>
  <c r="A133" i="12"/>
  <c r="A134" i="12" s="1"/>
  <c r="A135" i="12" s="1"/>
  <c r="A136" i="12" s="1"/>
  <c r="A137" i="12" s="1"/>
  <c r="A138" i="12" s="1"/>
  <c r="A139" i="12" s="1"/>
  <c r="A140" i="12" s="1"/>
  <c r="A141" i="12" s="1"/>
  <c r="A142" i="12" s="1"/>
  <c r="A143" i="12" s="1"/>
  <c r="A144" i="12" s="1"/>
  <c r="A145" i="12" s="1"/>
  <c r="A146" i="12" s="1"/>
  <c r="A147" i="12" s="1"/>
  <c r="A148" i="12" s="1"/>
  <c r="A149" i="12" s="1"/>
  <c r="A150" i="12" s="1"/>
  <c r="A151" i="12" s="1"/>
  <c r="A152" i="12" s="1"/>
  <c r="A153" i="12" s="1"/>
  <c r="A154" i="12" s="1"/>
  <c r="A155" i="12" s="1"/>
  <c r="A156" i="12" s="1"/>
  <c r="A157" i="12" s="1"/>
  <c r="A158" i="12" s="1"/>
  <c r="A159" i="12" s="1"/>
  <c r="A160" i="12" s="1"/>
  <c r="A161" i="12" s="1"/>
  <c r="A162" i="12" s="1"/>
  <c r="A163" i="12" s="1"/>
  <c r="A164" i="12" s="1"/>
  <c r="A165" i="12" s="1"/>
  <c r="A166" i="12" s="1"/>
  <c r="A167" i="12" s="1"/>
  <c r="A168" i="12" s="1"/>
  <c r="A169" i="12" s="1"/>
  <c r="A170" i="12" s="1"/>
  <c r="A171" i="12" s="1"/>
  <c r="A172" i="12" s="1"/>
  <c r="A173" i="12" s="1"/>
  <c r="A174" i="12" s="1"/>
  <c r="A175" i="12" s="1"/>
  <c r="A176" i="12" s="1"/>
  <c r="A177" i="12" s="1"/>
  <c r="A178" i="12" s="1"/>
  <c r="A179" i="12" s="1"/>
  <c r="A180" i="12" s="1"/>
  <c r="A181" i="12" s="1"/>
  <c r="A182" i="12" s="1"/>
  <c r="A183" i="12" s="1"/>
  <c r="A184" i="12" s="1"/>
  <c r="A185" i="12" s="1"/>
  <c r="A186" i="12" s="1"/>
  <c r="A187" i="12" s="1"/>
  <c r="A188" i="12" s="1"/>
  <c r="A189" i="12" s="1"/>
  <c r="A190" i="12" s="1"/>
  <c r="A191" i="12" s="1"/>
  <c r="A192" i="12" s="1"/>
  <c r="A193" i="12" s="1"/>
  <c r="A194" i="12" s="1"/>
  <c r="A195" i="12" s="1"/>
  <c r="A196" i="12" s="1"/>
  <c r="A197" i="12" s="1"/>
  <c r="A198" i="12" s="1"/>
  <c r="A199" i="12" s="1"/>
  <c r="A200" i="12" s="1"/>
  <c r="A201" i="12" s="1"/>
  <c r="A202" i="12" s="1"/>
  <c r="A203" i="12" s="1"/>
  <c r="A204" i="12" s="1"/>
  <c r="A205" i="12" s="1"/>
  <c r="A206" i="12" s="1"/>
  <c r="A207" i="12" s="1"/>
  <c r="A208" i="12" s="1"/>
  <c r="A209" i="12" s="1"/>
  <c r="A210" i="12" s="1"/>
  <c r="A211" i="12" s="1"/>
  <c r="A212" i="12" s="1"/>
  <c r="A213" i="12" s="1"/>
  <c r="A214" i="12" s="1"/>
  <c r="A215" i="12" s="1"/>
  <c r="A216" i="12" s="1"/>
  <c r="A217" i="12" s="1"/>
  <c r="A218" i="12" s="1"/>
  <c r="A219" i="12" s="1"/>
  <c r="A220" i="12" s="1"/>
  <c r="A221" i="12" s="1"/>
  <c r="A222" i="12" s="1"/>
  <c r="A223" i="12" s="1"/>
  <c r="A224" i="12" s="1"/>
  <c r="A225" i="12" s="1"/>
  <c r="A226" i="12" s="1"/>
  <c r="A227" i="12" s="1"/>
  <c r="A228" i="12" s="1"/>
  <c r="A229" i="12" s="1"/>
  <c r="A230" i="12" s="1"/>
  <c r="A231" i="12" s="1"/>
  <c r="A232" i="12" s="1"/>
  <c r="A233" i="12" s="1"/>
  <c r="A234" i="12" s="1"/>
  <c r="A235" i="12" s="1"/>
  <c r="A236" i="12" s="1"/>
  <c r="A237" i="12" s="1"/>
  <c r="A238" i="12" s="1"/>
  <c r="A239" i="12" s="1"/>
  <c r="A240" i="12" s="1"/>
  <c r="A241" i="12" s="1"/>
  <c r="A242" i="12" s="1"/>
  <c r="A243" i="12" s="1"/>
  <c r="A244" i="12" s="1"/>
  <c r="A245" i="12" s="1"/>
  <c r="A246" i="12" s="1"/>
  <c r="A247" i="12" s="1"/>
  <c r="A248" i="12" s="1"/>
  <c r="A249" i="12" s="1"/>
  <c r="A250" i="12" s="1"/>
  <c r="A251" i="12" s="1"/>
  <c r="A252" i="12" s="1"/>
  <c r="A253" i="12" s="1"/>
  <c r="A254" i="12" s="1"/>
  <c r="A255" i="12" s="1"/>
  <c r="A256" i="12" s="1"/>
  <c r="A257" i="12" s="1"/>
  <c r="A258" i="12" s="1"/>
  <c r="A259" i="12" s="1"/>
  <c r="A260" i="12" s="1"/>
  <c r="A261" i="12" s="1"/>
  <c r="A262" i="12" s="1"/>
  <c r="A263" i="12" s="1"/>
  <c r="A264" i="12" s="1"/>
  <c r="A265" i="12" s="1"/>
  <c r="A266" i="12" s="1"/>
  <c r="A267" i="12" s="1"/>
  <c r="A268" i="12" s="1"/>
  <c r="A269" i="12" s="1"/>
  <c r="A270" i="12" s="1"/>
  <c r="A271" i="12" s="1"/>
  <c r="A272" i="12" s="1"/>
  <c r="A273" i="12" s="1"/>
  <c r="A274" i="12" s="1"/>
  <c r="A275" i="12" s="1"/>
  <c r="A276" i="12" s="1"/>
  <c r="P132" i="12"/>
  <c r="O132" i="12"/>
  <c r="Q129" i="12"/>
  <c r="M129" i="12"/>
  <c r="Q128" i="12"/>
  <c r="M128" i="12"/>
  <c r="Q127" i="12"/>
  <c r="M127" i="12"/>
  <c r="Q126" i="12"/>
  <c r="M126" i="12"/>
  <c r="Q125" i="12"/>
  <c r="M125" i="12"/>
  <c r="Q124" i="12"/>
  <c r="M124" i="12"/>
  <c r="Q123" i="12"/>
  <c r="M123" i="12"/>
  <c r="A123" i="12"/>
  <c r="A124" i="12" s="1"/>
  <c r="Q122" i="12"/>
  <c r="A103" i="12" l="1"/>
  <c r="A104" i="12" s="1"/>
  <c r="A105" i="12" s="1"/>
  <c r="A106" i="12" s="1"/>
  <c r="Q101" i="12" l="1"/>
  <c r="M101" i="12"/>
  <c r="Q100" i="12"/>
  <c r="M100" i="12"/>
  <c r="Q99" i="12"/>
  <c r="M99" i="12"/>
  <c r="P97" i="12"/>
  <c r="Q97" i="12" s="1"/>
  <c r="L97" i="12"/>
  <c r="K97" i="12"/>
  <c r="M97" i="12" s="1"/>
  <c r="Q96" i="12"/>
  <c r="L96" i="12"/>
  <c r="M96" i="12" s="1"/>
  <c r="O95" i="12"/>
  <c r="Q95" i="12" s="1"/>
  <c r="M95" i="12"/>
  <c r="Q94" i="12"/>
  <c r="L94" i="12"/>
  <c r="M94" i="12" s="1"/>
  <c r="P93" i="12"/>
  <c r="O93" i="12"/>
  <c r="Q93" i="12" s="1"/>
  <c r="L93" i="12"/>
  <c r="K93" i="12"/>
  <c r="M93" i="12" s="1"/>
  <c r="K92" i="12"/>
  <c r="M92" i="12" s="1"/>
  <c r="Q91" i="12"/>
  <c r="L91" i="12"/>
  <c r="K91" i="12"/>
  <c r="M91" i="12" s="1"/>
  <c r="P89" i="12"/>
  <c r="O89" i="12"/>
  <c r="Q89" i="12" s="1"/>
  <c r="L89" i="12"/>
  <c r="K89" i="12"/>
  <c r="M89" i="12" s="1"/>
  <c r="P88" i="12"/>
  <c r="Q88" i="12" s="1"/>
  <c r="K88" i="12"/>
  <c r="M88" i="12" s="1"/>
  <c r="Q87" i="12"/>
  <c r="L87" i="12"/>
  <c r="K87" i="12"/>
  <c r="M87" i="12" s="1"/>
  <c r="L86" i="12"/>
  <c r="K86" i="12"/>
  <c r="M86" i="12" s="1"/>
  <c r="Q85" i="12"/>
  <c r="M85" i="12"/>
  <c r="P84" i="12"/>
  <c r="O84" i="12"/>
  <c r="Q84" i="12" s="1"/>
  <c r="L84" i="12"/>
  <c r="K84" i="12"/>
  <c r="M84" i="12" s="1"/>
  <c r="P81" i="12"/>
  <c r="O81" i="12"/>
  <c r="Q81" i="12" s="1"/>
  <c r="M81" i="12"/>
  <c r="Q80" i="12"/>
  <c r="M80" i="12"/>
  <c r="M79" i="12"/>
  <c r="Q78" i="12"/>
  <c r="L78" i="12"/>
  <c r="K78" i="12"/>
  <c r="M78" i="12" s="1"/>
  <c r="Q77" i="12"/>
  <c r="M77" i="12"/>
  <c r="Q76" i="12"/>
  <c r="L76" i="12"/>
  <c r="K76" i="12"/>
  <c r="M76" i="12" s="1"/>
  <c r="Q75" i="12"/>
  <c r="M75" i="12"/>
  <c r="Q74" i="12"/>
  <c r="M74" i="12"/>
  <c r="L74" i="12"/>
  <c r="Q73" i="12"/>
  <c r="L73" i="12"/>
  <c r="K73" i="12"/>
  <c r="M73" i="12" s="1"/>
  <c r="Q72" i="12"/>
  <c r="L72" i="12"/>
  <c r="K72" i="12"/>
  <c r="M72" i="12" s="1"/>
  <c r="Q71" i="12"/>
  <c r="P71" i="12"/>
  <c r="M71" i="12"/>
  <c r="K71" i="12"/>
  <c r="Q70" i="12"/>
  <c r="M70" i="12"/>
  <c r="Q69" i="12"/>
  <c r="M69" i="12"/>
  <c r="P68" i="12"/>
  <c r="O68" i="12"/>
  <c r="Q68" i="12" s="1"/>
  <c r="L68" i="12"/>
  <c r="K68" i="12"/>
  <c r="M68" i="12" s="1"/>
  <c r="M67" i="12"/>
  <c r="K67" i="12"/>
  <c r="Q66" i="12"/>
  <c r="L66" i="12"/>
  <c r="M66" i="12" s="1"/>
  <c r="P65" i="12"/>
  <c r="O65" i="12"/>
  <c r="Q65" i="12" s="1"/>
  <c r="L65" i="12"/>
  <c r="K65" i="12"/>
  <c r="M65" i="12" s="1"/>
  <c r="Q64" i="12"/>
  <c r="L64" i="12"/>
  <c r="K64" i="12"/>
  <c r="M64" i="12" s="1"/>
  <c r="Q63" i="12"/>
  <c r="L63" i="12"/>
  <c r="K63" i="12"/>
  <c r="M63" i="12" s="1"/>
  <c r="P62" i="12"/>
  <c r="O62" i="12"/>
  <c r="Q62" i="12" s="1"/>
  <c r="L62" i="12"/>
  <c r="K62" i="12"/>
  <c r="M62" i="12" s="1"/>
  <c r="Q61" i="12"/>
  <c r="L61" i="12"/>
  <c r="K61" i="12"/>
  <c r="M61" i="12" s="1"/>
  <c r="Q60" i="12"/>
  <c r="L60" i="12"/>
  <c r="K60" i="12"/>
  <c r="M60" i="12" s="1"/>
  <c r="P58" i="12"/>
  <c r="Q58" i="12" s="1"/>
  <c r="L58" i="12"/>
  <c r="K58" i="12"/>
  <c r="M58" i="12" s="1"/>
  <c r="Q57" i="12"/>
  <c r="L57" i="12"/>
  <c r="K57" i="12"/>
  <c r="M57" i="12" s="1"/>
  <c r="Q56" i="12"/>
  <c r="L56" i="12"/>
  <c r="K56" i="12"/>
  <c r="M56" i="12" s="1"/>
  <c r="Q55" i="12"/>
  <c r="L55" i="12"/>
  <c r="K55" i="12"/>
  <c r="M55" i="12" s="1"/>
  <c r="Q54" i="12"/>
  <c r="P54" i="12"/>
  <c r="L54" i="12"/>
  <c r="K54" i="12"/>
  <c r="M54" i="12" s="1"/>
  <c r="Q53" i="12" l="1"/>
  <c r="M53" i="12"/>
  <c r="Q52" i="12"/>
  <c r="M52" i="12"/>
  <c r="Q51" i="12"/>
  <c r="M51" i="12"/>
  <c r="Q50" i="12"/>
  <c r="M50" i="12"/>
  <c r="Q49" i="12"/>
  <c r="M49" i="12"/>
  <c r="Q48" i="12"/>
  <c r="M48" i="12"/>
  <c r="Q47" i="12"/>
  <c r="M47" i="12"/>
  <c r="Q46" i="12"/>
  <c r="M46" i="12"/>
  <c r="Q45" i="12"/>
  <c r="M45" i="12"/>
  <c r="Q44" i="12"/>
  <c r="M44" i="12"/>
  <c r="Q43" i="12"/>
  <c r="M43" i="12"/>
  <c r="Q42" i="12"/>
  <c r="M42" i="12"/>
  <c r="Q41" i="12"/>
  <c r="M41" i="12"/>
  <c r="Q40" i="12"/>
  <c r="M40" i="12"/>
  <c r="Q39" i="12"/>
  <c r="M39" i="12"/>
  <c r="Q38" i="12"/>
  <c r="M38" i="12"/>
  <c r="Q37" i="12"/>
  <c r="M37" i="12"/>
  <c r="Q36" i="12"/>
  <c r="M36" i="12"/>
  <c r="Q35" i="12"/>
  <c r="M35" i="12"/>
  <c r="Q34" i="12"/>
  <c r="M34" i="12"/>
  <c r="Q33" i="12"/>
  <c r="M33" i="12"/>
  <c r="Q32" i="12"/>
  <c r="M32" i="12"/>
  <c r="Q31" i="12"/>
  <c r="M31" i="12"/>
  <c r="Q30" i="12"/>
  <c r="M30" i="12"/>
  <c r="Q29" i="12"/>
  <c r="M29" i="12"/>
  <c r="Q28" i="12"/>
  <c r="M28" i="12"/>
  <c r="Q27" i="12"/>
  <c r="M27" i="12"/>
  <c r="Q26" i="12"/>
  <c r="M26" i="12"/>
  <c r="Q25" i="12"/>
  <c r="M25" i="12"/>
  <c r="Q24" i="12"/>
  <c r="M24" i="12"/>
  <c r="Q23" i="12"/>
  <c r="M23" i="12"/>
  <c r="Q22" i="12"/>
  <c r="M22" i="12"/>
  <c r="Q21" i="12"/>
  <c r="M21" i="12"/>
  <c r="Q20" i="12"/>
  <c r="M20" i="12"/>
  <c r="Q19" i="12"/>
  <c r="M19" i="12"/>
  <c r="Q18" i="12"/>
  <c r="M18" i="12"/>
  <c r="Q17" i="12"/>
  <c r="M17" i="12"/>
  <c r="Q16" i="12"/>
  <c r="M16" i="12"/>
  <c r="Q15" i="12"/>
  <c r="M15" i="12"/>
  <c r="Q14" i="12"/>
  <c r="M14" i="12"/>
  <c r="Q13" i="12"/>
  <c r="M13" i="12"/>
  <c r="Q12" i="12"/>
  <c r="M12" i="12"/>
  <c r="Q11" i="12"/>
  <c r="M11" i="12"/>
  <c r="Q10" i="12"/>
  <c r="M10" i="12"/>
  <c r="Q9" i="12"/>
  <c r="M9" i="12"/>
  <c r="A134" i="11" l="1"/>
  <c r="A135" i="11"/>
  <c r="A136" i="11" s="1"/>
  <c r="A137" i="11" s="1"/>
  <c r="A138" i="11" s="1"/>
  <c r="A139" i="11" s="1"/>
  <c r="A140" i="11" s="1"/>
  <c r="A141" i="11" s="1"/>
  <c r="A142" i="11" s="1"/>
  <c r="A143" i="11" s="1"/>
  <c r="A144" i="11" s="1"/>
  <c r="A145" i="11" s="1"/>
  <c r="A146" i="11" s="1"/>
  <c r="A147" i="11" s="1"/>
  <c r="A148" i="11" s="1"/>
  <c r="A149" i="11" s="1"/>
  <c r="A150" i="11" s="1"/>
  <c r="A151" i="11" s="1"/>
  <c r="A152" i="11" s="1"/>
  <c r="A153" i="11" s="1"/>
  <c r="A154" i="11" s="1"/>
  <c r="A155" i="11" s="1"/>
  <c r="A156" i="11" s="1"/>
  <c r="A157" i="11" s="1"/>
  <c r="A158" i="11" s="1"/>
  <c r="A159" i="11" s="1"/>
  <c r="A160" i="11" s="1"/>
  <c r="A161" i="11" s="1"/>
  <c r="A162" i="11" s="1"/>
  <c r="A163" i="11" s="1"/>
  <c r="A164" i="11" s="1"/>
  <c r="A165" i="11" s="1"/>
  <c r="A166" i="11" s="1"/>
  <c r="A167" i="11" s="1"/>
  <c r="A168" i="11" s="1"/>
  <c r="A169" i="11" s="1"/>
  <c r="A170" i="11" s="1"/>
  <c r="A171" i="11" s="1"/>
  <c r="A172" i="11" s="1"/>
  <c r="A173" i="11" s="1"/>
  <c r="A174" i="11" s="1"/>
  <c r="A175" i="11" s="1"/>
  <c r="A176" i="11" s="1"/>
  <c r="A177" i="11" s="1"/>
  <c r="A178" i="11" s="1"/>
  <c r="A179" i="11" s="1"/>
  <c r="A180" i="11" s="1"/>
  <c r="A181" i="11" s="1"/>
  <c r="A182" i="11" s="1"/>
  <c r="A183" i="11" s="1"/>
  <c r="A184" i="11" s="1"/>
  <c r="A185" i="11" s="1"/>
  <c r="A186" i="11" s="1"/>
  <c r="A187" i="11" s="1"/>
  <c r="A188" i="11" s="1"/>
  <c r="A189" i="11" s="1"/>
  <c r="A190" i="11" s="1"/>
  <c r="A191" i="11" s="1"/>
  <c r="A192" i="11" s="1"/>
  <c r="A193" i="11" s="1"/>
  <c r="A194" i="11" s="1"/>
  <c r="A195" i="11" s="1"/>
  <c r="A196" i="11" s="1"/>
  <c r="A197" i="11" s="1"/>
  <c r="A198" i="11" s="1"/>
  <c r="A199" i="11" s="1"/>
  <c r="A200" i="11" s="1"/>
  <c r="A201" i="11" s="1"/>
  <c r="A202" i="11" s="1"/>
  <c r="A203" i="11" s="1"/>
  <c r="A204" i="11" s="1"/>
  <c r="A205" i="11" s="1"/>
  <c r="A206" i="11" s="1"/>
  <c r="A207" i="11" s="1"/>
  <c r="A208" i="11" s="1"/>
  <c r="A209" i="11" s="1"/>
  <c r="A210" i="11" s="1"/>
  <c r="A211" i="11" s="1"/>
  <c r="A212" i="11" s="1"/>
  <c r="A213" i="11" s="1"/>
  <c r="A214" i="11" s="1"/>
  <c r="A215" i="11" s="1"/>
  <c r="A216" i="11" s="1"/>
  <c r="A217" i="11" s="1"/>
  <c r="A218" i="11" s="1"/>
  <c r="A219" i="11" s="1"/>
  <c r="A220" i="11" s="1"/>
  <c r="A221" i="11" s="1"/>
  <c r="A222" i="11" s="1"/>
  <c r="A223" i="11" s="1"/>
  <c r="A224" i="11" s="1"/>
  <c r="A225" i="11" s="1"/>
  <c r="A226" i="11" s="1"/>
  <c r="A227" i="11" s="1"/>
  <c r="A228" i="11" s="1"/>
  <c r="A229" i="11" s="1"/>
  <c r="A230" i="11" s="1"/>
  <c r="A231" i="11" s="1"/>
  <c r="A232" i="11" s="1"/>
  <c r="A233" i="11" s="1"/>
  <c r="A234" i="11" s="1"/>
  <c r="A235" i="11" s="1"/>
  <c r="A236" i="11" s="1"/>
  <c r="A237" i="11" s="1"/>
  <c r="A238" i="11" s="1"/>
  <c r="A239" i="11" s="1"/>
  <c r="A240" i="11" s="1"/>
  <c r="A241" i="11" s="1"/>
  <c r="A242" i="11" s="1"/>
  <c r="A243" i="11" s="1"/>
  <c r="A244" i="11" s="1"/>
  <c r="A245" i="11" s="1"/>
  <c r="A246" i="11" s="1"/>
  <c r="A247" i="11" s="1"/>
  <c r="A248" i="11" s="1"/>
  <c r="A249" i="11" s="1"/>
  <c r="A250" i="11" s="1"/>
  <c r="A251" i="11" s="1"/>
  <c r="A252" i="11" s="1"/>
  <c r="A253" i="11" s="1"/>
  <c r="A254" i="11" s="1"/>
  <c r="A255" i="11" s="1"/>
  <c r="A256" i="11" s="1"/>
  <c r="A257" i="11" s="1"/>
  <c r="A258" i="11" s="1"/>
  <c r="A259" i="11" s="1"/>
  <c r="A260" i="11" s="1"/>
  <c r="A261" i="11" s="1"/>
  <c r="A262" i="11" s="1"/>
  <c r="A263" i="11" s="1"/>
  <c r="A264" i="11" s="1"/>
  <c r="A265" i="11" s="1"/>
  <c r="A266" i="11" s="1"/>
  <c r="A267" i="11" s="1"/>
  <c r="A268" i="11" s="1"/>
  <c r="A269" i="11" s="1"/>
  <c r="A270" i="11" s="1"/>
  <c r="A271" i="11" s="1"/>
  <c r="A272" i="11" s="1"/>
  <c r="A273" i="11" s="1"/>
  <c r="A274" i="11" s="1"/>
  <c r="A275" i="11" s="1"/>
  <c r="A276" i="11" s="1"/>
  <c r="A133" i="11"/>
  <c r="Q265" i="11"/>
  <c r="P265" i="11"/>
  <c r="M222" i="11"/>
  <c r="L222" i="11"/>
  <c r="P202" i="11"/>
  <c r="O202" i="11"/>
  <c r="M172" i="11"/>
  <c r="L172" i="11"/>
  <c r="P161" i="11"/>
  <c r="O161" i="11"/>
  <c r="P132" i="11"/>
  <c r="O132" i="11"/>
  <c r="Q129" i="11" l="1"/>
  <c r="M129" i="11"/>
  <c r="Q128" i="11"/>
  <c r="M128" i="11"/>
  <c r="Q127" i="11"/>
  <c r="M127" i="11"/>
  <c r="Q126" i="11"/>
  <c r="M126" i="11"/>
  <c r="Q125" i="11"/>
  <c r="M125" i="11"/>
  <c r="Q124" i="11"/>
  <c r="M124" i="11"/>
  <c r="Q123" i="11"/>
  <c r="M123" i="11"/>
  <c r="A123" i="11"/>
  <c r="A124" i="11" s="1"/>
  <c r="Q122" i="11"/>
  <c r="A112" i="11" l="1"/>
  <c r="A113" i="11" s="1"/>
  <c r="A114" i="11" s="1"/>
  <c r="A115" i="11" s="1"/>
  <c r="Q101" i="11" l="1"/>
  <c r="M101" i="11"/>
  <c r="Q100" i="11"/>
  <c r="M100" i="11"/>
  <c r="Q99" i="11"/>
  <c r="M99" i="11"/>
  <c r="P97" i="11"/>
  <c r="Q97" i="11" s="1"/>
  <c r="L97" i="11"/>
  <c r="M97" i="11" s="1"/>
  <c r="Q96" i="11"/>
  <c r="M96" i="11"/>
  <c r="L96" i="11"/>
  <c r="Q95" i="11"/>
  <c r="O95" i="11"/>
  <c r="M95" i="11"/>
  <c r="Q94" i="11"/>
  <c r="M94" i="11"/>
  <c r="L94" i="11"/>
  <c r="P93" i="11"/>
  <c r="O93" i="11"/>
  <c r="Q93" i="11" s="1"/>
  <c r="L93" i="11"/>
  <c r="K93" i="11"/>
  <c r="M93" i="11" s="1"/>
  <c r="M92" i="11"/>
  <c r="K92" i="11"/>
  <c r="Q91" i="11"/>
  <c r="L91" i="11"/>
  <c r="K91" i="11"/>
  <c r="M91" i="11" s="1"/>
  <c r="P89" i="11"/>
  <c r="O89" i="11"/>
  <c r="Q89" i="11" s="1"/>
  <c r="L89" i="11"/>
  <c r="K89" i="11"/>
  <c r="M89" i="11" s="1"/>
  <c r="Q88" i="11"/>
  <c r="P88" i="11"/>
  <c r="M88" i="11"/>
  <c r="K88" i="11"/>
  <c r="Q87" i="11"/>
  <c r="L87" i="11"/>
  <c r="K87" i="11"/>
  <c r="M87" i="11" s="1"/>
  <c r="L86" i="11"/>
  <c r="K86" i="11"/>
  <c r="M86" i="11" s="1"/>
  <c r="Q85" i="11"/>
  <c r="M85" i="11"/>
  <c r="P84" i="11"/>
  <c r="O84" i="11"/>
  <c r="Q84" i="11" s="1"/>
  <c r="L84" i="11"/>
  <c r="K84" i="11"/>
  <c r="M84" i="11" s="1"/>
  <c r="P81" i="11"/>
  <c r="O81" i="11"/>
  <c r="Q81" i="11" s="1"/>
  <c r="M81" i="11"/>
  <c r="Q80" i="11"/>
  <c r="M80" i="11"/>
  <c r="M79" i="11"/>
  <c r="Q78" i="11"/>
  <c r="L78" i="11"/>
  <c r="K78" i="11"/>
  <c r="M78" i="11" s="1"/>
  <c r="Q77" i="11"/>
  <c r="M77" i="11"/>
  <c r="Q76" i="11"/>
  <c r="L76" i="11"/>
  <c r="K76" i="11"/>
  <c r="M76" i="11" s="1"/>
  <c r="Q75" i="11"/>
  <c r="M75" i="11"/>
  <c r="Q74" i="11"/>
  <c r="L74" i="11"/>
  <c r="M74" i="11" s="1"/>
  <c r="Q73" i="11"/>
  <c r="L73" i="11"/>
  <c r="K73" i="11"/>
  <c r="M73" i="11" s="1"/>
  <c r="Q72" i="11"/>
  <c r="L72" i="11"/>
  <c r="K72" i="11"/>
  <c r="M72" i="11" s="1"/>
  <c r="P71" i="11"/>
  <c r="Q71" i="11" s="1"/>
  <c r="K71" i="11"/>
  <c r="M71" i="11" s="1"/>
  <c r="Q70" i="11"/>
  <c r="M70" i="11"/>
  <c r="Q69" i="11"/>
  <c r="M69" i="11"/>
  <c r="P68" i="11"/>
  <c r="O68" i="11"/>
  <c r="Q68" i="11" s="1"/>
  <c r="L68" i="11"/>
  <c r="K68" i="11"/>
  <c r="M68" i="11" s="1"/>
  <c r="K67" i="11"/>
  <c r="M67" i="11" s="1"/>
  <c r="Q66" i="11"/>
  <c r="M66" i="11"/>
  <c r="L66" i="11"/>
  <c r="P65" i="11"/>
  <c r="O65" i="11"/>
  <c r="Q65" i="11" s="1"/>
  <c r="L65" i="11"/>
  <c r="K65" i="11"/>
  <c r="M65" i="11" s="1"/>
  <c r="Q64" i="11"/>
  <c r="L64" i="11"/>
  <c r="K64" i="11"/>
  <c r="M64" i="11" s="1"/>
  <c r="Q63" i="11"/>
  <c r="L63" i="11"/>
  <c r="K63" i="11"/>
  <c r="M63" i="11" s="1"/>
  <c r="P62" i="11"/>
  <c r="O62" i="11"/>
  <c r="Q62" i="11" s="1"/>
  <c r="L62" i="11"/>
  <c r="K62" i="11"/>
  <c r="M62" i="11" s="1"/>
  <c r="Q61" i="11"/>
  <c r="L61" i="11"/>
  <c r="K61" i="11"/>
  <c r="M61" i="11" s="1"/>
  <c r="Q60" i="11"/>
  <c r="L60" i="11"/>
  <c r="K60" i="11"/>
  <c r="M60" i="11" s="1"/>
  <c r="Q58" i="11"/>
  <c r="P58" i="11"/>
  <c r="L58" i="11"/>
  <c r="K58" i="11"/>
  <c r="M58" i="11" s="1"/>
  <c r="Q57" i="11"/>
  <c r="L57" i="11"/>
  <c r="K57" i="11"/>
  <c r="M57" i="11" s="1"/>
  <c r="Q56" i="11"/>
  <c r="L56" i="11"/>
  <c r="K56" i="11"/>
  <c r="M56" i="11" s="1"/>
  <c r="Q55" i="11"/>
  <c r="L55" i="11"/>
  <c r="K55" i="11"/>
  <c r="M55" i="11" s="1"/>
  <c r="P54" i="11"/>
  <c r="Q54" i="11" s="1"/>
  <c r="L54" i="11"/>
  <c r="K54" i="11"/>
  <c r="M54" i="11" s="1"/>
  <c r="Q53" i="11"/>
  <c r="M53" i="11"/>
  <c r="Q52" i="11"/>
  <c r="M52" i="11"/>
  <c r="Q51" i="11"/>
  <c r="M51" i="11"/>
  <c r="Q50" i="11"/>
  <c r="M50" i="11"/>
  <c r="Q49" i="11"/>
  <c r="M49" i="11"/>
  <c r="Q48" i="11"/>
  <c r="M48" i="11"/>
  <c r="Q47" i="11"/>
  <c r="M47" i="11"/>
  <c r="Q46" i="11"/>
  <c r="M46" i="11"/>
  <c r="Q45" i="11"/>
  <c r="M45" i="11"/>
  <c r="Q44" i="11"/>
  <c r="M44" i="11"/>
  <c r="Q43" i="11"/>
  <c r="M43" i="11"/>
  <c r="Q42" i="11"/>
  <c r="M42" i="11"/>
  <c r="Q41" i="11"/>
  <c r="M41" i="11"/>
  <c r="Q40" i="11"/>
  <c r="M40" i="11"/>
  <c r="Q39" i="11"/>
  <c r="M39" i="11"/>
  <c r="Q38" i="11"/>
  <c r="M38" i="11"/>
  <c r="Q37" i="11"/>
  <c r="M37" i="11"/>
  <c r="Q36" i="11"/>
  <c r="M36" i="11"/>
  <c r="Q35" i="11"/>
  <c r="M35" i="11"/>
  <c r="Q34" i="11"/>
  <c r="M34" i="11"/>
  <c r="Q33" i="11"/>
  <c r="M33" i="11"/>
  <c r="Q32" i="11"/>
  <c r="M32" i="11"/>
  <c r="Q31" i="11"/>
  <c r="M31" i="11"/>
  <c r="Q30" i="11"/>
  <c r="M30" i="11"/>
  <c r="Q29" i="11"/>
  <c r="M29" i="11"/>
  <c r="Q28" i="11"/>
  <c r="M28" i="11"/>
  <c r="Q27" i="11"/>
  <c r="M27" i="11"/>
  <c r="Q26" i="11"/>
  <c r="M26" i="11"/>
  <c r="Q25" i="11"/>
  <c r="M25" i="11"/>
  <c r="Q24" i="11"/>
  <c r="M24" i="11"/>
  <c r="Q23" i="11"/>
  <c r="M23" i="11"/>
  <c r="Q22" i="11"/>
  <c r="M22" i="11"/>
  <c r="Q21" i="11"/>
  <c r="M21" i="11"/>
  <c r="Q20" i="11"/>
  <c r="M20" i="11"/>
  <c r="Q19" i="11"/>
  <c r="M19" i="11"/>
  <c r="Q18" i="11"/>
  <c r="M18" i="11"/>
  <c r="Q17" i="11"/>
  <c r="M17" i="11"/>
  <c r="Q16" i="11"/>
  <c r="M16" i="11"/>
  <c r="Q15" i="11"/>
  <c r="M15" i="11"/>
  <c r="Q14" i="11"/>
  <c r="M14" i="11"/>
  <c r="Q13" i="11"/>
  <c r="M13" i="11"/>
  <c r="Q12" i="11"/>
  <c r="M12" i="11"/>
  <c r="Q11" i="11"/>
  <c r="M11" i="11"/>
  <c r="Q10" i="11"/>
  <c r="M10" i="11"/>
  <c r="Q9" i="11"/>
  <c r="M9" i="11"/>
  <c r="A132" i="10" l="1"/>
  <c r="A133" i="10"/>
  <c r="A134" i="10" s="1"/>
  <c r="A135" i="10" s="1"/>
  <c r="A136" i="10" s="1"/>
  <c r="A137" i="10" s="1"/>
  <c r="A138" i="10" s="1"/>
  <c r="A139" i="10" s="1"/>
  <c r="A140" i="10" s="1"/>
  <c r="A141" i="10" s="1"/>
  <c r="A142" i="10" s="1"/>
  <c r="A143" i="10" s="1"/>
  <c r="A144" i="10" s="1"/>
  <c r="A145" i="10" s="1"/>
  <c r="A146" i="10" s="1"/>
  <c r="A147" i="10" s="1"/>
  <c r="A148" i="10" s="1"/>
  <c r="A149" i="10" s="1"/>
  <c r="A150" i="10" s="1"/>
  <c r="A151" i="10" s="1"/>
  <c r="A152" i="10" s="1"/>
  <c r="A153" i="10" s="1"/>
  <c r="A154" i="10" s="1"/>
  <c r="A155" i="10" s="1"/>
  <c r="A156" i="10" s="1"/>
  <c r="A157" i="10" s="1"/>
  <c r="A158" i="10" s="1"/>
  <c r="A159" i="10" s="1"/>
  <c r="A160" i="10" s="1"/>
  <c r="A161" i="10" s="1"/>
  <c r="A162" i="10" s="1"/>
  <c r="A163" i="10" s="1"/>
  <c r="A164" i="10" s="1"/>
  <c r="A165" i="10" s="1"/>
  <c r="A166" i="10" s="1"/>
  <c r="A167" i="10" s="1"/>
  <c r="A168" i="10" s="1"/>
  <c r="A169" i="10" s="1"/>
  <c r="A170" i="10" s="1"/>
  <c r="A171" i="10" s="1"/>
  <c r="A172" i="10" s="1"/>
  <c r="A173" i="10" s="1"/>
  <c r="A174" i="10" s="1"/>
  <c r="A175" i="10" s="1"/>
  <c r="A176" i="10" s="1"/>
  <c r="A177" i="10" s="1"/>
  <c r="A178" i="10" s="1"/>
  <c r="A179" i="10" s="1"/>
  <c r="A180" i="10" s="1"/>
  <c r="A181" i="10" s="1"/>
  <c r="A182" i="10" s="1"/>
  <c r="A183" i="10" s="1"/>
  <c r="A184" i="10" s="1"/>
  <c r="A185" i="10" s="1"/>
  <c r="A186" i="10" s="1"/>
  <c r="A187" i="10" s="1"/>
  <c r="A188" i="10" s="1"/>
  <c r="A189" i="10" s="1"/>
  <c r="A190" i="10" s="1"/>
  <c r="A191" i="10" s="1"/>
  <c r="A192" i="10" s="1"/>
  <c r="A193" i="10" s="1"/>
  <c r="A194" i="10" s="1"/>
  <c r="A195" i="10" s="1"/>
  <c r="A196" i="10" s="1"/>
  <c r="A197" i="10" s="1"/>
  <c r="A198" i="10" s="1"/>
  <c r="A199" i="10" s="1"/>
  <c r="A200" i="10" s="1"/>
  <c r="A201" i="10" s="1"/>
  <c r="A202" i="10" s="1"/>
  <c r="A203" i="10" s="1"/>
  <c r="A204" i="10" s="1"/>
  <c r="A205" i="10" s="1"/>
  <c r="A206" i="10" s="1"/>
  <c r="A207" i="10" s="1"/>
  <c r="A208" i="10" s="1"/>
  <c r="A209" i="10" s="1"/>
  <c r="A210" i="10" s="1"/>
  <c r="A211" i="10" s="1"/>
  <c r="A212" i="10" s="1"/>
  <c r="A213" i="10" s="1"/>
  <c r="A214" i="10" s="1"/>
  <c r="A215" i="10" s="1"/>
  <c r="A216" i="10" s="1"/>
  <c r="A217" i="10" s="1"/>
  <c r="A218" i="10" s="1"/>
  <c r="A219" i="10" s="1"/>
  <c r="A220" i="10" s="1"/>
  <c r="A221" i="10" s="1"/>
  <c r="A222" i="10" s="1"/>
  <c r="A223" i="10" s="1"/>
  <c r="A224" i="10" s="1"/>
  <c r="A225" i="10" s="1"/>
  <c r="A226" i="10" s="1"/>
  <c r="A227" i="10" s="1"/>
  <c r="A228" i="10" s="1"/>
  <c r="A229" i="10" s="1"/>
  <c r="A230" i="10" s="1"/>
  <c r="A231" i="10" s="1"/>
  <c r="A232" i="10" s="1"/>
  <c r="A233" i="10" s="1"/>
  <c r="A234" i="10" s="1"/>
  <c r="A235" i="10" s="1"/>
  <c r="A236" i="10" s="1"/>
  <c r="A237" i="10" s="1"/>
  <c r="A238" i="10" s="1"/>
  <c r="A239" i="10" s="1"/>
  <c r="A240" i="10" s="1"/>
  <c r="A241" i="10" s="1"/>
  <c r="A242" i="10" s="1"/>
  <c r="A243" i="10" s="1"/>
  <c r="A244" i="10" s="1"/>
  <c r="A245" i="10" s="1"/>
  <c r="A246" i="10" s="1"/>
  <c r="A247" i="10" s="1"/>
  <c r="A248" i="10" s="1"/>
  <c r="A249" i="10" s="1"/>
  <c r="A250" i="10" s="1"/>
  <c r="A251" i="10" s="1"/>
  <c r="A252" i="10" s="1"/>
  <c r="A253" i="10" s="1"/>
  <c r="A254" i="10" s="1"/>
  <c r="A255" i="10" s="1"/>
  <c r="A256" i="10" s="1"/>
  <c r="A257" i="10" s="1"/>
  <c r="A258" i="10" s="1"/>
  <c r="A259" i="10" s="1"/>
  <c r="A260" i="10" s="1"/>
  <c r="A261" i="10" s="1"/>
  <c r="A262" i="10" s="1"/>
  <c r="A263" i="10" s="1"/>
  <c r="A264" i="10" s="1"/>
  <c r="A265" i="10" s="1"/>
  <c r="A266" i="10" s="1"/>
  <c r="A267" i="10" s="1"/>
  <c r="A268" i="10" s="1"/>
  <c r="A269" i="10" s="1"/>
  <c r="A270" i="10" s="1"/>
  <c r="A271" i="10" s="1"/>
  <c r="A272" i="10" s="1"/>
  <c r="A131" i="10"/>
  <c r="M261" i="10"/>
  <c r="L261" i="10"/>
  <c r="P260" i="10"/>
  <c r="O260" i="10"/>
  <c r="P244" i="10"/>
  <c r="O244" i="10"/>
  <c r="L208" i="10"/>
  <c r="K208" i="10"/>
  <c r="P195" i="10"/>
  <c r="O195" i="10"/>
  <c r="P176" i="10"/>
  <c r="O176" i="10"/>
  <c r="P175" i="10"/>
  <c r="O175" i="10" s="1"/>
  <c r="P170" i="10"/>
  <c r="O170" i="10"/>
  <c r="P159" i="10"/>
  <c r="O159" i="10"/>
  <c r="L138" i="10"/>
  <c r="K138" i="10"/>
  <c r="A111" i="10" l="1"/>
  <c r="A112" i="10" s="1"/>
  <c r="A113" i="10" s="1"/>
  <c r="A114" i="10" s="1"/>
  <c r="Q107" i="10" l="1"/>
  <c r="M107" i="10"/>
  <c r="Q106" i="10"/>
  <c r="M106" i="10"/>
  <c r="Q105" i="10"/>
  <c r="M105" i="10"/>
  <c r="Q104" i="10"/>
  <c r="M104" i="10"/>
  <c r="Q103" i="10"/>
  <c r="M103" i="10"/>
  <c r="Q102" i="10"/>
  <c r="M102" i="10"/>
  <c r="Q101" i="10"/>
  <c r="M101" i="10"/>
  <c r="A101" i="10"/>
  <c r="A102" i="10" s="1"/>
  <c r="Q100" i="10"/>
  <c r="Q99" i="10" l="1"/>
  <c r="M99" i="10"/>
  <c r="Q98" i="10"/>
  <c r="M98" i="10"/>
  <c r="Q97" i="10"/>
  <c r="M97" i="10"/>
  <c r="Q96" i="10"/>
  <c r="M96" i="10"/>
  <c r="Q95" i="10"/>
  <c r="M95" i="10"/>
  <c r="Q94" i="10"/>
  <c r="M94" i="10"/>
  <c r="Q93" i="10"/>
  <c r="M93" i="10"/>
  <c r="Q92" i="10"/>
  <c r="M92" i="10"/>
  <c r="Q91" i="10"/>
  <c r="M91" i="10"/>
  <c r="Q90" i="10"/>
  <c r="M90" i="10"/>
  <c r="Q89" i="10"/>
  <c r="M89" i="10"/>
  <c r="Q88" i="10"/>
  <c r="M88" i="10"/>
  <c r="Q87" i="10"/>
  <c r="M87" i="10"/>
  <c r="Q86" i="10"/>
  <c r="M86" i="10"/>
  <c r="Q85" i="10"/>
  <c r="M85" i="10"/>
  <c r="Q84" i="10"/>
  <c r="M84" i="10"/>
  <c r="Q83" i="10"/>
  <c r="M83" i="10"/>
  <c r="Q82" i="10"/>
  <c r="M82" i="10"/>
  <c r="Q81" i="10"/>
  <c r="M81" i="10"/>
  <c r="Q80" i="10"/>
  <c r="M80" i="10"/>
  <c r="Q79" i="10"/>
  <c r="M79" i="10"/>
  <c r="Q78" i="10"/>
  <c r="M78" i="10"/>
  <c r="Q77" i="10"/>
  <c r="M77" i="10"/>
  <c r="Q76" i="10"/>
  <c r="M76" i="10"/>
  <c r="Q75" i="10"/>
  <c r="M75" i="10"/>
  <c r="Q74" i="10"/>
  <c r="M74" i="10"/>
  <c r="Q73" i="10"/>
  <c r="M73" i="10"/>
  <c r="Q72" i="10"/>
  <c r="M72" i="10"/>
  <c r="Q71" i="10"/>
  <c r="M71" i="10"/>
  <c r="Q70" i="10"/>
  <c r="M70" i="10"/>
  <c r="Q69" i="10"/>
  <c r="M69" i="10"/>
  <c r="Q68" i="10"/>
  <c r="M68" i="10"/>
  <c r="Q67" i="10"/>
  <c r="M67" i="10"/>
  <c r="Q66" i="10"/>
  <c r="M66" i="10"/>
  <c r="Q65" i="10"/>
  <c r="M65" i="10"/>
  <c r="Q64" i="10"/>
  <c r="M64" i="10"/>
  <c r="Q63" i="10"/>
  <c r="M63" i="10"/>
  <c r="Q62" i="10"/>
  <c r="M62" i="10"/>
  <c r="Q61" i="10"/>
  <c r="M61" i="10"/>
  <c r="Q60" i="10"/>
  <c r="M60" i="10"/>
  <c r="Q59" i="10"/>
  <c r="M59" i="10"/>
  <c r="Q58" i="10"/>
  <c r="M58" i="10"/>
  <c r="Q57" i="10"/>
  <c r="M57" i="10"/>
  <c r="Q56" i="10"/>
  <c r="M56" i="10"/>
  <c r="Q55" i="10"/>
  <c r="M55" i="10"/>
  <c r="Q54" i="10"/>
  <c r="M54" i="10"/>
  <c r="P52" i="10"/>
  <c r="Q52" i="10" s="1"/>
  <c r="L52" i="10"/>
  <c r="M52" i="10" s="1"/>
  <c r="Q51" i="10"/>
  <c r="M51" i="10"/>
  <c r="L51" i="10"/>
  <c r="Q50" i="10"/>
  <c r="O50" i="10"/>
  <c r="M50" i="10"/>
  <c r="Q49" i="10"/>
  <c r="M49" i="10"/>
  <c r="L49" i="10"/>
  <c r="P48" i="10"/>
  <c r="O48" i="10"/>
  <c r="Q48" i="10" s="1"/>
  <c r="L48" i="10"/>
  <c r="K48" i="10"/>
  <c r="M48" i="10" s="1"/>
  <c r="M47" i="10"/>
  <c r="K47" i="10"/>
  <c r="Q46" i="10"/>
  <c r="L46" i="10"/>
  <c r="K46" i="10"/>
  <c r="M46" i="10" s="1"/>
  <c r="P44" i="10"/>
  <c r="O44" i="10"/>
  <c r="Q44" i="10" s="1"/>
  <c r="L44" i="10"/>
  <c r="K44" i="10"/>
  <c r="M44" i="10" s="1"/>
  <c r="Q43" i="10"/>
  <c r="P43" i="10"/>
  <c r="M43" i="10"/>
  <c r="K43" i="10"/>
  <c r="Q42" i="10"/>
  <c r="L42" i="10"/>
  <c r="K42" i="10"/>
  <c r="M42" i="10" s="1"/>
  <c r="L41" i="10"/>
  <c r="K41" i="10"/>
  <c r="M41" i="10" s="1"/>
  <c r="Q40" i="10"/>
  <c r="M40" i="10"/>
  <c r="P39" i="10"/>
  <c r="O39" i="10"/>
  <c r="Q39" i="10" s="1"/>
  <c r="L39" i="10"/>
  <c r="K39" i="10"/>
  <c r="M39" i="10" s="1"/>
  <c r="P36" i="10"/>
  <c r="O36" i="10"/>
  <c r="Q36" i="10" s="1"/>
  <c r="M36" i="10"/>
  <c r="Q35" i="10"/>
  <c r="M35" i="10"/>
  <c r="Q33" i="10"/>
  <c r="L33" i="10"/>
  <c r="K33" i="10"/>
  <c r="M33" i="10" s="1"/>
  <c r="Q32" i="10"/>
  <c r="M32" i="10"/>
  <c r="Q31" i="10"/>
  <c r="L31" i="10"/>
  <c r="K31" i="10"/>
  <c r="M31" i="10" s="1"/>
  <c r="Q30" i="10"/>
  <c r="M30" i="10"/>
  <c r="Q29" i="10"/>
  <c r="M29" i="10"/>
  <c r="L29" i="10"/>
  <c r="Q28" i="10"/>
  <c r="L28" i="10"/>
  <c r="K28" i="10"/>
  <c r="M28" i="10" s="1"/>
  <c r="Q27" i="10"/>
  <c r="L27" i="10"/>
  <c r="K27" i="10"/>
  <c r="M27" i="10" s="1"/>
  <c r="Q26" i="10"/>
  <c r="P26" i="10"/>
  <c r="M26" i="10"/>
  <c r="K26" i="10"/>
  <c r="Q25" i="10"/>
  <c r="M25" i="10"/>
  <c r="Q24" i="10"/>
  <c r="M24" i="10"/>
  <c r="P23" i="10"/>
  <c r="O23" i="10"/>
  <c r="Q23" i="10" s="1"/>
  <c r="L23" i="10"/>
  <c r="K23" i="10"/>
  <c r="M23" i="10" s="1"/>
  <c r="M22" i="10"/>
  <c r="K22" i="10"/>
  <c r="Q21" i="10"/>
  <c r="L21" i="10"/>
  <c r="M21" i="10" s="1"/>
  <c r="P20" i="10"/>
  <c r="O20" i="10"/>
  <c r="Q20" i="10" s="1"/>
  <c r="L20" i="10"/>
  <c r="K20" i="10"/>
  <c r="M20" i="10" s="1"/>
  <c r="Q19" i="10"/>
  <c r="L19" i="10"/>
  <c r="K19" i="10"/>
  <c r="M19" i="10" s="1"/>
  <c r="Q18" i="10"/>
  <c r="L18" i="10"/>
  <c r="K18" i="10"/>
  <c r="M18" i="10" s="1"/>
  <c r="P17" i="10"/>
  <c r="O17" i="10"/>
  <c r="Q17" i="10" s="1"/>
  <c r="L17" i="10"/>
  <c r="K17" i="10"/>
  <c r="M17" i="10" s="1"/>
  <c r="Q16" i="10"/>
  <c r="L16" i="10"/>
  <c r="K16" i="10"/>
  <c r="M16" i="10" s="1"/>
  <c r="Q15" i="10"/>
  <c r="L15" i="10"/>
  <c r="K15" i="10"/>
  <c r="M15" i="10" s="1"/>
  <c r="P13" i="10"/>
  <c r="Q13" i="10" s="1"/>
  <c r="L13" i="10"/>
  <c r="K13" i="10"/>
  <c r="M13" i="10" s="1"/>
  <c r="Q12" i="10"/>
  <c r="L12" i="10"/>
  <c r="K12" i="10"/>
  <c r="M12" i="10" s="1"/>
  <c r="Q11" i="10"/>
  <c r="L11" i="10"/>
  <c r="K11" i="10"/>
  <c r="M11" i="10" s="1"/>
  <c r="Q10" i="10"/>
  <c r="L10" i="10"/>
  <c r="K10" i="10"/>
  <c r="M10" i="10" s="1"/>
  <c r="Q9" i="10"/>
  <c r="P9" i="10"/>
  <c r="L9" i="10"/>
  <c r="K9" i="10"/>
  <c r="M9" i="10" s="1"/>
  <c r="A132" i="9" l="1"/>
  <c r="A133" i="9"/>
  <c r="A134" i="9" s="1"/>
  <c r="A135" i="9" s="1"/>
  <c r="A136" i="9" s="1"/>
  <c r="A137" i="9" s="1"/>
  <c r="A138" i="9" s="1"/>
  <c r="A139" i="9" s="1"/>
  <c r="A140" i="9" s="1"/>
  <c r="A141" i="9" s="1"/>
  <c r="A142" i="9" s="1"/>
  <c r="A143" i="9" s="1"/>
  <c r="A144" i="9" s="1"/>
  <c r="A145" i="9" s="1"/>
  <c r="A146" i="9" s="1"/>
  <c r="A147" i="9" s="1"/>
  <c r="A148" i="9" s="1"/>
  <c r="A149" i="9" s="1"/>
  <c r="A150" i="9" s="1"/>
  <c r="A151" i="9" s="1"/>
  <c r="A152" i="9" s="1"/>
  <c r="A153" i="9" s="1"/>
  <c r="A154" i="9" s="1"/>
  <c r="A155" i="9" s="1"/>
  <c r="A156" i="9" s="1"/>
  <c r="A157" i="9" s="1"/>
  <c r="A158" i="9" s="1"/>
  <c r="A159" i="9" s="1"/>
  <c r="A160" i="9" s="1"/>
  <c r="A161" i="9" s="1"/>
  <c r="A162" i="9" s="1"/>
  <c r="A163" i="9" s="1"/>
  <c r="A164" i="9" s="1"/>
  <c r="A165" i="9" s="1"/>
  <c r="A166" i="9" s="1"/>
  <c r="A167" i="9" s="1"/>
  <c r="A168" i="9" s="1"/>
  <c r="A169" i="9" s="1"/>
  <c r="A170" i="9" s="1"/>
  <c r="A171" i="9" s="1"/>
  <c r="A172" i="9" s="1"/>
  <c r="A173" i="9" s="1"/>
  <c r="A174" i="9" s="1"/>
  <c r="A175" i="9" s="1"/>
  <c r="A176" i="9" s="1"/>
  <c r="A177" i="9" s="1"/>
  <c r="A178" i="9" s="1"/>
  <c r="A179" i="9" s="1"/>
  <c r="A180" i="9" s="1"/>
  <c r="A181" i="9" s="1"/>
  <c r="A182" i="9" s="1"/>
  <c r="A183" i="9" s="1"/>
  <c r="A184" i="9" s="1"/>
  <c r="A185" i="9" s="1"/>
  <c r="A186" i="9" s="1"/>
  <c r="A187" i="9" s="1"/>
  <c r="A188" i="9" s="1"/>
  <c r="A189" i="9" s="1"/>
  <c r="A190" i="9" s="1"/>
  <c r="A191" i="9" s="1"/>
  <c r="A192" i="9" s="1"/>
  <c r="A193" i="9" s="1"/>
  <c r="A194" i="9" s="1"/>
  <c r="A195" i="9" s="1"/>
  <c r="A196" i="9" s="1"/>
  <c r="A197" i="9" s="1"/>
  <c r="A198" i="9" s="1"/>
  <c r="A199" i="9" s="1"/>
  <c r="A200" i="9" s="1"/>
  <c r="A201" i="9" s="1"/>
  <c r="A202" i="9" s="1"/>
  <c r="A203" i="9" s="1"/>
  <c r="A204" i="9" s="1"/>
  <c r="A205" i="9" s="1"/>
  <c r="A206" i="9" s="1"/>
  <c r="A207" i="9" s="1"/>
  <c r="A208" i="9" s="1"/>
  <c r="A209" i="9" s="1"/>
  <c r="A210" i="9" s="1"/>
  <c r="A211" i="9" s="1"/>
  <c r="A212" i="9" s="1"/>
  <c r="A213" i="9" s="1"/>
  <c r="A214" i="9" s="1"/>
  <c r="A215" i="9" s="1"/>
  <c r="A216" i="9" s="1"/>
  <c r="A217" i="9" s="1"/>
  <c r="A218" i="9" s="1"/>
  <c r="A219" i="9" s="1"/>
  <c r="A220" i="9" s="1"/>
  <c r="A221" i="9" s="1"/>
  <c r="A222" i="9" s="1"/>
  <c r="A223" i="9" s="1"/>
  <c r="A224" i="9" s="1"/>
  <c r="A225" i="9" s="1"/>
  <c r="A226" i="9" s="1"/>
  <c r="A227" i="9" s="1"/>
  <c r="A228" i="9" s="1"/>
  <c r="A229" i="9" s="1"/>
  <c r="A230" i="9" s="1"/>
  <c r="A231" i="9" s="1"/>
  <c r="A232" i="9" s="1"/>
  <c r="A233" i="9" s="1"/>
  <c r="A234" i="9" s="1"/>
  <c r="A235" i="9" s="1"/>
  <c r="A236" i="9" s="1"/>
  <c r="A237" i="9" s="1"/>
  <c r="A238" i="9" s="1"/>
  <c r="A239" i="9" s="1"/>
  <c r="A240" i="9" s="1"/>
  <c r="A241" i="9" s="1"/>
  <c r="A242" i="9" s="1"/>
  <c r="A243" i="9" s="1"/>
  <c r="A244" i="9" s="1"/>
  <c r="A245" i="9" s="1"/>
  <c r="A246" i="9" s="1"/>
  <c r="A247" i="9" s="1"/>
  <c r="A248" i="9" s="1"/>
  <c r="A249" i="9" s="1"/>
  <c r="A250" i="9" s="1"/>
  <c r="A251" i="9" s="1"/>
  <c r="A252" i="9" s="1"/>
  <c r="A253" i="9" s="1"/>
  <c r="A254" i="9" s="1"/>
  <c r="A255" i="9" s="1"/>
  <c r="A256" i="9" s="1"/>
  <c r="A257" i="9" s="1"/>
  <c r="A258" i="9" s="1"/>
  <c r="A259" i="9" s="1"/>
  <c r="A260" i="9" s="1"/>
  <c r="A261" i="9" s="1"/>
  <c r="A262" i="9" s="1"/>
  <c r="A263" i="9" s="1"/>
  <c r="A264" i="9" s="1"/>
  <c r="A265" i="9" s="1"/>
  <c r="A266" i="9" s="1"/>
  <c r="A267" i="9" s="1"/>
  <c r="A268" i="9" s="1"/>
  <c r="A269" i="9" s="1"/>
  <c r="A270" i="9" s="1"/>
  <c r="A271" i="9" s="1"/>
  <c r="A131" i="9"/>
  <c r="O270" i="9"/>
  <c r="K270" i="9"/>
  <c r="P260" i="9"/>
  <c r="O260" i="9" s="1"/>
  <c r="L260" i="9"/>
  <c r="K260" i="9" s="1"/>
  <c r="P194" i="9"/>
  <c r="O194" i="9"/>
  <c r="P169" i="9"/>
  <c r="O169" i="9"/>
  <c r="P158" i="9"/>
  <c r="O158" i="9"/>
  <c r="P141" i="9"/>
  <c r="L141" i="9"/>
  <c r="Q127" i="9"/>
  <c r="M127" i="9"/>
  <c r="Q126" i="9"/>
  <c r="M126" i="9"/>
  <c r="Q125" i="9"/>
  <c r="M125" i="9"/>
  <c r="Q124" i="9"/>
  <c r="M124" i="9"/>
  <c r="Q123" i="9"/>
  <c r="M123" i="9"/>
  <c r="Q122" i="9"/>
  <c r="M122" i="9"/>
  <c r="Q121" i="9"/>
  <c r="M121" i="9"/>
  <c r="A121" i="9"/>
  <c r="A122" i="9" s="1"/>
  <c r="Q120" i="9"/>
  <c r="A110" i="9" l="1"/>
  <c r="A111" i="9" s="1"/>
  <c r="A112" i="9" s="1"/>
  <c r="A113" i="9" s="1"/>
  <c r="Q95" i="9" l="1"/>
  <c r="M95" i="9"/>
  <c r="Q94" i="9"/>
  <c r="M94" i="9"/>
  <c r="Q93" i="9"/>
  <c r="M93" i="9"/>
  <c r="Q92" i="9"/>
  <c r="M92" i="9"/>
  <c r="Q91" i="9"/>
  <c r="M91" i="9"/>
  <c r="Q90" i="9"/>
  <c r="M90" i="9"/>
  <c r="Q89" i="9"/>
  <c r="M89" i="9"/>
  <c r="Q88" i="9"/>
  <c r="M88" i="9"/>
  <c r="Q87" i="9"/>
  <c r="M87" i="9"/>
  <c r="Q86" i="9"/>
  <c r="M86" i="9"/>
  <c r="Q85" i="9"/>
  <c r="M85" i="9"/>
  <c r="Q84" i="9"/>
  <c r="M84" i="9"/>
  <c r="Q83" i="9"/>
  <c r="M83" i="9"/>
  <c r="Q82" i="9"/>
  <c r="M82" i="9"/>
  <c r="Q81" i="9"/>
  <c r="M81" i="9"/>
  <c r="Q80" i="9"/>
  <c r="M80" i="9"/>
  <c r="Q79" i="9"/>
  <c r="M79" i="9"/>
  <c r="Q78" i="9"/>
  <c r="M78" i="9"/>
  <c r="Q77" i="9"/>
  <c r="M77" i="9"/>
  <c r="Q76" i="9"/>
  <c r="M76" i="9"/>
  <c r="Q75" i="9"/>
  <c r="M75" i="9"/>
  <c r="Q74" i="9"/>
  <c r="M74" i="9"/>
  <c r="Q73" i="9"/>
  <c r="M73" i="9"/>
  <c r="Q72" i="9"/>
  <c r="M72" i="9"/>
  <c r="Q71" i="9"/>
  <c r="M71" i="9"/>
  <c r="Q70" i="9"/>
  <c r="M70" i="9"/>
  <c r="Q69" i="9"/>
  <c r="M69" i="9"/>
  <c r="Q68" i="9"/>
  <c r="M68" i="9"/>
  <c r="Q67" i="9"/>
  <c r="M67" i="9"/>
  <c r="Q66" i="9"/>
  <c r="M66" i="9"/>
  <c r="Q65" i="9"/>
  <c r="M65" i="9"/>
  <c r="Q64" i="9"/>
  <c r="M64" i="9"/>
  <c r="Q63" i="9"/>
  <c r="M63" i="9"/>
  <c r="Q62" i="9"/>
  <c r="M62" i="9"/>
  <c r="Q61" i="9"/>
  <c r="M61" i="9"/>
  <c r="Q60" i="9"/>
  <c r="M60" i="9"/>
  <c r="Q59" i="9"/>
  <c r="M59" i="9"/>
  <c r="Q58" i="9"/>
  <c r="M58" i="9"/>
  <c r="Q57" i="9"/>
  <c r="M57" i="9"/>
  <c r="Q56" i="9"/>
  <c r="M56" i="9"/>
  <c r="Q55" i="9"/>
  <c r="M55" i="9"/>
  <c r="Q54" i="9"/>
  <c r="M54" i="9"/>
  <c r="P52" i="9"/>
  <c r="Q52" i="9" s="1"/>
  <c r="L52" i="9"/>
  <c r="M52" i="9" s="1"/>
  <c r="Q51" i="9"/>
  <c r="M51" i="9"/>
  <c r="L51" i="9"/>
  <c r="Q50" i="9"/>
  <c r="M50" i="9"/>
  <c r="Q49" i="9"/>
  <c r="L49" i="9"/>
  <c r="M49" i="9" s="1"/>
  <c r="P48" i="9"/>
  <c r="O48" i="9"/>
  <c r="Q48" i="9" s="1"/>
  <c r="L48" i="9"/>
  <c r="K48" i="9"/>
  <c r="M48" i="9" s="1"/>
  <c r="K47" i="9"/>
  <c r="M47" i="9" s="1"/>
  <c r="Q46" i="9"/>
  <c r="L46" i="9"/>
  <c r="K46" i="9"/>
  <c r="M46" i="9" s="1"/>
  <c r="P44" i="9"/>
  <c r="O44" i="9"/>
  <c r="Q44" i="9" s="1"/>
  <c r="L44" i="9"/>
  <c r="K44" i="9"/>
  <c r="M44" i="9" s="1"/>
  <c r="P43" i="9"/>
  <c r="Q43" i="9" s="1"/>
  <c r="K43" i="9"/>
  <c r="M43" i="9" s="1"/>
  <c r="Q42" i="9"/>
  <c r="L42" i="9"/>
  <c r="K42" i="9"/>
  <c r="M42" i="9" s="1"/>
  <c r="L41" i="9"/>
  <c r="K41" i="9"/>
  <c r="M41" i="9" s="1"/>
  <c r="Q40" i="9"/>
  <c r="M40" i="9"/>
  <c r="P39" i="9"/>
  <c r="O39" i="9"/>
  <c r="Q39" i="9" s="1"/>
  <c r="L39" i="9"/>
  <c r="K39" i="9"/>
  <c r="M39" i="9" s="1"/>
  <c r="P36" i="9"/>
  <c r="O36" i="9"/>
  <c r="Q36" i="9" s="1"/>
  <c r="M36" i="9"/>
  <c r="Q35" i="9"/>
  <c r="M35" i="9"/>
  <c r="Q33" i="9"/>
  <c r="L33" i="9"/>
  <c r="K33" i="9"/>
  <c r="M33" i="9" s="1"/>
  <c r="Q32" i="9"/>
  <c r="M32" i="9"/>
  <c r="Q31" i="9"/>
  <c r="L31" i="9"/>
  <c r="K31" i="9"/>
  <c r="M31" i="9" s="1"/>
  <c r="Q30" i="9"/>
  <c r="M30" i="9"/>
  <c r="Q29" i="9"/>
  <c r="L29" i="9"/>
  <c r="M29" i="9" s="1"/>
  <c r="Q28" i="9"/>
  <c r="L28" i="9"/>
  <c r="K28" i="9"/>
  <c r="M28" i="9" s="1"/>
  <c r="Q27" i="9"/>
  <c r="L27" i="9"/>
  <c r="K27" i="9"/>
  <c r="M27" i="9" s="1"/>
  <c r="P26" i="9"/>
  <c r="Q26" i="9" s="1"/>
  <c r="M26" i="9"/>
  <c r="Q25" i="9"/>
  <c r="M25" i="9"/>
  <c r="Q24" i="9"/>
  <c r="M24" i="9"/>
  <c r="P23" i="9"/>
  <c r="O23" i="9"/>
  <c r="Q23" i="9" s="1"/>
  <c r="L23" i="9"/>
  <c r="K23" i="9"/>
  <c r="M23" i="9" s="1"/>
  <c r="M22" i="9"/>
  <c r="K22" i="9"/>
  <c r="Q21" i="9"/>
  <c r="L21" i="9"/>
  <c r="M21" i="9" s="1"/>
  <c r="P20" i="9"/>
  <c r="O20" i="9"/>
  <c r="Q20" i="9" s="1"/>
  <c r="L20" i="9"/>
  <c r="K20" i="9"/>
  <c r="M20" i="9" s="1"/>
  <c r="Q19" i="9"/>
  <c r="L19" i="9"/>
  <c r="K19" i="9"/>
  <c r="M19" i="9" s="1"/>
  <c r="Q18" i="9"/>
  <c r="L18" i="9"/>
  <c r="K18" i="9"/>
  <c r="M18" i="9" s="1"/>
  <c r="P17" i="9"/>
  <c r="O17" i="9"/>
  <c r="Q17" i="9" s="1"/>
  <c r="L17" i="9"/>
  <c r="K17" i="9"/>
  <c r="M17" i="9" s="1"/>
  <c r="Q16" i="9"/>
  <c r="L16" i="9"/>
  <c r="K16" i="9"/>
  <c r="M16" i="9" s="1"/>
  <c r="Q15" i="9"/>
  <c r="L15" i="9"/>
  <c r="K15" i="9"/>
  <c r="M15" i="9" s="1"/>
  <c r="P13" i="9"/>
  <c r="Q13" i="9" s="1"/>
  <c r="L13" i="9"/>
  <c r="K13" i="9"/>
  <c r="M13" i="9" s="1"/>
  <c r="Q12" i="9"/>
  <c r="L12" i="9"/>
  <c r="K12" i="9"/>
  <c r="M12" i="9" s="1"/>
  <c r="Q11" i="9"/>
  <c r="L11" i="9"/>
  <c r="K11" i="9"/>
  <c r="M11" i="9" s="1"/>
  <c r="Q10" i="9"/>
  <c r="L10" i="9"/>
  <c r="M10" i="9" s="1"/>
  <c r="P9" i="9"/>
  <c r="Q9" i="9" s="1"/>
  <c r="L9" i="9"/>
  <c r="K9" i="9"/>
  <c r="M9" i="9" s="1"/>
  <c r="A126" i="8" l="1"/>
  <c r="A127" i="8"/>
  <c r="A128" i="8" s="1"/>
  <c r="A129" i="8" s="1"/>
  <c r="A130" i="8" s="1"/>
  <c r="A131" i="8" s="1"/>
  <c r="A132" i="8" s="1"/>
  <c r="A133" i="8" s="1"/>
  <c r="A134" i="8" s="1"/>
  <c r="A135" i="8" s="1"/>
  <c r="A136" i="8" s="1"/>
  <c r="A137" i="8" s="1"/>
  <c r="A138" i="8" s="1"/>
  <c r="A139" i="8" s="1"/>
  <c r="A140" i="8" s="1"/>
  <c r="A141" i="8" s="1"/>
  <c r="A142" i="8" s="1"/>
  <c r="A143" i="8" s="1"/>
  <c r="A144" i="8" s="1"/>
  <c r="A145" i="8" s="1"/>
  <c r="A146" i="8" s="1"/>
  <c r="A147" i="8" s="1"/>
  <c r="A148" i="8" s="1"/>
  <c r="A149" i="8" s="1"/>
  <c r="A150" i="8" s="1"/>
  <c r="A151" i="8" s="1"/>
  <c r="A152" i="8" s="1"/>
  <c r="A153" i="8" s="1"/>
  <c r="A154" i="8" s="1"/>
  <c r="A155" i="8" s="1"/>
  <c r="A156" i="8" s="1"/>
  <c r="A157" i="8" s="1"/>
  <c r="A158" i="8" s="1"/>
  <c r="A159" i="8" s="1"/>
  <c r="A160" i="8" s="1"/>
  <c r="A161" i="8" s="1"/>
  <c r="A162" i="8" s="1"/>
  <c r="A163" i="8" s="1"/>
  <c r="A164" i="8" s="1"/>
  <c r="A165" i="8" s="1"/>
  <c r="A166" i="8" s="1"/>
  <c r="A167" i="8" s="1"/>
  <c r="A168" i="8" s="1"/>
  <c r="A169" i="8" s="1"/>
  <c r="A170" i="8" s="1"/>
  <c r="A171" i="8" s="1"/>
  <c r="A172" i="8" s="1"/>
  <c r="A173" i="8" s="1"/>
  <c r="A174" i="8" s="1"/>
  <c r="A175" i="8" s="1"/>
  <c r="A176" i="8" s="1"/>
  <c r="A177" i="8" s="1"/>
  <c r="A178" i="8" s="1"/>
  <c r="A179" i="8" s="1"/>
  <c r="A180" i="8" s="1"/>
  <c r="A181" i="8" s="1"/>
  <c r="A182" i="8" s="1"/>
  <c r="A183" i="8" s="1"/>
  <c r="A184" i="8" s="1"/>
  <c r="A185" i="8" s="1"/>
  <c r="A186" i="8" s="1"/>
  <c r="A187" i="8" s="1"/>
  <c r="A188" i="8" s="1"/>
  <c r="A189" i="8" s="1"/>
  <c r="A190" i="8" s="1"/>
  <c r="A191" i="8" s="1"/>
  <c r="A192" i="8" s="1"/>
  <c r="A193" i="8" s="1"/>
  <c r="A194" i="8" s="1"/>
  <c r="A195" i="8" s="1"/>
  <c r="A196" i="8" s="1"/>
  <c r="A197" i="8" s="1"/>
  <c r="A198" i="8" s="1"/>
  <c r="A199" i="8" s="1"/>
  <c r="A200" i="8" s="1"/>
  <c r="A201" i="8" s="1"/>
  <c r="A202" i="8" s="1"/>
  <c r="A203" i="8" s="1"/>
  <c r="A204" i="8" s="1"/>
  <c r="A205" i="8" s="1"/>
  <c r="A206" i="8" s="1"/>
  <c r="A207" i="8" s="1"/>
  <c r="A208" i="8" s="1"/>
  <c r="A209" i="8" s="1"/>
  <c r="A210" i="8" s="1"/>
  <c r="A211" i="8" s="1"/>
  <c r="A212" i="8" s="1"/>
  <c r="A213" i="8" s="1"/>
  <c r="A214" i="8" s="1"/>
  <c r="A215" i="8" s="1"/>
  <c r="A216" i="8" s="1"/>
  <c r="A217" i="8" s="1"/>
  <c r="A218" i="8" s="1"/>
  <c r="A219" i="8" s="1"/>
  <c r="A220" i="8" s="1"/>
  <c r="A221" i="8" s="1"/>
  <c r="A222" i="8" s="1"/>
  <c r="A223" i="8" s="1"/>
  <c r="A224" i="8" s="1"/>
  <c r="A225" i="8" s="1"/>
  <c r="A226" i="8" s="1"/>
  <c r="A227" i="8" s="1"/>
  <c r="A228" i="8" s="1"/>
  <c r="A229" i="8" s="1"/>
  <c r="A230" i="8" s="1"/>
  <c r="A231" i="8" s="1"/>
  <c r="A232" i="8" s="1"/>
  <c r="A233" i="8" s="1"/>
  <c r="A234" i="8" s="1"/>
  <c r="A235" i="8" s="1"/>
  <c r="A236" i="8" s="1"/>
  <c r="A237" i="8" s="1"/>
  <c r="A238" i="8" s="1"/>
  <c r="A239" i="8" s="1"/>
  <c r="A240" i="8" s="1"/>
  <c r="A241" i="8" s="1"/>
  <c r="A242" i="8" s="1"/>
  <c r="A243" i="8" s="1"/>
  <c r="A244" i="8" s="1"/>
  <c r="A245" i="8" s="1"/>
  <c r="A246" i="8" s="1"/>
  <c r="A247" i="8" s="1"/>
  <c r="A248" i="8" s="1"/>
  <c r="A249" i="8" s="1"/>
  <c r="A250" i="8" s="1"/>
  <c r="A251" i="8" s="1"/>
  <c r="A252" i="8" s="1"/>
  <c r="A253" i="8" s="1"/>
  <c r="A254" i="8" s="1"/>
  <c r="A255" i="8" s="1"/>
  <c r="A256" i="8" s="1"/>
  <c r="A257" i="8" s="1"/>
  <c r="A258" i="8" s="1"/>
  <c r="A259" i="8" s="1"/>
  <c r="A260" i="8" s="1"/>
  <c r="A261" i="8" s="1"/>
  <c r="A262" i="8" s="1"/>
  <c r="A263" i="8" s="1"/>
  <c r="A125" i="8"/>
  <c r="P263" i="8"/>
  <c r="O263" i="8"/>
  <c r="P251" i="8"/>
  <c r="O251" i="8"/>
  <c r="P235" i="8"/>
  <c r="O235" i="8"/>
  <c r="P199" i="8"/>
  <c r="O199" i="8"/>
  <c r="P187" i="8"/>
  <c r="O187" i="8"/>
  <c r="L182" i="8"/>
  <c r="P170" i="8"/>
  <c r="O170" i="8"/>
  <c r="P169" i="8"/>
  <c r="O169" i="8"/>
  <c r="P164" i="8"/>
  <c r="O164" i="8"/>
  <c r="K158" i="8"/>
  <c r="L157" i="8"/>
  <c r="K157" i="8"/>
  <c r="P152" i="8"/>
  <c r="O152" i="8"/>
  <c r="P131" i="8"/>
  <c r="O131" i="8"/>
  <c r="P124" i="8"/>
  <c r="Q123" i="8" l="1"/>
  <c r="M123" i="8"/>
  <c r="Q122" i="8"/>
  <c r="M122" i="8"/>
  <c r="Q121" i="8"/>
  <c r="M121" i="8"/>
  <c r="Q120" i="8"/>
  <c r="P120" i="8"/>
  <c r="M120" i="8"/>
  <c r="L120" i="8"/>
  <c r="Q119" i="8"/>
  <c r="M119" i="8"/>
  <c r="Q118" i="8"/>
  <c r="M118" i="8"/>
  <c r="Q117" i="8"/>
  <c r="L117" i="8"/>
  <c r="M117" i="8" s="1"/>
  <c r="P116" i="8"/>
  <c r="O116" i="8"/>
  <c r="Q116" i="8" s="1"/>
  <c r="L116" i="8"/>
  <c r="K116" i="8"/>
  <c r="M116" i="8" s="1"/>
  <c r="K115" i="8"/>
  <c r="M115" i="8" s="1"/>
  <c r="Q114" i="8"/>
  <c r="L114" i="8"/>
  <c r="K114" i="8"/>
  <c r="M114" i="8" s="1"/>
  <c r="P112" i="8"/>
  <c r="O112" i="8"/>
  <c r="Q112" i="8" s="1"/>
  <c r="L112" i="8"/>
  <c r="K112" i="8"/>
  <c r="M112" i="8" s="1"/>
  <c r="P111" i="8"/>
  <c r="Q111" i="8" s="1"/>
  <c r="K111" i="8"/>
  <c r="M111" i="8" s="1"/>
  <c r="Q110" i="8"/>
  <c r="L110" i="8"/>
  <c r="K110" i="8"/>
  <c r="M110" i="8" s="1"/>
  <c r="M109" i="8"/>
  <c r="Q108" i="8"/>
  <c r="M108" i="8"/>
  <c r="Q107" i="8"/>
  <c r="M107" i="8"/>
  <c r="P106" i="8"/>
  <c r="O106" i="8"/>
  <c r="Q106" i="8" s="1"/>
  <c r="L106" i="8"/>
  <c r="M106" i="8" s="1"/>
  <c r="Q103" i="8"/>
  <c r="M103" i="8"/>
  <c r="Q102" i="8"/>
  <c r="M102" i="8"/>
  <c r="Q100" i="8"/>
  <c r="M100" i="8"/>
  <c r="Q99" i="8"/>
  <c r="M99" i="8"/>
  <c r="Q98" i="8"/>
  <c r="M98" i="8"/>
  <c r="L98" i="8"/>
  <c r="Q97" i="8"/>
  <c r="M97" i="8"/>
  <c r="Q96" i="8"/>
  <c r="L96" i="8"/>
  <c r="M96" i="8" s="1"/>
  <c r="Q95" i="8"/>
  <c r="L95" i="8"/>
  <c r="K95" i="8"/>
  <c r="M95" i="8" s="1"/>
  <c r="Q94" i="8"/>
  <c r="L94" i="8"/>
  <c r="K94" i="8"/>
  <c r="M94" i="8" s="1"/>
  <c r="P93" i="8"/>
  <c r="Q93" i="8" s="1"/>
  <c r="M93" i="8"/>
  <c r="Q92" i="8"/>
  <c r="M92" i="8"/>
  <c r="Q91" i="8"/>
  <c r="M91" i="8"/>
  <c r="Q90" i="8"/>
  <c r="P90" i="8"/>
  <c r="M90" i="8"/>
  <c r="Q88" i="8"/>
  <c r="M88" i="8"/>
  <c r="P87" i="8"/>
  <c r="Q87" i="8" s="1"/>
  <c r="L87" i="8"/>
  <c r="M87" i="8" s="1"/>
  <c r="Q86" i="8"/>
  <c r="L86" i="8"/>
  <c r="K86" i="8"/>
  <c r="M86" i="8" s="1"/>
  <c r="Q85" i="8"/>
  <c r="M85" i="8"/>
  <c r="L85" i="8"/>
  <c r="P84" i="8"/>
  <c r="O84" i="8"/>
  <c r="Q84" i="8" s="1"/>
  <c r="K84" i="8"/>
  <c r="M84" i="8" s="1"/>
  <c r="Q83" i="8"/>
  <c r="M83" i="8"/>
  <c r="Q82" i="8"/>
  <c r="M82" i="8"/>
  <c r="K82" i="8"/>
  <c r="Q81" i="8"/>
  <c r="P81" i="8"/>
  <c r="L81" i="8"/>
  <c r="K81" i="8"/>
  <c r="M81" i="8" s="1"/>
  <c r="Q80" i="8"/>
  <c r="L80" i="8"/>
  <c r="K80" i="8"/>
  <c r="M80" i="8" s="1"/>
  <c r="Q79" i="8"/>
  <c r="M79" i="8"/>
  <c r="K79" i="8"/>
  <c r="Q78" i="8"/>
  <c r="L78" i="8"/>
  <c r="M78" i="8" s="1"/>
  <c r="P77" i="8"/>
  <c r="Q77" i="8" s="1"/>
  <c r="L77" i="8"/>
  <c r="K77" i="8"/>
  <c r="M77" i="8" s="1"/>
  <c r="Q76" i="8" l="1"/>
  <c r="M76" i="8"/>
  <c r="Q75" i="8"/>
  <c r="M75" i="8"/>
  <c r="Q74" i="8"/>
  <c r="M74" i="8"/>
  <c r="Q73" i="8"/>
  <c r="M73" i="8"/>
  <c r="Q72" i="8"/>
  <c r="M72" i="8"/>
  <c r="Q71" i="8"/>
  <c r="M71" i="8"/>
  <c r="Q70" i="8"/>
  <c r="M70" i="8"/>
  <c r="Q69" i="8"/>
  <c r="M69" i="8"/>
  <c r="Q68" i="8"/>
  <c r="M68" i="8"/>
  <c r="Q67" i="8"/>
  <c r="M67" i="8"/>
  <c r="Q66" i="8"/>
  <c r="M66" i="8"/>
  <c r="Q65" i="8"/>
  <c r="M65" i="8"/>
  <c r="Q64" i="8"/>
  <c r="M64" i="8"/>
  <c r="Q63" i="8"/>
  <c r="M63" i="8"/>
  <c r="Q62" i="8"/>
  <c r="M62" i="8"/>
  <c r="Q61" i="8"/>
  <c r="M61" i="8"/>
  <c r="Q60" i="8"/>
  <c r="M60" i="8"/>
  <c r="Q59" i="8"/>
  <c r="M59" i="8"/>
  <c r="Q58" i="8"/>
  <c r="M58" i="8"/>
  <c r="Q57" i="8"/>
  <c r="M57" i="8"/>
  <c r="Q56" i="8"/>
  <c r="M56" i="8"/>
  <c r="Q55" i="8"/>
  <c r="M55" i="8"/>
  <c r="Q54" i="8"/>
  <c r="M54" i="8"/>
  <c r="Q53" i="8"/>
  <c r="M53" i="8"/>
  <c r="Q52" i="8"/>
  <c r="M52" i="8"/>
  <c r="Q51" i="8"/>
  <c r="M51" i="8"/>
  <c r="Q50" i="8"/>
  <c r="M50" i="8"/>
  <c r="Q49" i="8"/>
  <c r="M49" i="8"/>
  <c r="Q48" i="8"/>
  <c r="M48" i="8"/>
  <c r="Q47" i="8"/>
  <c r="M47" i="8"/>
  <c r="Q46" i="8"/>
  <c r="M46" i="8"/>
  <c r="Q45" i="8"/>
  <c r="M45" i="8"/>
  <c r="Q44" i="8"/>
  <c r="M44" i="8"/>
  <c r="Q43" i="8"/>
  <c r="M43" i="8"/>
  <c r="Q42" i="8"/>
  <c r="M42" i="8"/>
  <c r="Q41" i="8"/>
  <c r="M41" i="8"/>
  <c r="Q40" i="8"/>
  <c r="M40" i="8"/>
  <c r="Q39" i="8"/>
  <c r="M39" i="8"/>
  <c r="Q38" i="8"/>
  <c r="M38" i="8"/>
  <c r="M37" i="8" l="1"/>
  <c r="Q36" i="8"/>
  <c r="M36" i="8"/>
  <c r="Q35" i="8"/>
  <c r="M35" i="8"/>
  <c r="Q34" i="8"/>
  <c r="M34" i="8"/>
  <c r="Q33" i="8"/>
  <c r="M33" i="8"/>
  <c r="Q32" i="8"/>
  <c r="M32" i="8"/>
  <c r="A32" i="8"/>
  <c r="Q31" i="8"/>
  <c r="M31" i="8"/>
  <c r="A31" i="8"/>
  <c r="Q30" i="8"/>
  <c r="A20" i="8" l="1"/>
  <c r="A21" i="8" s="1"/>
  <c r="A22" i="8" s="1"/>
  <c r="A23" i="8" s="1"/>
  <c r="B9" i="8"/>
  <c r="C9" i="8" s="1"/>
  <c r="D9" i="8" s="1"/>
  <c r="E9" i="8" s="1"/>
  <c r="F9" i="8" s="1"/>
  <c r="G9" i="8" s="1"/>
  <c r="H9" i="8" s="1"/>
  <c r="I9" i="8" s="1"/>
  <c r="J9" i="8" s="1"/>
  <c r="K9" i="8" s="1"/>
  <c r="L9" i="8" s="1"/>
  <c r="M9" i="8" s="1"/>
  <c r="N9" i="8" s="1"/>
  <c r="O9" i="8" s="1"/>
  <c r="P9" i="8" s="1"/>
  <c r="Q9" i="8" s="1"/>
  <c r="Q249" i="7" l="1"/>
  <c r="Q248" i="7"/>
  <c r="Q247" i="7"/>
  <c r="Q246" i="7"/>
  <c r="Q245" i="7"/>
  <c r="Q244" i="7"/>
  <c r="A244" i="7"/>
  <c r="A245" i="7" s="1"/>
  <c r="Q243" i="7"/>
  <c r="A233" i="7"/>
  <c r="A234" i="7" s="1"/>
  <c r="A235" i="7" s="1"/>
  <c r="A236" i="7" s="1"/>
  <c r="Q231" i="7" l="1"/>
  <c r="M231" i="7"/>
  <c r="Q230" i="7"/>
  <c r="M230" i="7"/>
  <c r="Q229" i="7"/>
  <c r="M229" i="7"/>
  <c r="Q228" i="7"/>
  <c r="M228" i="7"/>
  <c r="P227" i="7"/>
  <c r="Q227" i="7" s="1"/>
  <c r="L227" i="7"/>
  <c r="M227" i="7" s="1"/>
  <c r="Q226" i="7"/>
  <c r="M226" i="7"/>
  <c r="Q225" i="7"/>
  <c r="M225" i="7"/>
  <c r="Q224" i="7"/>
  <c r="M224" i="7"/>
  <c r="L224" i="7"/>
  <c r="P223" i="7"/>
  <c r="O223" i="7"/>
  <c r="L223" i="7"/>
  <c r="K223" i="7"/>
  <c r="M222" i="7"/>
  <c r="K222" i="7"/>
  <c r="Q221" i="7"/>
  <c r="L221" i="7"/>
  <c r="K221" i="7"/>
  <c r="M221" i="7" s="1"/>
  <c r="P219" i="7"/>
  <c r="O219" i="7"/>
  <c r="Q219" i="7" s="1"/>
  <c r="L219" i="7"/>
  <c r="K219" i="7"/>
  <c r="M219" i="7" s="1"/>
  <c r="P218" i="7"/>
  <c r="Q218" i="7" s="1"/>
  <c r="K218" i="7"/>
  <c r="M218" i="7" s="1"/>
  <c r="Q217" i="7"/>
  <c r="L217" i="7"/>
  <c r="K217" i="7"/>
  <c r="M216" i="7"/>
  <c r="Q215" i="7"/>
  <c r="M215" i="7"/>
  <c r="Q214" i="7"/>
  <c r="M214" i="7"/>
  <c r="P213" i="7"/>
  <c r="O213" i="7"/>
  <c r="Q213" i="7" s="1"/>
  <c r="L213" i="7"/>
  <c r="M213" i="7" s="1"/>
  <c r="Q212" i="7"/>
  <c r="M212" i="7"/>
  <c r="Q211" i="7"/>
  <c r="M211" i="7"/>
  <c r="Q209" i="7"/>
  <c r="M209" i="7"/>
  <c r="Q208" i="7"/>
  <c r="M208" i="7"/>
  <c r="Q207" i="7"/>
  <c r="L207" i="7"/>
  <c r="M207" i="7" s="1"/>
  <c r="Q206" i="7"/>
  <c r="M206" i="7"/>
  <c r="Q205" i="7"/>
  <c r="L205" i="7"/>
  <c r="M205" i="7" s="1"/>
  <c r="Q204" i="7"/>
  <c r="L204" i="7"/>
  <c r="K204" i="7"/>
  <c r="Q203" i="7"/>
  <c r="L203" i="7"/>
  <c r="K203" i="7"/>
  <c r="P202" i="7"/>
  <c r="Q202" i="7" s="1"/>
  <c r="M202" i="7"/>
  <c r="Q201" i="7"/>
  <c r="M201" i="7"/>
  <c r="Q200" i="7"/>
  <c r="M200" i="7"/>
  <c r="P199" i="7"/>
  <c r="Q199" i="7" s="1"/>
  <c r="M199" i="7"/>
  <c r="Q197" i="7"/>
  <c r="M197" i="7"/>
  <c r="P196" i="7"/>
  <c r="Q196" i="7" s="1"/>
  <c r="L196" i="7"/>
  <c r="M196" i="7" s="1"/>
  <c r="Q195" i="7"/>
  <c r="L195" i="7"/>
  <c r="K195" i="7"/>
  <c r="Q194" i="7"/>
  <c r="L194" i="7"/>
  <c r="M194" i="7" s="1"/>
  <c r="P193" i="7"/>
  <c r="O193" i="7"/>
  <c r="M193" i="7"/>
  <c r="Q192" i="7"/>
  <c r="M192" i="7"/>
  <c r="Q191" i="7"/>
  <c r="K191" i="7"/>
  <c r="M191" i="7" s="1"/>
  <c r="P190" i="7"/>
  <c r="Q190" i="7" s="1"/>
  <c r="L190" i="7"/>
  <c r="K190" i="7"/>
  <c r="Q189" i="7"/>
  <c r="L189" i="7"/>
  <c r="K189" i="7"/>
  <c r="Q188" i="7"/>
  <c r="M188" i="7"/>
  <c r="Q187" i="7"/>
  <c r="L187" i="7"/>
  <c r="M187" i="7" s="1"/>
  <c r="P186" i="7"/>
  <c r="Q186" i="7" s="1"/>
  <c r="L186" i="7"/>
  <c r="K186" i="7"/>
  <c r="M189" i="7" l="1"/>
  <c r="M204" i="7"/>
  <c r="M186" i="7"/>
  <c r="M190" i="7"/>
  <c r="Q193" i="7"/>
  <c r="M195" i="7"/>
  <c r="M203" i="7"/>
  <c r="M217" i="7"/>
  <c r="M223" i="7"/>
  <c r="Q223" i="7"/>
  <c r="Q185" i="7"/>
  <c r="M185" i="7"/>
  <c r="Q184" i="7"/>
  <c r="M184" i="7"/>
  <c r="Q183" i="7"/>
  <c r="M183" i="7"/>
  <c r="Q182" i="7"/>
  <c r="M182" i="7"/>
  <c r="Q181" i="7"/>
  <c r="M181" i="7"/>
  <c r="Q180" i="7"/>
  <c r="M180" i="7"/>
  <c r="Q179" i="7"/>
  <c r="M179" i="7"/>
  <c r="Q178" i="7"/>
  <c r="M178" i="7"/>
  <c r="Q177" i="7"/>
  <c r="M177" i="7"/>
  <c r="Q176" i="7"/>
  <c r="M176" i="7"/>
  <c r="Q175" i="7"/>
  <c r="M175" i="7"/>
  <c r="Q174" i="7"/>
  <c r="M174" i="7"/>
  <c r="Q173" i="7"/>
  <c r="M173" i="7"/>
  <c r="Q172" i="7"/>
  <c r="M172" i="7"/>
  <c r="Q171" i="7"/>
  <c r="M171" i="7"/>
  <c r="Q170" i="7"/>
  <c r="M170" i="7"/>
  <c r="Q169" i="7"/>
  <c r="M169" i="7"/>
  <c r="Q168" i="7"/>
  <c r="M168" i="7"/>
  <c r="Q167" i="7"/>
  <c r="M167" i="7"/>
  <c r="Q166" i="7"/>
  <c r="M166" i="7"/>
  <c r="Q165" i="7"/>
  <c r="M165" i="7"/>
  <c r="Q164" i="7"/>
  <c r="M164" i="7"/>
  <c r="Q163" i="7"/>
  <c r="M163" i="7"/>
  <c r="Q162" i="7"/>
  <c r="M162" i="7"/>
  <c r="Q161" i="7"/>
  <c r="M161" i="7"/>
  <c r="Q160" i="7"/>
  <c r="M160" i="7"/>
  <c r="Q159" i="7"/>
  <c r="M159" i="7"/>
  <c r="Q158" i="7"/>
  <c r="M158" i="7"/>
  <c r="Q157" i="7"/>
  <c r="M157" i="7"/>
  <c r="Q156" i="7"/>
  <c r="M156" i="7"/>
  <c r="Q155" i="7"/>
  <c r="M155" i="7"/>
  <c r="Q154" i="7"/>
  <c r="M154" i="7"/>
  <c r="Q153" i="7"/>
  <c r="M153" i="7"/>
  <c r="Q152" i="7"/>
  <c r="M152" i="7"/>
  <c r="Q151" i="7"/>
  <c r="M151" i="7"/>
  <c r="Q150" i="7"/>
  <c r="M150" i="7"/>
  <c r="Q149" i="7"/>
  <c r="M149" i="7"/>
  <c r="Q148" i="7"/>
  <c r="M148" i="7"/>
  <c r="Q147" i="7"/>
  <c r="M147" i="7"/>
  <c r="A11" i="7" l="1"/>
  <c r="B9" i="7"/>
  <c r="C9" i="7" s="1"/>
  <c r="D9" i="7" s="1"/>
  <c r="E9" i="7" s="1"/>
  <c r="F9" i="7" s="1"/>
  <c r="G9" i="7" s="1"/>
  <c r="H9" i="7" s="1"/>
  <c r="I9" i="7" s="1"/>
  <c r="J9" i="7" s="1"/>
  <c r="K9" i="7" s="1"/>
  <c r="L9" i="7" s="1"/>
  <c r="M9" i="7" s="1"/>
  <c r="N9" i="7" s="1"/>
  <c r="O9" i="7" s="1"/>
  <c r="P9" i="7" s="1"/>
  <c r="Q9" i="7" s="1"/>
  <c r="A12" i="7" l="1"/>
  <c r="A13" i="7" s="1"/>
  <c r="A14" i="7" s="1"/>
  <c r="A15" i="7" s="1"/>
  <c r="A16" i="7" s="1"/>
  <c r="A17" i="7" s="1"/>
  <c r="A18" i="7" s="1"/>
  <c r="A19" i="7" s="1"/>
  <c r="A20" i="7" s="1"/>
  <c r="A21" i="7" s="1"/>
  <c r="A22" i="7" s="1"/>
  <c r="A23" i="7" s="1"/>
  <c r="A24" i="7" s="1"/>
  <c r="A25" i="7" s="1"/>
  <c r="A26" i="7" s="1"/>
  <c r="A27" i="7" s="1"/>
  <c r="A28" i="7" s="1"/>
  <c r="A29" i="7" s="1"/>
  <c r="A30" i="7" s="1"/>
  <c r="A31" i="7" s="1"/>
  <c r="A32" i="7" s="1"/>
  <c r="A33" i="7" s="1"/>
  <c r="A34" i="7" s="1"/>
  <c r="A35" i="7" s="1"/>
  <c r="A36" i="7" s="1"/>
  <c r="A37" i="7" s="1"/>
  <c r="A38" i="7" l="1"/>
  <c r="A39" i="7" s="1"/>
  <c r="A40" i="7" s="1"/>
  <c r="A41" i="7" s="1"/>
  <c r="A42" i="7" s="1"/>
  <c r="A43" i="7" s="1"/>
  <c r="A44" i="7" s="1"/>
  <c r="A45" i="7" s="1"/>
  <c r="A46" i="7" s="1"/>
  <c r="A47" i="7" s="1"/>
  <c r="A48" i="7" s="1"/>
  <c r="A49" i="7" s="1"/>
  <c r="A50" i="7" s="1"/>
  <c r="A51" i="7" s="1"/>
  <c r="A52" i="7" s="1"/>
  <c r="A53" i="7" s="1"/>
  <c r="A54" i="7" s="1"/>
  <c r="A55" i="7" s="1"/>
  <c r="A56" i="7" s="1"/>
  <c r="A57" i="7" s="1"/>
  <c r="A58" i="7" s="1"/>
  <c r="A59" i="7" s="1"/>
  <c r="A60" i="7" s="1"/>
  <c r="A61" i="7" s="1"/>
  <c r="A62" i="7" s="1"/>
  <c r="A63" i="7" s="1"/>
  <c r="A64" i="7" s="1"/>
  <c r="A65" i="7" s="1"/>
  <c r="A66" i="7" s="1"/>
  <c r="A67" i="7" s="1"/>
  <c r="A68" i="7" s="1"/>
  <c r="A69" i="7" s="1"/>
  <c r="A70" i="7" s="1"/>
  <c r="A71" i="7" s="1"/>
  <c r="A72" i="7" s="1"/>
  <c r="A73" i="7" s="1"/>
  <c r="A74" i="7" s="1"/>
  <c r="A75" i="7" s="1"/>
  <c r="A76" i="7" s="1"/>
  <c r="A77" i="7" s="1"/>
  <c r="A78" i="7" s="1"/>
  <c r="A79" i="7" s="1"/>
  <c r="A80" i="7" s="1"/>
  <c r="A81" i="7" s="1"/>
  <c r="A82" i="7" s="1"/>
  <c r="A83" i="7" s="1"/>
  <c r="A84" i="7" s="1"/>
  <c r="A85" i="7" s="1"/>
  <c r="A86" i="7" s="1"/>
  <c r="A87" i="7" s="1"/>
  <c r="A88" i="7" s="1"/>
  <c r="A89" i="7" s="1"/>
  <c r="A90" i="7" s="1"/>
  <c r="A91" i="7" s="1"/>
  <c r="A92" i="7" s="1"/>
  <c r="A93" i="7" s="1"/>
  <c r="A94" i="7" s="1"/>
  <c r="A95" i="7" s="1"/>
  <c r="A96" i="7" s="1"/>
  <c r="A97" i="7" s="1"/>
  <c r="A98" i="7" s="1"/>
  <c r="A99" i="7" s="1"/>
  <c r="A100" i="7" s="1"/>
  <c r="A101" i="7" s="1"/>
  <c r="A102" i="7" s="1"/>
  <c r="A103" i="7" s="1"/>
  <c r="A104" i="7" s="1"/>
  <c r="A105" i="7" s="1"/>
  <c r="A106" i="7" s="1"/>
  <c r="A107" i="7" s="1"/>
  <c r="A108" i="7" s="1"/>
  <c r="A109" i="7" s="1"/>
  <c r="A110" i="7" s="1"/>
  <c r="A111" i="7" s="1"/>
  <c r="A112" i="7" s="1"/>
  <c r="A113" i="7" s="1"/>
  <c r="A114" i="7" s="1"/>
  <c r="A115" i="7" s="1"/>
  <c r="A116" i="7" s="1"/>
  <c r="A117" i="7" s="1"/>
  <c r="A118" i="7" s="1"/>
  <c r="A119" i="7" s="1"/>
  <c r="A120" i="7" s="1"/>
  <c r="A121" i="7" s="1"/>
  <c r="A122" i="7" s="1"/>
  <c r="A123" i="7" s="1"/>
  <c r="A124" i="7" s="1"/>
  <c r="A125" i="7" s="1"/>
  <c r="A126" i="7" s="1"/>
  <c r="A127" i="7" s="1"/>
  <c r="A128" i="7" s="1"/>
  <c r="A129" i="7" s="1"/>
  <c r="A130" i="7" s="1"/>
  <c r="A131" i="7" s="1"/>
  <c r="A132" i="7" s="1"/>
  <c r="A133" i="7" s="1"/>
  <c r="A134" i="7" s="1"/>
  <c r="A135" i="7" s="1"/>
  <c r="A136" i="7" s="1"/>
  <c r="A137" i="7" s="1"/>
  <c r="A138" i="7" s="1"/>
  <c r="A139" i="7" s="1"/>
  <c r="A140" i="7" s="1"/>
  <c r="A141" i="7" s="1"/>
  <c r="A142" i="7" s="1"/>
  <c r="A143" i="7" s="1"/>
  <c r="A144" i="7" s="1"/>
  <c r="A145" i="7" s="1"/>
  <c r="A146" i="7" s="1"/>
</calcChain>
</file>

<file path=xl/sharedStrings.xml><?xml version="1.0" encoding="utf-8"?>
<sst xmlns="http://schemas.openxmlformats.org/spreadsheetml/2006/main" count="40352" uniqueCount="780">
  <si>
    <t>№</t>
  </si>
  <si>
    <t>Організаційна форма адвокатської діяльності (ІНД, АБ, АО)</t>
  </si>
  <si>
    <t>Населений пункт, де знаходиться робоче місце адвоката (за ЄРАУ)</t>
  </si>
  <si>
    <t>Назва адвокатського бюро чи адвокатського об'єднання</t>
  </si>
  <si>
    <t>ПІБ адвокатів, з якими центрами з надання БВПД (було) укладено контракт / договір</t>
  </si>
  <si>
    <t>Назва центру з надання БВПД, з яким адвокатом (було) укладено контракт / договір (скорочено)</t>
  </si>
  <si>
    <t>Реквізити контракту / договору (дата укладання, №)</t>
  </si>
  <si>
    <t>кількість виданих відповідним центром доручень (без врахування скасованих доручень, БВПД за якими не надавалася)</t>
  </si>
  <si>
    <t>кількість доручень, за якими відповідним центром прийнято хоча б один акт</t>
  </si>
  <si>
    <t>кількість актів, прийнятих відповідним центром</t>
  </si>
  <si>
    <t>І. Інформація про адвоката, який надає БВПД</t>
  </si>
  <si>
    <t>сума фактичних видатків (зареєстрованих та взятих на облік органами ДКСУ) за затвердженими актами, грн</t>
  </si>
  <si>
    <t>сума касових видатків за затвердженими актами, грн</t>
  </si>
  <si>
    <t>сума кредиторської заборгованості за затвердженими актами, грн</t>
  </si>
  <si>
    <t>(назва регіонального центру з надання БВПД, яким підготовано інформацію)</t>
  </si>
  <si>
    <t xml:space="preserve">Додаток 2
до наказу Координаційного центру
з надання правової допомоги
від «31» грудня 2015 року № 308
(в редакції наказу Координаційного центру з надання правової допомоги
від ___ січня 2017 року № ____)
</t>
  </si>
  <si>
    <t>Регіональний центр з надання безоплатної вторинної правової допомоги у Луганській та Харківській областях</t>
  </si>
  <si>
    <t>Харківська область</t>
  </si>
  <si>
    <t>Абдуллаєва-Мартіросян Іммілейла Хаганіївна</t>
  </si>
  <si>
    <t>Акопян Татевік Ашотівна</t>
  </si>
  <si>
    <t>Бєжанова Анна Володимиріна</t>
  </si>
  <si>
    <t>Бережний Сергій Васильович</t>
  </si>
  <si>
    <t>Бессарабенко Ірина Аркадіївна</t>
  </si>
  <si>
    <t>Бобров Віктор Сергійович</t>
  </si>
  <si>
    <t>Бодян Михайло Володимирович</t>
  </si>
  <si>
    <t>Боровський Сергій Васильович</t>
  </si>
  <si>
    <t>Буняєв Олександр Володимирович</t>
  </si>
  <si>
    <t>Велика Олена Анатоліївна</t>
  </si>
  <si>
    <t>Головіна Олена Сергіївна</t>
  </si>
  <si>
    <t>Дугіна Діана Олександрівна</t>
  </si>
  <si>
    <t>Жигилій Павло Васильович</t>
  </si>
  <si>
    <t>Звєряка Олександр Сергійович</t>
  </si>
  <si>
    <t>Зуєва Людмила Вікторівна</t>
  </si>
  <si>
    <t>Зубенко Вікторія Василівна</t>
  </si>
  <si>
    <t>Калюжна Людмила Анатоліївна</t>
  </si>
  <si>
    <t>Кравченко Олексій Миколайович</t>
  </si>
  <si>
    <t>Літвінова Ольга Борисівна</t>
  </si>
  <si>
    <t>Лепетюк Олег Леонідович</t>
  </si>
  <si>
    <t>Міщенко Інесса Ігорівна</t>
  </si>
  <si>
    <t>Мазницький Микола Михайлович</t>
  </si>
  <si>
    <t>Майборода Сергій Сергійович</t>
  </si>
  <si>
    <t>Мелконян Лідія Григорівна</t>
  </si>
  <si>
    <t>Назаренко Яна Михайлівна</t>
  </si>
  <si>
    <t>Найдьонова Олена Григорівна</t>
  </si>
  <si>
    <t>Неженець Тетяна Іллівна</t>
  </si>
  <si>
    <t>Новіков Юрій Борисович</t>
  </si>
  <si>
    <t>Орєхова Наталія Віталіївна</t>
  </si>
  <si>
    <t>Остапенко Світлана Юріївна</t>
  </si>
  <si>
    <t>Пухтаєвич Ольга Олегівна</t>
  </si>
  <si>
    <t>Раєвська Варвара Миколаївна</t>
  </si>
  <si>
    <t>Радченко Богдан Євгенійович</t>
  </si>
  <si>
    <t>Родіонова Надія Степанівна</t>
  </si>
  <si>
    <t>Савченко Ельвіра Олексіївна</t>
  </si>
  <si>
    <t>Сафонова Яніна Борисівна</t>
  </si>
  <si>
    <t>Смаль Віктор Вікторович</t>
  </si>
  <si>
    <t>Соколова Раїса Іванівна</t>
  </si>
  <si>
    <t>Татьянко Анатолій Микитович</t>
  </si>
  <si>
    <t>Філіп'єва Вікторія Вікторівна</t>
  </si>
  <si>
    <t>Цемкалов Вадим Іванович</t>
  </si>
  <si>
    <t>Цувіна Олена  Олексіївна</t>
  </si>
  <si>
    <t>Ярмак Сергій Валерійович</t>
  </si>
  <si>
    <t>Ярмола Олександр Володимирович</t>
  </si>
  <si>
    <t>ІНД</t>
  </si>
  <si>
    <t/>
  </si>
  <si>
    <t>АО</t>
  </si>
  <si>
    <t>АО "РУХ"</t>
  </si>
  <si>
    <t>АО "Харківська обласна колегія адвокатів"</t>
  </si>
  <si>
    <t>АБ</t>
  </si>
  <si>
    <t>АБ "Сергія Ярмака"</t>
  </si>
  <si>
    <t>АБ "Ярмоли О.В."</t>
  </si>
  <si>
    <t>Київський, м.Харків</t>
  </si>
  <si>
    <t>м. Куп'янськ</t>
  </si>
  <si>
    <t>Дзержинський, м.Харків</t>
  </si>
  <si>
    <t>м.Богодухів</t>
  </si>
  <si>
    <t>м.Харків</t>
  </si>
  <si>
    <t>Московський, м.Харків</t>
  </si>
  <si>
    <t>Вовчанський р-н, м.Вовчанськ</t>
  </si>
  <si>
    <t>м.Чугуїв</t>
  </si>
  <si>
    <t>Червонозаводський, м.Харків</t>
  </si>
  <si>
    <t>Харківський р-н, м.Люботин</t>
  </si>
  <si>
    <t>Лозівський р-н, м.Лозова</t>
  </si>
  <si>
    <t>Куп'янський р-н, м.Куп'янськ</t>
  </si>
  <si>
    <t>Ленінський, м.Харків</t>
  </si>
  <si>
    <t>м.Балаклія</t>
  </si>
  <si>
    <t>Фрунзенський, м.Харків</t>
  </si>
  <si>
    <t>РЦ</t>
  </si>
  <si>
    <t>Бакалкін Олексій Володимирович</t>
  </si>
  <si>
    <t>Босенко Олена Василівна</t>
  </si>
  <si>
    <t>Булах-Кобець Наталія Юріївна</t>
  </si>
  <si>
    <t>Горелик Ольга Володимирівна</t>
  </si>
  <si>
    <t>Зінченко Світлана Анатоліївна</t>
  </si>
  <si>
    <t>Зуб Ганна Анатолііївна</t>
  </si>
  <si>
    <t>Коросташевський Павло Михайлович</t>
  </si>
  <si>
    <t>Крутько Ірина Миколаївна</t>
  </si>
  <si>
    <t>Поздняков Сергій Генріхович</t>
  </si>
  <si>
    <t>Євстігнєєв Віктор Геннадійович</t>
  </si>
  <si>
    <t>Пухтаєвич Євген Валерійович</t>
  </si>
  <si>
    <t>Шандула Олександр Олексійович</t>
  </si>
  <si>
    <t>м.Куп'янськ</t>
  </si>
  <si>
    <t>14.03.2017 №9</t>
  </si>
  <si>
    <t>Бєлянцев Костянтин Олександрович</t>
  </si>
  <si>
    <t>Дергачівський р-н, м.Дергачі</t>
  </si>
  <si>
    <t>Бондаренко Наталія Валеріївна</t>
  </si>
  <si>
    <t>12.04.2017 №90</t>
  </si>
  <si>
    <t>Ганніч Костянтин Олександрович</t>
  </si>
  <si>
    <t>Луганська обл., Жовтневий р-н</t>
  </si>
  <si>
    <t>Дмітрієва Ліна Михайлівна</t>
  </si>
  <si>
    <t>Дроздов Владислав Іванович</t>
  </si>
  <si>
    <t>Орджонікидзевський, м.Харків</t>
  </si>
  <si>
    <t>Клименко Олексій Костянтинович</t>
  </si>
  <si>
    <t>Клименко Павліна Василівна</t>
  </si>
  <si>
    <t>Клименко Роман Леонідович</t>
  </si>
  <si>
    <t>АБ"</t>
  </si>
  <si>
    <t>АБ"Клименко та партнери"</t>
  </si>
  <si>
    <t>Кравченко Тетяна Іванівна</t>
  </si>
  <si>
    <t>Зміївський р-н, м.Зміїв</t>
  </si>
  <si>
    <t>Куніцин Андрій Юрійович</t>
  </si>
  <si>
    <t>Мар'яновський Григорій Абрамович</t>
  </si>
  <si>
    <t>Мироненко Світлана Миколаївна</t>
  </si>
  <si>
    <t>Олійник Олександр Олександрович</t>
  </si>
  <si>
    <t>Пономаренко Віктор Миколайович</t>
  </si>
  <si>
    <t>Жовтневий, м.Харків</t>
  </si>
  <si>
    <t>Попов Андрій Олександрович</t>
  </si>
  <si>
    <t>АБ "Доктора філософії, професора Радченко Б.Є."</t>
  </si>
  <si>
    <t>Репало Олексій Олександрович</t>
  </si>
  <si>
    <t>27.03.2017 №55</t>
  </si>
  <si>
    <t>14.06.2016 №72</t>
  </si>
  <si>
    <t>Смородський Олександр Григорович</t>
  </si>
  <si>
    <t>Столярова Алла Олексіївна</t>
  </si>
  <si>
    <t>Ходаковський Юрій Васильович</t>
  </si>
  <si>
    <t>Чехова Ольга Олександрівна</t>
  </si>
  <si>
    <t>Шадрін Олександр Сергійович</t>
  </si>
  <si>
    <t>Шевченко Карина Юріївна</t>
  </si>
  <si>
    <t>Прасолов Ігор Вадимович</t>
  </si>
  <si>
    <t>Сметанін Дмитро Володимирович</t>
  </si>
  <si>
    <t>Стельмах Олена Сергіївна</t>
  </si>
  <si>
    <t>07.07.2017 №119</t>
  </si>
  <si>
    <t>Варюшичева Людмила Давидівна</t>
  </si>
  <si>
    <t>05.12.2016 №135</t>
  </si>
  <si>
    <t>01.08.2016 №121</t>
  </si>
  <si>
    <t>Толстова Ольга Олександрівна</t>
  </si>
  <si>
    <t>м.Лозова</t>
  </si>
  <si>
    <t>Первомайський МЦ</t>
  </si>
  <si>
    <t>смт.Близнюки</t>
  </si>
  <si>
    <t>Цувіна Олена Олексіївна</t>
  </si>
  <si>
    <t>м.Дергачі</t>
  </si>
  <si>
    <t>Алехіна Олена Анатоліївсна</t>
  </si>
  <si>
    <t>Борисова Ірина Миколаївна</t>
  </si>
  <si>
    <t>Крячко Олег Володимирович</t>
  </si>
  <si>
    <t>Дергачівський р-н, смт.Солониц</t>
  </si>
  <si>
    <t>Ромась Дар'я Миколаївна</t>
  </si>
  <si>
    <t>Свиридова Марина Михайлівна</t>
  </si>
  <si>
    <t>Булавінова Юлія Володимирівна</t>
  </si>
  <si>
    <t>Кіслова Олена Олександрівна</t>
  </si>
  <si>
    <t>Картавих Марина Ігорівна</t>
  </si>
  <si>
    <t>Сековой Олег Дмитрович</t>
  </si>
  <si>
    <t>Ткачов Вячеслав Олександрович</t>
  </si>
  <si>
    <t>м. Богодухів</t>
  </si>
  <si>
    <t>м. Харків</t>
  </si>
  <si>
    <t>©Пономаренко Віктор Миколайович</t>
  </si>
  <si>
    <t>14.02.2018 №2</t>
  </si>
  <si>
    <t>14.02.2018 №36</t>
  </si>
  <si>
    <t>14.02.2018 №22</t>
  </si>
  <si>
    <t>26.02.2018 №18</t>
  </si>
  <si>
    <t>14.02.2018 №8</t>
  </si>
  <si>
    <t>12.03.2018 №87</t>
  </si>
  <si>
    <t>Барінов Денис Валерійович</t>
  </si>
  <si>
    <t>14.02.2018 №146</t>
  </si>
  <si>
    <t>Бегенчев Максад Хидирович</t>
  </si>
  <si>
    <t>14.02.2018 №152</t>
  </si>
  <si>
    <t>14.02.2018 №25</t>
  </si>
  <si>
    <t>14.02.2018 №51</t>
  </si>
  <si>
    <t>14.02.2018 №12</t>
  </si>
  <si>
    <t>Борбунюк Олексій Олександрович</t>
  </si>
  <si>
    <t>Дзержинський, м. Харків</t>
  </si>
  <si>
    <t>14.02.2018 №157</t>
  </si>
  <si>
    <t>Бугар Олександр Олександрович</t>
  </si>
  <si>
    <t>Лозівський р-н, м. Лозова</t>
  </si>
  <si>
    <t>14.02.2018 №139</t>
  </si>
  <si>
    <t>14.02.2018 №134</t>
  </si>
  <si>
    <t>14.02.2018 №80</t>
  </si>
  <si>
    <t>14.02.2018 №21</t>
  </si>
  <si>
    <t>Бурма Юрій Миколайович</t>
  </si>
  <si>
    <t>14.02.2018 №155</t>
  </si>
  <si>
    <t>14.02.2018 №123</t>
  </si>
  <si>
    <t>Векленко Віталій Іванович</t>
  </si>
  <si>
    <t>Богодуховський р-н, м. Богодухів</t>
  </si>
  <si>
    <t>14.02.2018 №10</t>
  </si>
  <si>
    <t>26.02.2018 №54</t>
  </si>
  <si>
    <t>14.02.2018 №94</t>
  </si>
  <si>
    <t>Головко Вікторія В'ячеславівна</t>
  </si>
  <si>
    <t>14.02.2018 №148</t>
  </si>
  <si>
    <t>Гончаров Михайло Сергійович</t>
  </si>
  <si>
    <t>АО "Колегія Адвокатів України" на підставі довіреності від 31.03.2015</t>
  </si>
  <si>
    <t>31.05.2017 №111</t>
  </si>
  <si>
    <t>14.02.2018 №46</t>
  </si>
  <si>
    <t>Дем'яненко Ольга Олегівна</t>
  </si>
  <si>
    <t>Харківський р-н, м. Люботин</t>
  </si>
  <si>
    <t>12.03.2018 №169</t>
  </si>
  <si>
    <t>14.02.2018 №108</t>
  </si>
  <si>
    <t>12.03.2018 №71</t>
  </si>
  <si>
    <t>Дьоміна Мирослава Володимирівна</t>
  </si>
  <si>
    <t>14.02.2018 №133</t>
  </si>
  <si>
    <t>Кегичівський р-н, смт.Кегичівка</t>
  </si>
  <si>
    <t>14.02.2018 №16</t>
  </si>
  <si>
    <t>Великобурлуцький р-н, смт.Великий Бурлук</t>
  </si>
  <si>
    <t>14.02.2018 №23</t>
  </si>
  <si>
    <t>14.02.2018 №7</t>
  </si>
  <si>
    <t>12.03.2018 №67</t>
  </si>
  <si>
    <t>14.02.2018 №14</t>
  </si>
  <si>
    <t>14.02.2018 №5</t>
  </si>
  <si>
    <t>14.02.2018 №11</t>
  </si>
  <si>
    <t>13.03.2018 №130</t>
  </si>
  <si>
    <t>12.02.2018 №96</t>
  </si>
  <si>
    <t>12.02.2018 №95</t>
  </si>
  <si>
    <t>14.02.2018 №3</t>
  </si>
  <si>
    <t>Костяний Андрій Олександрович</t>
  </si>
  <si>
    <t>Ленінський, м. Харків</t>
  </si>
  <si>
    <t>12.03.2018 №168</t>
  </si>
  <si>
    <t>Первомайський р-н, м.Первомайськ</t>
  </si>
  <si>
    <t>14.02.2018 №66</t>
  </si>
  <si>
    <t>14.02.2018 №40</t>
  </si>
  <si>
    <t>Крижановський Микола Валентинович</t>
  </si>
  <si>
    <t>Комінтерновський, м. Харків</t>
  </si>
  <si>
    <t>14.02.2018 №141</t>
  </si>
  <si>
    <t>14.02.2018 №78</t>
  </si>
  <si>
    <t>Крутько Сергій Сергійович</t>
  </si>
  <si>
    <t>14.02.2018 №151</t>
  </si>
  <si>
    <t>Кузнєцов Олександр Олексійович</t>
  </si>
  <si>
    <t>Ізюмський р-н, м. Ізюм</t>
  </si>
  <si>
    <t>14.02.2018 №138</t>
  </si>
  <si>
    <t>14.02.2018 №84</t>
  </si>
  <si>
    <t>Кундіус Євген Володимирович</t>
  </si>
  <si>
    <t>14.02.2018 №149</t>
  </si>
  <si>
    <t>12.03.2018 №107</t>
  </si>
  <si>
    <t>Лисенко Віталій Вікторович</t>
  </si>
  <si>
    <t>Сахновщинський р-н, смт. Сахновщина</t>
  </si>
  <si>
    <t>14.02.2018 №140</t>
  </si>
  <si>
    <t>Литвиненко Валерій Леонідович</t>
  </si>
  <si>
    <t>Червонозаводський, м. Харків</t>
  </si>
  <si>
    <t>14.02.2018 №147</t>
  </si>
  <si>
    <t>Міняйло В'ячеслав Валерійович</t>
  </si>
  <si>
    <t>Московський, м. Харків</t>
  </si>
  <si>
    <t>14.02.2018 №144</t>
  </si>
  <si>
    <t>Зміївський р-н, смт.Слобожанське</t>
  </si>
  <si>
    <t>14.02.2018 №17</t>
  </si>
  <si>
    <t>Міщенко Наталія Олександрівна</t>
  </si>
  <si>
    <t>Жовтневий, м. Харків</t>
  </si>
  <si>
    <t>14.02.2018 №156</t>
  </si>
  <si>
    <t>Нововодолажський р-н, смт.Нова Водолага</t>
  </si>
  <si>
    <t>14.02.2018 №73</t>
  </si>
  <si>
    <t>Малунов Віктор Романович</t>
  </si>
  <si>
    <t>12.03.2018 №170</t>
  </si>
  <si>
    <t>14.02.2018 №75</t>
  </si>
  <si>
    <t>Михальчук Анатолій Іванович</t>
  </si>
  <si>
    <t>12.03.2018 №164</t>
  </si>
  <si>
    <t>Моїсеєнко Карина Олександріівна</t>
  </si>
  <si>
    <t>14.02.2018 №142</t>
  </si>
  <si>
    <t>Назаренко Дар'я Андріївна</t>
  </si>
  <si>
    <t>12.03.2018 №166</t>
  </si>
  <si>
    <t>14.02.2018 №24</t>
  </si>
  <si>
    <t>14.02.2018 №19</t>
  </si>
  <si>
    <t>14.02.2018 №93</t>
  </si>
  <si>
    <t>14.02.2018 №32</t>
  </si>
  <si>
    <t>Носач Олексій Юрійович</t>
  </si>
  <si>
    <t>14.02.2018 №128</t>
  </si>
  <si>
    <t>14.02.2018 №38</t>
  </si>
  <si>
    <t>Красноградський р-н, м.Красноград</t>
  </si>
  <si>
    <t>14.02.2018 №44</t>
  </si>
  <si>
    <t>14.02.2018 №4</t>
  </si>
  <si>
    <t>Павленко Оксана Анатоліївна</t>
  </si>
  <si>
    <t>Орджонікидзевський, м. Харків</t>
  </si>
  <si>
    <t>12.03.2018 №167</t>
  </si>
  <si>
    <t>Перепелиця Микола Іванович</t>
  </si>
  <si>
    <t>14.02.2018 №105</t>
  </si>
  <si>
    <t>Близнюківський р-н, смт.Близнюки</t>
  </si>
  <si>
    <t>12.03.2018 №79</t>
  </si>
  <si>
    <t>14.02.2018 №102</t>
  </si>
  <si>
    <t>14.02.2018 №101</t>
  </si>
  <si>
    <t>12.03.2018 №56</t>
  </si>
  <si>
    <t>13.03.2018 №27</t>
  </si>
  <si>
    <t>Радько Олександр Сергійович</t>
  </si>
  <si>
    <t>Фрунзенський, м. Харків</t>
  </si>
  <si>
    <t>14.02.2018 №153</t>
  </si>
  <si>
    <t>14.02.2018 №47</t>
  </si>
  <si>
    <t>14.02.2018 №37</t>
  </si>
  <si>
    <t>Рязанцева Олена Валеріївна</t>
  </si>
  <si>
    <t>12.03.2018 №165</t>
  </si>
  <si>
    <t>14.02.2018 №127</t>
  </si>
  <si>
    <t>26.02.2018 №53</t>
  </si>
  <si>
    <t>Семеха Дмитро Сергійович</t>
  </si>
  <si>
    <t>Жовтневий,</t>
  </si>
  <si>
    <t>12.03.2018 №163</t>
  </si>
  <si>
    <t>14.02.2018 №77</t>
  </si>
  <si>
    <t>12.03.2018 №83</t>
  </si>
  <si>
    <t>14.02.2018 №30</t>
  </si>
  <si>
    <t>14.02.2018 №100</t>
  </si>
  <si>
    <t>14.02.2018 №49</t>
  </si>
  <si>
    <t>14.02.2018 №42</t>
  </si>
  <si>
    <t>Ткаченко Віктор Миколайович</t>
  </si>
  <si>
    <t>14.02.2018 №145</t>
  </si>
  <si>
    <t>14.02.2018 №136</t>
  </si>
  <si>
    <t>Толмачов Євген Сергійович</t>
  </si>
  <si>
    <t>14.02.2018 №143</t>
  </si>
  <si>
    <t>14.02.2018 №129</t>
  </si>
  <si>
    <t>Тризна Євгеній Миколайович</t>
  </si>
  <si>
    <t>14.02.2018 №91</t>
  </si>
  <si>
    <t>14.02.2018 №1</t>
  </si>
  <si>
    <t>14.02.2018 №6</t>
  </si>
  <si>
    <t>14.02.2018 №39</t>
  </si>
  <si>
    <t>14.02.2018 №85</t>
  </si>
  <si>
    <t>12.03.2018 №97</t>
  </si>
  <si>
    <t>Шкода Ігор Андрійович</t>
  </si>
  <si>
    <t>Київський, м. Харків</t>
  </si>
  <si>
    <t>14.02.2018 №154</t>
  </si>
  <si>
    <t>Юденкова Аліна Віталіївна</t>
  </si>
  <si>
    <t>12.03.2018 №117</t>
  </si>
  <si>
    <t>Ягодинський Олександр Миколайович</t>
  </si>
  <si>
    <t>Яновська Світлана В'ячеславівна</t>
  </si>
  <si>
    <t>12.03.2018 №171</t>
  </si>
  <si>
    <t>14.02.2018 №15</t>
  </si>
  <si>
    <t>26.02.2018 №70</t>
  </si>
  <si>
    <t>ІІ. Інформація за дорученнями, виданими у 2018 році</t>
  </si>
  <si>
    <r>
      <t xml:space="preserve">Оперативна інформація щодо видання доручень центрами з надання БВПД, оплати послуг та відшкодування витрат адвокатів, які надають БВПД, </t>
    </r>
    <r>
      <rPr>
        <b/>
        <u/>
        <sz val="11"/>
        <color theme="1"/>
        <rFont val="Calibri"/>
        <family val="2"/>
        <charset val="204"/>
        <scheme val="minor"/>
      </rPr>
      <t>у 2018 році</t>
    </r>
  </si>
  <si>
    <t>ІІІ. Інформація за дорученнями, виданими у попередніх бюджетних періодах (включаючи ті, за якими станом на 01.01.2018р. зареєстровано кредиторську заборгованість)</t>
  </si>
  <si>
    <t>22.01.2018 № 7</t>
  </si>
  <si>
    <t>Третій ХМЦ</t>
  </si>
  <si>
    <t>07.02.2018 № 15</t>
  </si>
  <si>
    <t>Адвокатське бюро "Борбунюк"</t>
  </si>
  <si>
    <t>13.02.2018 № 21</t>
  </si>
  <si>
    <t>Борисов Владислав Геннадійович</t>
  </si>
  <si>
    <t>13.02.2018 № 20</t>
  </si>
  <si>
    <t>22.01.2018 № 10</t>
  </si>
  <si>
    <t>22.01.2018 № 11</t>
  </si>
  <si>
    <t>27.02.2018 № 30</t>
  </si>
  <si>
    <t>Василенко Владислав Олександрович</t>
  </si>
  <si>
    <t>22.01.2018 № 2</t>
  </si>
  <si>
    <t>22.01.2018 № 6</t>
  </si>
  <si>
    <t>м. Дергачі</t>
  </si>
  <si>
    <t>27.02.2018 № 31</t>
  </si>
  <si>
    <t>22.01.2018 № 8</t>
  </si>
  <si>
    <t>м. Люботин</t>
  </si>
  <si>
    <t>22.02.2018 № 25</t>
  </si>
  <si>
    <t>Какосян Тамара Михайлівна</t>
  </si>
  <si>
    <t>22.03.2018 № 35</t>
  </si>
  <si>
    <t>27.02.2018 № 29</t>
  </si>
  <si>
    <t>Козленко Юлія Миколаївна</t>
  </si>
  <si>
    <t>22.02.2018 № 23</t>
  </si>
  <si>
    <t>Колінко  Тетяна Сергіївна</t>
  </si>
  <si>
    <t>22.02.2018 № 24</t>
  </si>
  <si>
    <t>Костіна Лідія Євгенівна</t>
  </si>
  <si>
    <t>07.02.2018 № 16</t>
  </si>
  <si>
    <t>Адвокатське об'єднання "Єрмолаєв, Крижановський та партнери</t>
  </si>
  <si>
    <t>13.02.2018 № 22</t>
  </si>
  <si>
    <t>22.02.2018 № 28</t>
  </si>
  <si>
    <t>Лук'янова Людмила Іванівна</t>
  </si>
  <si>
    <t>12.03.2018 № 32</t>
  </si>
  <si>
    <t>Літвінова Альона Сергіївна</t>
  </si>
  <si>
    <t>Адвокатське об'єднання "Межріегіональний правозахисний союз"</t>
  </si>
  <si>
    <t>Майюрнікова Віта Нестерівна</t>
  </si>
  <si>
    <t>08.02.2018 № 18</t>
  </si>
  <si>
    <t>31.01.2018 № 13</t>
  </si>
  <si>
    <t>08.02.2018 № 17</t>
  </si>
  <si>
    <t>22.03.2018 № 36</t>
  </si>
  <si>
    <t>Новікова Наталія Кузьмівна</t>
  </si>
  <si>
    <t>22.01.2018 № 5</t>
  </si>
  <si>
    <t>м. Красноград</t>
  </si>
  <si>
    <t>31.01.2018 № 12</t>
  </si>
  <si>
    <t>22.01.2018 № 9</t>
  </si>
  <si>
    <t>22.02.2018 № 27</t>
  </si>
  <si>
    <t>06.02.2017 № 4</t>
  </si>
  <si>
    <t>м. Полтава</t>
  </si>
  <si>
    <t>22.02.2018 № 26</t>
  </si>
  <si>
    <t>01.02.2018 № 14</t>
  </si>
  <si>
    <t>22.01.2018 № 3</t>
  </si>
  <si>
    <t>13.02.2018 № 19</t>
  </si>
  <si>
    <t>Фуженков Юрій Олексійович</t>
  </si>
  <si>
    <t>22.03.2018 № 37</t>
  </si>
  <si>
    <t>22.01.2018 № 1</t>
  </si>
  <si>
    <t>Чепурова Анжела Леонідівна</t>
  </si>
  <si>
    <t>14.03.2018 № 33</t>
  </si>
  <si>
    <t>06.04.2017 № 20</t>
  </si>
  <si>
    <t>Шутальова  Марія Семенівна</t>
  </si>
  <si>
    <t>м. Мерефа</t>
  </si>
  <si>
    <t>15.03.2018 № 34</t>
  </si>
  <si>
    <t>Шкляр Микола Вікторович</t>
  </si>
  <si>
    <t>22.01.2018 № 4</t>
  </si>
  <si>
    <t>Бережний  Сергій Васильович</t>
  </si>
  <si>
    <t>06.09.2017 № 28</t>
  </si>
  <si>
    <t>м. Куп'янск</t>
  </si>
  <si>
    <t>06.09.2017 № 30</t>
  </si>
  <si>
    <t>06.09.2017 № 29</t>
  </si>
  <si>
    <t>Адвокатське об'єднання "Тихоненков, Надоля, Шадрін та соратники"</t>
  </si>
  <si>
    <t>15.03.2017 № 18</t>
  </si>
  <si>
    <t>25.01.2018 №1(2018)</t>
  </si>
  <si>
    <t>Чугуївський МЦ</t>
  </si>
  <si>
    <t>25.01.2018 №2(2018)</t>
  </si>
  <si>
    <t>АБ “Ігоря Прасолова”</t>
  </si>
  <si>
    <t>25.01.2018 №3(2018)</t>
  </si>
  <si>
    <t>Лихачов Роман Борисович</t>
  </si>
  <si>
    <t>м. Чугуїв</t>
  </si>
  <si>
    <t>07.02.2018 № 4 (2018)</t>
  </si>
  <si>
    <t>Маюрнікова Віта Нестерівна</t>
  </si>
  <si>
    <t>15.02.2018 № 5(2018)</t>
  </si>
  <si>
    <t>19.02.2018 № 6(2018)</t>
  </si>
  <si>
    <t>14.03.2018 №7(2018)</t>
  </si>
  <si>
    <t>19.03.2018 № 8(2018)</t>
  </si>
  <si>
    <t>Пономаренко Павло Олександрович</t>
  </si>
  <si>
    <t>02.02.2018 № 1</t>
  </si>
  <si>
    <t>Перший харківський МЦ з НБВПД</t>
  </si>
  <si>
    <t>02.02.2018 № 2</t>
  </si>
  <si>
    <t>02.02.2018 № 3</t>
  </si>
  <si>
    <t>02.02.2018 № 4</t>
  </si>
  <si>
    <t>02.02.2018 № 5</t>
  </si>
  <si>
    <t>05.02.2018 № 6</t>
  </si>
  <si>
    <t>05.02.2018 № 7</t>
  </si>
  <si>
    <t>07.02.2018 № 8</t>
  </si>
  <si>
    <t>07.02.2018 № 9</t>
  </si>
  <si>
    <t>09.02.2018.№ 10</t>
  </si>
  <si>
    <t>09.02.2018.№ 11</t>
  </si>
  <si>
    <t>09.02.2018.№ 12</t>
  </si>
  <si>
    <t>09.02.2018.№ 13</t>
  </si>
  <si>
    <t>09.02.2018.№ 14</t>
  </si>
  <si>
    <t>09.02.2018.№ 15</t>
  </si>
  <si>
    <t>09.02.2018.№ 16</t>
  </si>
  <si>
    <t>АБ "БОРБУНЮК"</t>
  </si>
  <si>
    <t>13.02.2018 № 17</t>
  </si>
  <si>
    <t>13.02.2018 № 18</t>
  </si>
  <si>
    <t>Харківський р-н, с. Санжари</t>
  </si>
  <si>
    <t>Неженец Тетяна Іллівна</t>
  </si>
  <si>
    <t>21.02.2018 № 23</t>
  </si>
  <si>
    <t>21.02.2018 № 24</t>
  </si>
  <si>
    <t>21.02.2018 № 25</t>
  </si>
  <si>
    <t>21.02.2018 № 26</t>
  </si>
  <si>
    <t>21.02.2018 № 27</t>
  </si>
  <si>
    <t>21.02.2018 № 28</t>
  </si>
  <si>
    <t>АБ "Андрія Костяного"</t>
  </si>
  <si>
    <t>21.02.2018 № 29</t>
  </si>
  <si>
    <t>Бондаренко Тетяна Олександрівна</t>
  </si>
  <si>
    <t>21.02.2018 № 30</t>
  </si>
  <si>
    <t>Міхалевіч Андрій Анатолійович</t>
  </si>
  <si>
    <t>21.02.2018 № 31</t>
  </si>
  <si>
    <t>АО " Ермолаєв, Крижановський та партнери"</t>
  </si>
  <si>
    <t>21.02.2018  № 32</t>
  </si>
  <si>
    <t>Чигрина Лариса Григорівна</t>
  </si>
  <si>
    <t>23.02.2018 № 33</t>
  </si>
  <si>
    <t>26.02.2018 № 34</t>
  </si>
  <si>
    <t>12.03.2018 № 35</t>
  </si>
  <si>
    <t>23.01.2018 № 2/01-24</t>
  </si>
  <si>
    <t>23.01.2018 № 3/01-24</t>
  </si>
  <si>
    <t>23.01.2018 № 1/01-24</t>
  </si>
  <si>
    <t>23.01.2018 № 4/01-24</t>
  </si>
  <si>
    <t>м.Красноград</t>
  </si>
  <si>
    <t>26.02.2018 №10/01-24</t>
  </si>
  <si>
    <t>19.12.2017 № 6/01-68</t>
  </si>
  <si>
    <t>06.02.2018 № 5/01-24</t>
  </si>
  <si>
    <t>смт.Сахновщина</t>
  </si>
  <si>
    <t>20.02.2018 № 7/01-24</t>
  </si>
  <si>
    <t>20.02.2018 № 8/01-24</t>
  </si>
  <si>
    <t>смт.Кегичівка</t>
  </si>
  <si>
    <t>20.02.2018 № 6/01-24</t>
  </si>
  <si>
    <t>м.Первомайський</t>
  </si>
  <si>
    <t>20.02.2018 № 9/01-24</t>
  </si>
  <si>
    <t>28.03.2018 №181</t>
  </si>
  <si>
    <t>03.04.2018 №34</t>
  </si>
  <si>
    <t>02.04.2018 №68</t>
  </si>
  <si>
    <t>28.03.2018 №41</t>
  </si>
  <si>
    <t>02.04.2018 №104</t>
  </si>
  <si>
    <t>14.03.2018 №176</t>
  </si>
  <si>
    <t>Сало Володимир Миколайович</t>
  </si>
  <si>
    <t>14.02.2018 №58</t>
  </si>
  <si>
    <t>Ус Вячеслав Едуардович</t>
  </si>
  <si>
    <t>14.02.2018 №74</t>
  </si>
  <si>
    <t>Фролов Олександр Васильович</t>
  </si>
  <si>
    <t>28.03.2018 №183</t>
  </si>
  <si>
    <t>Радченко Богдан Євгенович</t>
  </si>
  <si>
    <t>29.03.2018 № 38</t>
  </si>
  <si>
    <t>18.04.2018 №35</t>
  </si>
  <si>
    <t>АБ "Борбунюк"</t>
  </si>
  <si>
    <t>Бреславець Марина Григорівна</t>
  </si>
  <si>
    <t>АБ "Марини Бреславець"</t>
  </si>
  <si>
    <t>14.02.2018 №150</t>
  </si>
  <si>
    <t>Волік Ольга Віталіївна</t>
  </si>
  <si>
    <t>АО "Донець і партнери"</t>
  </si>
  <si>
    <t>12.03.2018 №162</t>
  </si>
  <si>
    <t>АБ "Мирослави Дьоміної"</t>
  </si>
  <si>
    <t>АО "Єрмолаєв, Крижановський та партнери"</t>
  </si>
  <si>
    <t>Кундіус Зоя Олексіївна</t>
  </si>
  <si>
    <t>12.03.2018 №160</t>
  </si>
  <si>
    <t>Перепелиця Інна Олександрівна</t>
  </si>
  <si>
    <t>Плотнікова Ірина Юріївна</t>
  </si>
  <si>
    <t>м. Запоріжжя</t>
  </si>
  <si>
    <t>12.03.2018 №159</t>
  </si>
  <si>
    <t>АБ "Віктора Пономаренко"</t>
  </si>
  <si>
    <t>АБ "Ігоря Прасолова"</t>
  </si>
  <si>
    <t>Сидоренко Дмитро Вадимович</t>
  </si>
  <si>
    <t>12.03.2018 №158</t>
  </si>
  <si>
    <t>Супрун Анатолій Дмитрович</t>
  </si>
  <si>
    <t>13.03.2018 №175</t>
  </si>
  <si>
    <t>АБ "Ткачов та Партнери"</t>
  </si>
  <si>
    <t>18.04.2018 №192</t>
  </si>
  <si>
    <t>АБ “Ткачов та партнери”</t>
  </si>
  <si>
    <t>11.04.2018 № 36</t>
  </si>
  <si>
    <t>11.04.2018 № 37</t>
  </si>
  <si>
    <t>11.04.2018 № 38</t>
  </si>
  <si>
    <t>Шутальова Марія Семенівна</t>
  </si>
  <si>
    <t>11.04.2018 № 39</t>
  </si>
  <si>
    <t>13.04.2018 № 40</t>
  </si>
  <si>
    <t>Стрельников Дмитро Володимирович</t>
  </si>
  <si>
    <t>Адвокатське об'єднання "Справжні адвокати"</t>
  </si>
  <si>
    <t>10.04.2018 № 39</t>
  </si>
  <si>
    <t>18.04.2018 №190</t>
  </si>
  <si>
    <t>18.04.2018 №189</t>
  </si>
  <si>
    <t>18.04.2018 №191</t>
  </si>
  <si>
    <t>Шевченко Антон Олександрович</t>
  </si>
  <si>
    <t>18.04.2018 №188</t>
  </si>
  <si>
    <t>АБ "Бондаренко Наталії"</t>
  </si>
  <si>
    <t>Глініна Олександра Борисівна</t>
  </si>
  <si>
    <t>18.04.2018 № 193</t>
  </si>
  <si>
    <t>25.04.2018 № 13</t>
  </si>
  <si>
    <t>25.04.2018 №26</t>
  </si>
  <si>
    <t>25.04.2018 № 194</t>
  </si>
  <si>
    <t>Інд</t>
  </si>
  <si>
    <t xml:space="preserve">14 лютого 2018 року  № 1                                                               </t>
  </si>
  <si>
    <t>Богодухівський МЦ з НБВПД</t>
  </si>
  <si>
    <t xml:space="preserve">14 лютого 2018 року               №2                                    </t>
  </si>
  <si>
    <t>Ульянець Олена Вікторівна</t>
  </si>
  <si>
    <t>смт.Чутово</t>
  </si>
  <si>
    <t xml:space="preserve">14 лютого 2018 року       №3          </t>
  </si>
  <si>
    <t>Тризна Эвгеній Миколайович</t>
  </si>
  <si>
    <t>м. Боголухів</t>
  </si>
  <si>
    <t>14 лютого 2018  року              №4</t>
  </si>
  <si>
    <t>14 лютого 2018 року       №5</t>
  </si>
  <si>
    <t>14 лютого 2018 року    №6</t>
  </si>
  <si>
    <t xml:space="preserve">Перепелиця Микола Іванович </t>
  </si>
  <si>
    <t>14 лютого 2018 року       №7</t>
  </si>
  <si>
    <t>24 травня 2018 року               №8</t>
  </si>
  <si>
    <t xml:space="preserve">смт. Кегичівка </t>
  </si>
  <si>
    <r>
      <rPr>
        <sz val="10"/>
        <color indexed="8"/>
        <rFont val="Calibri"/>
        <family val="2"/>
        <scheme val="minor"/>
      </rPr>
      <t>08 грудня 2017 року      №5</t>
    </r>
  </si>
  <si>
    <t>25.04.2018 № 42</t>
  </si>
  <si>
    <t>25.04.2018 № 41</t>
  </si>
  <si>
    <t>Іщенко Віра Володимирівна</t>
  </si>
  <si>
    <t>12.03.2018 №161</t>
  </si>
  <si>
    <t xml:space="preserve">  .  .     №0</t>
  </si>
  <si>
    <t>Жердєв Сергій Миколайович</t>
  </si>
  <si>
    <t>АБ "Жердєв"</t>
  </si>
  <si>
    <t>Луганська обл., м. Сєвєродонецьк</t>
  </si>
  <si>
    <t>28.03.2018 №186</t>
  </si>
  <si>
    <t>Мироненко Станіслав Станіславович</t>
  </si>
  <si>
    <t>Дергачівський р-н, м. Дергачі</t>
  </si>
  <si>
    <t>02.04.2018 №187</t>
  </si>
  <si>
    <t>АО "Справжні адвокати"</t>
  </si>
  <si>
    <t>28.03.2018 №182</t>
  </si>
  <si>
    <t>25.04.2018 №13</t>
  </si>
  <si>
    <t>Братовченко Максим Анатолійович</t>
  </si>
  <si>
    <t>Адвокатське бюро "МАКСИМА БРАТОВЧЕНКА"</t>
  </si>
  <si>
    <t>16.05.2018 № 43</t>
  </si>
  <si>
    <t>16.05.2018 № 44</t>
  </si>
  <si>
    <t>23.04.2018 № 40</t>
  </si>
  <si>
    <t>23.04.2018 № 41</t>
  </si>
  <si>
    <t>23.05.2018 № 42</t>
  </si>
  <si>
    <t>Ковальова Ганна Сергійовна</t>
  </si>
  <si>
    <t>28.05.2018 №9(2018)</t>
  </si>
  <si>
    <t>Пухтаєвич Євген  Валерійович</t>
  </si>
  <si>
    <t>28.05.2018 №10(2018)</t>
  </si>
  <si>
    <t>01.06.2018 №9</t>
  </si>
  <si>
    <t>04 06.2018 №196</t>
  </si>
  <si>
    <t>18.04.2018 №193</t>
  </si>
  <si>
    <t>АО "Колегія Адвокатів України" 
на підставі довіреності від 31.03.2015</t>
  </si>
  <si>
    <t>АБ "Клименко та партнери"</t>
  </si>
  <si>
    <t>Коросташевський Михайло Наумович</t>
  </si>
  <si>
    <t>АО "Єрмолаєв, Крижановський
 та партнери"</t>
  </si>
  <si>
    <t>АО "Міжрегіональний 
правозахисний союз"</t>
  </si>
  <si>
    <t>23.05.2017 №103</t>
  </si>
  <si>
    <t>Мозолєв Олег Олександрович</t>
  </si>
  <si>
    <t>Луганська обл., м.Сєвєродонецьк</t>
  </si>
  <si>
    <t>14.03.2018 №63</t>
  </si>
  <si>
    <t>25.04.2018 №194</t>
  </si>
  <si>
    <t>АБ "Доктора філософії, професора
 Радченко Б.Є."</t>
  </si>
  <si>
    <t>01.06.2018 №12/01-24</t>
  </si>
  <si>
    <r>
      <rPr>
        <sz val="10"/>
        <color indexed="8"/>
        <rFont val="Calibri"/>
        <family val="2"/>
        <charset val="204"/>
      </rPr>
      <t>08 грудня 2017 року      №5</t>
    </r>
  </si>
  <si>
    <t>©Прасолов Ігор Вадимович</t>
  </si>
  <si>
    <t>31.05.2017 №109</t>
  </si>
  <si>
    <t>АБ "Бондаренко Наталії"_x000D_</t>
  </si>
  <si>
    <t>04.06.2018 №196</t>
  </si>
  <si>
    <t>АО "Міжрегіональний правозахисний союз"</t>
  </si>
  <si>
    <t>01.06.2018 №103</t>
  </si>
  <si>
    <t>Мікулін Дмитро Миколайович</t>
  </si>
  <si>
    <t>01.06.2018 №50</t>
  </si>
  <si>
    <t>23.05.2018 № 43</t>
  </si>
  <si>
    <t>08.06.2018 № 44</t>
  </si>
  <si>
    <t>08.06.2018 № 45</t>
  </si>
  <si>
    <r>
      <rPr>
        <sz val="10"/>
        <color indexed="8"/>
        <rFont val="Calibri"/>
        <family val="2"/>
      </rPr>
      <t>08 грудня 2017 року      №5</t>
    </r>
  </si>
  <si>
    <t>01.06.2018№12/01-24</t>
  </si>
  <si>
    <t xml:space="preserve">АБ "Бондаренко Наталії"_x000D_
</t>
  </si>
  <si>
    <t>Борисов Віталій Миколайович</t>
  </si>
  <si>
    <t>АО "Правова освіта"</t>
  </si>
  <si>
    <t>Луганська обл., смт.Мілове</t>
  </si>
  <si>
    <t>24.06.2016 №90</t>
  </si>
  <si>
    <t>04 06 .2018 №196</t>
  </si>
  <si>
    <t>Босенко Олена Василівна [виключена]</t>
  </si>
  <si>
    <t>Вірабян Левон Вачагонович</t>
  </si>
  <si>
    <t>21.05.2018 №195</t>
  </si>
  <si>
    <t>18.04.8018 №193</t>
  </si>
  <si>
    <t>АО "Колегія Адвокатів
 України" на підставі довіреності від 31.03.2015</t>
  </si>
  <si>
    <t>Зеленський Станіслав Віталійович</t>
  </si>
  <si>
    <t>01.06.2018 №98</t>
  </si>
  <si>
    <t>АО "Єрмолаєв, 
Крижановський та партнери"</t>
  </si>
  <si>
    <t>АО "Міжрегіональний
 правозахисний союз"</t>
  </si>
  <si>
    <t>04.06.2018 №50</t>
  </si>
  <si>
    <t>АБ "Доктора філософії, 
професора Радченко Б.Є."</t>
  </si>
  <si>
    <t>/9</t>
  </si>
  <si>
    <t>АО "Харківська обласна 
колегія адвокатів"</t>
  </si>
  <si>
    <t>Лисенко Вікторія Іванівна</t>
  </si>
  <si>
    <t>25.06.2018 № 46</t>
  </si>
  <si>
    <t>Надьон Руслан Анатолійович</t>
  </si>
  <si>
    <t>25.06.2018 № 47</t>
  </si>
  <si>
    <t>АО “Міжрегіональний правозахисний союз”</t>
  </si>
  <si>
    <t>12.07.2018 № 48</t>
  </si>
  <si>
    <t>26.04.2017 №98</t>
  </si>
  <si>
    <t>18.04.2018 №194</t>
  </si>
  <si>
    <t>Папай Сергій Олександрович</t>
  </si>
  <si>
    <t>19.07.2018 № 45</t>
  </si>
  <si>
    <t>Гаврилюк Роман Анатолійович</t>
  </si>
  <si>
    <t>14.03.2018 №89</t>
  </si>
  <si>
    <t>02.08.2018 № 49</t>
  </si>
  <si>
    <t>25.04.2018 №90</t>
  </si>
  <si>
    <t xml:space="preserve">інд </t>
  </si>
  <si>
    <t>Іщенко Валерій Миколайович</t>
  </si>
  <si>
    <t>08.08.2018 № 47</t>
  </si>
  <si>
    <t>01.08.2018 № 46</t>
  </si>
  <si>
    <t>Зелінський Павло Любомирович</t>
  </si>
  <si>
    <t>[7/25]</t>
  </si>
  <si>
    <t>/9 новий</t>
  </si>
  <si>
    <t>15.08.2018 №11(2018)</t>
  </si>
  <si>
    <t>Заїка Валерій Кузьмич</t>
  </si>
  <si>
    <t>Луганська обл., смт.Білокуракине</t>
  </si>
  <si>
    <t>28.03.2018 №99</t>
  </si>
  <si>
    <t>Тимошенко Наталія Іванівна</t>
  </si>
  <si>
    <t>АБ "ТИМОШЕНКО"</t>
  </si>
  <si>
    <t>Первомайський р-н, м. Первомайський</t>
  </si>
  <si>
    <t>16.08.2018 №207</t>
  </si>
  <si>
    <t>23.08.2018 № 48</t>
  </si>
  <si>
    <t>Назаренко Ігор Сергійович</t>
  </si>
  <si>
    <t>23.08.2018 № 49</t>
  </si>
  <si>
    <t>03 серпня 2018 року  №9</t>
  </si>
  <si>
    <t>Супрун Валентина Володимирівна</t>
  </si>
  <si>
    <t>26.06.2017 №118</t>
  </si>
  <si>
    <t>Фомін Павло Вікторович</t>
  </si>
  <si>
    <t xml:space="preserve">  АБ</t>
  </si>
  <si>
    <t>06.08.2018 №205</t>
  </si>
  <si>
    <t>[7/</t>
  </si>
  <si>
    <t xml:space="preserve"> новий</t>
  </si>
  <si>
    <t>16.08.2018 №206</t>
  </si>
  <si>
    <t>Власенко Вадим Іванович</t>
  </si>
  <si>
    <t>Валківський р-н, м. Валки</t>
  </si>
  <si>
    <t>06.08.2018 №203</t>
  </si>
  <si>
    <t>22.08.2018 №135</t>
  </si>
  <si>
    <t>Левицька Алла Валентинівна</t>
  </si>
  <si>
    <t>06.08.2018 №198</t>
  </si>
  <si>
    <t>Малойван Євген Ігорович</t>
  </si>
  <si>
    <t>АБ "Євген Малойван"</t>
  </si>
  <si>
    <t>22.08.2018 №209</t>
  </si>
  <si>
    <t>06.08.2018 №200</t>
  </si>
  <si>
    <t>06.08.2018 №202</t>
  </si>
  <si>
    <t>Розумна Оксана Олександрівна</t>
  </si>
  <si>
    <t>24.06.2016 №87</t>
  </si>
  <si>
    <t>Шаповалов Ігор Ігорович</t>
  </si>
  <si>
    <t>06.08.2018 №204</t>
  </si>
  <si>
    <r>
      <t xml:space="preserve">Оперативна інформація щодо видання доручень центрами з надання БВПД, оплати послуг та відшкодування витрат адвокатів, які надають БВПД, </t>
    </r>
    <r>
      <rPr>
        <b/>
        <u/>
        <sz val="11"/>
        <color indexed="8"/>
        <rFont val="Calibri"/>
        <family val="2"/>
        <charset val="204"/>
      </rPr>
      <t>у 2018 році</t>
    </r>
  </si>
  <si>
    <t>РЦ у Луганській та Харківській областях</t>
  </si>
  <si>
    <t>Харківська обл. м. Куп'янськ</t>
  </si>
  <si>
    <t>Алехіна Олена Анатоліївна</t>
  </si>
  <si>
    <t>26.06.2018 №52</t>
  </si>
  <si>
    <t>Харківська обл. м. Богодухів</t>
  </si>
  <si>
    <t>Харківська обл. м. Дергачі</t>
  </si>
  <si>
    <t>Харківська обл. м. Вовчанськ</t>
  </si>
  <si>
    <t>Харківська обл. м. Лозова</t>
  </si>
  <si>
    <t>Харківська обл. м. Красноград</t>
  </si>
  <si>
    <t>04.06.2018 №195</t>
  </si>
  <si>
    <t>АБ "Вадима Власенка"</t>
  </si>
  <si>
    <t>Харківська обл. м. Валки</t>
  </si>
  <si>
    <t xml:space="preserve">АО "Колегія Адвокатів України" </t>
  </si>
  <si>
    <t>Харківська обл. м. Люботин</t>
  </si>
  <si>
    <t>Єрмолаєв Віктор Володимирович</t>
  </si>
  <si>
    <t>06.08.2018 №201</t>
  </si>
  <si>
    <t>Харківська обл. смт. Кегичівка</t>
  </si>
  <si>
    <t>м. Івано-Франківськ</t>
  </si>
  <si>
    <t>01.06.2018 № 197</t>
  </si>
  <si>
    <t>Харківська обл. смт. Великий Бурлук</t>
  </si>
  <si>
    <t>Харківська обл. м. Первомайський</t>
  </si>
  <si>
    <t>Харківська обл. м. Зміїв</t>
  </si>
  <si>
    <t>Харківська обл. м. Ізюм</t>
  </si>
  <si>
    <t>Харківська обл. смт. Сахновщина</t>
  </si>
  <si>
    <t>Харківська обл. м. Чугуїв</t>
  </si>
  <si>
    <t>Харківська обл. смт. Нова Водолага</t>
  </si>
  <si>
    <t>АБ "Євгена Малойвана"</t>
  </si>
  <si>
    <t>Харківська обл. Дергачівський р-н</t>
  </si>
  <si>
    <t>Харківська обл. смт. Слобожанське</t>
  </si>
  <si>
    <t>Харківська обл. смт. Близнюки</t>
  </si>
  <si>
    <t>Харківська обл. Харківський р-н</t>
  </si>
  <si>
    <t>Харківська обл. м. Балаклія</t>
  </si>
  <si>
    <t>Уманський Роман Вікторович</t>
  </si>
  <si>
    <t>Харківська обл. м. Мерефа</t>
  </si>
  <si>
    <t>22.08.2018 №210</t>
  </si>
  <si>
    <t>14.02.2018 № 1</t>
  </si>
  <si>
    <t>Богодухівський МЦ</t>
  </si>
  <si>
    <t>14.02.2018 № 2</t>
  </si>
  <si>
    <t>Харківська обл. смт.Чутово</t>
  </si>
  <si>
    <t>14.02.2018 № 3</t>
  </si>
  <si>
    <t>14.02.2018 № 4</t>
  </si>
  <si>
    <t>14.02.2018 № 5</t>
  </si>
  <si>
    <t>14.02.2018 № 6</t>
  </si>
  <si>
    <t>14.02.2018 № 7</t>
  </si>
  <si>
    <t>14.02.2018 № 8</t>
  </si>
  <si>
    <t>03.08.2018 № 9</t>
  </si>
  <si>
    <t>26.02.2018 № 10/01-24</t>
  </si>
  <si>
    <t>01.06.2018№ 12/01-24</t>
  </si>
  <si>
    <t>Перший харківський МЦ</t>
  </si>
  <si>
    <t>Харківська обл. смт. Солоницівка</t>
  </si>
  <si>
    <t>Харківська обл. с. Санжари</t>
  </si>
  <si>
    <t>Третій харківський МЦ</t>
  </si>
  <si>
    <t>05.10.2018 № 53</t>
  </si>
  <si>
    <t>Пацурковська Олена Миколаївна</t>
  </si>
  <si>
    <t>21.09.2018 № 52</t>
  </si>
  <si>
    <t>19.09.2018 № 50</t>
  </si>
  <si>
    <t>19.09.2018 № 51</t>
  </si>
  <si>
    <t>25.01.2018 № 1(2018)</t>
  </si>
  <si>
    <t>25.01.2018 № 2(2018)</t>
  </si>
  <si>
    <t>25.01.2018 № 3(2018)</t>
  </si>
  <si>
    <t>Луганська обл. Жовтневий р-н</t>
  </si>
  <si>
    <t>АО "Колегія Адвокатів України"</t>
  </si>
  <si>
    <t>10.07.2018 №197</t>
  </si>
  <si>
    <t>12.09.2018 №213</t>
  </si>
  <si>
    <t xml:space="preserve">14.02.2018  № 1                                                               </t>
  </si>
  <si>
    <t xml:space="preserve">Богодухівський МЦ </t>
  </si>
  <si>
    <t xml:space="preserve">14.02.2018  №2                                    </t>
  </si>
  <si>
    <t>Полтавська обл. Чутівський р-н</t>
  </si>
  <si>
    <t xml:space="preserve">14.02.2018  №3          </t>
  </si>
  <si>
    <t>14.02.2018  №4</t>
  </si>
  <si>
    <t>14.02.2018  №5</t>
  </si>
  <si>
    <t>14.02.2018  №6</t>
  </si>
  <si>
    <t>14.02.2018  №7</t>
  </si>
  <si>
    <t>27.05.2018  №8</t>
  </si>
  <si>
    <t>03.08.2018  №9</t>
  </si>
  <si>
    <t>АБ "Ткачов та партнери"</t>
  </si>
  <si>
    <t>АБ "МАКСИМА БРАТОВЧЕНКА"</t>
  </si>
  <si>
    <t>АО "Єрмолаєв,
 Крижановський та партнери"</t>
  </si>
  <si>
    <t>09.10.2018 №216</t>
  </si>
  <si>
    <t>Харківська обл. м.Дергачі</t>
  </si>
  <si>
    <t>Дрижанов Олександр Сергійович</t>
  </si>
  <si>
    <t>03.10.2018 №215</t>
  </si>
  <si>
    <t>22.08.2018 №208</t>
  </si>
  <si>
    <t>м.Івано-Франківськ</t>
  </si>
  <si>
    <t>Попенко Дмитро Вікторович</t>
  </si>
  <si>
    <t>04.09.2018 №211</t>
  </si>
  <si>
    <t>Розумна Оксана Олександрівна []</t>
  </si>
  <si>
    <t>01.06.2018 №118</t>
  </si>
  <si>
    <t>м.Полтава</t>
  </si>
  <si>
    <t>Харківський р-н, м. Мерефа</t>
  </si>
  <si>
    <t>Полтавська обл. с. Чутове</t>
  </si>
  <si>
    <t>Харківська обл. м.Лозова</t>
  </si>
  <si>
    <t>Харківська обл .м.Лозова</t>
  </si>
  <si>
    <t>Харківська обл смт.Близнюки</t>
  </si>
  <si>
    <t>Харківська обл. м.Красноград</t>
  </si>
  <si>
    <t>Харківська обл.. м.Лозова</t>
  </si>
  <si>
    <t>Харківська обл смт.Сахновщина</t>
  </si>
  <si>
    <t>Харківська обл смт.Кегичівка</t>
  </si>
  <si>
    <t>Харківська обл м.Первомайський</t>
  </si>
  <si>
    <t>Жигилій Павло Васильвич</t>
  </si>
  <si>
    <t>Харківська обл. Смт.Кегичівка</t>
  </si>
  <si>
    <t>31.10.2018 № 13/01-24</t>
  </si>
  <si>
    <t>Харківська обл. м.Куп'янськ</t>
  </si>
  <si>
    <t>Харківська обл. с.Санжари</t>
  </si>
  <si>
    <t>14.02.2018  №7 (прип.)</t>
  </si>
  <si>
    <t>04.09.2018 №212</t>
  </si>
  <si>
    <t>Первомайський МЦ з НБВПД</t>
  </si>
  <si>
    <t>Третій харківський МЦ з НБВПД</t>
  </si>
  <si>
    <t>Чугуївський МЦ з НБВПД</t>
  </si>
  <si>
    <t>Харківська обл. смт.Кегичівка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</si>
</sst>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dd\.mm\.yyyy"/>
  </numFmts>
  <fonts count="5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0"/>
      <color theme="1"/>
      <name val="Calibri"/>
      <family val="2"/>
      <scheme val="minor"/>
    </font>
    <font>
      <i/>
      <sz val="10"/>
      <color theme="1"/>
      <name val="Calibri"/>
      <family val="2"/>
      <charset val="204"/>
      <scheme val="minor"/>
    </font>
    <font>
      <sz val="8"/>
      <color theme="1"/>
      <name val="Calibri"/>
      <family val="2"/>
      <scheme val="minor"/>
    </font>
    <font>
      <b/>
      <sz val="10"/>
      <color theme="1"/>
      <name val="Calibri"/>
      <family val="2"/>
      <charset val="204"/>
      <scheme val="minor"/>
    </font>
    <font>
      <b/>
      <u/>
      <sz val="11"/>
      <color theme="1"/>
      <name val="Calibri"/>
      <family val="2"/>
      <charset val="204"/>
      <scheme val="minor"/>
    </font>
    <font>
      <b/>
      <u/>
      <sz val="14"/>
      <color theme="1"/>
      <name val="Calibri"/>
      <family val="2"/>
      <charset val="204"/>
      <scheme val="minor"/>
    </font>
    <font>
      <b/>
      <sz val="16"/>
      <color theme="1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sz val="11"/>
      <color rgb="FF000000"/>
      <name val="Calibri"/>
      <family val="2"/>
      <charset val="204"/>
    </font>
    <font>
      <sz val="10"/>
      <color theme="1"/>
      <name val="Calibri"/>
      <family val="2"/>
      <charset val="204"/>
      <scheme val="minor"/>
    </font>
    <font>
      <sz val="10"/>
      <name val="Calibri"/>
      <family val="2"/>
      <charset val="204"/>
    </font>
    <font>
      <sz val="10"/>
      <color indexed="8"/>
      <name val="Calibri"/>
      <family val="2"/>
    </font>
    <font>
      <sz val="10"/>
      <color indexed="8"/>
      <name val="Calibri"/>
      <family val="2"/>
      <charset val="204"/>
    </font>
    <font>
      <sz val="11"/>
      <color rgb="FF000000"/>
      <name val="Calibri"/>
      <family val="2"/>
      <charset val="1"/>
    </font>
    <font>
      <sz val="10"/>
      <color rgb="FF000000"/>
      <name val="Calibri"/>
      <family val="2"/>
    </font>
    <font>
      <sz val="10"/>
      <name val="Calibri"/>
      <family val="2"/>
    </font>
    <font>
      <sz val="10"/>
      <color rgb="FF000000"/>
      <name val="Calibri"/>
      <family val="2"/>
      <charset val="204"/>
    </font>
    <font>
      <sz val="10"/>
      <color rgb="FF000000"/>
      <name val="Calibri"/>
      <family val="2"/>
      <charset val="1"/>
    </font>
    <font>
      <sz val="10"/>
      <name val="Calibri"/>
      <family val="2"/>
      <charset val="1"/>
    </font>
    <font>
      <sz val="10"/>
      <color rgb="FF000000"/>
      <name val="Calibri"/>
      <family val="2"/>
      <charset val="204"/>
      <scheme val="minor"/>
    </font>
    <font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color rgb="FF000000"/>
      <name val="Calibri"/>
      <family val="2"/>
      <scheme val="minor"/>
    </font>
    <font>
      <sz val="10"/>
      <color rgb="FF000000"/>
      <name val="Calibri"/>
      <family val="2"/>
      <charset val="1"/>
      <scheme val="minor"/>
    </font>
    <font>
      <sz val="10"/>
      <name val="Calibri"/>
      <family val="2"/>
      <charset val="1"/>
      <scheme val="minor"/>
    </font>
    <font>
      <sz val="10"/>
      <color rgb="FFFF0000"/>
      <name val="Calibri"/>
      <family val="2"/>
      <charset val="1"/>
      <scheme val="minor"/>
    </font>
    <font>
      <sz val="10"/>
      <color theme="1"/>
      <name val="Calibri"/>
      <family val="2"/>
      <charset val="1"/>
      <scheme val="minor"/>
    </font>
    <font>
      <sz val="10"/>
      <color theme="1"/>
      <name val="Calibri"/>
      <family val="2"/>
      <charset val="1"/>
    </font>
    <font>
      <sz val="11"/>
      <color theme="1"/>
      <name val="Calibri"/>
      <family val="2"/>
      <charset val="1"/>
      <scheme val="minor"/>
    </font>
    <font>
      <sz val="10"/>
      <color rgb="FFFF0000"/>
      <name val="Calibri"/>
      <family val="2"/>
      <charset val="1"/>
    </font>
    <font>
      <sz val="10"/>
      <color indexed="8"/>
      <name val="Calibri"/>
      <family val="2"/>
      <charset val="204"/>
      <scheme val="minor"/>
    </font>
    <font>
      <sz val="10"/>
      <name val="Arial"/>
      <charset val="204"/>
    </font>
    <font>
      <b/>
      <sz val="11"/>
      <color indexed="8"/>
      <name val="Calibri"/>
      <family val="2"/>
      <charset val="204"/>
    </font>
    <font>
      <b/>
      <u/>
      <sz val="11"/>
      <color indexed="8"/>
      <name val="Calibri"/>
      <family val="2"/>
      <charset val="204"/>
    </font>
    <font>
      <b/>
      <u/>
      <sz val="14"/>
      <color indexed="8"/>
      <name val="Calibri"/>
      <family val="2"/>
      <charset val="204"/>
    </font>
    <font>
      <sz val="8"/>
      <color indexed="8"/>
      <name val="Calibri"/>
      <family val="2"/>
      <charset val="204"/>
    </font>
    <font>
      <b/>
      <sz val="16"/>
      <color indexed="8"/>
      <name val="Calibri"/>
      <family val="2"/>
      <charset val="204"/>
    </font>
    <font>
      <b/>
      <sz val="10"/>
      <color indexed="8"/>
      <name val="Calibri"/>
      <family val="2"/>
      <charset val="204"/>
    </font>
    <font>
      <sz val="10"/>
      <name val="Arial"/>
      <family val="2"/>
      <charset val="204"/>
    </font>
    <font>
      <sz val="11"/>
      <color rgb="FF000000"/>
      <name val="Arial"/>
      <family val="2"/>
      <charset val="204"/>
    </font>
    <font>
      <sz val="10"/>
      <color indexed="8"/>
      <name val="Calibri"/>
      <family val="2"/>
      <charset val="1"/>
    </font>
  </fonts>
  <fills count="7">
    <fill>
      <patternFill patternType="none"/>
    </fill>
    <fill>
      <patternFill patternType="gray125"/>
    </fill>
    <fill>
      <patternFill patternType="solid">
        <fgColor rgb="FFFF99FF"/>
        <bgColor indexed="64"/>
      </patternFill>
    </fill>
    <fill>
      <patternFill patternType="solid">
        <fgColor rgb="FFFFFFFF"/>
        <bgColor rgb="FFFFFFCC"/>
      </patternFill>
    </fill>
    <fill>
      <patternFill patternType="solid">
        <fgColor rgb="FFFFFFFF"/>
        <bgColor rgb="FFFFFFFF"/>
      </patternFill>
    </fill>
    <fill>
      <patternFill patternType="solid">
        <fgColor indexed="46"/>
        <bgColor indexed="64"/>
      </patternFill>
    </fill>
    <fill>
      <patternFill patternType="solid">
        <fgColor indexed="9"/>
        <bgColor indexed="26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4">
    <xf numFmtId="0" fontId="0" fillId="0" borderId="0"/>
    <xf numFmtId="0" fontId="18" fillId="0" borderId="0"/>
    <xf numFmtId="0" fontId="23" fillId="0" borderId="0"/>
    <xf numFmtId="0" fontId="18" fillId="0" borderId="0"/>
    <xf numFmtId="0" fontId="18" fillId="0" borderId="0" applyBorder="0" applyProtection="0"/>
    <xf numFmtId="0" fontId="41" fillId="0" borderId="0"/>
    <xf numFmtId="0" fontId="8" fillId="0" borderId="0"/>
    <xf numFmtId="0" fontId="48" fillId="0" borderId="0"/>
    <xf numFmtId="0" fontId="8" fillId="0" borderId="0"/>
    <xf numFmtId="0" fontId="7" fillId="0" borderId="0"/>
    <xf numFmtId="0" fontId="7" fillId="0" borderId="0"/>
    <xf numFmtId="0" fontId="6" fillId="0" borderId="0"/>
    <xf numFmtId="0" fontId="49" fillId="0" borderId="0"/>
    <xf numFmtId="0" fontId="6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</cellStyleXfs>
  <cellXfs count="632">
    <xf numFmtId="0" fontId="0" fillId="0" borderId="0" xfId="0"/>
    <xf numFmtId="0" fontId="20" fillId="0" borderId="1" xfId="0" applyFont="1" applyFill="1" applyBorder="1" applyAlignment="1">
      <alignment vertical="center" wrapText="1"/>
    </xf>
    <xf numFmtId="0" fontId="10" fillId="0" borderId="1" xfId="0" applyFont="1" applyFill="1" applyBorder="1" applyAlignment="1">
      <alignment horizontal="center" vertical="center" wrapText="1"/>
    </xf>
    <xf numFmtId="0" fontId="17" fillId="0" borderId="1" xfId="0" applyFont="1" applyFill="1" applyBorder="1" applyAlignment="1">
      <alignment vertical="center" wrapText="1"/>
    </xf>
    <xf numFmtId="0" fontId="17" fillId="0" borderId="1" xfId="0" applyFont="1" applyFill="1" applyBorder="1" applyAlignment="1">
      <alignment vertical="center"/>
    </xf>
    <xf numFmtId="2" fontId="17" fillId="0" borderId="1" xfId="0" applyNumberFormat="1" applyFont="1" applyFill="1" applyBorder="1" applyAlignment="1">
      <alignment vertical="center"/>
    </xf>
    <xf numFmtId="0" fontId="0" fillId="0" borderId="0" xfId="0" applyFill="1"/>
    <xf numFmtId="2" fontId="10" fillId="0" borderId="0" xfId="0" applyNumberFormat="1" applyFont="1" applyFill="1" applyAlignment="1">
      <alignment horizontal="center" vertical="top" wrapText="1"/>
    </xf>
    <xf numFmtId="0" fontId="10" fillId="0" borderId="0" xfId="0" applyFont="1" applyFill="1" applyAlignment="1">
      <alignment horizontal="center" vertical="top" wrapText="1"/>
    </xf>
    <xf numFmtId="0" fontId="10" fillId="0" borderId="2" xfId="0" applyFont="1" applyFill="1" applyBorder="1" applyAlignment="1">
      <alignment vertical="top" wrapText="1"/>
    </xf>
    <xf numFmtId="0" fontId="10" fillId="0" borderId="3" xfId="0" applyFont="1" applyFill="1" applyBorder="1" applyAlignment="1">
      <alignment vertical="top" wrapText="1"/>
    </xf>
    <xf numFmtId="0" fontId="10" fillId="0" borderId="2" xfId="0" applyFont="1" applyFill="1" applyBorder="1" applyAlignment="1">
      <alignment horizontal="center" vertical="top" wrapText="1"/>
    </xf>
    <xf numFmtId="0" fontId="10" fillId="0" borderId="1" xfId="0" applyFont="1" applyFill="1" applyBorder="1" applyAlignment="1">
      <alignment horizontal="center" vertical="top" wrapText="1"/>
    </xf>
    <xf numFmtId="0" fontId="10" fillId="0" borderId="4" xfId="0" applyFont="1" applyFill="1" applyBorder="1" applyAlignment="1">
      <alignment horizontal="center" vertical="top" wrapText="1"/>
    </xf>
    <xf numFmtId="2" fontId="10" fillId="0" borderId="4" xfId="0" applyNumberFormat="1" applyFont="1" applyFill="1" applyBorder="1" applyAlignment="1">
      <alignment horizontal="center" vertical="top" wrapText="1"/>
    </xf>
    <xf numFmtId="2" fontId="10" fillId="0" borderId="1" xfId="0" applyNumberFormat="1" applyFont="1" applyFill="1" applyBorder="1" applyAlignment="1">
      <alignment horizontal="center" vertical="top" wrapText="1"/>
    </xf>
    <xf numFmtId="0" fontId="11" fillId="0" borderId="1" xfId="0" applyFont="1" applyFill="1" applyBorder="1" applyAlignment="1">
      <alignment horizontal="center" vertical="top" wrapText="1"/>
    </xf>
    <xf numFmtId="1" fontId="11" fillId="0" borderId="1" xfId="0" applyNumberFormat="1" applyFont="1" applyFill="1" applyBorder="1" applyAlignment="1">
      <alignment horizontal="center" vertical="top" wrapText="1"/>
    </xf>
    <xf numFmtId="0" fontId="10" fillId="0" borderId="1" xfId="0" applyFont="1" applyFill="1" applyBorder="1"/>
    <xf numFmtId="0" fontId="24" fillId="0" borderId="1" xfId="0" applyFont="1" applyFill="1" applyBorder="1" applyAlignment="1">
      <alignment vertical="center" wrapText="1"/>
    </xf>
    <xf numFmtId="2" fontId="10" fillId="0" borderId="1" xfId="0" applyNumberFormat="1" applyFont="1" applyFill="1" applyBorder="1"/>
    <xf numFmtId="2" fontId="25" fillId="0" borderId="1" xfId="0" applyNumberFormat="1" applyFont="1" applyFill="1" applyBorder="1" applyAlignment="1">
      <alignment vertical="center"/>
    </xf>
    <xf numFmtId="0" fontId="10" fillId="0" borderId="8" xfId="0" applyFont="1" applyFill="1" applyBorder="1" applyAlignment="1">
      <alignment horizontal="left" vertical="center" wrapText="1"/>
    </xf>
    <xf numFmtId="0" fontId="10" fillId="0" borderId="9" xfId="0" applyFont="1" applyFill="1" applyBorder="1" applyAlignment="1">
      <alignment horizontal="left" vertical="center" wrapText="1"/>
    </xf>
    <xf numFmtId="0" fontId="27" fillId="0" borderId="1" xfId="0" applyFont="1" applyFill="1" applyBorder="1" applyAlignment="1">
      <alignment horizontal="center" vertical="center" wrapText="1"/>
    </xf>
    <xf numFmtId="0" fontId="28" fillId="0" borderId="1" xfId="0" applyFont="1" applyFill="1" applyBorder="1" applyAlignment="1">
      <alignment horizontal="left" vertical="center" wrapText="1"/>
    </xf>
    <xf numFmtId="0" fontId="27" fillId="0" borderId="1" xfId="0" applyFont="1" applyFill="1" applyBorder="1" applyAlignment="1">
      <alignment horizontal="left" vertical="center" wrapText="1"/>
    </xf>
    <xf numFmtId="0" fontId="20" fillId="0" borderId="1" xfId="0" applyFont="1" applyFill="1" applyBorder="1" applyAlignment="1">
      <alignment vertical="center"/>
    </xf>
    <xf numFmtId="2" fontId="20" fillId="0" borderId="1" xfId="0" applyNumberFormat="1" applyFont="1" applyFill="1" applyBorder="1" applyAlignment="1">
      <alignment vertical="center"/>
    </xf>
    <xf numFmtId="0" fontId="0" fillId="0" borderId="1" xfId="0" applyFill="1" applyBorder="1"/>
    <xf numFmtId="0" fontId="27" fillId="0" borderId="1" xfId="0" applyFont="1" applyFill="1" applyBorder="1" applyAlignment="1">
      <alignment horizontal="right" vertical="center" wrapText="1"/>
    </xf>
    <xf numFmtId="2" fontId="27" fillId="0" borderId="1" xfId="0" applyNumberFormat="1" applyFont="1" applyFill="1" applyBorder="1" applyAlignment="1">
      <alignment horizontal="right" vertical="center" wrapText="1"/>
    </xf>
    <xf numFmtId="2" fontId="26" fillId="0" borderId="1" xfId="0" applyNumberFormat="1" applyFont="1" applyFill="1" applyBorder="1"/>
    <xf numFmtId="0" fontId="0" fillId="0" borderId="1" xfId="0" applyFill="1" applyBorder="1" applyAlignment="1">
      <alignment vertical="center"/>
    </xf>
    <xf numFmtId="2" fontId="26" fillId="0" borderId="1" xfId="0" applyNumberFormat="1" applyFont="1" applyFill="1" applyBorder="1" applyAlignment="1">
      <alignment vertical="center"/>
    </xf>
    <xf numFmtId="0" fontId="0" fillId="0" borderId="1" xfId="0" applyFill="1" applyBorder="1" applyAlignment="1">
      <alignment horizontal="center"/>
    </xf>
    <xf numFmtId="0" fontId="0" fillId="0" borderId="1" xfId="0" applyFill="1" applyBorder="1" applyAlignment="1">
      <alignment horizontal="center" vertical="center"/>
    </xf>
    <xf numFmtId="0" fontId="0" fillId="0" borderId="1" xfId="0" applyFont="1" applyFill="1" applyBorder="1" applyAlignment="1">
      <alignment wrapText="1"/>
    </xf>
    <xf numFmtId="0" fontId="27" fillId="0" borderId="1" xfId="0" applyFont="1" applyFill="1" applyBorder="1" applyAlignment="1">
      <alignment wrapText="1"/>
    </xf>
    <xf numFmtId="0" fontId="27" fillId="0" borderId="1" xfId="0" applyFont="1" applyFill="1" applyBorder="1" applyAlignment="1">
      <alignment vertical="center"/>
    </xf>
    <xf numFmtId="0" fontId="29" fillId="0" borderId="1" xfId="0" applyFont="1" applyFill="1" applyBorder="1" applyAlignment="1">
      <alignment horizontal="center" vertical="top" wrapText="1"/>
    </xf>
    <xf numFmtId="0" fontId="29" fillId="0" borderId="1" xfId="0" applyFont="1" applyFill="1" applyBorder="1" applyAlignment="1">
      <alignment horizontal="left" vertical="top" wrapText="1"/>
    </xf>
    <xf numFmtId="0" fontId="29" fillId="0" borderId="1" xfId="0" applyFont="1" applyFill="1" applyBorder="1" applyAlignment="1">
      <alignment horizontal="right" vertical="top" wrapText="1"/>
    </xf>
    <xf numFmtId="0" fontId="19" fillId="0" borderId="1" xfId="0" applyFont="1" applyFill="1" applyBorder="1" applyAlignment="1">
      <alignment horizontal="center" wrapText="1"/>
    </xf>
    <xf numFmtId="0" fontId="19" fillId="0" borderId="1" xfId="0" applyFont="1" applyFill="1" applyBorder="1" applyAlignment="1">
      <alignment horizontal="left" wrapText="1"/>
    </xf>
    <xf numFmtId="0" fontId="19" fillId="0" borderId="1" xfId="0" applyFont="1" applyFill="1" applyBorder="1" applyAlignment="1">
      <alignment horizontal="right" wrapText="1"/>
    </xf>
    <xf numFmtId="0" fontId="19" fillId="0" borderId="1" xfId="0" applyFont="1" applyFill="1" applyBorder="1"/>
    <xf numFmtId="0" fontId="22" fillId="0" borderId="1" xfId="1" applyFont="1" applyFill="1" applyBorder="1" applyAlignment="1">
      <alignment horizontal="center" wrapText="1"/>
    </xf>
    <xf numFmtId="0" fontId="22" fillId="0" borderId="1" xfId="1" applyFont="1" applyFill="1" applyBorder="1" applyAlignment="1">
      <alignment wrapText="1"/>
    </xf>
    <xf numFmtId="0" fontId="22" fillId="0" borderId="1" xfId="1" applyFont="1" applyFill="1" applyBorder="1" applyAlignment="1">
      <alignment horizontal="left" wrapText="1"/>
    </xf>
    <xf numFmtId="0" fontId="22" fillId="0" borderId="1" xfId="1" applyFont="1" applyFill="1" applyBorder="1" applyAlignment="1">
      <alignment horizontal="right" wrapText="1"/>
    </xf>
    <xf numFmtId="0" fontId="22" fillId="0" borderId="1" xfId="1" applyFont="1" applyFill="1" applyBorder="1"/>
    <xf numFmtId="0" fontId="22" fillId="0" borderId="1" xfId="1" applyFont="1" applyFill="1" applyBorder="1" applyAlignment="1">
      <alignment horizontal="right" vertical="top" wrapText="1"/>
    </xf>
    <xf numFmtId="0" fontId="22" fillId="0" borderId="1" xfId="1" applyFont="1" applyFill="1" applyBorder="1" applyAlignment="1">
      <alignment horizontal="right" vertical="center" wrapText="1"/>
    </xf>
    <xf numFmtId="2" fontId="22" fillId="0" borderId="1" xfId="1" applyNumberFormat="1" applyFont="1" applyFill="1" applyBorder="1" applyAlignment="1">
      <alignment horizontal="right" vertical="center" wrapText="1"/>
    </xf>
    <xf numFmtId="2" fontId="22" fillId="0" borderId="1" xfId="1" applyNumberFormat="1" applyFont="1" applyFill="1" applyBorder="1" applyAlignment="1">
      <alignment horizontal="right" vertical="top" wrapText="1"/>
    </xf>
    <xf numFmtId="0" fontId="21" fillId="0" borderId="1" xfId="0" applyFont="1" applyFill="1" applyBorder="1" applyAlignment="1">
      <alignment horizontal="center" vertical="center" wrapText="1"/>
    </xf>
    <xf numFmtId="0" fontId="10" fillId="0" borderId="0" xfId="0" applyFont="1" applyFill="1" applyAlignment="1">
      <alignment horizontal="center" vertical="top" wrapText="1"/>
    </xf>
    <xf numFmtId="0" fontId="30" fillId="0" borderId="1" xfId="0" applyFont="1" applyFill="1" applyBorder="1" applyAlignment="1">
      <alignment horizontal="center" vertical="center" wrapText="1"/>
    </xf>
    <xf numFmtId="0" fontId="30" fillId="0" borderId="1" xfId="0" applyFont="1" applyFill="1" applyBorder="1" applyAlignment="1">
      <alignment vertical="center" wrapText="1"/>
    </xf>
    <xf numFmtId="0" fontId="30" fillId="0" borderId="1" xfId="0" applyFont="1" applyFill="1" applyBorder="1" applyAlignment="1">
      <alignment vertical="center"/>
    </xf>
    <xf numFmtId="2" fontId="30" fillId="0" borderId="1" xfId="0" applyNumberFormat="1" applyFont="1" applyFill="1" applyBorder="1" applyAlignment="1">
      <alignment vertical="center"/>
    </xf>
    <xf numFmtId="14" fontId="17" fillId="0" borderId="1" xfId="0" applyNumberFormat="1" applyFont="1" applyFill="1" applyBorder="1" applyAlignment="1">
      <alignment vertical="center" wrapText="1"/>
    </xf>
    <xf numFmtId="0" fontId="10" fillId="0" borderId="1" xfId="0" applyFont="1" applyBorder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0" borderId="4" xfId="0" applyFont="1" applyBorder="1" applyAlignment="1">
      <alignment horizontal="center" vertical="center" wrapText="1"/>
    </xf>
    <xf numFmtId="0" fontId="10" fillId="0" borderId="0" xfId="0" applyFont="1" applyAlignment="1">
      <alignment horizontal="center" vertical="top" wrapText="1"/>
    </xf>
    <xf numFmtId="0" fontId="10" fillId="0" borderId="1" xfId="0" applyFont="1" applyBorder="1" applyAlignment="1">
      <alignment horizontal="center" vertical="top" wrapText="1"/>
    </xf>
    <xf numFmtId="0" fontId="10" fillId="0" borderId="1" xfId="0" applyFont="1" applyBorder="1" applyAlignment="1">
      <alignment horizontal="center" vertical="center"/>
    </xf>
    <xf numFmtId="0" fontId="21" fillId="0" borderId="1" xfId="0" applyFont="1" applyBorder="1" applyAlignment="1">
      <alignment horizontal="center" vertical="center" wrapText="1"/>
    </xf>
    <xf numFmtId="0" fontId="31" fillId="0" borderId="1" xfId="0" applyFont="1" applyBorder="1" applyAlignment="1">
      <alignment horizontal="center" vertical="center" wrapText="1"/>
    </xf>
    <xf numFmtId="0" fontId="29" fillId="0" borderId="1" xfId="0" applyFont="1" applyBorder="1" applyAlignment="1">
      <alignment horizontal="center" vertical="top" wrapText="1"/>
    </xf>
    <xf numFmtId="0" fontId="29" fillId="0" borderId="1" xfId="0" applyFont="1" applyBorder="1" applyAlignment="1">
      <alignment horizontal="left" vertical="top" wrapText="1"/>
    </xf>
    <xf numFmtId="0" fontId="29" fillId="0" borderId="1" xfId="0" applyFont="1" applyBorder="1" applyAlignment="1">
      <alignment horizontal="right" vertical="top" wrapText="1"/>
    </xf>
    <xf numFmtId="0" fontId="19" fillId="0" borderId="0" xfId="0" applyFont="1"/>
    <xf numFmtId="0" fontId="19" fillId="0" borderId="0" xfId="0" applyFont="1" applyBorder="1" applyAlignment="1">
      <alignment horizontal="center" wrapText="1"/>
    </xf>
    <xf numFmtId="0" fontId="19" fillId="0" borderId="1" xfId="0" applyFont="1" applyBorder="1" applyAlignment="1">
      <alignment horizontal="center" wrapText="1"/>
    </xf>
    <xf numFmtId="0" fontId="19" fillId="0" borderId="1" xfId="0" applyFont="1" applyBorder="1" applyAlignment="1">
      <alignment horizontal="left" wrapText="1"/>
    </xf>
    <xf numFmtId="0" fontId="19" fillId="0" borderId="1" xfId="0" applyFont="1" applyBorder="1" applyAlignment="1">
      <alignment horizontal="right" wrapText="1"/>
    </xf>
    <xf numFmtId="0" fontId="19" fillId="0" borderId="1" xfId="0" applyFont="1" applyBorder="1"/>
    <xf numFmtId="0" fontId="22" fillId="0" borderId="1" xfId="1" applyFont="1" applyBorder="1" applyAlignment="1">
      <alignment horizontal="center" wrapText="1"/>
    </xf>
    <xf numFmtId="0" fontId="20" fillId="0" borderId="1" xfId="0" applyFont="1" applyBorder="1" applyAlignment="1">
      <alignment vertical="center" wrapText="1"/>
    </xf>
    <xf numFmtId="0" fontId="22" fillId="0" borderId="1" xfId="1" applyFont="1" applyBorder="1" applyAlignment="1">
      <alignment wrapText="1"/>
    </xf>
    <xf numFmtId="0" fontId="22" fillId="0" borderId="1" xfId="1" applyFont="1" applyBorder="1" applyAlignment="1">
      <alignment horizontal="left" wrapText="1"/>
    </xf>
    <xf numFmtId="0" fontId="22" fillId="0" borderId="1" xfId="1" applyFont="1" applyBorder="1" applyAlignment="1">
      <alignment horizontal="right" wrapText="1"/>
    </xf>
    <xf numFmtId="0" fontId="22" fillId="0" borderId="1" xfId="1" applyFont="1" applyBorder="1"/>
    <xf numFmtId="0" fontId="22" fillId="0" borderId="1" xfId="1" applyFont="1" applyBorder="1" applyAlignment="1">
      <alignment horizontal="right" vertical="top" wrapText="1"/>
    </xf>
    <xf numFmtId="2" fontId="20" fillId="0" borderId="1" xfId="0" applyNumberFormat="1" applyFont="1" applyBorder="1" applyAlignment="1">
      <alignment vertical="center"/>
    </xf>
    <xf numFmtId="0" fontId="22" fillId="0" borderId="1" xfId="1" applyFont="1" applyBorder="1" applyAlignment="1">
      <alignment horizontal="right" vertical="center" wrapText="1"/>
    </xf>
    <xf numFmtId="2" fontId="22" fillId="0" borderId="1" xfId="1" applyNumberFormat="1" applyFont="1" applyBorder="1" applyAlignment="1">
      <alignment horizontal="right" vertical="center" wrapText="1"/>
    </xf>
    <xf numFmtId="2" fontId="22" fillId="0" borderId="1" xfId="1" applyNumberFormat="1" applyFont="1" applyBorder="1" applyAlignment="1">
      <alignment horizontal="right" vertical="top" wrapText="1"/>
    </xf>
    <xf numFmtId="0" fontId="20" fillId="0" borderId="1" xfId="0" applyFont="1" applyBorder="1" applyAlignment="1">
      <alignment vertical="center"/>
    </xf>
    <xf numFmtId="0" fontId="21" fillId="0" borderId="2" xfId="0" applyFont="1" applyBorder="1" applyAlignment="1">
      <alignment horizontal="center" vertical="center" wrapText="1"/>
    </xf>
    <xf numFmtId="0" fontId="20" fillId="0" borderId="2" xfId="0" applyFont="1" applyFill="1" applyBorder="1" applyAlignment="1">
      <alignment vertical="center" wrapText="1"/>
    </xf>
    <xf numFmtId="0" fontId="20" fillId="0" borderId="2" xfId="0" applyFont="1" applyBorder="1" applyAlignment="1">
      <alignment vertical="center" wrapText="1"/>
    </xf>
    <xf numFmtId="0" fontId="22" fillId="0" borderId="2" xfId="1" applyFont="1" applyBorder="1" applyAlignment="1">
      <alignment horizontal="left" wrapText="1"/>
    </xf>
    <xf numFmtId="0" fontId="20" fillId="0" borderId="2" xfId="0" applyFont="1" applyBorder="1" applyAlignment="1">
      <alignment vertical="center"/>
    </xf>
    <xf numFmtId="2" fontId="20" fillId="0" borderId="2" xfId="0" applyNumberFormat="1" applyFont="1" applyBorder="1" applyAlignment="1">
      <alignment vertical="center"/>
    </xf>
    <xf numFmtId="0" fontId="10" fillId="0" borderId="1" xfId="0" applyFont="1" applyBorder="1" applyAlignment="1">
      <alignment vertical="center"/>
    </xf>
    <xf numFmtId="2" fontId="10" fillId="0" borderId="1" xfId="0" applyNumberFormat="1" applyFont="1" applyBorder="1" applyAlignment="1">
      <alignment vertical="center"/>
    </xf>
    <xf numFmtId="0" fontId="10" fillId="0" borderId="1" xfId="0" applyFont="1" applyBorder="1" applyAlignment="1">
      <alignment horizontal="left" vertical="center" wrapText="1"/>
    </xf>
    <xf numFmtId="0" fontId="32" fillId="0" borderId="1" xfId="0" applyFont="1" applyBorder="1" applyAlignment="1">
      <alignment vertical="center" wrapText="1"/>
    </xf>
    <xf numFmtId="2" fontId="30" fillId="0" borderId="1" xfId="0" applyNumberFormat="1" applyFont="1" applyBorder="1" applyAlignment="1">
      <alignment vertical="center"/>
    </xf>
    <xf numFmtId="0" fontId="33" fillId="0" borderId="1" xfId="0" applyFont="1" applyBorder="1" applyAlignment="1">
      <alignment horizontal="center" vertical="center" wrapText="1"/>
    </xf>
    <xf numFmtId="0" fontId="34" fillId="0" borderId="1" xfId="0" applyFont="1" applyBorder="1" applyAlignment="1">
      <alignment horizontal="left" vertical="center" wrapText="1"/>
    </xf>
    <xf numFmtId="0" fontId="34" fillId="0" borderId="1" xfId="0" applyFont="1" applyBorder="1" applyAlignment="1">
      <alignment vertical="center" wrapText="1"/>
    </xf>
    <xf numFmtId="0" fontId="33" fillId="0" borderId="1" xfId="0" applyFont="1" applyBorder="1" applyAlignment="1">
      <alignment horizontal="left" vertical="center" wrapText="1"/>
    </xf>
    <xf numFmtId="0" fontId="34" fillId="0" borderId="1" xfId="0" applyFont="1" applyBorder="1" applyAlignment="1">
      <alignment vertical="center"/>
    </xf>
    <xf numFmtId="2" fontId="34" fillId="3" borderId="1" xfId="0" applyNumberFormat="1" applyFont="1" applyFill="1" applyBorder="1" applyAlignment="1">
      <alignment vertical="center"/>
    </xf>
    <xf numFmtId="0" fontId="34" fillId="3" borderId="1" xfId="0" applyFont="1" applyFill="1" applyBorder="1" applyAlignment="1">
      <alignment vertical="center"/>
    </xf>
    <xf numFmtId="2" fontId="34" fillId="0" borderId="1" xfId="0" applyNumberFormat="1" applyFont="1" applyBorder="1" applyAlignment="1">
      <alignment vertical="center"/>
    </xf>
    <xf numFmtId="0" fontId="33" fillId="0" borderId="1" xfId="0" applyFont="1" applyBorder="1" applyAlignment="1">
      <alignment horizontal="right" vertical="center" wrapText="1"/>
    </xf>
    <xf numFmtId="2" fontId="33" fillId="3" borderId="1" xfId="0" applyNumberFormat="1" applyFont="1" applyFill="1" applyBorder="1" applyAlignment="1">
      <alignment horizontal="right" vertical="center" wrapText="1"/>
    </xf>
    <xf numFmtId="2" fontId="33" fillId="3" borderId="1" xfId="0" applyNumberFormat="1" applyFont="1" applyFill="1" applyBorder="1"/>
    <xf numFmtId="2" fontId="33" fillId="0" borderId="1" xfId="0" applyNumberFormat="1" applyFont="1" applyBorder="1"/>
    <xf numFmtId="2" fontId="33" fillId="3" borderId="1" xfId="0" applyNumberFormat="1" applyFont="1" applyFill="1" applyBorder="1" applyAlignment="1">
      <alignment vertical="center"/>
    </xf>
    <xf numFmtId="2" fontId="33" fillId="0" borderId="1" xfId="0" applyNumberFormat="1" applyFont="1" applyBorder="1" applyAlignment="1">
      <alignment vertical="center"/>
    </xf>
    <xf numFmtId="0" fontId="35" fillId="0" borderId="1" xfId="0" applyFont="1" applyBorder="1" applyAlignment="1">
      <alignment horizontal="left" vertical="center" wrapText="1"/>
    </xf>
    <xf numFmtId="0" fontId="33" fillId="0" borderId="1" xfId="0" applyFont="1" applyBorder="1" applyAlignment="1">
      <alignment wrapText="1"/>
    </xf>
    <xf numFmtId="0" fontId="35" fillId="0" borderId="1" xfId="0" applyFont="1" applyBorder="1" applyAlignment="1">
      <alignment vertical="center"/>
    </xf>
    <xf numFmtId="0" fontId="36" fillId="0" borderId="0" xfId="0" applyFont="1"/>
    <xf numFmtId="0" fontId="36" fillId="0" borderId="1" xfId="0" applyFont="1" applyBorder="1"/>
    <xf numFmtId="0" fontId="36" fillId="0" borderId="1" xfId="0" applyFont="1" applyBorder="1" applyAlignment="1">
      <alignment vertical="center"/>
    </xf>
    <xf numFmtId="0" fontId="36" fillId="0" borderId="1" xfId="0" applyFont="1" applyBorder="1" applyAlignment="1">
      <alignment horizontal="center"/>
    </xf>
    <xf numFmtId="0" fontId="36" fillId="0" borderId="1" xfId="0" applyFont="1" applyBorder="1" applyAlignment="1">
      <alignment horizontal="center" vertical="center"/>
    </xf>
    <xf numFmtId="0" fontId="36" fillId="0" borderId="1" xfId="0" applyFont="1" applyBorder="1" applyAlignment="1">
      <alignment wrapText="1"/>
    </xf>
    <xf numFmtId="0" fontId="36" fillId="3" borderId="1" xfId="0" applyFont="1" applyFill="1" applyBorder="1"/>
    <xf numFmtId="0" fontId="10" fillId="0" borderId="0" xfId="0" applyFont="1" applyFill="1" applyAlignment="1">
      <alignment horizontal="center" vertical="top" wrapText="1"/>
    </xf>
    <xf numFmtId="0" fontId="36" fillId="0" borderId="1" xfId="0" applyFont="1" applyFill="1" applyBorder="1" applyAlignment="1">
      <alignment horizontal="center"/>
    </xf>
    <xf numFmtId="0" fontId="37" fillId="0" borderId="1" xfId="0" applyFont="1" applyFill="1" applyBorder="1" applyAlignment="1">
      <alignment vertical="center" wrapText="1"/>
    </xf>
    <xf numFmtId="0" fontId="37" fillId="0" borderId="1" xfId="0" applyFont="1" applyFill="1" applyBorder="1" applyAlignment="1">
      <alignment vertical="center"/>
    </xf>
    <xf numFmtId="2" fontId="37" fillId="0" borderId="1" xfId="0" applyNumberFormat="1" applyFont="1" applyFill="1" applyBorder="1" applyAlignment="1">
      <alignment vertical="center"/>
    </xf>
    <xf numFmtId="0" fontId="38" fillId="0" borderId="1" xfId="0" applyFont="1" applyFill="1" applyBorder="1"/>
    <xf numFmtId="0" fontId="10" fillId="0" borderId="0" xfId="0" applyFont="1" applyFill="1" applyAlignment="1">
      <alignment horizontal="center" vertical="top" wrapText="1"/>
    </xf>
    <xf numFmtId="0" fontId="27" fillId="0" borderId="1" xfId="0" applyFont="1" applyBorder="1" applyAlignment="1">
      <alignment horizontal="center" vertical="center" wrapText="1"/>
    </xf>
    <xf numFmtId="0" fontId="28" fillId="0" borderId="1" xfId="0" applyFont="1" applyBorder="1" applyAlignment="1">
      <alignment horizontal="left" vertical="center" wrapText="1"/>
    </xf>
    <xf numFmtId="0" fontId="27" fillId="0" borderId="1" xfId="0" applyFont="1" applyBorder="1" applyAlignment="1">
      <alignment horizontal="left" vertical="center" wrapText="1"/>
    </xf>
    <xf numFmtId="2" fontId="20" fillId="3" borderId="1" xfId="0" applyNumberFormat="1" applyFont="1" applyFill="1" applyBorder="1" applyAlignment="1">
      <alignment vertical="center"/>
    </xf>
    <xf numFmtId="0" fontId="20" fillId="3" borderId="1" xfId="0" applyFont="1" applyFill="1" applyBorder="1" applyAlignment="1">
      <alignment vertical="center"/>
    </xf>
    <xf numFmtId="0" fontId="0" fillId="0" borderId="1" xfId="0" applyBorder="1"/>
    <xf numFmtId="0" fontId="27" fillId="0" borderId="1" xfId="0" applyFont="1" applyBorder="1" applyAlignment="1">
      <alignment horizontal="right" vertical="center" wrapText="1"/>
    </xf>
    <xf numFmtId="2" fontId="27" fillId="3" borderId="1" xfId="0" applyNumberFormat="1" applyFont="1" applyFill="1" applyBorder="1" applyAlignment="1">
      <alignment horizontal="right" vertical="center" wrapText="1"/>
    </xf>
    <xf numFmtId="2" fontId="26" fillId="3" borderId="1" xfId="0" applyNumberFormat="1" applyFont="1" applyFill="1" applyBorder="1"/>
    <xf numFmtId="2" fontId="26" fillId="0" borderId="1" xfId="0" applyNumberFormat="1" applyFont="1" applyBorder="1"/>
    <xf numFmtId="0" fontId="0" fillId="0" borderId="1" xfId="0" applyBorder="1" applyAlignment="1">
      <alignment vertical="center" wrapText="1"/>
    </xf>
    <xf numFmtId="0" fontId="0" fillId="0" borderId="1" xfId="0" applyBorder="1" applyAlignment="1">
      <alignment vertical="center"/>
    </xf>
    <xf numFmtId="2" fontId="26" fillId="3" borderId="1" xfId="0" applyNumberFormat="1" applyFont="1" applyFill="1" applyBorder="1" applyAlignment="1">
      <alignment vertical="center"/>
    </xf>
    <xf numFmtId="0" fontId="0" fillId="0" borderId="1" xfId="0" applyBorder="1" applyAlignment="1">
      <alignment horizontal="center"/>
    </xf>
    <xf numFmtId="0" fontId="0" fillId="0" borderId="1" xfId="0" applyBorder="1" applyAlignment="1">
      <alignment horizontal="center" vertical="center"/>
    </xf>
    <xf numFmtId="0" fontId="0" fillId="0" borderId="1" xfId="0" applyFont="1" applyBorder="1" applyAlignment="1">
      <alignment wrapText="1"/>
    </xf>
    <xf numFmtId="2" fontId="26" fillId="0" borderId="1" xfId="0" applyNumberFormat="1" applyFont="1" applyBorder="1" applyAlignment="1">
      <alignment vertical="center"/>
    </xf>
    <xf numFmtId="0" fontId="39" fillId="0" borderId="1" xfId="0" applyFont="1" applyBorder="1" applyAlignment="1">
      <alignment horizontal="left" vertical="center" wrapText="1"/>
    </xf>
    <xf numFmtId="0" fontId="0" fillId="3" borderId="1" xfId="0" applyFill="1" applyBorder="1"/>
    <xf numFmtId="0" fontId="27" fillId="0" borderId="1" xfId="0" applyFont="1" applyBorder="1" applyAlignment="1">
      <alignment wrapText="1"/>
    </xf>
    <xf numFmtId="0" fontId="39" fillId="0" borderId="1" xfId="0" applyFont="1" applyBorder="1" applyAlignment="1">
      <alignment vertical="center"/>
    </xf>
    <xf numFmtId="0" fontId="26" fillId="0" borderId="1" xfId="0" applyFont="1" applyBorder="1" applyAlignment="1">
      <alignment vertical="center" wrapText="1"/>
    </xf>
    <xf numFmtId="2" fontId="0" fillId="0" borderId="1" xfId="0" applyNumberFormat="1" applyBorder="1"/>
    <xf numFmtId="0" fontId="0" fillId="0" borderId="8" xfId="0" applyFont="1" applyBorder="1" applyAlignment="1">
      <alignment horizontal="left" vertical="center" wrapText="1"/>
    </xf>
    <xf numFmtId="0" fontId="0" fillId="0" borderId="9" xfId="0" applyFont="1" applyBorder="1" applyAlignment="1">
      <alignment horizontal="left" vertical="center" wrapText="1"/>
    </xf>
    <xf numFmtId="0" fontId="26" fillId="0" borderId="1" xfId="0" applyFont="1" applyBorder="1" applyAlignment="1">
      <alignment horizontal="center" vertical="top"/>
    </xf>
    <xf numFmtId="0" fontId="26" fillId="0" borderId="1" xfId="0" applyFont="1" applyBorder="1" applyAlignment="1">
      <alignment horizontal="left" vertical="top"/>
    </xf>
    <xf numFmtId="0" fontId="26" fillId="0" borderId="1" xfId="0" applyFont="1" applyBorder="1" applyAlignment="1">
      <alignment horizontal="right" vertical="top"/>
    </xf>
    <xf numFmtId="0" fontId="19" fillId="0" borderId="1" xfId="0" applyFont="1" applyBorder="1" applyAlignment="1">
      <alignment horizontal="center"/>
    </xf>
    <xf numFmtId="0" fontId="19" fillId="0" borderId="1" xfId="0" applyFont="1" applyBorder="1" applyAlignment="1">
      <alignment horizontal="left"/>
    </xf>
    <xf numFmtId="0" fontId="19" fillId="0" borderId="1" xfId="0" applyFont="1" applyBorder="1" applyAlignment="1">
      <alignment horizontal="right"/>
    </xf>
    <xf numFmtId="0" fontId="19" fillId="0" borderId="1" xfId="0" applyFont="1" applyBorder="1" applyAlignment="1"/>
    <xf numFmtId="0" fontId="22" fillId="0" borderId="5" xfId="0" applyFont="1" applyBorder="1"/>
    <xf numFmtId="0" fontId="17" fillId="0" borderId="1" xfId="0" applyFont="1" applyFill="1" applyBorder="1"/>
    <xf numFmtId="2" fontId="17" fillId="0" borderId="1" xfId="0" applyNumberFormat="1" applyFont="1" applyFill="1" applyBorder="1"/>
    <xf numFmtId="0" fontId="17" fillId="0" borderId="1" xfId="0" applyFont="1" applyFill="1" applyBorder="1" applyAlignment="1">
      <alignment wrapText="1"/>
    </xf>
    <xf numFmtId="0" fontId="17" fillId="0" borderId="0" xfId="0" applyFont="1" applyFill="1"/>
    <xf numFmtId="0" fontId="26" fillId="0" borderId="11" xfId="0" applyFont="1" applyBorder="1" applyAlignment="1">
      <alignment horizontal="center" vertical="center" wrapText="1"/>
    </xf>
    <xf numFmtId="0" fontId="26" fillId="0" borderId="11" xfId="0" applyFont="1" applyBorder="1" applyAlignment="1">
      <alignment horizontal="left" vertical="center" wrapText="1"/>
    </xf>
    <xf numFmtId="0" fontId="26" fillId="0" borderId="11" xfId="0" applyFont="1" applyBorder="1" applyAlignment="1">
      <alignment vertical="center" wrapText="1"/>
    </xf>
    <xf numFmtId="0" fontId="26" fillId="0" borderId="11" xfId="0" applyFont="1" applyBorder="1" applyAlignment="1">
      <alignment vertical="center"/>
    </xf>
    <xf numFmtId="2" fontId="26" fillId="4" borderId="11" xfId="0" applyNumberFormat="1" applyFont="1" applyFill="1" applyBorder="1" applyAlignment="1">
      <alignment vertical="center"/>
    </xf>
    <xf numFmtId="0" fontId="26" fillId="4" borderId="11" xfId="0" applyFont="1" applyFill="1" applyBorder="1" applyAlignment="1">
      <alignment vertical="center"/>
    </xf>
    <xf numFmtId="2" fontId="26" fillId="0" borderId="11" xfId="0" applyNumberFormat="1" applyFont="1" applyBorder="1" applyAlignment="1">
      <alignment vertical="center"/>
    </xf>
    <xf numFmtId="0" fontId="0" fillId="0" borderId="11" xfId="0" applyBorder="1"/>
    <xf numFmtId="0" fontId="26" fillId="0" borderId="11" xfId="0" applyFont="1" applyBorder="1" applyAlignment="1">
      <alignment horizontal="right" vertical="center" wrapText="1"/>
    </xf>
    <xf numFmtId="2" fontId="26" fillId="4" borderId="11" xfId="0" applyNumberFormat="1" applyFont="1" applyFill="1" applyBorder="1" applyAlignment="1">
      <alignment horizontal="right" vertical="center" wrapText="1"/>
    </xf>
    <xf numFmtId="2" fontId="26" fillId="4" borderId="11" xfId="0" applyNumberFormat="1" applyFont="1" applyFill="1" applyBorder="1"/>
    <xf numFmtId="2" fontId="26" fillId="0" borderId="11" xfId="0" applyNumberFormat="1" applyFont="1" applyBorder="1"/>
    <xf numFmtId="0" fontId="0" fillId="0" borderId="11" xfId="0" applyBorder="1" applyAlignment="1">
      <alignment vertical="center" wrapText="1"/>
    </xf>
    <xf numFmtId="0" fontId="0" fillId="0" borderId="11" xfId="0" applyBorder="1" applyAlignment="1">
      <alignment vertical="center"/>
    </xf>
    <xf numFmtId="0" fontId="0" fillId="0" borderId="11" xfId="0" applyBorder="1" applyAlignment="1">
      <alignment horizontal="center"/>
    </xf>
    <xf numFmtId="0" fontId="0" fillId="0" borderId="11" xfId="0" applyBorder="1" applyAlignment="1">
      <alignment horizontal="center" vertical="center"/>
    </xf>
    <xf numFmtId="0" fontId="0" fillId="4" borderId="11" xfId="0" applyFill="1" applyBorder="1"/>
    <xf numFmtId="0" fontId="26" fillId="0" borderId="11" xfId="0" applyFont="1" applyBorder="1" applyAlignment="1">
      <alignment wrapText="1"/>
    </xf>
    <xf numFmtId="0" fontId="27" fillId="0" borderId="0" xfId="0" applyFont="1"/>
    <xf numFmtId="0" fontId="27" fillId="0" borderId="1" xfId="0" applyFont="1" applyBorder="1" applyAlignment="1">
      <alignment horizontal="center" vertical="center"/>
    </xf>
    <xf numFmtId="0" fontId="27" fillId="0" borderId="1" xfId="0" applyFont="1" applyBorder="1" applyAlignment="1">
      <alignment horizontal="right" vertical="center"/>
    </xf>
    <xf numFmtId="2" fontId="27" fillId="0" borderId="1" xfId="0" applyNumberFormat="1" applyFont="1" applyBorder="1" applyAlignment="1">
      <alignment horizontal="right" vertical="center"/>
    </xf>
    <xf numFmtId="2" fontId="28" fillId="0" borderId="1" xfId="0" applyNumberFormat="1" applyFont="1" applyBorder="1" applyAlignment="1">
      <alignment horizontal="right" vertical="center"/>
    </xf>
    <xf numFmtId="0" fontId="27" fillId="0" borderId="1" xfId="0" applyFont="1" applyBorder="1" applyAlignment="1">
      <alignment horizontal="left"/>
    </xf>
    <xf numFmtId="0" fontId="27" fillId="0" borderId="10" xfId="0" applyFont="1" applyBorder="1" applyAlignment="1">
      <alignment horizontal="left" vertical="center" wrapText="1"/>
    </xf>
    <xf numFmtId="0" fontId="27" fillId="0" borderId="1" xfId="0" applyFont="1" applyBorder="1" applyAlignment="1">
      <alignment horizontal="left" wrapText="1"/>
    </xf>
    <xf numFmtId="0" fontId="27" fillId="0" borderId="10" xfId="0" applyFont="1" applyBorder="1" applyAlignment="1">
      <alignment horizontal="left"/>
    </xf>
    <xf numFmtId="0" fontId="22" fillId="0" borderId="1" xfId="1" applyFont="1" applyBorder="1" applyAlignment="1">
      <alignment vertical="center" wrapText="1"/>
    </xf>
    <xf numFmtId="2" fontId="22" fillId="0" borderId="1" xfId="1" applyNumberFormat="1" applyFont="1" applyBorder="1" applyAlignment="1">
      <alignment vertical="center" wrapText="1"/>
    </xf>
    <xf numFmtId="0" fontId="22" fillId="0" borderId="1" xfId="1" applyFont="1" applyBorder="1" applyAlignment="1">
      <alignment vertical="center"/>
    </xf>
    <xf numFmtId="0" fontId="0" fillId="0" borderId="0" xfId="0" applyFill="1" applyAlignment="1">
      <alignment vertical="center"/>
    </xf>
    <xf numFmtId="0" fontId="22" fillId="0" borderId="1" xfId="1" applyFont="1" applyBorder="1" applyAlignment="1">
      <alignment horizontal="center" vertical="center" wrapText="1"/>
    </xf>
    <xf numFmtId="0" fontId="27" fillId="0" borderId="10" xfId="0" applyFont="1" applyBorder="1" applyAlignment="1">
      <alignment horizontal="center" vertical="center"/>
    </xf>
    <xf numFmtId="0" fontId="29" fillId="0" borderId="1" xfId="0" applyFont="1" applyBorder="1" applyAlignment="1">
      <alignment horizontal="center" vertical="center" wrapText="1"/>
    </xf>
    <xf numFmtId="0" fontId="29" fillId="0" borderId="1" xfId="0" applyFont="1" applyBorder="1" applyAlignment="1">
      <alignment horizontal="left" vertical="center" wrapText="1"/>
    </xf>
    <xf numFmtId="0" fontId="29" fillId="0" borderId="1" xfId="0" applyFont="1" applyBorder="1" applyAlignment="1">
      <alignment horizontal="right" vertical="center" wrapText="1"/>
    </xf>
    <xf numFmtId="0" fontId="19" fillId="0" borderId="0" xfId="0" applyFont="1" applyAlignment="1">
      <alignment vertical="center"/>
    </xf>
    <xf numFmtId="0" fontId="19" fillId="0" borderId="0" xfId="0" applyFont="1" applyBorder="1" applyAlignment="1">
      <alignment horizontal="center" vertical="center" wrapText="1"/>
    </xf>
    <xf numFmtId="0" fontId="19" fillId="0" borderId="1" xfId="0" applyFont="1" applyBorder="1" applyAlignment="1">
      <alignment horizontal="center" vertical="center" wrapText="1"/>
    </xf>
    <xf numFmtId="0" fontId="19" fillId="0" borderId="1" xfId="0" applyFont="1" applyBorder="1" applyAlignment="1">
      <alignment horizontal="left" vertical="center" wrapText="1"/>
    </xf>
    <xf numFmtId="0" fontId="19" fillId="0" borderId="1" xfId="0" applyFont="1" applyBorder="1" applyAlignment="1">
      <alignment horizontal="right" vertical="center" wrapText="1"/>
    </xf>
    <xf numFmtId="0" fontId="19" fillId="0" borderId="1" xfId="0" applyFont="1" applyBorder="1" applyAlignment="1">
      <alignment vertical="center"/>
    </xf>
    <xf numFmtId="2" fontId="29" fillId="0" borderId="1" xfId="0" applyNumberFormat="1" applyFont="1" applyBorder="1" applyAlignment="1">
      <alignment horizontal="right" vertical="center" wrapText="1"/>
    </xf>
    <xf numFmtId="2" fontId="19" fillId="0" borderId="1" xfId="0" applyNumberFormat="1" applyFont="1" applyBorder="1" applyAlignment="1">
      <alignment horizontal="right" vertical="center" wrapText="1"/>
    </xf>
    <xf numFmtId="2" fontId="10" fillId="0" borderId="1" xfId="0" applyNumberFormat="1" applyFont="1" applyBorder="1" applyAlignment="1">
      <alignment horizontal="right" vertical="center" wrapText="1"/>
    </xf>
    <xf numFmtId="0" fontId="10" fillId="0" borderId="1" xfId="0" applyFont="1" applyBorder="1" applyAlignment="1">
      <alignment horizontal="right" vertical="center" wrapText="1"/>
    </xf>
    <xf numFmtId="0" fontId="19" fillId="0" borderId="0" xfId="0" applyFont="1" applyAlignment="1">
      <alignment horizontal="left" vertical="center" wrapText="1"/>
    </xf>
    <xf numFmtId="2" fontId="10" fillId="0" borderId="4" xfId="0" applyNumberFormat="1" applyFont="1" applyBorder="1" applyAlignment="1">
      <alignment horizontal="right" vertical="center" wrapText="1"/>
    </xf>
    <xf numFmtId="0" fontId="22" fillId="0" borderId="1" xfId="0" applyFont="1" applyBorder="1" applyAlignment="1">
      <alignment horizontal="left" vertical="center" wrapText="1"/>
    </xf>
    <xf numFmtId="0" fontId="19" fillId="0" borderId="1" xfId="0" applyFont="1" applyBorder="1" applyAlignment="1">
      <alignment horizontal="left" vertical="center"/>
    </xf>
    <xf numFmtId="0" fontId="10" fillId="0" borderId="11" xfId="0" applyFont="1" applyBorder="1" applyAlignment="1">
      <alignment wrapText="1"/>
    </xf>
    <xf numFmtId="0" fontId="0" fillId="0" borderId="11" xfId="0" applyBorder="1" applyAlignment="1">
      <alignment horizontal="left"/>
    </xf>
    <xf numFmtId="14" fontId="20" fillId="0" borderId="1" xfId="0" applyNumberFormat="1" applyFont="1" applyFill="1" applyBorder="1" applyAlignment="1">
      <alignment vertical="center" wrapText="1"/>
    </xf>
    <xf numFmtId="0" fontId="20" fillId="0" borderId="1" xfId="0" applyFont="1" applyFill="1" applyBorder="1" applyAlignment="1">
      <alignment horizontal="center" vertical="center"/>
    </xf>
    <xf numFmtId="0" fontId="10" fillId="0" borderId="0" xfId="0" applyFont="1" applyFill="1" applyAlignment="1">
      <alignment horizontal="center" vertical="top" wrapText="1"/>
    </xf>
    <xf numFmtId="0" fontId="27" fillId="0" borderId="1" xfId="0" applyFont="1" applyBorder="1" applyAlignment="1">
      <alignment horizontal="center"/>
    </xf>
    <xf numFmtId="0" fontId="27" fillId="0" borderId="1" xfId="0" applyFont="1" applyBorder="1" applyAlignment="1">
      <alignment horizontal="right"/>
    </xf>
    <xf numFmtId="2" fontId="27" fillId="0" borderId="1" xfId="0" applyNumberFormat="1" applyFont="1" applyBorder="1" applyAlignment="1">
      <alignment horizontal="right"/>
    </xf>
    <xf numFmtId="0" fontId="27" fillId="0" borderId="10" xfId="0" applyFont="1" applyBorder="1" applyAlignment="1">
      <alignment horizontal="center"/>
    </xf>
    <xf numFmtId="0" fontId="0" fillId="0" borderId="11" xfId="0" applyBorder="1" applyAlignment="1">
      <alignment wrapText="1"/>
    </xf>
    <xf numFmtId="0" fontId="10" fillId="0" borderId="1" xfId="0" applyFont="1" applyBorder="1" applyAlignment="1">
      <alignment horizontal="left" vertical="top" wrapText="1"/>
    </xf>
    <xf numFmtId="0" fontId="10" fillId="0" borderId="0" xfId="0" applyFont="1" applyAlignment="1">
      <alignment horizontal="left" vertical="center" wrapText="1"/>
    </xf>
    <xf numFmtId="0" fontId="31" fillId="0" borderId="1" xfId="0" applyFont="1" applyBorder="1" applyAlignment="1">
      <alignment horizontal="left" vertical="center" wrapText="1"/>
    </xf>
    <xf numFmtId="0" fontId="10" fillId="0" borderId="1" xfId="0" applyNumberFormat="1" applyFont="1" applyBorder="1" applyAlignment="1">
      <alignment horizontal="right" vertical="center" wrapText="1"/>
    </xf>
    <xf numFmtId="0" fontId="26" fillId="0" borderId="1" xfId="0" applyFont="1" applyBorder="1" applyAlignment="1">
      <alignment horizontal="center" vertical="top" wrapText="1"/>
    </xf>
    <xf numFmtId="0" fontId="26" fillId="0" borderId="1" xfId="0" applyFont="1" applyBorder="1" applyAlignment="1">
      <alignment horizontal="center" wrapText="1"/>
    </xf>
    <xf numFmtId="0" fontId="26" fillId="0" borderId="1" xfId="0" applyFont="1" applyBorder="1" applyAlignment="1">
      <alignment horizontal="right" vertical="top" wrapText="1"/>
    </xf>
    <xf numFmtId="0" fontId="26" fillId="0" borderId="1" xfId="0" applyFont="1" applyBorder="1" applyAlignment="1">
      <alignment horizontal="right" wrapText="1"/>
    </xf>
    <xf numFmtId="0" fontId="26" fillId="0" borderId="1" xfId="0" applyFont="1" applyBorder="1" applyAlignment="1">
      <alignment horizontal="right"/>
    </xf>
    <xf numFmtId="2" fontId="26" fillId="0" borderId="1" xfId="0" applyNumberFormat="1" applyFont="1" applyBorder="1" applyAlignment="1">
      <alignment horizontal="right" vertical="top" wrapText="1"/>
    </xf>
    <xf numFmtId="2" fontId="26" fillId="0" borderId="1" xfId="0" applyNumberFormat="1" applyFont="1" applyBorder="1" applyAlignment="1">
      <alignment horizontal="right" wrapText="1"/>
    </xf>
    <xf numFmtId="2" fontId="26" fillId="0" borderId="1" xfId="0" applyNumberFormat="1" applyFont="1" applyBorder="1" applyAlignment="1">
      <alignment horizontal="right"/>
    </xf>
    <xf numFmtId="0" fontId="26" fillId="0" borderId="1" xfId="0" applyFont="1" applyBorder="1" applyAlignment="1">
      <alignment horizontal="left" vertical="top" wrapText="1"/>
    </xf>
    <xf numFmtId="0" fontId="26" fillId="0" borderId="4" xfId="0" applyFont="1" applyBorder="1" applyAlignment="1">
      <alignment horizontal="left" vertical="top" wrapText="1"/>
    </xf>
    <xf numFmtId="0" fontId="26" fillId="0" borderId="1" xfId="0" applyFont="1" applyBorder="1" applyAlignment="1">
      <alignment horizontal="left" wrapText="1"/>
    </xf>
    <xf numFmtId="0" fontId="22" fillId="0" borderId="1" xfId="1" applyFont="1" applyBorder="1" applyAlignment="1"/>
    <xf numFmtId="0" fontId="22" fillId="0" borderId="1" xfId="1" applyFont="1" applyBorder="1" applyAlignment="1">
      <alignment vertical="top" wrapText="1"/>
    </xf>
    <xf numFmtId="2" fontId="22" fillId="0" borderId="1" xfId="1" applyNumberFormat="1" applyFont="1" applyBorder="1" applyAlignment="1">
      <alignment vertical="top" wrapText="1"/>
    </xf>
    <xf numFmtId="0" fontId="10" fillId="0" borderId="0" xfId="0" applyFont="1" applyFill="1" applyAlignment="1">
      <alignment horizontal="center" vertical="top" wrapText="1"/>
    </xf>
    <xf numFmtId="2" fontId="17" fillId="0" borderId="0" xfId="0" applyNumberFormat="1" applyFont="1" applyFill="1" applyAlignment="1">
      <alignment vertical="center"/>
    </xf>
    <xf numFmtId="0" fontId="10" fillId="0" borderId="0" xfId="0" applyFont="1" applyFill="1" applyAlignment="1">
      <alignment horizontal="center" vertical="top" wrapText="1"/>
    </xf>
    <xf numFmtId="2" fontId="26" fillId="0" borderId="12" xfId="0" applyNumberFormat="1" applyFont="1" applyBorder="1" applyAlignment="1">
      <alignment vertical="center"/>
    </xf>
    <xf numFmtId="2" fontId="26" fillId="3" borderId="12" xfId="0" applyNumberFormat="1" applyFont="1" applyFill="1" applyBorder="1" applyAlignment="1">
      <alignment vertical="center"/>
    </xf>
    <xf numFmtId="0" fontId="26" fillId="0" borderId="1" xfId="0" applyFont="1" applyBorder="1" applyAlignment="1">
      <alignment horizontal="center" vertical="center" wrapText="1"/>
    </xf>
    <xf numFmtId="0" fontId="26" fillId="0" borderId="1" xfId="0" applyFont="1" applyBorder="1" applyAlignment="1">
      <alignment horizontal="left" vertical="center" wrapText="1"/>
    </xf>
    <xf numFmtId="0" fontId="26" fillId="0" borderId="1" xfId="0" applyFont="1" applyBorder="1" applyAlignment="1">
      <alignment vertical="center"/>
    </xf>
    <xf numFmtId="0" fontId="26" fillId="3" borderId="1" xfId="0" applyFont="1" applyFill="1" applyBorder="1" applyAlignment="1">
      <alignment vertical="center"/>
    </xf>
    <xf numFmtId="0" fontId="26" fillId="0" borderId="1" xfId="0" applyFont="1" applyBorder="1" applyAlignment="1">
      <alignment horizontal="right" vertical="center" wrapText="1"/>
    </xf>
    <xf numFmtId="2" fontId="26" fillId="3" borderId="1" xfId="0" applyNumberFormat="1" applyFont="1" applyFill="1" applyBorder="1" applyAlignment="1">
      <alignment horizontal="right" vertical="center" wrapText="1"/>
    </xf>
    <xf numFmtId="0" fontId="0" fillId="0" borderId="1" xfId="0" applyFont="1" applyBorder="1" applyAlignment="1">
      <alignment vertical="center" wrapText="1"/>
    </xf>
    <xf numFmtId="0" fontId="26" fillId="0" borderId="1" xfId="0" applyFont="1" applyBorder="1" applyAlignment="1">
      <alignment wrapText="1"/>
    </xf>
    <xf numFmtId="2" fontId="26" fillId="0" borderId="5" xfId="0" applyNumberFormat="1" applyFont="1" applyBorder="1" applyAlignment="1">
      <alignment horizontal="right" vertical="top" wrapText="1"/>
    </xf>
    <xf numFmtId="2" fontId="26" fillId="0" borderId="12" xfId="0" applyNumberFormat="1" applyFont="1" applyBorder="1" applyAlignment="1">
      <alignment horizontal="right" vertical="top" wrapText="1"/>
    </xf>
    <xf numFmtId="2" fontId="0" fillId="0" borderId="12" xfId="0" applyNumberFormat="1" applyFont="1" applyBorder="1" applyAlignment="1">
      <alignment horizontal="right" wrapText="1"/>
    </xf>
    <xf numFmtId="0" fontId="0" fillId="0" borderId="1" xfId="0" applyFont="1" applyBorder="1" applyAlignment="1">
      <alignment horizontal="center" wrapText="1"/>
    </xf>
    <xf numFmtId="0" fontId="0" fillId="0" borderId="1" xfId="0" applyFont="1" applyBorder="1" applyAlignment="1">
      <alignment horizontal="left" wrapText="1"/>
    </xf>
    <xf numFmtId="0" fontId="0" fillId="0" borderId="1" xfId="0" applyFont="1" applyBorder="1" applyAlignment="1">
      <alignment horizontal="right" wrapText="1"/>
    </xf>
    <xf numFmtId="0" fontId="0" fillId="0" borderId="1" xfId="0" applyBorder="1" applyAlignment="1">
      <alignment horizontal="right"/>
    </xf>
    <xf numFmtId="2" fontId="0" fillId="0" borderId="1" xfId="0" applyNumberFormat="1" applyBorder="1" applyAlignment="1">
      <alignment horizontal="right"/>
    </xf>
    <xf numFmtId="2" fontId="0" fillId="0" borderId="1" xfId="0" applyNumberFormat="1" applyFont="1" applyBorder="1" applyAlignment="1">
      <alignment horizontal="right" wrapText="1"/>
    </xf>
    <xf numFmtId="0" fontId="40" fillId="0" borderId="1" xfId="1" applyFont="1" applyBorder="1" applyAlignment="1">
      <alignment wrapText="1"/>
    </xf>
    <xf numFmtId="0" fontId="17" fillId="0" borderId="1" xfId="0" applyFont="1" applyBorder="1" applyAlignment="1">
      <alignment vertical="center"/>
    </xf>
    <xf numFmtId="2" fontId="0" fillId="3" borderId="1" xfId="0" applyNumberFormat="1" applyFill="1" applyBorder="1"/>
    <xf numFmtId="2" fontId="0" fillId="0" borderId="1" xfId="0" applyNumberFormat="1" applyBorder="1" applyAlignment="1">
      <alignment vertical="center"/>
    </xf>
    <xf numFmtId="0" fontId="29" fillId="0" borderId="1" xfId="0" applyFont="1" applyBorder="1" applyAlignment="1">
      <alignment horizontal="right" wrapText="1"/>
    </xf>
    <xf numFmtId="2" fontId="29" fillId="0" borderId="1" xfId="0" applyNumberFormat="1" applyFont="1" applyBorder="1" applyAlignment="1">
      <alignment horizontal="right" wrapText="1"/>
    </xf>
    <xf numFmtId="0" fontId="29" fillId="0" borderId="1" xfId="0" applyFont="1" applyBorder="1" applyAlignment="1">
      <alignment horizontal="left" wrapText="1"/>
    </xf>
    <xf numFmtId="0" fontId="10" fillId="0" borderId="0" xfId="0" applyFont="1" applyFill="1" applyAlignment="1">
      <alignment horizontal="center" vertical="top" wrapText="1"/>
    </xf>
    <xf numFmtId="0" fontId="0" fillId="0" borderId="0" xfId="0" applyFont="1" applyAlignment="1">
      <alignment horizontal="center"/>
    </xf>
    <xf numFmtId="0" fontId="27" fillId="0" borderId="2" xfId="0" applyFont="1" applyBorder="1" applyAlignment="1">
      <alignment horizontal="center"/>
    </xf>
    <xf numFmtId="0" fontId="27" fillId="0" borderId="2" xfId="0" applyFont="1" applyBorder="1" applyAlignment="1">
      <alignment horizontal="left"/>
    </xf>
    <xf numFmtId="0" fontId="27" fillId="0" borderId="2" xfId="0" applyFont="1" applyBorder="1" applyAlignment="1">
      <alignment horizontal="center" wrapText="1"/>
    </xf>
    <xf numFmtId="0" fontId="27" fillId="0" borderId="2" xfId="0" applyFont="1" applyBorder="1" applyAlignment="1">
      <alignment horizontal="left" vertical="center" wrapText="1"/>
    </xf>
    <xf numFmtId="0" fontId="27" fillId="0" borderId="2" xfId="0" applyFont="1" applyBorder="1" applyAlignment="1">
      <alignment horizontal="right"/>
    </xf>
    <xf numFmtId="2" fontId="27" fillId="0" borderId="2" xfId="0" applyNumberFormat="1" applyFont="1" applyBorder="1" applyAlignment="1">
      <alignment horizontal="right"/>
    </xf>
    <xf numFmtId="0" fontId="29" fillId="0" borderId="1" xfId="0" applyFont="1" applyBorder="1" applyAlignment="1">
      <alignment horizontal="center" wrapText="1"/>
    </xf>
    <xf numFmtId="0" fontId="29" fillId="0" borderId="1" xfId="0" applyFont="1" applyBorder="1" applyAlignment="1">
      <alignment horizontal="right"/>
    </xf>
    <xf numFmtId="2" fontId="29" fillId="0" borderId="1" xfId="0" applyNumberFormat="1" applyFont="1" applyBorder="1" applyAlignment="1">
      <alignment horizontal="right"/>
    </xf>
    <xf numFmtId="0" fontId="22" fillId="0" borderId="1" xfId="1" applyFont="1" applyFill="1" applyBorder="1" applyAlignment="1"/>
    <xf numFmtId="0" fontId="22" fillId="0" borderId="1" xfId="1" applyFont="1" applyFill="1" applyBorder="1" applyAlignment="1">
      <alignment vertical="top" wrapText="1"/>
    </xf>
    <xf numFmtId="0" fontId="22" fillId="0" borderId="1" xfId="1" applyFont="1" applyFill="1" applyBorder="1" applyAlignment="1">
      <alignment vertical="center" wrapText="1"/>
    </xf>
    <xf numFmtId="2" fontId="22" fillId="0" borderId="1" xfId="1" applyNumberFormat="1" applyFont="1" applyFill="1" applyBorder="1" applyAlignment="1">
      <alignment vertical="center" wrapText="1"/>
    </xf>
    <xf numFmtId="0" fontId="21" fillId="0" borderId="1" xfId="0" applyFont="1" applyBorder="1" applyAlignment="1">
      <alignment vertical="center" wrapText="1"/>
    </xf>
    <xf numFmtId="0" fontId="17" fillId="0" borderId="1" xfId="0" applyFont="1" applyFill="1" applyBorder="1" applyAlignment="1">
      <alignment horizontal="center" vertical="center"/>
    </xf>
    <xf numFmtId="0" fontId="10" fillId="0" borderId="0" xfId="0" applyFont="1" applyFill="1" applyAlignment="1">
      <alignment horizontal="center" vertical="top" wrapText="1"/>
    </xf>
    <xf numFmtId="0" fontId="27" fillId="0" borderId="0" xfId="0" applyFont="1" applyAlignment="1">
      <alignment vertical="center"/>
    </xf>
    <xf numFmtId="0" fontId="0" fillId="0" borderId="0" xfId="0" applyAlignment="1">
      <alignment vertical="center"/>
    </xf>
    <xf numFmtId="0" fontId="27" fillId="0" borderId="1" xfId="0" applyFont="1" applyBorder="1" applyAlignment="1">
      <alignment horizontal="left" vertical="center"/>
    </xf>
    <xf numFmtId="0" fontId="27" fillId="0" borderId="10" xfId="0" applyFont="1" applyBorder="1" applyAlignment="1">
      <alignment horizontal="left" vertical="center"/>
    </xf>
    <xf numFmtId="0" fontId="0" fillId="0" borderId="0" xfId="0" applyFont="1" applyAlignment="1">
      <alignment horizontal="center" vertical="center"/>
    </xf>
    <xf numFmtId="0" fontId="27" fillId="0" borderId="2" xfId="0" applyFont="1" applyBorder="1" applyAlignment="1">
      <alignment horizontal="center" vertical="center"/>
    </xf>
    <xf numFmtId="0" fontId="27" fillId="0" borderId="2" xfId="0" applyFont="1" applyBorder="1" applyAlignment="1">
      <alignment horizontal="left" vertical="center"/>
    </xf>
    <xf numFmtId="0" fontId="27" fillId="0" borderId="2" xfId="0" applyFont="1" applyBorder="1" applyAlignment="1">
      <alignment horizontal="center" vertical="center" wrapText="1"/>
    </xf>
    <xf numFmtId="0" fontId="27" fillId="0" borderId="2" xfId="0" applyFont="1" applyBorder="1" applyAlignment="1">
      <alignment horizontal="right" vertical="center"/>
    </xf>
    <xf numFmtId="2" fontId="27" fillId="0" borderId="2" xfId="0" applyNumberFormat="1" applyFont="1" applyBorder="1" applyAlignment="1">
      <alignment horizontal="right" vertical="center"/>
    </xf>
    <xf numFmtId="0" fontId="0" fillId="0" borderId="0" xfId="0" applyFont="1" applyBorder="1" applyAlignment="1">
      <alignment horizontal="center" wrapText="1"/>
    </xf>
    <xf numFmtId="0" fontId="27" fillId="0" borderId="1" xfId="0" applyFont="1" applyBorder="1" applyAlignment="1">
      <alignment horizontal="center" wrapText="1"/>
    </xf>
    <xf numFmtId="0" fontId="26" fillId="0" borderId="10" xfId="0" applyFont="1" applyBorder="1" applyAlignment="1">
      <alignment horizontal="center" vertical="center" wrapText="1"/>
    </xf>
    <xf numFmtId="0" fontId="26" fillId="0" borderId="10" xfId="0" applyFont="1" applyBorder="1" applyAlignment="1">
      <alignment horizontal="left" vertical="center" wrapText="1"/>
    </xf>
    <xf numFmtId="0" fontId="26" fillId="0" borderId="10" xfId="0" applyFont="1" applyBorder="1" applyAlignment="1">
      <alignment vertical="center" wrapText="1"/>
    </xf>
    <xf numFmtId="0" fontId="26" fillId="0" borderId="10" xfId="0" applyFont="1" applyBorder="1" applyAlignment="1">
      <alignment vertical="center"/>
    </xf>
    <xf numFmtId="2" fontId="26" fillId="3" borderId="10" xfId="0" applyNumberFormat="1" applyFont="1" applyFill="1" applyBorder="1" applyAlignment="1">
      <alignment vertical="center"/>
    </xf>
    <xf numFmtId="0" fontId="26" fillId="3" borderId="10" xfId="0" applyFont="1" applyFill="1" applyBorder="1" applyAlignment="1">
      <alignment vertical="center"/>
    </xf>
    <xf numFmtId="2" fontId="26" fillId="0" borderId="10" xfId="0" applyNumberFormat="1" applyFont="1" applyBorder="1" applyAlignment="1">
      <alignment vertical="center"/>
    </xf>
    <xf numFmtId="0" fontId="0" fillId="0" borderId="10" xfId="0" applyBorder="1"/>
    <xf numFmtId="0" fontId="26" fillId="0" borderId="10" xfId="0" applyFont="1" applyBorder="1" applyAlignment="1">
      <alignment horizontal="right" vertical="center" wrapText="1"/>
    </xf>
    <xf numFmtId="2" fontId="26" fillId="3" borderId="10" xfId="0" applyNumberFormat="1" applyFont="1" applyFill="1" applyBorder="1" applyAlignment="1">
      <alignment horizontal="right" vertical="center" wrapText="1"/>
    </xf>
    <xf numFmtId="2" fontId="26" fillId="3" borderId="10" xfId="0" applyNumberFormat="1" applyFont="1" applyFill="1" applyBorder="1"/>
    <xf numFmtId="2" fontId="26" fillId="0" borderId="10" xfId="0" applyNumberFormat="1" applyFont="1" applyBorder="1"/>
    <xf numFmtId="0" fontId="0" fillId="0" borderId="10" xfId="0" applyFont="1" applyBorder="1" applyAlignment="1">
      <alignment vertical="center" wrapText="1"/>
    </xf>
    <xf numFmtId="0" fontId="0" fillId="0" borderId="10" xfId="0" applyBorder="1" applyAlignment="1">
      <alignment vertical="center"/>
    </xf>
    <xf numFmtId="0" fontId="0" fillId="0" borderId="10" xfId="0" applyBorder="1" applyAlignment="1">
      <alignment horizontal="center"/>
    </xf>
    <xf numFmtId="0" fontId="0" fillId="0" borderId="10" xfId="0" applyBorder="1" applyAlignment="1">
      <alignment horizontal="center" vertical="center"/>
    </xf>
    <xf numFmtId="0" fontId="0" fillId="0" borderId="10" xfId="0" applyFont="1" applyBorder="1" applyAlignment="1">
      <alignment wrapText="1"/>
    </xf>
    <xf numFmtId="2" fontId="0" fillId="3" borderId="10" xfId="0" applyNumberFormat="1" applyFill="1" applyBorder="1"/>
    <xf numFmtId="0" fontId="26" fillId="0" borderId="10" xfId="0" applyFont="1" applyBorder="1" applyAlignment="1">
      <alignment wrapText="1"/>
    </xf>
    <xf numFmtId="2" fontId="0" fillId="0" borderId="10" xfId="0" applyNumberFormat="1" applyBorder="1" applyAlignment="1">
      <alignment vertical="center"/>
    </xf>
    <xf numFmtId="2" fontId="26" fillId="0" borderId="4" xfId="0" applyNumberFormat="1" applyFont="1" applyBorder="1" applyAlignment="1">
      <alignment horizontal="right" wrapText="1"/>
    </xf>
    <xf numFmtId="0" fontId="26" fillId="0" borderId="10" xfId="0" applyFont="1" applyBorder="1" applyAlignment="1">
      <alignment horizontal="right" wrapText="1"/>
    </xf>
    <xf numFmtId="2" fontId="26" fillId="0" borderId="10" xfId="0" applyNumberFormat="1" applyFont="1" applyBorder="1" applyAlignment="1">
      <alignment horizontal="right" wrapText="1"/>
    </xf>
    <xf numFmtId="0" fontId="26" fillId="0" borderId="10" xfId="0" applyFont="1" applyBorder="1" applyAlignment="1">
      <alignment horizontal="center" vertical="top" wrapText="1"/>
    </xf>
    <xf numFmtId="0" fontId="26" fillId="0" borderId="10" xfId="0" applyFont="1" applyBorder="1" applyAlignment="1">
      <alignment horizontal="left" vertical="top" wrapText="1"/>
    </xf>
    <xf numFmtId="0" fontId="26" fillId="0" borderId="10" xfId="0" applyFont="1" applyBorder="1" applyAlignment="1">
      <alignment horizontal="left" wrapText="1"/>
    </xf>
    <xf numFmtId="0" fontId="26" fillId="0" borderId="10" xfId="0" applyFont="1" applyBorder="1" applyAlignment="1">
      <alignment horizontal="center" wrapText="1"/>
    </xf>
    <xf numFmtId="0" fontId="26" fillId="0" borderId="10" xfId="0" applyFont="1" applyBorder="1" applyAlignment="1">
      <alignment horizontal="right"/>
    </xf>
    <xf numFmtId="2" fontId="26" fillId="0" borderId="10" xfId="0" applyNumberFormat="1" applyFont="1" applyBorder="1" applyAlignment="1">
      <alignment horizontal="right"/>
    </xf>
    <xf numFmtId="2" fontId="22" fillId="0" borderId="1" xfId="1" applyNumberFormat="1" applyFont="1" applyFill="1" applyBorder="1" applyAlignment="1">
      <alignment vertical="top" wrapText="1"/>
    </xf>
    <xf numFmtId="0" fontId="10" fillId="0" borderId="0" xfId="0" applyFont="1" applyFill="1" applyAlignment="1">
      <alignment horizontal="center" vertical="top" wrapText="1"/>
    </xf>
    <xf numFmtId="0" fontId="10" fillId="0" borderId="1" xfId="0" applyFont="1" applyBorder="1" applyAlignment="1">
      <alignment vertical="center" wrapText="1"/>
    </xf>
    <xf numFmtId="0" fontId="10" fillId="0" borderId="1" xfId="0" applyFont="1" applyBorder="1"/>
    <xf numFmtId="0" fontId="10" fillId="0" borderId="1" xfId="0" applyFont="1" applyBorder="1" applyAlignment="1">
      <alignment wrapText="1"/>
    </xf>
    <xf numFmtId="14" fontId="26" fillId="0" borderId="1" xfId="0" applyNumberFormat="1" applyFont="1" applyBorder="1" applyAlignment="1">
      <alignment vertical="center" wrapText="1"/>
    </xf>
    <xf numFmtId="0" fontId="26" fillId="0" borderId="4" xfId="0" applyFont="1" applyBorder="1" applyAlignment="1">
      <alignment horizontal="center" vertical="top" wrapText="1"/>
    </xf>
    <xf numFmtId="0" fontId="26" fillId="0" borderId="13" xfId="0" applyFont="1" applyBorder="1" applyAlignment="1">
      <alignment horizontal="center" vertical="top" wrapText="1"/>
    </xf>
    <xf numFmtId="0" fontId="26" fillId="0" borderId="13" xfId="0" applyFont="1" applyBorder="1" applyAlignment="1">
      <alignment horizontal="center" wrapText="1"/>
    </xf>
    <xf numFmtId="0" fontId="10" fillId="0" borderId="0" xfId="0" applyFont="1" applyFill="1" applyAlignment="1">
      <alignment horizontal="center" vertical="top" wrapText="1"/>
    </xf>
    <xf numFmtId="14" fontId="26" fillId="0" borderId="10" xfId="0" applyNumberFormat="1" applyFont="1" applyBorder="1" applyAlignment="1">
      <alignment vertical="center" wrapText="1"/>
    </xf>
    <xf numFmtId="0" fontId="10" fillId="0" borderId="1" xfId="0" applyFont="1" applyFill="1" applyBorder="1" applyAlignment="1">
      <alignment horizontal="center" vertical="center"/>
    </xf>
    <xf numFmtId="0" fontId="29" fillId="0" borderId="10" xfId="0" applyFont="1" applyBorder="1" applyAlignment="1">
      <alignment horizontal="center" vertical="center" wrapText="1"/>
    </xf>
    <xf numFmtId="0" fontId="29" fillId="0" borderId="10" xfId="0" applyFont="1" applyBorder="1" applyAlignment="1">
      <alignment horizontal="left" vertical="center" wrapText="1"/>
    </xf>
    <xf numFmtId="0" fontId="29" fillId="0" borderId="10" xfId="0" applyFont="1" applyBorder="1" applyAlignment="1">
      <alignment vertical="center" wrapText="1"/>
    </xf>
    <xf numFmtId="0" fontId="29" fillId="0" borderId="10" xfId="0" applyFont="1" applyBorder="1" applyAlignment="1">
      <alignment vertical="center"/>
    </xf>
    <xf numFmtId="2" fontId="29" fillId="3" borderId="10" xfId="0" applyNumberFormat="1" applyFont="1" applyFill="1" applyBorder="1" applyAlignment="1">
      <alignment vertical="center"/>
    </xf>
    <xf numFmtId="0" fontId="29" fillId="3" borderId="10" xfId="0" applyFont="1" applyFill="1" applyBorder="1" applyAlignment="1">
      <alignment vertical="center"/>
    </xf>
    <xf numFmtId="2" fontId="29" fillId="0" borderId="10" xfId="0" applyNumberFormat="1" applyFont="1" applyBorder="1" applyAlignment="1">
      <alignment vertical="center"/>
    </xf>
    <xf numFmtId="0" fontId="29" fillId="0" borderId="10" xfId="0" applyFont="1" applyBorder="1" applyAlignment="1">
      <alignment horizontal="right" vertical="center" wrapText="1"/>
    </xf>
    <xf numFmtId="2" fontId="29" fillId="3" borderId="10" xfId="0" applyNumberFormat="1" applyFont="1" applyFill="1" applyBorder="1" applyAlignment="1">
      <alignment horizontal="right" vertical="center" wrapText="1"/>
    </xf>
    <xf numFmtId="2" fontId="29" fillId="3" borderId="10" xfId="0" applyNumberFormat="1" applyFont="1" applyFill="1" applyBorder="1"/>
    <xf numFmtId="2" fontId="29" fillId="0" borderId="10" xfId="0" applyNumberFormat="1" applyFont="1" applyBorder="1"/>
    <xf numFmtId="14" fontId="29" fillId="0" borderId="10" xfId="0" applyNumberFormat="1" applyFont="1" applyBorder="1" applyAlignment="1">
      <alignment vertical="center" wrapText="1"/>
    </xf>
    <xf numFmtId="0" fontId="29" fillId="0" borderId="10" xfId="0" applyFont="1" applyBorder="1" applyAlignment="1">
      <alignment wrapText="1"/>
    </xf>
    <xf numFmtId="0" fontId="19" fillId="0" borderId="10" xfId="0" applyFont="1" applyBorder="1"/>
    <xf numFmtId="0" fontId="19" fillId="0" borderId="10" xfId="0" applyFont="1" applyBorder="1" applyAlignment="1">
      <alignment vertical="center" wrapText="1"/>
    </xf>
    <xf numFmtId="0" fontId="19" fillId="0" borderId="10" xfId="0" applyFont="1" applyBorder="1" applyAlignment="1">
      <alignment vertical="center"/>
    </xf>
    <xf numFmtId="0" fontId="19" fillId="0" borderId="10" xfId="0" applyFont="1" applyBorder="1" applyAlignment="1">
      <alignment horizontal="center"/>
    </xf>
    <xf numFmtId="0" fontId="19" fillId="0" borderId="10" xfId="0" applyFont="1" applyBorder="1" applyAlignment="1">
      <alignment horizontal="center" vertical="center"/>
    </xf>
    <xf numFmtId="0" fontId="19" fillId="0" borderId="10" xfId="0" applyFont="1" applyBorder="1" applyAlignment="1">
      <alignment wrapText="1"/>
    </xf>
    <xf numFmtId="2" fontId="19" fillId="3" borderId="10" xfId="0" applyNumberFormat="1" applyFont="1" applyFill="1" applyBorder="1"/>
    <xf numFmtId="2" fontId="19" fillId="0" borderId="10" xfId="0" applyNumberFormat="1" applyFont="1" applyBorder="1" applyAlignment="1">
      <alignment vertical="center"/>
    </xf>
    <xf numFmtId="0" fontId="22" fillId="0" borderId="1" xfId="1" applyFont="1" applyFill="1" applyBorder="1" applyAlignment="1">
      <alignment horizontal="center" vertical="center" wrapText="1"/>
    </xf>
    <xf numFmtId="0" fontId="22" fillId="0" borderId="1" xfId="1" applyFont="1" applyFill="1" applyBorder="1" applyAlignment="1">
      <alignment vertical="center"/>
    </xf>
    <xf numFmtId="0" fontId="10" fillId="0" borderId="0" xfId="0" applyFont="1" applyFill="1" applyAlignment="1">
      <alignment horizontal="center" vertical="top" wrapText="1"/>
    </xf>
    <xf numFmtId="0" fontId="10" fillId="0" borderId="0" xfId="0" applyFont="1" applyFill="1" applyAlignment="1">
      <alignment horizontal="center" vertical="top" wrapText="1"/>
    </xf>
    <xf numFmtId="49" fontId="26" fillId="0" borderId="1" xfId="0" applyNumberFormat="1" applyFont="1" applyBorder="1" applyAlignment="1">
      <alignment horizontal="center" shrinkToFit="1"/>
    </xf>
    <xf numFmtId="0" fontId="26" fillId="0" borderId="1" xfId="0" applyFont="1" applyBorder="1" applyAlignment="1">
      <alignment horizontal="left" shrinkToFit="1"/>
    </xf>
    <xf numFmtId="0" fontId="22" fillId="0" borderId="1" xfId="0" applyFont="1" applyFill="1" applyBorder="1"/>
    <xf numFmtId="164" fontId="26" fillId="0" borderId="1" xfId="0" applyNumberFormat="1" applyFont="1" applyBorder="1" applyAlignment="1">
      <alignment vertical="center" wrapText="1"/>
    </xf>
    <xf numFmtId="2" fontId="26" fillId="0" borderId="1" xfId="0" applyNumberFormat="1" applyFont="1" applyBorder="1" applyAlignment="1">
      <alignment horizontal="right" vertical="center" wrapText="1"/>
    </xf>
    <xf numFmtId="0" fontId="0" fillId="0" borderId="0" xfId="0" applyFont="1" applyAlignment="1">
      <alignment horizontal="center" vertical="center" wrapText="1"/>
    </xf>
    <xf numFmtId="0" fontId="0" fillId="0" borderId="0" xfId="0" applyFont="1" applyBorder="1" applyAlignment="1">
      <alignment horizontal="center" vertical="center" wrapText="1"/>
    </xf>
    <xf numFmtId="0" fontId="0" fillId="0" borderId="10" xfId="0" applyFont="1" applyBorder="1" applyAlignment="1">
      <alignment horizontal="center" vertical="center" wrapText="1"/>
    </xf>
    <xf numFmtId="0" fontId="26" fillId="0" borderId="1" xfId="0" applyFont="1" applyBorder="1" applyAlignment="1">
      <alignment horizontal="right" vertical="center"/>
    </xf>
    <xf numFmtId="2" fontId="26" fillId="0" borderId="1" xfId="0" applyNumberFormat="1" applyFont="1" applyBorder="1" applyAlignment="1">
      <alignment horizontal="right" vertical="center"/>
    </xf>
    <xf numFmtId="0" fontId="10" fillId="0" borderId="0" xfId="0" applyFont="1" applyFill="1" applyAlignment="1">
      <alignment horizontal="center" vertical="top" wrapText="1"/>
    </xf>
    <xf numFmtId="0" fontId="27" fillId="0" borderId="1" xfId="2" applyFont="1" applyBorder="1" applyAlignment="1">
      <alignment horizontal="center" vertical="center"/>
    </xf>
    <xf numFmtId="0" fontId="27" fillId="0" borderId="1" xfId="2" applyFont="1" applyBorder="1" applyAlignment="1">
      <alignment horizontal="left" vertical="center" wrapText="1"/>
    </xf>
    <xf numFmtId="0" fontId="27" fillId="0" borderId="1" xfId="2" applyFont="1" applyBorder="1" applyAlignment="1">
      <alignment horizontal="center" vertical="center" wrapText="1"/>
    </xf>
    <xf numFmtId="2" fontId="28" fillId="0" borderId="1" xfId="2" applyNumberFormat="1" applyFont="1" applyBorder="1" applyAlignment="1">
      <alignment horizontal="right" vertical="center"/>
    </xf>
    <xf numFmtId="0" fontId="27" fillId="0" borderId="10" xfId="2" applyFont="1" applyBorder="1" applyAlignment="1">
      <alignment horizontal="left" vertical="center" wrapText="1"/>
    </xf>
    <xf numFmtId="0" fontId="27" fillId="0" borderId="1" xfId="2" applyFont="1" applyBorder="1" applyAlignment="1">
      <alignment horizontal="right" vertical="center"/>
    </xf>
    <xf numFmtId="2" fontId="27" fillId="0" borderId="1" xfId="2" applyNumberFormat="1" applyFont="1" applyBorder="1" applyAlignment="1">
      <alignment horizontal="right" vertical="center"/>
    </xf>
    <xf numFmtId="0" fontId="27" fillId="0" borderId="1" xfId="2" applyFont="1" applyBorder="1" applyAlignment="1">
      <alignment horizontal="left" vertical="center"/>
    </xf>
    <xf numFmtId="0" fontId="27" fillId="0" borderId="10" xfId="2" applyFont="1" applyBorder="1" applyAlignment="1">
      <alignment horizontal="center" vertical="center"/>
    </xf>
    <xf numFmtId="0" fontId="27" fillId="0" borderId="10" xfId="2" applyFont="1" applyBorder="1" applyAlignment="1">
      <alignment horizontal="left" vertical="center"/>
    </xf>
    <xf numFmtId="0" fontId="23" fillId="0" borderId="0" xfId="2" applyFont="1" applyAlignment="1">
      <alignment horizontal="center" vertical="center"/>
    </xf>
    <xf numFmtId="0" fontId="26" fillId="0" borderId="1" xfId="1" applyFont="1" applyBorder="1" applyAlignment="1">
      <alignment horizontal="center" vertical="center" wrapText="1"/>
    </xf>
    <xf numFmtId="0" fontId="26" fillId="0" borderId="1" xfId="1" applyFont="1" applyBorder="1" applyAlignment="1">
      <alignment horizontal="left" vertical="center" wrapText="1"/>
    </xf>
    <xf numFmtId="0" fontId="26" fillId="0" borderId="1" xfId="1" applyFont="1" applyBorder="1" applyAlignment="1">
      <alignment vertical="center" wrapText="1"/>
    </xf>
    <xf numFmtId="0" fontId="26" fillId="0" borderId="1" xfId="1" applyFont="1" applyBorder="1" applyAlignment="1">
      <alignment vertical="center"/>
    </xf>
    <xf numFmtId="2" fontId="26" fillId="3" borderId="1" xfId="1" applyNumberFormat="1" applyFont="1" applyFill="1" applyBorder="1" applyAlignment="1">
      <alignment vertical="center"/>
    </xf>
    <xf numFmtId="0" fontId="26" fillId="3" borderId="1" xfId="1" applyFont="1" applyFill="1" applyBorder="1" applyAlignment="1">
      <alignment vertical="center"/>
    </xf>
    <xf numFmtId="2" fontId="26" fillId="0" borderId="1" xfId="1" applyNumberFormat="1" applyFont="1" applyBorder="1" applyAlignment="1">
      <alignment vertical="center"/>
    </xf>
    <xf numFmtId="0" fontId="18" fillId="0" borderId="1" xfId="1" applyBorder="1"/>
    <xf numFmtId="0" fontId="26" fillId="0" borderId="1" xfId="1" applyFont="1" applyBorder="1" applyAlignment="1">
      <alignment horizontal="right" vertical="center" wrapText="1"/>
    </xf>
    <xf numFmtId="2" fontId="26" fillId="3" borderId="1" xfId="1" applyNumberFormat="1" applyFont="1" applyFill="1" applyBorder="1" applyAlignment="1">
      <alignment horizontal="right" vertical="center" wrapText="1"/>
    </xf>
    <xf numFmtId="2" fontId="26" fillId="3" borderId="1" xfId="1" applyNumberFormat="1" applyFont="1" applyFill="1" applyBorder="1"/>
    <xf numFmtId="2" fontId="26" fillId="0" borderId="1" xfId="1" applyNumberFormat="1" applyFont="1" applyBorder="1"/>
    <xf numFmtId="0" fontId="18" fillId="0" borderId="1" xfId="1" applyFont="1" applyBorder="1" applyAlignment="1">
      <alignment vertical="center" wrapText="1"/>
    </xf>
    <xf numFmtId="0" fontId="18" fillId="0" borderId="1" xfId="1" applyBorder="1" applyAlignment="1">
      <alignment vertical="center"/>
    </xf>
    <xf numFmtId="0" fontId="18" fillId="0" borderId="1" xfId="1" applyBorder="1" applyAlignment="1">
      <alignment horizontal="center"/>
    </xf>
    <xf numFmtId="0" fontId="18" fillId="0" borderId="1" xfId="1" applyBorder="1" applyAlignment="1">
      <alignment horizontal="center" vertical="center"/>
    </xf>
    <xf numFmtId="0" fontId="18" fillId="0" borderId="1" xfId="1" applyFont="1" applyBorder="1" applyAlignment="1">
      <alignment wrapText="1"/>
    </xf>
    <xf numFmtId="164" fontId="26" fillId="0" borderId="1" xfId="1" applyNumberFormat="1" applyFont="1" applyBorder="1" applyAlignment="1">
      <alignment vertical="center" wrapText="1"/>
    </xf>
    <xf numFmtId="2" fontId="18" fillId="3" borderId="1" xfId="1" applyNumberFormat="1" applyFill="1" applyBorder="1"/>
    <xf numFmtId="0" fontId="26" fillId="0" borderId="1" xfId="1" applyFont="1" applyBorder="1" applyAlignment="1">
      <alignment wrapText="1"/>
    </xf>
    <xf numFmtId="2" fontId="18" fillId="0" borderId="1" xfId="1" applyNumberFormat="1" applyBorder="1" applyAlignment="1">
      <alignment vertical="center"/>
    </xf>
    <xf numFmtId="0" fontId="26" fillId="0" borderId="1" xfId="1" applyFont="1" applyBorder="1" applyAlignment="1">
      <alignment horizontal="center" shrinkToFit="1"/>
    </xf>
    <xf numFmtId="0" fontId="0" fillId="0" borderId="0" xfId="0"/>
    <xf numFmtId="0" fontId="10" fillId="0" borderId="0" xfId="0" applyFont="1" applyAlignment="1">
      <alignment horizontal="left" vertical="center" wrapText="1"/>
    </xf>
    <xf numFmtId="0" fontId="10" fillId="0" borderId="1" xfId="0" applyFont="1" applyBorder="1" applyAlignment="1">
      <alignment horizontal="left" vertical="center" wrapText="1"/>
    </xf>
    <xf numFmtId="0" fontId="31" fillId="0" borderId="1" xfId="0" applyFont="1" applyBorder="1" applyAlignment="1">
      <alignment horizontal="left" vertical="center" wrapText="1"/>
    </xf>
    <xf numFmtId="0" fontId="10" fillId="0" borderId="1" xfId="0" applyNumberFormat="1" applyFont="1" applyBorder="1" applyAlignment="1">
      <alignment horizontal="right" vertical="center" wrapText="1"/>
    </xf>
    <xf numFmtId="2" fontId="10" fillId="0" borderId="1" xfId="0" applyNumberFormat="1" applyFont="1" applyBorder="1" applyAlignment="1">
      <alignment horizontal="right" vertical="center" wrapText="1"/>
    </xf>
    <xf numFmtId="2" fontId="10" fillId="0" borderId="4" xfId="0" applyNumberFormat="1" applyFont="1" applyBorder="1" applyAlignment="1">
      <alignment horizontal="right" vertical="center" wrapText="1"/>
    </xf>
    <xf numFmtId="0" fontId="18" fillId="0" borderId="0" xfId="1"/>
    <xf numFmtId="0" fontId="26" fillId="0" borderId="1" xfId="1" applyFont="1" applyBorder="1" applyAlignment="1">
      <alignment horizontal="center" vertical="top" wrapText="1"/>
    </xf>
    <xf numFmtId="0" fontId="26" fillId="0" borderId="1" xfId="1" applyFont="1" applyBorder="1" applyAlignment="1">
      <alignment horizontal="left" vertical="top" wrapText="1"/>
    </xf>
    <xf numFmtId="0" fontId="26" fillId="0" borderId="1" xfId="1" applyFont="1" applyBorder="1" applyAlignment="1">
      <alignment horizontal="left" wrapText="1"/>
    </xf>
    <xf numFmtId="0" fontId="26" fillId="0" borderId="1" xfId="1" applyFont="1" applyBorder="1" applyAlignment="1">
      <alignment horizontal="center" wrapText="1"/>
    </xf>
    <xf numFmtId="0" fontId="26" fillId="0" borderId="1" xfId="1" applyFont="1" applyBorder="1" applyAlignment="1">
      <alignment horizontal="right" wrapText="1"/>
    </xf>
    <xf numFmtId="2" fontId="26" fillId="0" borderId="1" xfId="1" applyNumberFormat="1" applyFont="1" applyBorder="1" applyAlignment="1">
      <alignment horizontal="right" wrapText="1"/>
    </xf>
    <xf numFmtId="0" fontId="18" fillId="0" borderId="0" xfId="1" applyFont="1" applyBorder="1" applyAlignment="1">
      <alignment horizontal="center" wrapText="1"/>
    </xf>
    <xf numFmtId="0" fontId="18" fillId="0" borderId="10" xfId="1" applyFont="1" applyBorder="1" applyAlignment="1">
      <alignment horizontal="center" wrapText="1"/>
    </xf>
    <xf numFmtId="0" fontId="26" fillId="0" borderId="1" xfId="1" applyFont="1" applyBorder="1" applyAlignment="1">
      <alignment horizontal="right"/>
    </xf>
    <xf numFmtId="2" fontId="26" fillId="0" borderId="1" xfId="1" applyNumberFormat="1" applyFont="1" applyBorder="1" applyAlignment="1">
      <alignment horizontal="right"/>
    </xf>
    <xf numFmtId="0" fontId="20" fillId="0" borderId="1" xfId="0" applyFont="1" applyFill="1" applyBorder="1" applyAlignment="1">
      <alignment vertical="center" shrinkToFit="1"/>
    </xf>
    <xf numFmtId="0" fontId="22" fillId="0" borderId="0" xfId="5" applyFont="1" applyFill="1" applyAlignment="1">
      <alignment horizontal="left" vertical="top" wrapText="1"/>
    </xf>
    <xf numFmtId="0" fontId="22" fillId="0" borderId="0" xfId="5" applyFont="1" applyFill="1" applyAlignment="1">
      <alignment horizontal="center" vertical="top" wrapText="1"/>
    </xf>
    <xf numFmtId="2" fontId="22" fillId="0" borderId="0" xfId="5" applyNumberFormat="1" applyFont="1" applyFill="1" applyAlignment="1">
      <alignment horizontal="center" vertical="top" wrapText="1"/>
    </xf>
    <xf numFmtId="0" fontId="22" fillId="0" borderId="0" xfId="5" applyFont="1" applyFill="1" applyAlignment="1">
      <alignment horizontal="centerContinuous" vertical="top" wrapText="1"/>
    </xf>
    <xf numFmtId="0" fontId="41" fillId="0" borderId="0" xfId="5"/>
    <xf numFmtId="0" fontId="42" fillId="0" borderId="0" xfId="5" applyFont="1" applyFill="1" applyAlignment="1">
      <alignment horizontal="centerContinuous" vertical="top" wrapText="1"/>
    </xf>
    <xf numFmtId="0" fontId="44" fillId="0" borderId="0" xfId="5" applyFont="1" applyFill="1" applyAlignment="1">
      <alignment horizontal="centerContinuous" vertical="top"/>
    </xf>
    <xf numFmtId="0" fontId="45" fillId="0" borderId="0" xfId="5" applyFont="1" applyFill="1" applyAlignment="1">
      <alignment horizontal="centerContinuous" vertical="top" wrapText="1"/>
    </xf>
    <xf numFmtId="0" fontId="46" fillId="5" borderId="7" xfId="5" applyFont="1" applyFill="1" applyBorder="1" applyAlignment="1">
      <alignment horizontal="centerContinuous" vertical="center" wrapText="1"/>
    </xf>
    <xf numFmtId="0" fontId="22" fillId="0" borderId="2" xfId="5" applyFont="1" applyFill="1" applyBorder="1" applyAlignment="1">
      <alignment horizontal="left" vertical="top" wrapText="1"/>
    </xf>
    <xf numFmtId="0" fontId="47" fillId="0" borderId="4" xfId="5" applyFont="1" applyFill="1" applyBorder="1" applyAlignment="1">
      <alignment horizontal="centerContinuous" vertical="top" wrapText="1"/>
    </xf>
    <xf numFmtId="0" fontId="47" fillId="0" borderId="6" xfId="5" applyFont="1" applyFill="1" applyBorder="1" applyAlignment="1">
      <alignment horizontal="centerContinuous" vertical="top" wrapText="1"/>
    </xf>
    <xf numFmtId="0" fontId="47" fillId="0" borderId="5" xfId="5" applyFont="1" applyFill="1" applyBorder="1" applyAlignment="1">
      <alignment horizontal="centerContinuous" vertical="top" wrapText="1"/>
    </xf>
    <xf numFmtId="0" fontId="22" fillId="0" borderId="3" xfId="5" applyFont="1" applyFill="1" applyBorder="1" applyAlignment="1">
      <alignment horizontal="left" vertical="top" wrapText="1"/>
    </xf>
    <xf numFmtId="0" fontId="22" fillId="0" borderId="2" xfId="5" applyFont="1" applyFill="1" applyBorder="1" applyAlignment="1">
      <alignment horizontal="center" vertical="top" wrapText="1"/>
    </xf>
    <xf numFmtId="0" fontId="22" fillId="0" borderId="14" xfId="5" applyFont="1" applyFill="1" applyBorder="1" applyAlignment="1">
      <alignment horizontal="center" vertical="top" wrapText="1"/>
    </xf>
    <xf numFmtId="2" fontId="22" fillId="0" borderId="14" xfId="5" applyNumberFormat="1" applyFont="1" applyFill="1" applyBorder="1" applyAlignment="1">
      <alignment horizontal="center" vertical="top" wrapText="1"/>
    </xf>
    <xf numFmtId="2" fontId="22" fillId="0" borderId="2" xfId="5" applyNumberFormat="1" applyFont="1" applyFill="1" applyBorder="1" applyAlignment="1">
      <alignment horizontal="center" vertical="top" wrapText="1"/>
    </xf>
    <xf numFmtId="0" fontId="20" fillId="0" borderId="1" xfId="5" applyFont="1" applyFill="1" applyBorder="1" applyAlignment="1">
      <alignment horizontal="left" wrapText="1"/>
    </xf>
    <xf numFmtId="0" fontId="20" fillId="0" borderId="1" xfId="5" applyFont="1" applyFill="1" applyBorder="1" applyAlignment="1">
      <alignment wrapText="1"/>
    </xf>
    <xf numFmtId="2" fontId="20" fillId="0" borderId="1" xfId="5" applyNumberFormat="1" applyFont="1" applyFill="1" applyBorder="1" applyAlignment="1">
      <alignment wrapText="1"/>
    </xf>
    <xf numFmtId="0" fontId="48" fillId="0" borderId="0" xfId="5" applyFont="1" applyFill="1" applyAlignment="1"/>
    <xf numFmtId="0" fontId="41" fillId="0" borderId="0" xfId="5" applyFill="1" applyAlignment="1">
      <alignment wrapText="1"/>
    </xf>
    <xf numFmtId="0" fontId="48" fillId="0" borderId="0" xfId="5" applyFont="1" applyFill="1" applyAlignment="1">
      <alignment wrapText="1"/>
    </xf>
    <xf numFmtId="0" fontId="22" fillId="0" borderId="1" xfId="5" applyFont="1" applyBorder="1" applyAlignment="1">
      <alignment horizontal="left" wrapText="1"/>
    </xf>
    <xf numFmtId="0" fontId="22" fillId="0" borderId="1" xfId="5" applyFont="1" applyBorder="1" applyAlignment="1">
      <alignment horizontal="right" wrapText="1"/>
    </xf>
    <xf numFmtId="2" fontId="22" fillId="0" borderId="1" xfId="5" applyNumberFormat="1" applyFont="1" applyBorder="1" applyAlignment="1">
      <alignment horizontal="right" wrapText="1"/>
    </xf>
    <xf numFmtId="0" fontId="41" fillId="0" borderId="0" xfId="5" applyAlignment="1"/>
    <xf numFmtId="0" fontId="22" fillId="0" borderId="1" xfId="5" applyFont="1" applyBorder="1" applyAlignment="1">
      <alignment horizontal="right"/>
    </xf>
    <xf numFmtId="2" fontId="22" fillId="0" borderId="1" xfId="5" applyNumberFormat="1" applyFont="1" applyBorder="1" applyAlignment="1">
      <alignment horizontal="right"/>
    </xf>
    <xf numFmtId="2" fontId="20" fillId="0" borderId="1" xfId="5" applyNumberFormat="1" applyFont="1" applyBorder="1" applyAlignment="1">
      <alignment horizontal="right"/>
    </xf>
    <xf numFmtId="0" fontId="22" fillId="0" borderId="1" xfId="5" applyFont="1" applyBorder="1" applyAlignment="1">
      <alignment horizontal="left"/>
    </xf>
    <xf numFmtId="0" fontId="20" fillId="0" borderId="1" xfId="5" applyFont="1" applyBorder="1" applyAlignment="1">
      <alignment horizontal="left"/>
    </xf>
    <xf numFmtId="0" fontId="22" fillId="0" borderId="1" xfId="5" applyFont="1" applyBorder="1" applyAlignment="1"/>
    <xf numFmtId="2" fontId="22" fillId="6" borderId="1" xfId="5" applyNumberFormat="1" applyFont="1" applyFill="1" applyBorder="1" applyAlignment="1"/>
    <xf numFmtId="0" fontId="22" fillId="6" borderId="1" xfId="5" applyFont="1" applyFill="1" applyBorder="1" applyAlignment="1"/>
    <xf numFmtId="2" fontId="22" fillId="0" borderId="1" xfId="5" applyNumberFormat="1" applyFont="1" applyBorder="1" applyAlignment="1"/>
    <xf numFmtId="2" fontId="22" fillId="6" borderId="1" xfId="5" applyNumberFormat="1" applyFont="1" applyFill="1" applyBorder="1" applyAlignment="1">
      <alignment horizontal="right" wrapText="1"/>
    </xf>
    <xf numFmtId="0" fontId="20" fillId="0" borderId="1" xfId="5" applyFont="1" applyBorder="1" applyAlignment="1">
      <alignment horizontal="left" wrapText="1"/>
    </xf>
    <xf numFmtId="0" fontId="22" fillId="0" borderId="1" xfId="5" applyFont="1" applyBorder="1" applyAlignment="1">
      <alignment wrapText="1"/>
    </xf>
    <xf numFmtId="0" fontId="20" fillId="0" borderId="1" xfId="5" applyFont="1" applyBorder="1" applyAlignment="1"/>
    <xf numFmtId="164" fontId="22" fillId="0" borderId="1" xfId="5" applyNumberFormat="1" applyFont="1" applyBorder="1" applyAlignment="1">
      <alignment wrapText="1"/>
    </xf>
    <xf numFmtId="164" fontId="22" fillId="0" borderId="1" xfId="5" applyNumberFormat="1" applyFont="1" applyBorder="1" applyAlignment="1">
      <alignment horizontal="left" wrapText="1"/>
    </xf>
    <xf numFmtId="2" fontId="20" fillId="6" borderId="1" xfId="5" applyNumberFormat="1" applyFont="1" applyFill="1" applyBorder="1" applyAlignment="1"/>
    <xf numFmtId="2" fontId="20" fillId="0" borderId="1" xfId="5" applyNumberFormat="1" applyFont="1" applyBorder="1" applyAlignment="1"/>
    <xf numFmtId="2" fontId="20" fillId="0" borderId="1" xfId="5" applyNumberFormat="1" applyFont="1" applyFill="1" applyBorder="1" applyAlignment="1"/>
    <xf numFmtId="2" fontId="22" fillId="0" borderId="1" xfId="1" applyNumberFormat="1" applyFont="1" applyFill="1" applyBorder="1" applyAlignment="1">
      <alignment wrapText="1"/>
    </xf>
    <xf numFmtId="0" fontId="20" fillId="0" borderId="1" xfId="5" applyFont="1" applyFill="1" applyBorder="1" applyAlignment="1"/>
    <xf numFmtId="0" fontId="41" fillId="0" borderId="0" xfId="5" applyAlignment="1">
      <alignment horizontal="left"/>
    </xf>
    <xf numFmtId="0" fontId="20" fillId="0" borderId="1" xfId="5" applyFont="1" applyFill="1" applyBorder="1" applyAlignment="1">
      <alignment horizontal="left"/>
    </xf>
    <xf numFmtId="0" fontId="22" fillId="0" borderId="1" xfId="6" applyNumberFormat="1" applyFont="1" applyBorder="1" applyAlignment="1">
      <alignment horizontal="right" vertical="center" wrapText="1"/>
    </xf>
    <xf numFmtId="2" fontId="22" fillId="0" borderId="1" xfId="6" applyNumberFormat="1" applyFont="1" applyBorder="1" applyAlignment="1">
      <alignment horizontal="right" vertical="center" wrapText="1"/>
    </xf>
    <xf numFmtId="2" fontId="22" fillId="0" borderId="4" xfId="6" applyNumberFormat="1" applyFont="1" applyBorder="1" applyAlignment="1">
      <alignment horizontal="right" vertical="center" wrapText="1"/>
    </xf>
    <xf numFmtId="0" fontId="20" fillId="0" borderId="1" xfId="7" applyFont="1" applyFill="1" applyBorder="1" applyAlignment="1">
      <alignment horizontal="left"/>
    </xf>
    <xf numFmtId="0" fontId="22" fillId="0" borderId="1" xfId="1" applyFont="1" applyFill="1" applyBorder="1" applyAlignment="1">
      <alignment vertical="top"/>
    </xf>
    <xf numFmtId="2" fontId="22" fillId="0" borderId="1" xfId="1" applyNumberFormat="1" applyFont="1" applyFill="1" applyBorder="1" applyAlignment="1">
      <alignment vertical="center"/>
    </xf>
    <xf numFmtId="0" fontId="22" fillId="0" borderId="1" xfId="1" applyFont="1" applyFill="1" applyBorder="1" applyAlignment="1">
      <alignment horizontal="center"/>
    </xf>
    <xf numFmtId="0" fontId="22" fillId="0" borderId="0" xfId="7" applyFont="1" applyFill="1" applyAlignment="1">
      <alignment horizontal="left" vertical="top" wrapText="1"/>
    </xf>
    <xf numFmtId="0" fontId="22" fillId="0" borderId="0" xfId="7" applyFont="1" applyFill="1" applyAlignment="1">
      <alignment horizontal="center" vertical="top" wrapText="1"/>
    </xf>
    <xf numFmtId="2" fontId="22" fillId="0" borderId="0" xfId="7" applyNumberFormat="1" applyFont="1" applyFill="1" applyAlignment="1">
      <alignment horizontal="center" vertical="top" wrapText="1"/>
    </xf>
    <xf numFmtId="0" fontId="42" fillId="0" borderId="0" xfId="7" applyFont="1" applyFill="1" applyAlignment="1">
      <alignment horizontal="centerContinuous" vertical="top" wrapText="1"/>
    </xf>
    <xf numFmtId="0" fontId="44" fillId="0" borderId="0" xfId="7" applyFont="1" applyFill="1" applyAlignment="1">
      <alignment horizontal="centerContinuous" vertical="top" wrapText="1"/>
    </xf>
    <xf numFmtId="0" fontId="45" fillId="0" borderId="0" xfId="7" applyFont="1" applyFill="1" applyAlignment="1">
      <alignment horizontal="centerContinuous" vertical="top" wrapText="1"/>
    </xf>
    <xf numFmtId="0" fontId="46" fillId="5" borderId="7" xfId="7" applyFont="1" applyFill="1" applyBorder="1" applyAlignment="1">
      <alignment horizontal="centerContinuous" vertical="center" wrapText="1"/>
    </xf>
    <xf numFmtId="0" fontId="22" fillId="0" borderId="2" xfId="7" applyFont="1" applyFill="1" applyBorder="1" applyAlignment="1">
      <alignment horizontal="left" vertical="top" wrapText="1"/>
    </xf>
    <xf numFmtId="0" fontId="47" fillId="0" borderId="4" xfId="7" applyFont="1" applyFill="1" applyBorder="1" applyAlignment="1">
      <alignment horizontal="centerContinuous" vertical="top" wrapText="1"/>
    </xf>
    <xf numFmtId="0" fontId="47" fillId="0" borderId="6" xfId="7" applyFont="1" applyFill="1" applyBorder="1" applyAlignment="1">
      <alignment horizontal="centerContinuous" vertical="top" wrapText="1"/>
    </xf>
    <xf numFmtId="0" fontId="47" fillId="0" borderId="5" xfId="7" applyFont="1" applyFill="1" applyBorder="1" applyAlignment="1">
      <alignment horizontal="centerContinuous" vertical="top" wrapText="1"/>
    </xf>
    <xf numFmtId="0" fontId="22" fillId="0" borderId="3" xfId="7" applyFont="1" applyFill="1" applyBorder="1" applyAlignment="1">
      <alignment horizontal="left" vertical="top" wrapText="1"/>
    </xf>
    <xf numFmtId="0" fontId="22" fillId="0" borderId="2" xfId="7" applyFont="1" applyFill="1" applyBorder="1" applyAlignment="1">
      <alignment horizontal="center" vertical="top" wrapText="1"/>
    </xf>
    <xf numFmtId="0" fontId="22" fillId="0" borderId="14" xfId="7" applyFont="1" applyFill="1" applyBorder="1" applyAlignment="1">
      <alignment horizontal="center" vertical="top" wrapText="1"/>
    </xf>
    <xf numFmtId="2" fontId="22" fillId="0" borderId="14" xfId="7" applyNumberFormat="1" applyFont="1" applyFill="1" applyBorder="1" applyAlignment="1">
      <alignment horizontal="center" vertical="top" wrapText="1"/>
    </xf>
    <xf numFmtId="2" fontId="22" fillId="0" borderId="2" xfId="7" applyNumberFormat="1" applyFont="1" applyFill="1" applyBorder="1" applyAlignment="1">
      <alignment horizontal="center" vertical="top" wrapText="1"/>
    </xf>
    <xf numFmtId="0" fontId="20" fillId="0" borderId="1" xfId="7" applyFont="1" applyFill="1" applyBorder="1" applyAlignment="1"/>
    <xf numFmtId="0" fontId="41" fillId="0" borderId="0" xfId="5" applyAlignment="1">
      <alignment wrapText="1"/>
    </xf>
    <xf numFmtId="2" fontId="20" fillId="0" borderId="1" xfId="8" applyNumberFormat="1" applyFont="1" applyFill="1" applyBorder="1" applyAlignment="1">
      <alignment vertical="center"/>
    </xf>
    <xf numFmtId="0" fontId="20" fillId="0" borderId="1" xfId="8" applyFont="1" applyFill="1" applyBorder="1" applyAlignment="1">
      <alignment vertical="center"/>
    </xf>
    <xf numFmtId="0" fontId="20" fillId="0" borderId="1" xfId="8" applyFont="1" applyFill="1" applyBorder="1" applyAlignment="1">
      <alignment horizontal="left" vertical="center"/>
    </xf>
    <xf numFmtId="0" fontId="20" fillId="0" borderId="1" xfId="8" applyFont="1" applyFill="1" applyBorder="1" applyAlignment="1">
      <alignment horizontal="center" vertical="center"/>
    </xf>
    <xf numFmtId="0" fontId="20" fillId="0" borderId="1" xfId="5" applyFont="1" applyFill="1" applyBorder="1" applyAlignment="1">
      <alignment horizontal="center"/>
    </xf>
    <xf numFmtId="0" fontId="22" fillId="0" borderId="1" xfId="5" applyFont="1" applyBorder="1" applyAlignment="1">
      <alignment horizontal="left" vertical="center"/>
    </xf>
    <xf numFmtId="0" fontId="22" fillId="0" borderId="1" xfId="5" applyFont="1" applyBorder="1" applyAlignment="1">
      <alignment horizontal="center"/>
    </xf>
    <xf numFmtId="0" fontId="20" fillId="0" borderId="1" xfId="5" applyFont="1" applyBorder="1" applyAlignment="1">
      <alignment horizontal="center"/>
    </xf>
    <xf numFmtId="0" fontId="22" fillId="0" borderId="1" xfId="5" applyFont="1" applyBorder="1" applyAlignment="1">
      <alignment vertical="center"/>
    </xf>
    <xf numFmtId="0" fontId="22" fillId="0" borderId="1" xfId="5" applyFont="1" applyBorder="1" applyAlignment="1">
      <alignment horizontal="center" vertical="center"/>
    </xf>
    <xf numFmtId="0" fontId="48" fillId="0" borderId="0" xfId="7" applyAlignment="1">
      <alignment wrapText="1"/>
    </xf>
    <xf numFmtId="0" fontId="22" fillId="0" borderId="0" xfId="7" applyFont="1" applyFill="1" applyAlignment="1">
      <alignment horizontal="centerContinuous" vertical="top" wrapText="1"/>
    </xf>
    <xf numFmtId="0" fontId="48" fillId="0" borderId="0" xfId="7" applyFill="1" applyAlignment="1">
      <alignment wrapText="1"/>
    </xf>
    <xf numFmtId="0" fontId="46" fillId="0" borderId="7" xfId="7" applyFont="1" applyFill="1" applyBorder="1" applyAlignment="1">
      <alignment horizontal="centerContinuous" vertical="center" wrapText="1"/>
    </xf>
    <xf numFmtId="0" fontId="41" fillId="0" borderId="1" xfId="5" applyFill="1" applyBorder="1"/>
    <xf numFmtId="0" fontId="48" fillId="0" borderId="1" xfId="5" applyFont="1" applyFill="1" applyBorder="1" applyAlignment="1">
      <alignment horizontal="center"/>
    </xf>
    <xf numFmtId="2" fontId="41" fillId="0" borderId="1" xfId="5" applyNumberFormat="1" applyFill="1" applyBorder="1"/>
    <xf numFmtId="0" fontId="20" fillId="0" borderId="1" xfId="5" applyFont="1" applyFill="1" applyBorder="1"/>
    <xf numFmtId="2" fontId="20" fillId="0" borderId="1" xfId="5" applyNumberFormat="1" applyFont="1" applyFill="1" applyBorder="1"/>
    <xf numFmtId="14" fontId="20" fillId="0" borderId="1" xfId="5" applyNumberFormat="1" applyFont="1" applyFill="1" applyBorder="1"/>
    <xf numFmtId="0" fontId="22" fillId="0" borderId="1" xfId="5" applyFont="1" applyFill="1" applyBorder="1" applyAlignment="1">
      <alignment horizontal="left"/>
    </xf>
    <xf numFmtId="0" fontId="22" fillId="0" borderId="1" xfId="5" applyFont="1" applyFill="1" applyBorder="1" applyAlignment="1">
      <alignment horizontal="center"/>
    </xf>
    <xf numFmtId="0" fontId="22" fillId="0" borderId="1" xfId="5" applyFont="1" applyFill="1" applyBorder="1" applyAlignment="1"/>
    <xf numFmtId="0" fontId="22" fillId="0" borderId="1" xfId="9" applyNumberFormat="1" applyFont="1" applyFill="1" applyBorder="1" applyAlignment="1">
      <alignment horizontal="right" vertical="center" wrapText="1"/>
    </xf>
    <xf numFmtId="2" fontId="22" fillId="0" borderId="1" xfId="9" applyNumberFormat="1" applyFont="1" applyFill="1" applyBorder="1" applyAlignment="1">
      <alignment horizontal="right" vertical="center" wrapText="1"/>
    </xf>
    <xf numFmtId="2" fontId="22" fillId="0" borderId="4" xfId="9" applyNumberFormat="1" applyFont="1" applyFill="1" applyBorder="1" applyAlignment="1">
      <alignment horizontal="right" vertical="center" wrapText="1"/>
    </xf>
    <xf numFmtId="0" fontId="22" fillId="0" borderId="1" xfId="5" applyFont="1" applyFill="1" applyBorder="1" applyAlignment="1">
      <alignment horizontal="left" vertical="top" wrapText="1"/>
    </xf>
    <xf numFmtId="0" fontId="22" fillId="0" borderId="1" xfId="5" applyFont="1" applyFill="1" applyBorder="1" applyAlignment="1">
      <alignment horizontal="center" vertical="top" wrapText="1"/>
    </xf>
    <xf numFmtId="0" fontId="22" fillId="0" borderId="2" xfId="5" applyFont="1" applyFill="1" applyBorder="1" applyAlignment="1">
      <alignment horizontal="left" wrapText="1"/>
    </xf>
    <xf numFmtId="0" fontId="22" fillId="0" borderId="2" xfId="5" applyFont="1" applyFill="1" applyBorder="1" applyAlignment="1">
      <alignment horizontal="center" wrapText="1"/>
    </xf>
    <xf numFmtId="0" fontId="22" fillId="0" borderId="2" xfId="5" applyFont="1" applyFill="1" applyBorder="1" applyAlignment="1">
      <alignment horizontal="right" wrapText="1"/>
    </xf>
    <xf numFmtId="2" fontId="22" fillId="0" borderId="2" xfId="5" applyNumberFormat="1" applyFont="1" applyFill="1" applyBorder="1" applyAlignment="1">
      <alignment horizontal="right" wrapText="1"/>
    </xf>
    <xf numFmtId="2" fontId="22" fillId="0" borderId="14" xfId="5" applyNumberFormat="1" applyFont="1" applyFill="1" applyBorder="1" applyAlignment="1">
      <alignment horizontal="right" wrapText="1"/>
    </xf>
    <xf numFmtId="0" fontId="22" fillId="0" borderId="1" xfId="5" applyFont="1" applyFill="1" applyBorder="1" applyAlignment="1">
      <alignment horizontal="left" wrapText="1"/>
    </xf>
    <xf numFmtId="0" fontId="22" fillId="0" borderId="1" xfId="5" applyFont="1" applyFill="1" applyBorder="1" applyAlignment="1">
      <alignment horizontal="center" wrapText="1"/>
    </xf>
    <xf numFmtId="0" fontId="22" fillId="0" borderId="1" xfId="5" applyFont="1" applyFill="1" applyBorder="1" applyAlignment="1">
      <alignment horizontal="right" wrapText="1"/>
    </xf>
    <xf numFmtId="2" fontId="22" fillId="0" borderId="1" xfId="5" applyNumberFormat="1" applyFont="1" applyFill="1" applyBorder="1" applyAlignment="1">
      <alignment horizontal="right" wrapText="1"/>
    </xf>
    <xf numFmtId="0" fontId="41" fillId="0" borderId="1" xfId="5" applyFill="1" applyBorder="1" applyAlignment="1">
      <alignment wrapText="1"/>
    </xf>
    <xf numFmtId="0" fontId="22" fillId="0" borderId="1" xfId="5" applyFont="1" applyFill="1" applyBorder="1" applyAlignment="1">
      <alignment horizontal="right"/>
    </xf>
    <xf numFmtId="2" fontId="22" fillId="0" borderId="1" xfId="5" applyNumberFormat="1" applyFont="1" applyFill="1" applyBorder="1" applyAlignment="1">
      <alignment horizontal="right"/>
    </xf>
    <xf numFmtId="0" fontId="20" fillId="0" borderId="1" xfId="5" applyFont="1" applyFill="1" applyBorder="1" applyAlignment="1">
      <alignment horizontal="center" wrapText="1"/>
    </xf>
    <xf numFmtId="0" fontId="20" fillId="0" borderId="1" xfId="5" applyFont="1" applyFill="1" applyBorder="1" applyAlignment="1">
      <alignment horizontal="right" wrapText="1"/>
    </xf>
    <xf numFmtId="4" fontId="20" fillId="0" borderId="1" xfId="5" applyNumberFormat="1" applyFont="1" applyFill="1" applyBorder="1" applyAlignment="1">
      <alignment horizontal="right" wrapText="1"/>
    </xf>
    <xf numFmtId="0" fontId="20" fillId="0" borderId="0" xfId="5" applyFont="1" applyFill="1" applyAlignment="1">
      <alignment wrapText="1"/>
    </xf>
    <xf numFmtId="0" fontId="22" fillId="0" borderId="1" xfId="5" applyFont="1" applyFill="1" applyBorder="1" applyAlignment="1">
      <alignment horizontal="left" vertical="center"/>
    </xf>
    <xf numFmtId="0" fontId="22" fillId="0" borderId="1" xfId="5" applyFont="1" applyFill="1" applyBorder="1" applyAlignment="1">
      <alignment horizontal="center" vertical="center"/>
    </xf>
    <xf numFmtId="0" fontId="22" fillId="0" borderId="1" xfId="5" applyFont="1" applyFill="1" applyBorder="1" applyAlignment="1">
      <alignment vertical="center"/>
    </xf>
    <xf numFmtId="0" fontId="20" fillId="0" borderId="15" xfId="5" applyFont="1" applyFill="1" applyBorder="1" applyAlignment="1">
      <alignment horizontal="left"/>
    </xf>
    <xf numFmtId="0" fontId="22" fillId="0" borderId="15" xfId="5" applyFont="1" applyFill="1" applyBorder="1" applyAlignment="1">
      <alignment horizontal="left" vertical="center"/>
    </xf>
    <xf numFmtId="0" fontId="22" fillId="0" borderId="15" xfId="5" applyFont="1" applyFill="1" applyBorder="1" applyAlignment="1">
      <alignment horizontal="right"/>
    </xf>
    <xf numFmtId="2" fontId="22" fillId="0" borderId="15" xfId="5" applyNumberFormat="1" applyFont="1" applyFill="1" applyBorder="1" applyAlignment="1">
      <alignment horizontal="right"/>
    </xf>
    <xf numFmtId="2" fontId="20" fillId="0" borderId="15" xfId="5" applyNumberFormat="1" applyFont="1" applyFill="1" applyBorder="1" applyAlignment="1"/>
    <xf numFmtId="0" fontId="20" fillId="0" borderId="1" xfId="10" applyFont="1" applyFill="1" applyBorder="1" applyAlignment="1">
      <alignment vertical="center"/>
    </xf>
    <xf numFmtId="0" fontId="20" fillId="0" borderId="1" xfId="10" applyFont="1" applyFill="1" applyBorder="1" applyAlignment="1">
      <alignment horizontal="center" vertical="center"/>
    </xf>
    <xf numFmtId="0" fontId="20" fillId="0" borderId="1" xfId="10" applyFont="1" applyFill="1" applyBorder="1" applyAlignment="1">
      <alignment horizontal="left" vertical="center"/>
    </xf>
    <xf numFmtId="2" fontId="20" fillId="0" borderId="1" xfId="10" applyNumberFormat="1" applyFont="1" applyFill="1" applyBorder="1" applyAlignment="1">
      <alignment vertical="center"/>
    </xf>
    <xf numFmtId="0" fontId="22" fillId="0" borderId="1" xfId="11" applyNumberFormat="1" applyFont="1" applyFill="1" applyBorder="1" applyAlignment="1">
      <alignment horizontal="right" vertical="center" wrapText="1"/>
    </xf>
    <xf numFmtId="2" fontId="22" fillId="0" borderId="1" xfId="11" applyNumberFormat="1" applyFont="1" applyFill="1" applyBorder="1" applyAlignment="1">
      <alignment horizontal="right" vertical="center" wrapText="1"/>
    </xf>
    <xf numFmtId="2" fontId="22" fillId="0" borderId="4" xfId="11" applyNumberFormat="1" applyFont="1" applyFill="1" applyBorder="1" applyAlignment="1">
      <alignment horizontal="right" vertical="center" wrapText="1"/>
    </xf>
    <xf numFmtId="0" fontId="22" fillId="0" borderId="1" xfId="12" applyFont="1" applyFill="1" applyBorder="1" applyAlignment="1">
      <alignment horizontal="left" vertical="center"/>
    </xf>
    <xf numFmtId="0" fontId="22" fillId="0" borderId="1" xfId="12" applyFont="1" applyFill="1" applyBorder="1" applyAlignment="1">
      <alignment horizontal="center" vertical="center"/>
    </xf>
    <xf numFmtId="0" fontId="22" fillId="0" borderId="1" xfId="12" applyFont="1" applyFill="1" applyBorder="1" applyAlignment="1">
      <alignment vertical="center"/>
    </xf>
    <xf numFmtId="0" fontId="20" fillId="0" borderId="1" xfId="12" applyFont="1" applyFill="1" applyBorder="1" applyAlignment="1">
      <alignment horizontal="left"/>
    </xf>
    <xf numFmtId="0" fontId="50" fillId="0" borderId="1" xfId="12" applyFont="1" applyFill="1" applyBorder="1" applyAlignment="1">
      <alignment horizontal="right"/>
    </xf>
    <xf numFmtId="0" fontId="22" fillId="0" borderId="1" xfId="12" applyFont="1" applyFill="1" applyBorder="1" applyAlignment="1">
      <alignment horizontal="right"/>
    </xf>
    <xf numFmtId="2" fontId="22" fillId="0" borderId="1" xfId="12" applyNumberFormat="1" applyFont="1" applyFill="1" applyBorder="1" applyAlignment="1">
      <alignment horizontal="right"/>
    </xf>
    <xf numFmtId="2" fontId="20" fillId="0" borderId="1" xfId="12" applyNumberFormat="1" applyFont="1" applyFill="1" applyBorder="1" applyAlignment="1"/>
    <xf numFmtId="0" fontId="22" fillId="0" borderId="1" xfId="12" applyFont="1" applyFill="1" applyBorder="1" applyAlignment="1">
      <alignment horizontal="left"/>
    </xf>
    <xf numFmtId="0" fontId="22" fillId="0" borderId="1" xfId="12" applyFont="1" applyFill="1" applyBorder="1" applyAlignment="1">
      <alignment horizontal="center"/>
    </xf>
    <xf numFmtId="0" fontId="22" fillId="0" borderId="1" xfId="12" applyFont="1" applyFill="1" applyBorder="1" applyAlignment="1"/>
    <xf numFmtId="0" fontId="20" fillId="0" borderId="1" xfId="12" applyFont="1" applyFill="1" applyBorder="1" applyAlignment="1"/>
    <xf numFmtId="0" fontId="20" fillId="0" borderId="1" xfId="12" applyFont="1" applyFill="1" applyBorder="1" applyAlignment="1">
      <alignment horizontal="center"/>
    </xf>
    <xf numFmtId="0" fontId="20" fillId="0" borderId="1" xfId="13" applyFont="1" applyFill="1" applyBorder="1" applyAlignment="1">
      <alignment vertical="center"/>
    </xf>
    <xf numFmtId="0" fontId="20" fillId="0" borderId="1" xfId="13" applyFont="1" applyFill="1" applyBorder="1" applyAlignment="1">
      <alignment horizontal="center" vertical="center"/>
    </xf>
    <xf numFmtId="0" fontId="20" fillId="0" borderId="1" xfId="13" applyFont="1" applyFill="1" applyBorder="1" applyAlignment="1">
      <alignment horizontal="left" vertical="center"/>
    </xf>
    <xf numFmtId="2" fontId="20" fillId="0" borderId="1" xfId="13" applyNumberFormat="1" applyFont="1" applyFill="1" applyBorder="1" applyAlignment="1">
      <alignment vertical="center"/>
    </xf>
    <xf numFmtId="0" fontId="22" fillId="0" borderId="1" xfId="14" applyNumberFormat="1" applyFont="1" applyFill="1" applyBorder="1" applyAlignment="1">
      <alignment horizontal="right" vertical="center" wrapText="1"/>
    </xf>
    <xf numFmtId="2" fontId="22" fillId="0" borderId="1" xfId="14" applyNumberFormat="1" applyFont="1" applyFill="1" applyBorder="1" applyAlignment="1">
      <alignment horizontal="right" vertical="center" wrapText="1"/>
    </xf>
    <xf numFmtId="2" fontId="22" fillId="0" borderId="4" xfId="14" applyNumberFormat="1" applyFont="1" applyFill="1" applyBorder="1" applyAlignment="1">
      <alignment horizontal="right" vertical="center" wrapText="1"/>
    </xf>
    <xf numFmtId="0" fontId="20" fillId="0" borderId="1" xfId="15" applyFont="1" applyFill="1" applyBorder="1" applyAlignment="1">
      <alignment vertical="center"/>
    </xf>
    <xf numFmtId="0" fontId="20" fillId="0" borderId="1" xfId="15" applyFont="1" applyFill="1" applyBorder="1" applyAlignment="1">
      <alignment horizontal="center" vertical="center"/>
    </xf>
    <xf numFmtId="0" fontId="20" fillId="0" borderId="1" xfId="15" applyFont="1" applyFill="1" applyBorder="1" applyAlignment="1">
      <alignment horizontal="left" vertical="center"/>
    </xf>
    <xf numFmtId="2" fontId="20" fillId="0" borderId="1" xfId="15" applyNumberFormat="1" applyFont="1" applyFill="1" applyBorder="1" applyAlignment="1">
      <alignment vertical="center"/>
    </xf>
    <xf numFmtId="0" fontId="47" fillId="0" borderId="6" xfId="7" applyFont="1" applyFill="1" applyBorder="1" applyAlignment="1">
      <alignment horizontal="center" vertical="top" wrapText="1"/>
    </xf>
    <xf numFmtId="0" fontId="22" fillId="0" borderId="1" xfId="16" applyNumberFormat="1" applyFont="1" applyFill="1" applyBorder="1" applyAlignment="1">
      <alignment horizontal="right" vertical="center" wrapText="1"/>
    </xf>
    <xf numFmtId="2" fontId="22" fillId="0" borderId="1" xfId="16" applyNumberFormat="1" applyFont="1" applyFill="1" applyBorder="1" applyAlignment="1">
      <alignment horizontal="right" vertical="center" wrapText="1"/>
    </xf>
    <xf numFmtId="2" fontId="22" fillId="0" borderId="4" xfId="16" applyNumberFormat="1" applyFont="1" applyFill="1" applyBorder="1" applyAlignment="1">
      <alignment horizontal="right" vertical="center" wrapText="1"/>
    </xf>
    <xf numFmtId="0" fontId="20" fillId="0" borderId="1" xfId="17" applyFont="1" applyFill="1" applyBorder="1" applyAlignment="1">
      <alignment vertical="center"/>
    </xf>
    <xf numFmtId="0" fontId="20" fillId="0" borderId="1" xfId="17" applyFont="1" applyFill="1" applyBorder="1" applyAlignment="1">
      <alignment horizontal="center" vertical="center"/>
    </xf>
    <xf numFmtId="0" fontId="20" fillId="0" borderId="1" xfId="17" applyFont="1" applyFill="1" applyBorder="1" applyAlignment="1">
      <alignment horizontal="left" vertical="center"/>
    </xf>
    <xf numFmtId="2" fontId="20" fillId="0" borderId="1" xfId="17" applyNumberFormat="1" applyFont="1" applyFill="1" applyBorder="1" applyAlignment="1">
      <alignment vertical="center"/>
    </xf>
    <xf numFmtId="0" fontId="22" fillId="0" borderId="1" xfId="18" applyNumberFormat="1" applyFont="1" applyFill="1" applyBorder="1" applyAlignment="1">
      <alignment horizontal="right" vertical="center" wrapText="1"/>
    </xf>
    <xf numFmtId="2" fontId="22" fillId="0" borderId="1" xfId="18" applyNumberFormat="1" applyFont="1" applyFill="1" applyBorder="1" applyAlignment="1">
      <alignment horizontal="right" vertical="center" wrapText="1"/>
    </xf>
    <xf numFmtId="2" fontId="22" fillId="0" borderId="4" xfId="18" applyNumberFormat="1" applyFont="1" applyFill="1" applyBorder="1" applyAlignment="1">
      <alignment horizontal="right" vertical="center" wrapText="1"/>
    </xf>
    <xf numFmtId="0" fontId="20" fillId="0" borderId="1" xfId="19" applyFont="1" applyFill="1" applyBorder="1" applyAlignment="1">
      <alignment vertical="center"/>
    </xf>
    <xf numFmtId="0" fontId="20" fillId="0" borderId="1" xfId="19" applyFont="1" applyFill="1" applyBorder="1" applyAlignment="1">
      <alignment horizontal="center" vertical="center"/>
    </xf>
    <xf numFmtId="0" fontId="20" fillId="0" borderId="1" xfId="19" applyFont="1" applyFill="1" applyBorder="1" applyAlignment="1">
      <alignment horizontal="left" vertical="center"/>
    </xf>
    <xf numFmtId="2" fontId="20" fillId="0" borderId="1" xfId="19" applyNumberFormat="1" applyFont="1" applyFill="1" applyBorder="1" applyAlignment="1">
      <alignment vertical="center"/>
    </xf>
    <xf numFmtId="0" fontId="22" fillId="0" borderId="1" xfId="20" applyNumberFormat="1" applyFont="1" applyFill="1" applyBorder="1" applyAlignment="1">
      <alignment horizontal="right" vertical="center" wrapText="1"/>
    </xf>
    <xf numFmtId="2" fontId="22" fillId="0" borderId="1" xfId="20" applyNumberFormat="1" applyFont="1" applyFill="1" applyBorder="1" applyAlignment="1">
      <alignment horizontal="right" vertical="center" wrapText="1"/>
    </xf>
    <xf numFmtId="2" fontId="22" fillId="0" borderId="4" xfId="20" applyNumberFormat="1" applyFont="1" applyFill="1" applyBorder="1" applyAlignment="1">
      <alignment horizontal="right" vertical="center" wrapText="1"/>
    </xf>
    <xf numFmtId="0" fontId="20" fillId="0" borderId="1" xfId="21" applyFont="1" applyFill="1" applyBorder="1" applyAlignment="1">
      <alignment vertical="center"/>
    </xf>
    <xf numFmtId="0" fontId="20" fillId="0" borderId="1" xfId="21" applyFont="1" applyFill="1" applyBorder="1" applyAlignment="1">
      <alignment horizontal="center" vertical="center"/>
    </xf>
    <xf numFmtId="0" fontId="20" fillId="0" borderId="1" xfId="21" applyFont="1" applyFill="1" applyBorder="1" applyAlignment="1">
      <alignment horizontal="left" vertical="center"/>
    </xf>
    <xf numFmtId="2" fontId="20" fillId="0" borderId="1" xfId="21" applyNumberFormat="1" applyFont="1" applyFill="1" applyBorder="1" applyAlignment="1">
      <alignment vertical="center"/>
    </xf>
    <xf numFmtId="0" fontId="13" fillId="0" borderId="4" xfId="0" applyFont="1" applyFill="1" applyBorder="1" applyAlignment="1">
      <alignment horizontal="center" vertical="top" wrapText="1"/>
    </xf>
    <xf numFmtId="0" fontId="13" fillId="0" borderId="6" xfId="0" applyFont="1" applyFill="1" applyBorder="1" applyAlignment="1">
      <alignment horizontal="center" vertical="top" wrapText="1"/>
    </xf>
    <xf numFmtId="0" fontId="13" fillId="0" borderId="5" xfId="0" applyFont="1" applyFill="1" applyBorder="1" applyAlignment="1">
      <alignment horizontal="center" vertical="top" wrapText="1"/>
    </xf>
    <xf numFmtId="0" fontId="10" fillId="0" borderId="0" xfId="0" applyFont="1" applyFill="1" applyAlignment="1">
      <alignment horizontal="center" vertical="top" wrapText="1"/>
    </xf>
    <xf numFmtId="0" fontId="9" fillId="0" borderId="0" xfId="0" applyFont="1" applyFill="1" applyAlignment="1">
      <alignment horizontal="center" vertical="top" wrapText="1"/>
    </xf>
    <xf numFmtId="0" fontId="15" fillId="0" borderId="0" xfId="0" applyFont="1" applyFill="1" applyAlignment="1">
      <alignment horizontal="center" vertical="top"/>
    </xf>
    <xf numFmtId="0" fontId="12" fillId="0" borderId="0" xfId="0" applyFont="1" applyFill="1" applyAlignment="1">
      <alignment horizontal="center" vertical="top" wrapText="1"/>
    </xf>
    <xf numFmtId="0" fontId="16" fillId="2" borderId="7" xfId="0" applyFont="1" applyFill="1" applyBorder="1" applyAlignment="1">
      <alignment horizontal="center" vertical="center" wrapText="1"/>
    </xf>
    <xf numFmtId="0" fontId="22" fillId="0" borderId="1" xfId="22" applyNumberFormat="1" applyFont="1" applyFill="1" applyBorder="1" applyAlignment="1">
      <alignment horizontal="right" vertical="center" wrapText="1"/>
    </xf>
    <xf numFmtId="2" fontId="22" fillId="0" borderId="1" xfId="22" applyNumberFormat="1" applyFont="1" applyFill="1" applyBorder="1" applyAlignment="1">
      <alignment horizontal="right" vertical="center" wrapText="1"/>
    </xf>
    <xf numFmtId="2" fontId="22" fillId="0" borderId="4" xfId="22" applyNumberFormat="1" applyFont="1" applyFill="1" applyBorder="1" applyAlignment="1">
      <alignment horizontal="right" vertical="center" wrapText="1"/>
    </xf>
    <xf numFmtId="0" fontId="20" fillId="0" borderId="1" xfId="23" applyFont="1" applyFill="1" applyBorder="1" applyAlignment="1">
      <alignment vertical="center"/>
    </xf>
    <xf numFmtId="0" fontId="20" fillId="0" borderId="1" xfId="23" applyFont="1" applyFill="1" applyBorder="1" applyAlignment="1">
      <alignment horizontal="center" vertical="center"/>
    </xf>
    <xf numFmtId="0" fontId="20" fillId="0" borderId="1" xfId="23" applyFont="1" applyFill="1" applyBorder="1" applyAlignment="1">
      <alignment horizontal="left" vertical="center"/>
    </xf>
    <xf numFmtId="2" fontId="20" fillId="0" borderId="1" xfId="23" applyNumberFormat="1" applyFont="1" applyFill="1" applyBorder="1" applyAlignment="1">
      <alignment vertical="center"/>
    </xf>
  </cellXfs>
  <cellStyles count="24">
    <cellStyle name="Обычный" xfId="0" builtinId="0"/>
    <cellStyle name="Обычный 2" xfId="1"/>
    <cellStyle name="Обычный 3" xfId="2"/>
    <cellStyle name="Обычный 3 2" xfId="8"/>
    <cellStyle name="Обычный 3 3" xfId="10"/>
    <cellStyle name="Обычный 3 4" xfId="13"/>
    <cellStyle name="Обычный 3 5" xfId="15"/>
    <cellStyle name="Обычный 3 6" xfId="17"/>
    <cellStyle name="Обычный 3 7" xfId="19"/>
    <cellStyle name="Обычный 3 8" xfId="21"/>
    <cellStyle name="Обычный 3 9" xfId="23"/>
    <cellStyle name="Обычный 4" xfId="5"/>
    <cellStyle name="Обычный 4 2" xfId="7"/>
    <cellStyle name="Обычный 5" xfId="6"/>
    <cellStyle name="Обычный 5 2" xfId="9"/>
    <cellStyle name="Обычный 5 3" xfId="11"/>
    <cellStyle name="Обычный 5 4" xfId="14"/>
    <cellStyle name="Обычный 5 5" xfId="16"/>
    <cellStyle name="Обычный 5 6" xfId="18"/>
    <cellStyle name="Обычный 5 7" xfId="20"/>
    <cellStyle name="Обычный 5 8" xfId="22"/>
    <cellStyle name="Обычный 6" xfId="12"/>
    <cellStyle name="Пояснение 2" xfId="3"/>
    <cellStyle name="Пояснение 3" xfId="4"/>
  </cellStyles>
  <dxfs count="0"/>
  <tableStyles count="0" defaultTableStyle="TableStyleMedium2" defaultPivotStyle="PivotStyleMedium9"/>
  <colors>
    <mruColors>
      <color rgb="FFFF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9525</xdr:colOff>
      <xdr:row>166</xdr:row>
      <xdr:rowOff>342900</xdr:rowOff>
    </xdr:from>
    <xdr:to>
      <xdr:col>6</xdr:col>
      <xdr:colOff>0</xdr:colOff>
      <xdr:row>166</xdr:row>
      <xdr:rowOff>342900</xdr:rowOff>
    </xdr:to>
    <xdr:sp macro="" textlink="">
      <xdr:nvSpPr>
        <xdr:cNvPr id="2" name="Прямая соединительная линия 1"/>
        <xdr:cNvSpPr>
          <a:spLocks noChangeShapeType="1"/>
        </xdr:cNvSpPr>
      </xdr:nvSpPr>
      <xdr:spPr bwMode="auto">
        <a:xfrm>
          <a:off x="9191625" y="37680900"/>
          <a:ext cx="135255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/>
          <a:tailEnd type="non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167</xdr:row>
      <xdr:rowOff>0</xdr:rowOff>
    </xdr:from>
    <xdr:to>
      <xdr:col>16</xdr:col>
      <xdr:colOff>885825</xdr:colOff>
      <xdr:row>167</xdr:row>
      <xdr:rowOff>0</xdr:rowOff>
    </xdr:to>
    <xdr:sp macro="" textlink="">
      <xdr:nvSpPr>
        <xdr:cNvPr id="3" name="Прямая соединительная линия 2"/>
        <xdr:cNvSpPr>
          <a:spLocks noChangeShapeType="1"/>
        </xdr:cNvSpPr>
      </xdr:nvSpPr>
      <xdr:spPr bwMode="auto">
        <a:xfrm flipV="1">
          <a:off x="12944475" y="37680900"/>
          <a:ext cx="638175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/>
          <a:tailEnd type="non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167</xdr:row>
      <xdr:rowOff>352425</xdr:rowOff>
    </xdr:from>
    <xdr:to>
      <xdr:col>6</xdr:col>
      <xdr:colOff>9525</xdr:colOff>
      <xdr:row>167</xdr:row>
      <xdr:rowOff>352425</xdr:rowOff>
    </xdr:to>
    <xdr:sp macro="" textlink="">
      <xdr:nvSpPr>
        <xdr:cNvPr id="4" name="Прямая соединительная линия 3"/>
        <xdr:cNvSpPr>
          <a:spLocks noChangeShapeType="1"/>
        </xdr:cNvSpPr>
      </xdr:nvSpPr>
      <xdr:spPr bwMode="auto">
        <a:xfrm>
          <a:off x="9182100" y="37880925"/>
          <a:ext cx="137160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/>
          <a:tailEnd type="non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167</xdr:row>
      <xdr:rowOff>352425</xdr:rowOff>
    </xdr:from>
    <xdr:to>
      <xdr:col>17</xdr:col>
      <xdr:colOff>0</xdr:colOff>
      <xdr:row>167</xdr:row>
      <xdr:rowOff>352425</xdr:rowOff>
    </xdr:to>
    <xdr:sp macro="" textlink="">
      <xdr:nvSpPr>
        <xdr:cNvPr id="5" name="Прямая соединительная линия 4"/>
        <xdr:cNvSpPr>
          <a:spLocks noChangeShapeType="1"/>
        </xdr:cNvSpPr>
      </xdr:nvSpPr>
      <xdr:spPr bwMode="auto">
        <a:xfrm flipV="1">
          <a:off x="12944475" y="37880925"/>
          <a:ext cx="638175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/>
          <a:tailEnd type="non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9525</xdr:colOff>
      <xdr:row>166</xdr:row>
      <xdr:rowOff>342900</xdr:rowOff>
    </xdr:from>
    <xdr:to>
      <xdr:col>6</xdr:col>
      <xdr:colOff>0</xdr:colOff>
      <xdr:row>166</xdr:row>
      <xdr:rowOff>342900</xdr:rowOff>
    </xdr:to>
    <xdr:sp macro="" textlink="">
      <xdr:nvSpPr>
        <xdr:cNvPr id="6" name="Прямая соединительная линия 1"/>
        <xdr:cNvSpPr>
          <a:spLocks noChangeShapeType="1"/>
        </xdr:cNvSpPr>
      </xdr:nvSpPr>
      <xdr:spPr bwMode="auto">
        <a:xfrm>
          <a:off x="9191625" y="37680900"/>
          <a:ext cx="135255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/>
          <a:tailEnd type="non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167</xdr:row>
      <xdr:rowOff>0</xdr:rowOff>
    </xdr:from>
    <xdr:to>
      <xdr:col>16</xdr:col>
      <xdr:colOff>885825</xdr:colOff>
      <xdr:row>167</xdr:row>
      <xdr:rowOff>0</xdr:rowOff>
    </xdr:to>
    <xdr:sp macro="" textlink="">
      <xdr:nvSpPr>
        <xdr:cNvPr id="7" name="Прямая соединительная линия 2"/>
        <xdr:cNvSpPr>
          <a:spLocks noChangeShapeType="1"/>
        </xdr:cNvSpPr>
      </xdr:nvSpPr>
      <xdr:spPr bwMode="auto">
        <a:xfrm flipV="1">
          <a:off x="12944475" y="37680900"/>
          <a:ext cx="638175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/>
          <a:tailEnd type="non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167</xdr:row>
      <xdr:rowOff>352425</xdr:rowOff>
    </xdr:from>
    <xdr:to>
      <xdr:col>6</xdr:col>
      <xdr:colOff>9525</xdr:colOff>
      <xdr:row>167</xdr:row>
      <xdr:rowOff>352425</xdr:rowOff>
    </xdr:to>
    <xdr:sp macro="" textlink="">
      <xdr:nvSpPr>
        <xdr:cNvPr id="8" name="Прямая соединительная линия 3"/>
        <xdr:cNvSpPr>
          <a:spLocks noChangeShapeType="1"/>
        </xdr:cNvSpPr>
      </xdr:nvSpPr>
      <xdr:spPr bwMode="auto">
        <a:xfrm>
          <a:off x="9182100" y="37880925"/>
          <a:ext cx="137160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/>
          <a:tailEnd type="non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167</xdr:row>
      <xdr:rowOff>352425</xdr:rowOff>
    </xdr:from>
    <xdr:to>
      <xdr:col>17</xdr:col>
      <xdr:colOff>0</xdr:colOff>
      <xdr:row>167</xdr:row>
      <xdr:rowOff>352425</xdr:rowOff>
    </xdr:to>
    <xdr:sp macro="" textlink="">
      <xdr:nvSpPr>
        <xdr:cNvPr id="9" name="Прямая соединительная линия 4"/>
        <xdr:cNvSpPr>
          <a:spLocks noChangeShapeType="1"/>
        </xdr:cNvSpPr>
      </xdr:nvSpPr>
      <xdr:spPr bwMode="auto">
        <a:xfrm flipV="1">
          <a:off x="12944475" y="37880925"/>
          <a:ext cx="638175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/>
          <a:tailEnd type="non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9525</xdr:colOff>
      <xdr:row>168</xdr:row>
      <xdr:rowOff>342900</xdr:rowOff>
    </xdr:from>
    <xdr:to>
      <xdr:col>6</xdr:col>
      <xdr:colOff>0</xdr:colOff>
      <xdr:row>168</xdr:row>
      <xdr:rowOff>342900</xdr:rowOff>
    </xdr:to>
    <xdr:sp macro="" textlink="">
      <xdr:nvSpPr>
        <xdr:cNvPr id="2" name="Прямая соединительная линия 1"/>
        <xdr:cNvSpPr>
          <a:spLocks noChangeShapeType="1"/>
        </xdr:cNvSpPr>
      </xdr:nvSpPr>
      <xdr:spPr bwMode="auto">
        <a:xfrm>
          <a:off x="3057525" y="27365325"/>
          <a:ext cx="60007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/>
          <a:tailEnd type="non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169</xdr:row>
      <xdr:rowOff>0</xdr:rowOff>
    </xdr:from>
    <xdr:to>
      <xdr:col>16</xdr:col>
      <xdr:colOff>885825</xdr:colOff>
      <xdr:row>169</xdr:row>
      <xdr:rowOff>0</xdr:rowOff>
    </xdr:to>
    <xdr:sp macro="" textlink="">
      <xdr:nvSpPr>
        <xdr:cNvPr id="3" name="Прямая соединительная линия 2"/>
        <xdr:cNvSpPr>
          <a:spLocks noChangeShapeType="1"/>
        </xdr:cNvSpPr>
      </xdr:nvSpPr>
      <xdr:spPr bwMode="auto">
        <a:xfrm flipV="1">
          <a:off x="4267200" y="27365325"/>
          <a:ext cx="609600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/>
          <a:tailEnd type="non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169</xdr:row>
      <xdr:rowOff>352425</xdr:rowOff>
    </xdr:from>
    <xdr:to>
      <xdr:col>6</xdr:col>
      <xdr:colOff>9525</xdr:colOff>
      <xdr:row>169</xdr:row>
      <xdr:rowOff>352425</xdr:rowOff>
    </xdr:to>
    <xdr:sp macro="" textlink="">
      <xdr:nvSpPr>
        <xdr:cNvPr id="4" name="Прямая соединительная линия 3"/>
        <xdr:cNvSpPr>
          <a:spLocks noChangeShapeType="1"/>
        </xdr:cNvSpPr>
      </xdr:nvSpPr>
      <xdr:spPr bwMode="auto">
        <a:xfrm>
          <a:off x="3048000" y="27527250"/>
          <a:ext cx="6191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/>
          <a:tailEnd type="non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169</xdr:row>
      <xdr:rowOff>352425</xdr:rowOff>
    </xdr:from>
    <xdr:to>
      <xdr:col>17</xdr:col>
      <xdr:colOff>0</xdr:colOff>
      <xdr:row>169</xdr:row>
      <xdr:rowOff>352425</xdr:rowOff>
    </xdr:to>
    <xdr:sp macro="" textlink="">
      <xdr:nvSpPr>
        <xdr:cNvPr id="5" name="Прямая соединительная линия 4"/>
        <xdr:cNvSpPr>
          <a:spLocks noChangeShapeType="1"/>
        </xdr:cNvSpPr>
      </xdr:nvSpPr>
      <xdr:spPr bwMode="auto">
        <a:xfrm flipV="1">
          <a:off x="4267200" y="27527250"/>
          <a:ext cx="609600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/>
          <a:tailEnd type="non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170</xdr:row>
      <xdr:rowOff>0</xdr:rowOff>
    </xdr:from>
    <xdr:to>
      <xdr:col>16</xdr:col>
      <xdr:colOff>885825</xdr:colOff>
      <xdr:row>170</xdr:row>
      <xdr:rowOff>0</xdr:rowOff>
    </xdr:to>
    <xdr:sp macro="" textlink="">
      <xdr:nvSpPr>
        <xdr:cNvPr id="2" name="Прямая соединительная линия 2"/>
        <xdr:cNvSpPr>
          <a:spLocks noChangeShapeType="1"/>
        </xdr:cNvSpPr>
      </xdr:nvSpPr>
      <xdr:spPr bwMode="auto">
        <a:xfrm flipV="1">
          <a:off x="11753850" y="33327975"/>
          <a:ext cx="66389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/>
          <a:tailEnd type="non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9525</xdr:colOff>
      <xdr:row>110</xdr:row>
      <xdr:rowOff>342900</xdr:rowOff>
    </xdr:from>
    <xdr:to>
      <xdr:col>6</xdr:col>
      <xdr:colOff>0</xdr:colOff>
      <xdr:row>110</xdr:row>
      <xdr:rowOff>342900</xdr:rowOff>
    </xdr:to>
    <xdr:cxnSp macro="">
      <xdr:nvCxnSpPr>
        <xdr:cNvPr id="6" name="Прямая соединительная линия 5"/>
        <xdr:cNvCxnSpPr/>
      </xdr:nvCxnSpPr>
      <xdr:spPr>
        <a:xfrm>
          <a:off x="5353050" y="4486275"/>
          <a:ext cx="1219200" cy="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0</xdr:colOff>
      <xdr:row>111</xdr:row>
      <xdr:rowOff>0</xdr:rowOff>
    </xdr:from>
    <xdr:to>
      <xdr:col>16</xdr:col>
      <xdr:colOff>885825</xdr:colOff>
      <xdr:row>111</xdr:row>
      <xdr:rowOff>1</xdr:rowOff>
    </xdr:to>
    <xdr:cxnSp macro="">
      <xdr:nvCxnSpPr>
        <xdr:cNvPr id="7" name="Прямая соединительная линия 6"/>
        <xdr:cNvCxnSpPr/>
      </xdr:nvCxnSpPr>
      <xdr:spPr>
        <a:xfrm flipV="1">
          <a:off x="7677150" y="4486275"/>
          <a:ext cx="9134475" cy="1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0</xdr:colOff>
      <xdr:row>111</xdr:row>
      <xdr:rowOff>352425</xdr:rowOff>
    </xdr:from>
    <xdr:to>
      <xdr:col>6</xdr:col>
      <xdr:colOff>9525</xdr:colOff>
      <xdr:row>111</xdr:row>
      <xdr:rowOff>352425</xdr:rowOff>
    </xdr:to>
    <xdr:cxnSp macro="">
      <xdr:nvCxnSpPr>
        <xdr:cNvPr id="8" name="Прямая соединительная линия 7"/>
        <xdr:cNvCxnSpPr/>
      </xdr:nvCxnSpPr>
      <xdr:spPr>
        <a:xfrm>
          <a:off x="5343525" y="4810125"/>
          <a:ext cx="1238250" cy="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0</xdr:colOff>
      <xdr:row>111</xdr:row>
      <xdr:rowOff>352425</xdr:rowOff>
    </xdr:from>
    <xdr:to>
      <xdr:col>17</xdr:col>
      <xdr:colOff>0</xdr:colOff>
      <xdr:row>111</xdr:row>
      <xdr:rowOff>352426</xdr:rowOff>
    </xdr:to>
    <xdr:cxnSp macro="">
      <xdr:nvCxnSpPr>
        <xdr:cNvPr id="9" name="Прямая соединительная линия 8"/>
        <xdr:cNvCxnSpPr/>
      </xdr:nvCxnSpPr>
      <xdr:spPr>
        <a:xfrm flipV="1">
          <a:off x="7677150" y="4810125"/>
          <a:ext cx="9144000" cy="1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9525</xdr:colOff>
      <xdr:row>108</xdr:row>
      <xdr:rowOff>342900</xdr:rowOff>
    </xdr:from>
    <xdr:to>
      <xdr:col>6</xdr:col>
      <xdr:colOff>0</xdr:colOff>
      <xdr:row>108</xdr:row>
      <xdr:rowOff>342900</xdr:rowOff>
    </xdr:to>
    <xdr:cxnSp macro="">
      <xdr:nvCxnSpPr>
        <xdr:cNvPr id="10" name="Прямая соединительная линия 9"/>
        <xdr:cNvCxnSpPr/>
      </xdr:nvCxnSpPr>
      <xdr:spPr>
        <a:xfrm>
          <a:off x="5353050" y="4486275"/>
          <a:ext cx="1219200" cy="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0</xdr:colOff>
      <xdr:row>109</xdr:row>
      <xdr:rowOff>0</xdr:rowOff>
    </xdr:from>
    <xdr:to>
      <xdr:col>16</xdr:col>
      <xdr:colOff>885825</xdr:colOff>
      <xdr:row>109</xdr:row>
      <xdr:rowOff>1</xdr:rowOff>
    </xdr:to>
    <xdr:cxnSp macro="">
      <xdr:nvCxnSpPr>
        <xdr:cNvPr id="11" name="Прямая соединительная линия 10"/>
        <xdr:cNvCxnSpPr/>
      </xdr:nvCxnSpPr>
      <xdr:spPr>
        <a:xfrm flipV="1">
          <a:off x="7677150" y="4486275"/>
          <a:ext cx="9134475" cy="1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0</xdr:colOff>
      <xdr:row>109</xdr:row>
      <xdr:rowOff>352425</xdr:rowOff>
    </xdr:from>
    <xdr:to>
      <xdr:col>6</xdr:col>
      <xdr:colOff>9525</xdr:colOff>
      <xdr:row>109</xdr:row>
      <xdr:rowOff>352425</xdr:rowOff>
    </xdr:to>
    <xdr:cxnSp macro="">
      <xdr:nvCxnSpPr>
        <xdr:cNvPr id="12" name="Прямая соединительная линия 11"/>
        <xdr:cNvCxnSpPr/>
      </xdr:nvCxnSpPr>
      <xdr:spPr>
        <a:xfrm>
          <a:off x="5343525" y="4810125"/>
          <a:ext cx="1238250" cy="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0</xdr:colOff>
      <xdr:row>109</xdr:row>
      <xdr:rowOff>352425</xdr:rowOff>
    </xdr:from>
    <xdr:to>
      <xdr:col>17</xdr:col>
      <xdr:colOff>0</xdr:colOff>
      <xdr:row>109</xdr:row>
      <xdr:rowOff>352426</xdr:rowOff>
    </xdr:to>
    <xdr:cxnSp macro="">
      <xdr:nvCxnSpPr>
        <xdr:cNvPr id="13" name="Прямая соединительная линия 12"/>
        <xdr:cNvCxnSpPr/>
      </xdr:nvCxnSpPr>
      <xdr:spPr>
        <a:xfrm flipV="1">
          <a:off x="7677150" y="4810125"/>
          <a:ext cx="9144000" cy="1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9525</xdr:colOff>
      <xdr:row>107</xdr:row>
      <xdr:rowOff>342900</xdr:rowOff>
    </xdr:from>
    <xdr:to>
      <xdr:col>6</xdr:col>
      <xdr:colOff>0</xdr:colOff>
      <xdr:row>107</xdr:row>
      <xdr:rowOff>342900</xdr:rowOff>
    </xdr:to>
    <xdr:cxnSp macro="">
      <xdr:nvCxnSpPr>
        <xdr:cNvPr id="2" name="Прямая соединительная линия 1"/>
        <xdr:cNvCxnSpPr/>
      </xdr:nvCxnSpPr>
      <xdr:spPr>
        <a:xfrm>
          <a:off x="6248400" y="2752725"/>
          <a:ext cx="1276350" cy="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0</xdr:colOff>
      <xdr:row>108</xdr:row>
      <xdr:rowOff>0</xdr:rowOff>
    </xdr:from>
    <xdr:to>
      <xdr:col>16</xdr:col>
      <xdr:colOff>885825</xdr:colOff>
      <xdr:row>108</xdr:row>
      <xdr:rowOff>1</xdr:rowOff>
    </xdr:to>
    <xdr:cxnSp macro="">
      <xdr:nvCxnSpPr>
        <xdr:cNvPr id="3" name="Прямая соединительная линия 2"/>
        <xdr:cNvCxnSpPr/>
      </xdr:nvCxnSpPr>
      <xdr:spPr>
        <a:xfrm flipV="1">
          <a:off x="8810625" y="2752725"/>
          <a:ext cx="9353550" cy="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0</xdr:colOff>
      <xdr:row>108</xdr:row>
      <xdr:rowOff>352425</xdr:rowOff>
    </xdr:from>
    <xdr:to>
      <xdr:col>6</xdr:col>
      <xdr:colOff>9525</xdr:colOff>
      <xdr:row>108</xdr:row>
      <xdr:rowOff>352425</xdr:rowOff>
    </xdr:to>
    <xdr:cxnSp macro="">
      <xdr:nvCxnSpPr>
        <xdr:cNvPr id="4" name="Прямая соединительная линия 3"/>
        <xdr:cNvCxnSpPr/>
      </xdr:nvCxnSpPr>
      <xdr:spPr>
        <a:xfrm>
          <a:off x="6238875" y="2752725"/>
          <a:ext cx="1295400" cy="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0</xdr:colOff>
      <xdr:row>108</xdr:row>
      <xdr:rowOff>352425</xdr:rowOff>
    </xdr:from>
    <xdr:to>
      <xdr:col>17</xdr:col>
      <xdr:colOff>0</xdr:colOff>
      <xdr:row>108</xdr:row>
      <xdr:rowOff>352426</xdr:rowOff>
    </xdr:to>
    <xdr:cxnSp macro="">
      <xdr:nvCxnSpPr>
        <xdr:cNvPr id="5" name="Прямая соединительная линия 4"/>
        <xdr:cNvCxnSpPr/>
      </xdr:nvCxnSpPr>
      <xdr:spPr>
        <a:xfrm flipV="1">
          <a:off x="8810625" y="2752725"/>
          <a:ext cx="9363075" cy="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9525</xdr:colOff>
      <xdr:row>237</xdr:row>
      <xdr:rowOff>342900</xdr:rowOff>
    </xdr:from>
    <xdr:to>
      <xdr:col>6</xdr:col>
      <xdr:colOff>0</xdr:colOff>
      <xdr:row>237</xdr:row>
      <xdr:rowOff>342900</xdr:rowOff>
    </xdr:to>
    <xdr:cxnSp macro="">
      <xdr:nvCxnSpPr>
        <xdr:cNvPr id="10" name="Прямая соединительная линия 9"/>
        <xdr:cNvCxnSpPr/>
      </xdr:nvCxnSpPr>
      <xdr:spPr>
        <a:xfrm>
          <a:off x="5353050" y="4486275"/>
          <a:ext cx="1219200" cy="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0</xdr:colOff>
      <xdr:row>238</xdr:row>
      <xdr:rowOff>0</xdr:rowOff>
    </xdr:from>
    <xdr:to>
      <xdr:col>16</xdr:col>
      <xdr:colOff>885825</xdr:colOff>
      <xdr:row>238</xdr:row>
      <xdr:rowOff>1</xdr:rowOff>
    </xdr:to>
    <xdr:cxnSp macro="">
      <xdr:nvCxnSpPr>
        <xdr:cNvPr id="11" name="Прямая соединительная линия 10"/>
        <xdr:cNvCxnSpPr/>
      </xdr:nvCxnSpPr>
      <xdr:spPr>
        <a:xfrm flipV="1">
          <a:off x="7677150" y="4486275"/>
          <a:ext cx="9134475" cy="1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0</xdr:colOff>
      <xdr:row>238</xdr:row>
      <xdr:rowOff>352425</xdr:rowOff>
    </xdr:from>
    <xdr:to>
      <xdr:col>6</xdr:col>
      <xdr:colOff>9525</xdr:colOff>
      <xdr:row>238</xdr:row>
      <xdr:rowOff>352425</xdr:rowOff>
    </xdr:to>
    <xdr:cxnSp macro="">
      <xdr:nvCxnSpPr>
        <xdr:cNvPr id="12" name="Прямая соединительная линия 11"/>
        <xdr:cNvCxnSpPr/>
      </xdr:nvCxnSpPr>
      <xdr:spPr>
        <a:xfrm>
          <a:off x="5343525" y="4810125"/>
          <a:ext cx="1238250" cy="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0</xdr:colOff>
      <xdr:row>238</xdr:row>
      <xdr:rowOff>352425</xdr:rowOff>
    </xdr:from>
    <xdr:to>
      <xdr:col>17</xdr:col>
      <xdr:colOff>0</xdr:colOff>
      <xdr:row>238</xdr:row>
      <xdr:rowOff>352426</xdr:rowOff>
    </xdr:to>
    <xdr:cxnSp macro="">
      <xdr:nvCxnSpPr>
        <xdr:cNvPr id="13" name="Прямая соединительная линия 12"/>
        <xdr:cNvCxnSpPr/>
      </xdr:nvCxnSpPr>
      <xdr:spPr>
        <a:xfrm flipV="1">
          <a:off x="7677150" y="4810125"/>
          <a:ext cx="9144000" cy="1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9525</xdr:colOff>
      <xdr:row>107</xdr:row>
      <xdr:rowOff>342900</xdr:rowOff>
    </xdr:from>
    <xdr:to>
      <xdr:col>6</xdr:col>
      <xdr:colOff>0</xdr:colOff>
      <xdr:row>107</xdr:row>
      <xdr:rowOff>342900</xdr:rowOff>
    </xdr:to>
    <xdr:cxnSp macro="">
      <xdr:nvCxnSpPr>
        <xdr:cNvPr id="6" name="Прямая соединительная линия 5"/>
        <xdr:cNvCxnSpPr/>
      </xdr:nvCxnSpPr>
      <xdr:spPr>
        <a:xfrm>
          <a:off x="5353050" y="4486275"/>
          <a:ext cx="1219200" cy="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0</xdr:colOff>
      <xdr:row>108</xdr:row>
      <xdr:rowOff>0</xdr:rowOff>
    </xdr:from>
    <xdr:to>
      <xdr:col>16</xdr:col>
      <xdr:colOff>885825</xdr:colOff>
      <xdr:row>108</xdr:row>
      <xdr:rowOff>1</xdr:rowOff>
    </xdr:to>
    <xdr:cxnSp macro="">
      <xdr:nvCxnSpPr>
        <xdr:cNvPr id="7" name="Прямая соединительная линия 6"/>
        <xdr:cNvCxnSpPr/>
      </xdr:nvCxnSpPr>
      <xdr:spPr>
        <a:xfrm flipV="1">
          <a:off x="7677150" y="4486275"/>
          <a:ext cx="9134475" cy="1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0</xdr:colOff>
      <xdr:row>108</xdr:row>
      <xdr:rowOff>352425</xdr:rowOff>
    </xdr:from>
    <xdr:to>
      <xdr:col>6</xdr:col>
      <xdr:colOff>9525</xdr:colOff>
      <xdr:row>108</xdr:row>
      <xdr:rowOff>352425</xdr:rowOff>
    </xdr:to>
    <xdr:cxnSp macro="">
      <xdr:nvCxnSpPr>
        <xdr:cNvPr id="8" name="Прямая соединительная линия 7"/>
        <xdr:cNvCxnSpPr/>
      </xdr:nvCxnSpPr>
      <xdr:spPr>
        <a:xfrm>
          <a:off x="5343525" y="4810125"/>
          <a:ext cx="1238250" cy="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0</xdr:colOff>
      <xdr:row>108</xdr:row>
      <xdr:rowOff>352425</xdr:rowOff>
    </xdr:from>
    <xdr:to>
      <xdr:col>17</xdr:col>
      <xdr:colOff>0</xdr:colOff>
      <xdr:row>108</xdr:row>
      <xdr:rowOff>352426</xdr:rowOff>
    </xdr:to>
    <xdr:cxnSp macro="">
      <xdr:nvCxnSpPr>
        <xdr:cNvPr id="9" name="Прямая соединительная линия 8"/>
        <xdr:cNvCxnSpPr/>
      </xdr:nvCxnSpPr>
      <xdr:spPr>
        <a:xfrm flipV="1">
          <a:off x="7677150" y="4810125"/>
          <a:ext cx="9144000" cy="1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9525</xdr:colOff>
      <xdr:row>248</xdr:row>
      <xdr:rowOff>342900</xdr:rowOff>
    </xdr:from>
    <xdr:to>
      <xdr:col>6</xdr:col>
      <xdr:colOff>0</xdr:colOff>
      <xdr:row>248</xdr:row>
      <xdr:rowOff>342900</xdr:rowOff>
    </xdr:to>
    <xdr:cxnSp macro="">
      <xdr:nvCxnSpPr>
        <xdr:cNvPr id="10" name="Прямая соединительная линия 9"/>
        <xdr:cNvCxnSpPr/>
      </xdr:nvCxnSpPr>
      <xdr:spPr>
        <a:xfrm>
          <a:off x="5353050" y="4486275"/>
          <a:ext cx="1219200" cy="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0</xdr:colOff>
      <xdr:row>249</xdr:row>
      <xdr:rowOff>0</xdr:rowOff>
    </xdr:from>
    <xdr:to>
      <xdr:col>16</xdr:col>
      <xdr:colOff>885825</xdr:colOff>
      <xdr:row>249</xdr:row>
      <xdr:rowOff>1</xdr:rowOff>
    </xdr:to>
    <xdr:cxnSp macro="">
      <xdr:nvCxnSpPr>
        <xdr:cNvPr id="11" name="Прямая соединительная линия 10"/>
        <xdr:cNvCxnSpPr/>
      </xdr:nvCxnSpPr>
      <xdr:spPr>
        <a:xfrm flipV="1">
          <a:off x="7677150" y="4486275"/>
          <a:ext cx="9134475" cy="1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0</xdr:colOff>
      <xdr:row>249</xdr:row>
      <xdr:rowOff>352425</xdr:rowOff>
    </xdr:from>
    <xdr:to>
      <xdr:col>6</xdr:col>
      <xdr:colOff>9525</xdr:colOff>
      <xdr:row>249</xdr:row>
      <xdr:rowOff>352425</xdr:rowOff>
    </xdr:to>
    <xdr:cxnSp macro="">
      <xdr:nvCxnSpPr>
        <xdr:cNvPr id="12" name="Прямая соединительная линия 11"/>
        <xdr:cNvCxnSpPr/>
      </xdr:nvCxnSpPr>
      <xdr:spPr>
        <a:xfrm>
          <a:off x="5343525" y="4810125"/>
          <a:ext cx="1238250" cy="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0</xdr:colOff>
      <xdr:row>249</xdr:row>
      <xdr:rowOff>352425</xdr:rowOff>
    </xdr:from>
    <xdr:to>
      <xdr:col>17</xdr:col>
      <xdr:colOff>0</xdr:colOff>
      <xdr:row>249</xdr:row>
      <xdr:rowOff>352426</xdr:rowOff>
    </xdr:to>
    <xdr:cxnSp macro="">
      <xdr:nvCxnSpPr>
        <xdr:cNvPr id="13" name="Прямая соединительная линия 12"/>
        <xdr:cNvCxnSpPr/>
      </xdr:nvCxnSpPr>
      <xdr:spPr>
        <a:xfrm flipV="1">
          <a:off x="7677150" y="4810125"/>
          <a:ext cx="9144000" cy="1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9525</xdr:colOff>
      <xdr:row>117</xdr:row>
      <xdr:rowOff>342900</xdr:rowOff>
    </xdr:from>
    <xdr:to>
      <xdr:col>6</xdr:col>
      <xdr:colOff>0</xdr:colOff>
      <xdr:row>117</xdr:row>
      <xdr:rowOff>342900</xdr:rowOff>
    </xdr:to>
    <xdr:cxnSp macro="">
      <xdr:nvCxnSpPr>
        <xdr:cNvPr id="6" name="Прямая соединительная линия 5"/>
        <xdr:cNvCxnSpPr/>
      </xdr:nvCxnSpPr>
      <xdr:spPr>
        <a:xfrm>
          <a:off x="5353050" y="4486275"/>
          <a:ext cx="1219200" cy="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0</xdr:colOff>
      <xdr:row>118</xdr:row>
      <xdr:rowOff>0</xdr:rowOff>
    </xdr:from>
    <xdr:to>
      <xdr:col>16</xdr:col>
      <xdr:colOff>885825</xdr:colOff>
      <xdr:row>118</xdr:row>
      <xdr:rowOff>1</xdr:rowOff>
    </xdr:to>
    <xdr:cxnSp macro="">
      <xdr:nvCxnSpPr>
        <xdr:cNvPr id="7" name="Прямая соединительная линия 6"/>
        <xdr:cNvCxnSpPr/>
      </xdr:nvCxnSpPr>
      <xdr:spPr>
        <a:xfrm flipV="1">
          <a:off x="7677150" y="4486275"/>
          <a:ext cx="9134475" cy="1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0</xdr:colOff>
      <xdr:row>118</xdr:row>
      <xdr:rowOff>352425</xdr:rowOff>
    </xdr:from>
    <xdr:to>
      <xdr:col>6</xdr:col>
      <xdr:colOff>9525</xdr:colOff>
      <xdr:row>118</xdr:row>
      <xdr:rowOff>352425</xdr:rowOff>
    </xdr:to>
    <xdr:cxnSp macro="">
      <xdr:nvCxnSpPr>
        <xdr:cNvPr id="8" name="Прямая соединительная линия 7"/>
        <xdr:cNvCxnSpPr/>
      </xdr:nvCxnSpPr>
      <xdr:spPr>
        <a:xfrm>
          <a:off x="5343525" y="4810125"/>
          <a:ext cx="1238250" cy="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0</xdr:colOff>
      <xdr:row>118</xdr:row>
      <xdr:rowOff>352425</xdr:rowOff>
    </xdr:from>
    <xdr:to>
      <xdr:col>17</xdr:col>
      <xdr:colOff>0</xdr:colOff>
      <xdr:row>118</xdr:row>
      <xdr:rowOff>352426</xdr:rowOff>
    </xdr:to>
    <xdr:cxnSp macro="">
      <xdr:nvCxnSpPr>
        <xdr:cNvPr id="9" name="Прямая соединительная линия 8"/>
        <xdr:cNvCxnSpPr/>
      </xdr:nvCxnSpPr>
      <xdr:spPr>
        <a:xfrm flipV="1">
          <a:off x="7677150" y="4810125"/>
          <a:ext cx="9144000" cy="1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9525</xdr:colOff>
      <xdr:row>105</xdr:row>
      <xdr:rowOff>342900</xdr:rowOff>
    </xdr:from>
    <xdr:to>
      <xdr:col>6</xdr:col>
      <xdr:colOff>0</xdr:colOff>
      <xdr:row>105</xdr:row>
      <xdr:rowOff>342900</xdr:rowOff>
    </xdr:to>
    <xdr:cxnSp macro="">
      <xdr:nvCxnSpPr>
        <xdr:cNvPr id="6" name="Прямая соединительная линия 5"/>
        <xdr:cNvCxnSpPr/>
      </xdr:nvCxnSpPr>
      <xdr:spPr>
        <a:xfrm>
          <a:off x="5353050" y="4486275"/>
          <a:ext cx="1219200" cy="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0</xdr:colOff>
      <xdr:row>106</xdr:row>
      <xdr:rowOff>0</xdr:rowOff>
    </xdr:from>
    <xdr:to>
      <xdr:col>16</xdr:col>
      <xdr:colOff>885825</xdr:colOff>
      <xdr:row>106</xdr:row>
      <xdr:rowOff>1</xdr:rowOff>
    </xdr:to>
    <xdr:cxnSp macro="">
      <xdr:nvCxnSpPr>
        <xdr:cNvPr id="7" name="Прямая соединительная линия 6"/>
        <xdr:cNvCxnSpPr/>
      </xdr:nvCxnSpPr>
      <xdr:spPr>
        <a:xfrm flipV="1">
          <a:off x="7677150" y="4486275"/>
          <a:ext cx="9134475" cy="1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0</xdr:colOff>
      <xdr:row>106</xdr:row>
      <xdr:rowOff>352425</xdr:rowOff>
    </xdr:from>
    <xdr:to>
      <xdr:col>6</xdr:col>
      <xdr:colOff>9525</xdr:colOff>
      <xdr:row>106</xdr:row>
      <xdr:rowOff>352425</xdr:rowOff>
    </xdr:to>
    <xdr:cxnSp macro="">
      <xdr:nvCxnSpPr>
        <xdr:cNvPr id="8" name="Прямая соединительная линия 7"/>
        <xdr:cNvCxnSpPr/>
      </xdr:nvCxnSpPr>
      <xdr:spPr>
        <a:xfrm>
          <a:off x="5343525" y="4810125"/>
          <a:ext cx="1238250" cy="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0</xdr:colOff>
      <xdr:row>106</xdr:row>
      <xdr:rowOff>352425</xdr:rowOff>
    </xdr:from>
    <xdr:to>
      <xdr:col>17</xdr:col>
      <xdr:colOff>0</xdr:colOff>
      <xdr:row>106</xdr:row>
      <xdr:rowOff>352426</xdr:rowOff>
    </xdr:to>
    <xdr:cxnSp macro="">
      <xdr:nvCxnSpPr>
        <xdr:cNvPr id="9" name="Прямая соединительная линия 8"/>
        <xdr:cNvCxnSpPr/>
      </xdr:nvCxnSpPr>
      <xdr:spPr>
        <a:xfrm flipV="1">
          <a:off x="7677150" y="4810125"/>
          <a:ext cx="9144000" cy="1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9525</xdr:colOff>
      <xdr:row>104</xdr:row>
      <xdr:rowOff>342900</xdr:rowOff>
    </xdr:from>
    <xdr:to>
      <xdr:col>6</xdr:col>
      <xdr:colOff>0</xdr:colOff>
      <xdr:row>104</xdr:row>
      <xdr:rowOff>342900</xdr:rowOff>
    </xdr:to>
    <xdr:cxnSp macro="">
      <xdr:nvCxnSpPr>
        <xdr:cNvPr id="6" name="Прямая соединительная линия 5"/>
        <xdr:cNvCxnSpPr/>
      </xdr:nvCxnSpPr>
      <xdr:spPr>
        <a:xfrm>
          <a:off x="5353050" y="4486275"/>
          <a:ext cx="1219200" cy="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0</xdr:colOff>
      <xdr:row>105</xdr:row>
      <xdr:rowOff>0</xdr:rowOff>
    </xdr:from>
    <xdr:to>
      <xdr:col>16</xdr:col>
      <xdr:colOff>885825</xdr:colOff>
      <xdr:row>105</xdr:row>
      <xdr:rowOff>1</xdr:rowOff>
    </xdr:to>
    <xdr:cxnSp macro="">
      <xdr:nvCxnSpPr>
        <xdr:cNvPr id="7" name="Прямая соединительная линия 6"/>
        <xdr:cNvCxnSpPr/>
      </xdr:nvCxnSpPr>
      <xdr:spPr>
        <a:xfrm flipV="1">
          <a:off x="7677150" y="4486275"/>
          <a:ext cx="9134475" cy="1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0</xdr:colOff>
      <xdr:row>105</xdr:row>
      <xdr:rowOff>352425</xdr:rowOff>
    </xdr:from>
    <xdr:to>
      <xdr:col>6</xdr:col>
      <xdr:colOff>9525</xdr:colOff>
      <xdr:row>105</xdr:row>
      <xdr:rowOff>352425</xdr:rowOff>
    </xdr:to>
    <xdr:cxnSp macro="">
      <xdr:nvCxnSpPr>
        <xdr:cNvPr id="8" name="Прямая соединительная линия 7"/>
        <xdr:cNvCxnSpPr/>
      </xdr:nvCxnSpPr>
      <xdr:spPr>
        <a:xfrm>
          <a:off x="5343525" y="4810125"/>
          <a:ext cx="1238250" cy="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0</xdr:colOff>
      <xdr:row>105</xdr:row>
      <xdr:rowOff>352425</xdr:rowOff>
    </xdr:from>
    <xdr:to>
      <xdr:col>17</xdr:col>
      <xdr:colOff>0</xdr:colOff>
      <xdr:row>105</xdr:row>
      <xdr:rowOff>352426</xdr:rowOff>
    </xdr:to>
    <xdr:cxnSp macro="">
      <xdr:nvCxnSpPr>
        <xdr:cNvPr id="9" name="Прямая соединительная линия 8"/>
        <xdr:cNvCxnSpPr/>
      </xdr:nvCxnSpPr>
      <xdr:spPr>
        <a:xfrm flipV="1">
          <a:off x="7677150" y="4810125"/>
          <a:ext cx="9144000" cy="1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9525</xdr:colOff>
      <xdr:row>112</xdr:row>
      <xdr:rowOff>342900</xdr:rowOff>
    </xdr:from>
    <xdr:to>
      <xdr:col>6</xdr:col>
      <xdr:colOff>0</xdr:colOff>
      <xdr:row>112</xdr:row>
      <xdr:rowOff>342900</xdr:rowOff>
    </xdr:to>
    <xdr:cxnSp macro="">
      <xdr:nvCxnSpPr>
        <xdr:cNvPr id="6" name="Прямая соединительная линия 5"/>
        <xdr:cNvCxnSpPr/>
      </xdr:nvCxnSpPr>
      <xdr:spPr>
        <a:xfrm>
          <a:off x="5353050" y="4486275"/>
          <a:ext cx="1219200" cy="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0</xdr:colOff>
      <xdr:row>113</xdr:row>
      <xdr:rowOff>0</xdr:rowOff>
    </xdr:from>
    <xdr:to>
      <xdr:col>16</xdr:col>
      <xdr:colOff>885825</xdr:colOff>
      <xdr:row>113</xdr:row>
      <xdr:rowOff>1</xdr:rowOff>
    </xdr:to>
    <xdr:cxnSp macro="">
      <xdr:nvCxnSpPr>
        <xdr:cNvPr id="7" name="Прямая соединительная линия 6"/>
        <xdr:cNvCxnSpPr/>
      </xdr:nvCxnSpPr>
      <xdr:spPr>
        <a:xfrm flipV="1">
          <a:off x="7677150" y="4486275"/>
          <a:ext cx="9134475" cy="1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0</xdr:colOff>
      <xdr:row>113</xdr:row>
      <xdr:rowOff>352425</xdr:rowOff>
    </xdr:from>
    <xdr:to>
      <xdr:col>6</xdr:col>
      <xdr:colOff>9525</xdr:colOff>
      <xdr:row>113</xdr:row>
      <xdr:rowOff>352425</xdr:rowOff>
    </xdr:to>
    <xdr:cxnSp macro="">
      <xdr:nvCxnSpPr>
        <xdr:cNvPr id="8" name="Прямая соединительная линия 7"/>
        <xdr:cNvCxnSpPr/>
      </xdr:nvCxnSpPr>
      <xdr:spPr>
        <a:xfrm>
          <a:off x="5343525" y="4810125"/>
          <a:ext cx="1238250" cy="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0</xdr:colOff>
      <xdr:row>113</xdr:row>
      <xdr:rowOff>352425</xdr:rowOff>
    </xdr:from>
    <xdr:to>
      <xdr:col>17</xdr:col>
      <xdr:colOff>0</xdr:colOff>
      <xdr:row>113</xdr:row>
      <xdr:rowOff>352426</xdr:rowOff>
    </xdr:to>
    <xdr:cxnSp macro="">
      <xdr:nvCxnSpPr>
        <xdr:cNvPr id="9" name="Прямая соединительная линия 8"/>
        <xdr:cNvCxnSpPr/>
      </xdr:nvCxnSpPr>
      <xdr:spPr>
        <a:xfrm flipV="1">
          <a:off x="7677150" y="4810125"/>
          <a:ext cx="9144000" cy="1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9525</xdr:colOff>
      <xdr:row>166</xdr:row>
      <xdr:rowOff>342900</xdr:rowOff>
    </xdr:from>
    <xdr:to>
      <xdr:col>6</xdr:col>
      <xdr:colOff>0</xdr:colOff>
      <xdr:row>166</xdr:row>
      <xdr:rowOff>342900</xdr:rowOff>
    </xdr:to>
    <xdr:sp macro="" textlink="">
      <xdr:nvSpPr>
        <xdr:cNvPr id="2" name="Прямая соединительная линия 1"/>
        <xdr:cNvSpPr>
          <a:spLocks noChangeShapeType="1"/>
        </xdr:cNvSpPr>
      </xdr:nvSpPr>
      <xdr:spPr bwMode="auto">
        <a:xfrm>
          <a:off x="9191625" y="37680900"/>
          <a:ext cx="135255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/>
          <a:tailEnd type="non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167</xdr:row>
      <xdr:rowOff>0</xdr:rowOff>
    </xdr:from>
    <xdr:to>
      <xdr:col>16</xdr:col>
      <xdr:colOff>885825</xdr:colOff>
      <xdr:row>167</xdr:row>
      <xdr:rowOff>0</xdr:rowOff>
    </xdr:to>
    <xdr:sp macro="" textlink="">
      <xdr:nvSpPr>
        <xdr:cNvPr id="3" name="Прямая соединительная линия 2"/>
        <xdr:cNvSpPr>
          <a:spLocks noChangeShapeType="1"/>
        </xdr:cNvSpPr>
      </xdr:nvSpPr>
      <xdr:spPr bwMode="auto">
        <a:xfrm flipV="1">
          <a:off x="12944475" y="37680900"/>
          <a:ext cx="638175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/>
          <a:tailEnd type="non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167</xdr:row>
      <xdr:rowOff>352425</xdr:rowOff>
    </xdr:from>
    <xdr:to>
      <xdr:col>6</xdr:col>
      <xdr:colOff>9525</xdr:colOff>
      <xdr:row>167</xdr:row>
      <xdr:rowOff>352425</xdr:rowOff>
    </xdr:to>
    <xdr:sp macro="" textlink="">
      <xdr:nvSpPr>
        <xdr:cNvPr id="4" name="Прямая соединительная линия 3"/>
        <xdr:cNvSpPr>
          <a:spLocks noChangeShapeType="1"/>
        </xdr:cNvSpPr>
      </xdr:nvSpPr>
      <xdr:spPr bwMode="auto">
        <a:xfrm>
          <a:off x="9182100" y="37880925"/>
          <a:ext cx="137160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/>
          <a:tailEnd type="non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167</xdr:row>
      <xdr:rowOff>352425</xdr:rowOff>
    </xdr:from>
    <xdr:to>
      <xdr:col>17</xdr:col>
      <xdr:colOff>0</xdr:colOff>
      <xdr:row>167</xdr:row>
      <xdr:rowOff>352425</xdr:rowOff>
    </xdr:to>
    <xdr:sp macro="" textlink="">
      <xdr:nvSpPr>
        <xdr:cNvPr id="5" name="Прямая соединительная линия 4"/>
        <xdr:cNvSpPr>
          <a:spLocks noChangeShapeType="1"/>
        </xdr:cNvSpPr>
      </xdr:nvSpPr>
      <xdr:spPr bwMode="auto">
        <a:xfrm flipV="1">
          <a:off x="12944475" y="37880925"/>
          <a:ext cx="638175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/>
          <a:tailEnd type="non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9525</xdr:colOff>
      <xdr:row>166</xdr:row>
      <xdr:rowOff>342900</xdr:rowOff>
    </xdr:from>
    <xdr:to>
      <xdr:col>6</xdr:col>
      <xdr:colOff>0</xdr:colOff>
      <xdr:row>166</xdr:row>
      <xdr:rowOff>342900</xdr:rowOff>
    </xdr:to>
    <xdr:sp macro="" textlink="">
      <xdr:nvSpPr>
        <xdr:cNvPr id="6" name="Прямая соединительная линия 1"/>
        <xdr:cNvSpPr>
          <a:spLocks noChangeShapeType="1"/>
        </xdr:cNvSpPr>
      </xdr:nvSpPr>
      <xdr:spPr bwMode="auto">
        <a:xfrm>
          <a:off x="9191625" y="37680900"/>
          <a:ext cx="135255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/>
          <a:tailEnd type="non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167</xdr:row>
      <xdr:rowOff>0</xdr:rowOff>
    </xdr:from>
    <xdr:to>
      <xdr:col>16</xdr:col>
      <xdr:colOff>885825</xdr:colOff>
      <xdr:row>167</xdr:row>
      <xdr:rowOff>0</xdr:rowOff>
    </xdr:to>
    <xdr:sp macro="" textlink="">
      <xdr:nvSpPr>
        <xdr:cNvPr id="7" name="Прямая соединительная линия 2"/>
        <xdr:cNvSpPr>
          <a:spLocks noChangeShapeType="1"/>
        </xdr:cNvSpPr>
      </xdr:nvSpPr>
      <xdr:spPr bwMode="auto">
        <a:xfrm flipV="1">
          <a:off x="12944475" y="37680900"/>
          <a:ext cx="638175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/>
          <a:tailEnd type="non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167</xdr:row>
      <xdr:rowOff>352425</xdr:rowOff>
    </xdr:from>
    <xdr:to>
      <xdr:col>6</xdr:col>
      <xdr:colOff>9525</xdr:colOff>
      <xdr:row>167</xdr:row>
      <xdr:rowOff>352425</xdr:rowOff>
    </xdr:to>
    <xdr:sp macro="" textlink="">
      <xdr:nvSpPr>
        <xdr:cNvPr id="8" name="Прямая соединительная линия 3"/>
        <xdr:cNvSpPr>
          <a:spLocks noChangeShapeType="1"/>
        </xdr:cNvSpPr>
      </xdr:nvSpPr>
      <xdr:spPr bwMode="auto">
        <a:xfrm>
          <a:off x="9182100" y="37880925"/>
          <a:ext cx="137160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/>
          <a:tailEnd type="non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167</xdr:row>
      <xdr:rowOff>352425</xdr:rowOff>
    </xdr:from>
    <xdr:to>
      <xdr:col>17</xdr:col>
      <xdr:colOff>0</xdr:colOff>
      <xdr:row>167</xdr:row>
      <xdr:rowOff>352425</xdr:rowOff>
    </xdr:to>
    <xdr:sp macro="" textlink="">
      <xdr:nvSpPr>
        <xdr:cNvPr id="9" name="Прямая соединительная линия 4"/>
        <xdr:cNvSpPr>
          <a:spLocks noChangeShapeType="1"/>
        </xdr:cNvSpPr>
      </xdr:nvSpPr>
      <xdr:spPr bwMode="auto">
        <a:xfrm flipV="1">
          <a:off x="12944475" y="37880925"/>
          <a:ext cx="638175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/>
          <a:tailEnd type="non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9525</xdr:colOff>
      <xdr:row>101</xdr:row>
      <xdr:rowOff>342900</xdr:rowOff>
    </xdr:from>
    <xdr:to>
      <xdr:col>6</xdr:col>
      <xdr:colOff>0</xdr:colOff>
      <xdr:row>101</xdr:row>
      <xdr:rowOff>342900</xdr:rowOff>
    </xdr:to>
    <xdr:cxnSp macro="">
      <xdr:nvCxnSpPr>
        <xdr:cNvPr id="6" name="Прямая соединительная линия 5"/>
        <xdr:cNvCxnSpPr/>
      </xdr:nvCxnSpPr>
      <xdr:spPr>
        <a:xfrm>
          <a:off x="5353050" y="4638675"/>
          <a:ext cx="1219200" cy="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0</xdr:colOff>
      <xdr:row>102</xdr:row>
      <xdr:rowOff>0</xdr:rowOff>
    </xdr:from>
    <xdr:to>
      <xdr:col>16</xdr:col>
      <xdr:colOff>885825</xdr:colOff>
      <xdr:row>102</xdr:row>
      <xdr:rowOff>1</xdr:rowOff>
    </xdr:to>
    <xdr:cxnSp macro="">
      <xdr:nvCxnSpPr>
        <xdr:cNvPr id="7" name="Прямая соединительная линия 6"/>
        <xdr:cNvCxnSpPr/>
      </xdr:nvCxnSpPr>
      <xdr:spPr>
        <a:xfrm flipV="1">
          <a:off x="7677150" y="4638675"/>
          <a:ext cx="9134475" cy="1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0</xdr:colOff>
      <xdr:row>102</xdr:row>
      <xdr:rowOff>352425</xdr:rowOff>
    </xdr:from>
    <xdr:to>
      <xdr:col>6</xdr:col>
      <xdr:colOff>9525</xdr:colOff>
      <xdr:row>102</xdr:row>
      <xdr:rowOff>352425</xdr:rowOff>
    </xdr:to>
    <xdr:cxnSp macro="">
      <xdr:nvCxnSpPr>
        <xdr:cNvPr id="8" name="Прямая соединительная линия 7"/>
        <xdr:cNvCxnSpPr/>
      </xdr:nvCxnSpPr>
      <xdr:spPr>
        <a:xfrm>
          <a:off x="5343525" y="4962525"/>
          <a:ext cx="1238250" cy="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0</xdr:colOff>
      <xdr:row>102</xdr:row>
      <xdr:rowOff>352425</xdr:rowOff>
    </xdr:from>
    <xdr:to>
      <xdr:col>17</xdr:col>
      <xdr:colOff>0</xdr:colOff>
      <xdr:row>102</xdr:row>
      <xdr:rowOff>352426</xdr:rowOff>
    </xdr:to>
    <xdr:cxnSp macro="">
      <xdr:nvCxnSpPr>
        <xdr:cNvPr id="9" name="Прямая соединительная линия 8"/>
        <xdr:cNvCxnSpPr/>
      </xdr:nvCxnSpPr>
      <xdr:spPr>
        <a:xfrm flipV="1">
          <a:off x="7677150" y="4962525"/>
          <a:ext cx="9144000" cy="1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9525</xdr:colOff>
      <xdr:row>120</xdr:row>
      <xdr:rowOff>342900</xdr:rowOff>
    </xdr:from>
    <xdr:to>
      <xdr:col>6</xdr:col>
      <xdr:colOff>0</xdr:colOff>
      <xdr:row>120</xdr:row>
      <xdr:rowOff>342900</xdr:rowOff>
    </xdr:to>
    <xdr:cxnSp macro="">
      <xdr:nvCxnSpPr>
        <xdr:cNvPr id="6" name="Прямая соединительная линия 5"/>
        <xdr:cNvCxnSpPr/>
      </xdr:nvCxnSpPr>
      <xdr:spPr>
        <a:xfrm>
          <a:off x="5353050" y="4667250"/>
          <a:ext cx="1219200" cy="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0</xdr:colOff>
      <xdr:row>121</xdr:row>
      <xdr:rowOff>0</xdr:rowOff>
    </xdr:from>
    <xdr:to>
      <xdr:col>16</xdr:col>
      <xdr:colOff>885825</xdr:colOff>
      <xdr:row>121</xdr:row>
      <xdr:rowOff>1</xdr:rowOff>
    </xdr:to>
    <xdr:cxnSp macro="">
      <xdr:nvCxnSpPr>
        <xdr:cNvPr id="7" name="Прямая соединительная линия 6"/>
        <xdr:cNvCxnSpPr/>
      </xdr:nvCxnSpPr>
      <xdr:spPr>
        <a:xfrm flipV="1">
          <a:off x="7677150" y="4667250"/>
          <a:ext cx="9134475" cy="1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0</xdr:colOff>
      <xdr:row>121</xdr:row>
      <xdr:rowOff>352425</xdr:rowOff>
    </xdr:from>
    <xdr:to>
      <xdr:col>6</xdr:col>
      <xdr:colOff>9525</xdr:colOff>
      <xdr:row>121</xdr:row>
      <xdr:rowOff>352425</xdr:rowOff>
    </xdr:to>
    <xdr:cxnSp macro="">
      <xdr:nvCxnSpPr>
        <xdr:cNvPr id="8" name="Прямая соединительная линия 7"/>
        <xdr:cNvCxnSpPr/>
      </xdr:nvCxnSpPr>
      <xdr:spPr>
        <a:xfrm>
          <a:off x="5343525" y="4991100"/>
          <a:ext cx="1238250" cy="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0</xdr:colOff>
      <xdr:row>121</xdr:row>
      <xdr:rowOff>352425</xdr:rowOff>
    </xdr:from>
    <xdr:to>
      <xdr:col>17</xdr:col>
      <xdr:colOff>0</xdr:colOff>
      <xdr:row>121</xdr:row>
      <xdr:rowOff>352426</xdr:rowOff>
    </xdr:to>
    <xdr:cxnSp macro="">
      <xdr:nvCxnSpPr>
        <xdr:cNvPr id="9" name="Прямая соединительная линия 8"/>
        <xdr:cNvCxnSpPr/>
      </xdr:nvCxnSpPr>
      <xdr:spPr>
        <a:xfrm flipV="1">
          <a:off x="7677150" y="4991100"/>
          <a:ext cx="9144000" cy="1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9525</xdr:colOff>
      <xdr:row>99</xdr:row>
      <xdr:rowOff>342900</xdr:rowOff>
    </xdr:from>
    <xdr:to>
      <xdr:col>6</xdr:col>
      <xdr:colOff>0</xdr:colOff>
      <xdr:row>99</xdr:row>
      <xdr:rowOff>342900</xdr:rowOff>
    </xdr:to>
    <xdr:cxnSp macro="">
      <xdr:nvCxnSpPr>
        <xdr:cNvPr id="6" name="Прямая соединительная линия 5"/>
        <xdr:cNvCxnSpPr/>
      </xdr:nvCxnSpPr>
      <xdr:spPr>
        <a:xfrm>
          <a:off x="5353050" y="4667250"/>
          <a:ext cx="1219200" cy="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0</xdr:colOff>
      <xdr:row>100</xdr:row>
      <xdr:rowOff>0</xdr:rowOff>
    </xdr:from>
    <xdr:to>
      <xdr:col>16</xdr:col>
      <xdr:colOff>885825</xdr:colOff>
      <xdr:row>100</xdr:row>
      <xdr:rowOff>1</xdr:rowOff>
    </xdr:to>
    <xdr:cxnSp macro="">
      <xdr:nvCxnSpPr>
        <xdr:cNvPr id="7" name="Прямая соединительная линия 6"/>
        <xdr:cNvCxnSpPr/>
      </xdr:nvCxnSpPr>
      <xdr:spPr>
        <a:xfrm flipV="1">
          <a:off x="7677150" y="4667250"/>
          <a:ext cx="9134475" cy="1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0</xdr:colOff>
      <xdr:row>100</xdr:row>
      <xdr:rowOff>352425</xdr:rowOff>
    </xdr:from>
    <xdr:to>
      <xdr:col>6</xdr:col>
      <xdr:colOff>9525</xdr:colOff>
      <xdr:row>100</xdr:row>
      <xdr:rowOff>352425</xdr:rowOff>
    </xdr:to>
    <xdr:cxnSp macro="">
      <xdr:nvCxnSpPr>
        <xdr:cNvPr id="8" name="Прямая соединительная линия 7"/>
        <xdr:cNvCxnSpPr/>
      </xdr:nvCxnSpPr>
      <xdr:spPr>
        <a:xfrm>
          <a:off x="5343525" y="4991100"/>
          <a:ext cx="1238250" cy="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0</xdr:colOff>
      <xdr:row>100</xdr:row>
      <xdr:rowOff>352425</xdr:rowOff>
    </xdr:from>
    <xdr:to>
      <xdr:col>17</xdr:col>
      <xdr:colOff>0</xdr:colOff>
      <xdr:row>100</xdr:row>
      <xdr:rowOff>352426</xdr:rowOff>
    </xdr:to>
    <xdr:cxnSp macro="">
      <xdr:nvCxnSpPr>
        <xdr:cNvPr id="9" name="Прямая соединительная линия 8"/>
        <xdr:cNvCxnSpPr/>
      </xdr:nvCxnSpPr>
      <xdr:spPr>
        <a:xfrm flipV="1">
          <a:off x="7677150" y="4991100"/>
          <a:ext cx="9144000" cy="1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9525</xdr:colOff>
      <xdr:row>9</xdr:row>
      <xdr:rowOff>342900</xdr:rowOff>
    </xdr:from>
    <xdr:to>
      <xdr:col>6</xdr:col>
      <xdr:colOff>0</xdr:colOff>
      <xdr:row>9</xdr:row>
      <xdr:rowOff>342900</xdr:rowOff>
    </xdr:to>
    <xdr:cxnSp macro="">
      <xdr:nvCxnSpPr>
        <xdr:cNvPr id="2" name="Прямая соединительная линия 1"/>
        <xdr:cNvCxnSpPr/>
      </xdr:nvCxnSpPr>
      <xdr:spPr>
        <a:xfrm>
          <a:off x="5353050" y="4667250"/>
          <a:ext cx="1219200" cy="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0</xdr:colOff>
      <xdr:row>10</xdr:row>
      <xdr:rowOff>0</xdr:rowOff>
    </xdr:from>
    <xdr:to>
      <xdr:col>16</xdr:col>
      <xdr:colOff>885825</xdr:colOff>
      <xdr:row>10</xdr:row>
      <xdr:rowOff>1</xdr:rowOff>
    </xdr:to>
    <xdr:cxnSp macro="">
      <xdr:nvCxnSpPr>
        <xdr:cNvPr id="3" name="Прямая соединительная линия 2"/>
        <xdr:cNvCxnSpPr/>
      </xdr:nvCxnSpPr>
      <xdr:spPr>
        <a:xfrm flipV="1">
          <a:off x="7677150" y="4667250"/>
          <a:ext cx="9134475" cy="1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0</xdr:colOff>
      <xdr:row>10</xdr:row>
      <xdr:rowOff>352425</xdr:rowOff>
    </xdr:from>
    <xdr:to>
      <xdr:col>6</xdr:col>
      <xdr:colOff>9525</xdr:colOff>
      <xdr:row>10</xdr:row>
      <xdr:rowOff>352425</xdr:rowOff>
    </xdr:to>
    <xdr:cxnSp macro="">
      <xdr:nvCxnSpPr>
        <xdr:cNvPr id="4" name="Прямая соединительная линия 3"/>
        <xdr:cNvCxnSpPr/>
      </xdr:nvCxnSpPr>
      <xdr:spPr>
        <a:xfrm>
          <a:off x="5343525" y="4991100"/>
          <a:ext cx="1238250" cy="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0</xdr:colOff>
      <xdr:row>10</xdr:row>
      <xdr:rowOff>352425</xdr:rowOff>
    </xdr:from>
    <xdr:to>
      <xdr:col>17</xdr:col>
      <xdr:colOff>0</xdr:colOff>
      <xdr:row>10</xdr:row>
      <xdr:rowOff>352426</xdr:rowOff>
    </xdr:to>
    <xdr:cxnSp macro="">
      <xdr:nvCxnSpPr>
        <xdr:cNvPr id="5" name="Прямая соединительная линия 4"/>
        <xdr:cNvCxnSpPr/>
      </xdr:nvCxnSpPr>
      <xdr:spPr>
        <a:xfrm flipV="1">
          <a:off x="7677150" y="4991100"/>
          <a:ext cx="9144000" cy="1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9525</xdr:colOff>
      <xdr:row>166</xdr:row>
      <xdr:rowOff>342900</xdr:rowOff>
    </xdr:from>
    <xdr:to>
      <xdr:col>6</xdr:col>
      <xdr:colOff>0</xdr:colOff>
      <xdr:row>166</xdr:row>
      <xdr:rowOff>342900</xdr:rowOff>
    </xdr:to>
    <xdr:sp macro="" textlink="">
      <xdr:nvSpPr>
        <xdr:cNvPr id="2" name="Прямая соединительная линия 1"/>
        <xdr:cNvSpPr>
          <a:spLocks noChangeShapeType="1"/>
        </xdr:cNvSpPr>
      </xdr:nvSpPr>
      <xdr:spPr bwMode="auto">
        <a:xfrm>
          <a:off x="9191625" y="37680900"/>
          <a:ext cx="135255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/>
          <a:tailEnd type="non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167</xdr:row>
      <xdr:rowOff>0</xdr:rowOff>
    </xdr:from>
    <xdr:to>
      <xdr:col>16</xdr:col>
      <xdr:colOff>885825</xdr:colOff>
      <xdr:row>167</xdr:row>
      <xdr:rowOff>0</xdr:rowOff>
    </xdr:to>
    <xdr:sp macro="" textlink="">
      <xdr:nvSpPr>
        <xdr:cNvPr id="3" name="Прямая соединительная линия 2"/>
        <xdr:cNvSpPr>
          <a:spLocks noChangeShapeType="1"/>
        </xdr:cNvSpPr>
      </xdr:nvSpPr>
      <xdr:spPr bwMode="auto">
        <a:xfrm flipV="1">
          <a:off x="12944475" y="37680900"/>
          <a:ext cx="638175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/>
          <a:tailEnd type="non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167</xdr:row>
      <xdr:rowOff>352425</xdr:rowOff>
    </xdr:from>
    <xdr:to>
      <xdr:col>6</xdr:col>
      <xdr:colOff>9525</xdr:colOff>
      <xdr:row>167</xdr:row>
      <xdr:rowOff>352425</xdr:rowOff>
    </xdr:to>
    <xdr:sp macro="" textlink="">
      <xdr:nvSpPr>
        <xdr:cNvPr id="4" name="Прямая соединительная линия 3"/>
        <xdr:cNvSpPr>
          <a:spLocks noChangeShapeType="1"/>
        </xdr:cNvSpPr>
      </xdr:nvSpPr>
      <xdr:spPr bwMode="auto">
        <a:xfrm>
          <a:off x="9182100" y="37880925"/>
          <a:ext cx="137160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/>
          <a:tailEnd type="non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167</xdr:row>
      <xdr:rowOff>352425</xdr:rowOff>
    </xdr:from>
    <xdr:to>
      <xdr:col>17</xdr:col>
      <xdr:colOff>0</xdr:colOff>
      <xdr:row>167</xdr:row>
      <xdr:rowOff>352425</xdr:rowOff>
    </xdr:to>
    <xdr:sp macro="" textlink="">
      <xdr:nvSpPr>
        <xdr:cNvPr id="5" name="Прямая соединительная линия 4"/>
        <xdr:cNvSpPr>
          <a:spLocks noChangeShapeType="1"/>
        </xdr:cNvSpPr>
      </xdr:nvSpPr>
      <xdr:spPr bwMode="auto">
        <a:xfrm flipV="1">
          <a:off x="12944475" y="37880925"/>
          <a:ext cx="638175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/>
          <a:tailEnd type="non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9525</xdr:colOff>
      <xdr:row>166</xdr:row>
      <xdr:rowOff>342900</xdr:rowOff>
    </xdr:from>
    <xdr:to>
      <xdr:col>6</xdr:col>
      <xdr:colOff>0</xdr:colOff>
      <xdr:row>166</xdr:row>
      <xdr:rowOff>342900</xdr:rowOff>
    </xdr:to>
    <xdr:sp macro="" textlink="">
      <xdr:nvSpPr>
        <xdr:cNvPr id="6" name="Прямая соединительная линия 1"/>
        <xdr:cNvSpPr>
          <a:spLocks noChangeShapeType="1"/>
        </xdr:cNvSpPr>
      </xdr:nvSpPr>
      <xdr:spPr bwMode="auto">
        <a:xfrm>
          <a:off x="9191625" y="37680900"/>
          <a:ext cx="135255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/>
          <a:tailEnd type="non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167</xdr:row>
      <xdr:rowOff>0</xdr:rowOff>
    </xdr:from>
    <xdr:to>
      <xdr:col>16</xdr:col>
      <xdr:colOff>885825</xdr:colOff>
      <xdr:row>167</xdr:row>
      <xdr:rowOff>0</xdr:rowOff>
    </xdr:to>
    <xdr:sp macro="" textlink="">
      <xdr:nvSpPr>
        <xdr:cNvPr id="7" name="Прямая соединительная линия 2"/>
        <xdr:cNvSpPr>
          <a:spLocks noChangeShapeType="1"/>
        </xdr:cNvSpPr>
      </xdr:nvSpPr>
      <xdr:spPr bwMode="auto">
        <a:xfrm flipV="1">
          <a:off x="12944475" y="37680900"/>
          <a:ext cx="638175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/>
          <a:tailEnd type="non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167</xdr:row>
      <xdr:rowOff>352425</xdr:rowOff>
    </xdr:from>
    <xdr:to>
      <xdr:col>6</xdr:col>
      <xdr:colOff>9525</xdr:colOff>
      <xdr:row>167</xdr:row>
      <xdr:rowOff>352425</xdr:rowOff>
    </xdr:to>
    <xdr:sp macro="" textlink="">
      <xdr:nvSpPr>
        <xdr:cNvPr id="8" name="Прямая соединительная линия 3"/>
        <xdr:cNvSpPr>
          <a:spLocks noChangeShapeType="1"/>
        </xdr:cNvSpPr>
      </xdr:nvSpPr>
      <xdr:spPr bwMode="auto">
        <a:xfrm>
          <a:off x="9182100" y="37880925"/>
          <a:ext cx="137160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/>
          <a:tailEnd type="non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167</xdr:row>
      <xdr:rowOff>352425</xdr:rowOff>
    </xdr:from>
    <xdr:to>
      <xdr:col>17</xdr:col>
      <xdr:colOff>0</xdr:colOff>
      <xdr:row>167</xdr:row>
      <xdr:rowOff>352425</xdr:rowOff>
    </xdr:to>
    <xdr:sp macro="" textlink="">
      <xdr:nvSpPr>
        <xdr:cNvPr id="9" name="Прямая соединительная линия 4"/>
        <xdr:cNvSpPr>
          <a:spLocks noChangeShapeType="1"/>
        </xdr:cNvSpPr>
      </xdr:nvSpPr>
      <xdr:spPr bwMode="auto">
        <a:xfrm flipV="1">
          <a:off x="12944475" y="37880925"/>
          <a:ext cx="638175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/>
          <a:tailEnd type="non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9525</xdr:colOff>
      <xdr:row>166</xdr:row>
      <xdr:rowOff>342900</xdr:rowOff>
    </xdr:from>
    <xdr:to>
      <xdr:col>6</xdr:col>
      <xdr:colOff>0</xdr:colOff>
      <xdr:row>166</xdr:row>
      <xdr:rowOff>342900</xdr:rowOff>
    </xdr:to>
    <xdr:sp macro="" textlink="">
      <xdr:nvSpPr>
        <xdr:cNvPr id="2" name="Прямая соединительная линия 1"/>
        <xdr:cNvSpPr>
          <a:spLocks noChangeShapeType="1"/>
        </xdr:cNvSpPr>
      </xdr:nvSpPr>
      <xdr:spPr bwMode="auto">
        <a:xfrm>
          <a:off x="9191625" y="37680900"/>
          <a:ext cx="135255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/>
          <a:tailEnd type="non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167</xdr:row>
      <xdr:rowOff>0</xdr:rowOff>
    </xdr:from>
    <xdr:to>
      <xdr:col>16</xdr:col>
      <xdr:colOff>885825</xdr:colOff>
      <xdr:row>167</xdr:row>
      <xdr:rowOff>0</xdr:rowOff>
    </xdr:to>
    <xdr:sp macro="" textlink="">
      <xdr:nvSpPr>
        <xdr:cNvPr id="3" name="Прямая соединительная линия 2"/>
        <xdr:cNvSpPr>
          <a:spLocks noChangeShapeType="1"/>
        </xdr:cNvSpPr>
      </xdr:nvSpPr>
      <xdr:spPr bwMode="auto">
        <a:xfrm flipV="1">
          <a:off x="12944475" y="37680900"/>
          <a:ext cx="638175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/>
          <a:tailEnd type="non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167</xdr:row>
      <xdr:rowOff>352425</xdr:rowOff>
    </xdr:from>
    <xdr:to>
      <xdr:col>6</xdr:col>
      <xdr:colOff>9525</xdr:colOff>
      <xdr:row>167</xdr:row>
      <xdr:rowOff>352425</xdr:rowOff>
    </xdr:to>
    <xdr:sp macro="" textlink="">
      <xdr:nvSpPr>
        <xdr:cNvPr id="4" name="Прямая соединительная линия 3"/>
        <xdr:cNvSpPr>
          <a:spLocks noChangeShapeType="1"/>
        </xdr:cNvSpPr>
      </xdr:nvSpPr>
      <xdr:spPr bwMode="auto">
        <a:xfrm>
          <a:off x="9182100" y="37880925"/>
          <a:ext cx="137160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/>
          <a:tailEnd type="non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167</xdr:row>
      <xdr:rowOff>352425</xdr:rowOff>
    </xdr:from>
    <xdr:to>
      <xdr:col>17</xdr:col>
      <xdr:colOff>0</xdr:colOff>
      <xdr:row>167</xdr:row>
      <xdr:rowOff>352425</xdr:rowOff>
    </xdr:to>
    <xdr:sp macro="" textlink="">
      <xdr:nvSpPr>
        <xdr:cNvPr id="5" name="Прямая соединительная линия 4"/>
        <xdr:cNvSpPr>
          <a:spLocks noChangeShapeType="1"/>
        </xdr:cNvSpPr>
      </xdr:nvSpPr>
      <xdr:spPr bwMode="auto">
        <a:xfrm flipV="1">
          <a:off x="12944475" y="37880925"/>
          <a:ext cx="638175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/>
          <a:tailEnd type="non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9525</xdr:colOff>
      <xdr:row>166</xdr:row>
      <xdr:rowOff>342900</xdr:rowOff>
    </xdr:from>
    <xdr:to>
      <xdr:col>6</xdr:col>
      <xdr:colOff>0</xdr:colOff>
      <xdr:row>166</xdr:row>
      <xdr:rowOff>342900</xdr:rowOff>
    </xdr:to>
    <xdr:sp macro="" textlink="">
      <xdr:nvSpPr>
        <xdr:cNvPr id="6" name="Прямая соединительная линия 1"/>
        <xdr:cNvSpPr>
          <a:spLocks noChangeShapeType="1"/>
        </xdr:cNvSpPr>
      </xdr:nvSpPr>
      <xdr:spPr bwMode="auto">
        <a:xfrm>
          <a:off x="9191625" y="37680900"/>
          <a:ext cx="135255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/>
          <a:tailEnd type="non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167</xdr:row>
      <xdr:rowOff>0</xdr:rowOff>
    </xdr:from>
    <xdr:to>
      <xdr:col>16</xdr:col>
      <xdr:colOff>885825</xdr:colOff>
      <xdr:row>167</xdr:row>
      <xdr:rowOff>0</xdr:rowOff>
    </xdr:to>
    <xdr:sp macro="" textlink="">
      <xdr:nvSpPr>
        <xdr:cNvPr id="7" name="Прямая соединительная линия 2"/>
        <xdr:cNvSpPr>
          <a:spLocks noChangeShapeType="1"/>
        </xdr:cNvSpPr>
      </xdr:nvSpPr>
      <xdr:spPr bwMode="auto">
        <a:xfrm flipV="1">
          <a:off x="12944475" y="37680900"/>
          <a:ext cx="638175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/>
          <a:tailEnd type="non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167</xdr:row>
      <xdr:rowOff>352425</xdr:rowOff>
    </xdr:from>
    <xdr:to>
      <xdr:col>6</xdr:col>
      <xdr:colOff>9525</xdr:colOff>
      <xdr:row>167</xdr:row>
      <xdr:rowOff>352425</xdr:rowOff>
    </xdr:to>
    <xdr:sp macro="" textlink="">
      <xdr:nvSpPr>
        <xdr:cNvPr id="8" name="Прямая соединительная линия 3"/>
        <xdr:cNvSpPr>
          <a:spLocks noChangeShapeType="1"/>
        </xdr:cNvSpPr>
      </xdr:nvSpPr>
      <xdr:spPr bwMode="auto">
        <a:xfrm>
          <a:off x="9182100" y="37880925"/>
          <a:ext cx="137160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/>
          <a:tailEnd type="non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167</xdr:row>
      <xdr:rowOff>352425</xdr:rowOff>
    </xdr:from>
    <xdr:to>
      <xdr:col>17</xdr:col>
      <xdr:colOff>0</xdr:colOff>
      <xdr:row>167</xdr:row>
      <xdr:rowOff>352425</xdr:rowOff>
    </xdr:to>
    <xdr:sp macro="" textlink="">
      <xdr:nvSpPr>
        <xdr:cNvPr id="9" name="Прямая соединительная линия 4"/>
        <xdr:cNvSpPr>
          <a:spLocks noChangeShapeType="1"/>
        </xdr:cNvSpPr>
      </xdr:nvSpPr>
      <xdr:spPr bwMode="auto">
        <a:xfrm flipV="1">
          <a:off x="12944475" y="37880925"/>
          <a:ext cx="638175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/>
          <a:tailEnd type="non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9525</xdr:colOff>
      <xdr:row>166</xdr:row>
      <xdr:rowOff>342900</xdr:rowOff>
    </xdr:from>
    <xdr:to>
      <xdr:col>6</xdr:col>
      <xdr:colOff>0</xdr:colOff>
      <xdr:row>166</xdr:row>
      <xdr:rowOff>342900</xdr:rowOff>
    </xdr:to>
    <xdr:sp macro="" textlink="">
      <xdr:nvSpPr>
        <xdr:cNvPr id="2" name="Прямая соединительная линия 1"/>
        <xdr:cNvSpPr>
          <a:spLocks noChangeShapeType="1"/>
        </xdr:cNvSpPr>
      </xdr:nvSpPr>
      <xdr:spPr bwMode="auto">
        <a:xfrm>
          <a:off x="9191625" y="37680900"/>
          <a:ext cx="135255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/>
          <a:tailEnd type="non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167</xdr:row>
      <xdr:rowOff>0</xdr:rowOff>
    </xdr:from>
    <xdr:to>
      <xdr:col>16</xdr:col>
      <xdr:colOff>885825</xdr:colOff>
      <xdr:row>167</xdr:row>
      <xdr:rowOff>0</xdr:rowOff>
    </xdr:to>
    <xdr:sp macro="" textlink="">
      <xdr:nvSpPr>
        <xdr:cNvPr id="3" name="Прямая соединительная линия 2"/>
        <xdr:cNvSpPr>
          <a:spLocks noChangeShapeType="1"/>
        </xdr:cNvSpPr>
      </xdr:nvSpPr>
      <xdr:spPr bwMode="auto">
        <a:xfrm flipV="1">
          <a:off x="12944475" y="37680900"/>
          <a:ext cx="638175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/>
          <a:tailEnd type="non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167</xdr:row>
      <xdr:rowOff>352425</xdr:rowOff>
    </xdr:from>
    <xdr:to>
      <xdr:col>6</xdr:col>
      <xdr:colOff>9525</xdr:colOff>
      <xdr:row>167</xdr:row>
      <xdr:rowOff>352425</xdr:rowOff>
    </xdr:to>
    <xdr:sp macro="" textlink="">
      <xdr:nvSpPr>
        <xdr:cNvPr id="4" name="Прямая соединительная линия 3"/>
        <xdr:cNvSpPr>
          <a:spLocks noChangeShapeType="1"/>
        </xdr:cNvSpPr>
      </xdr:nvSpPr>
      <xdr:spPr bwMode="auto">
        <a:xfrm>
          <a:off x="9182100" y="37880925"/>
          <a:ext cx="137160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/>
          <a:tailEnd type="non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167</xdr:row>
      <xdr:rowOff>352425</xdr:rowOff>
    </xdr:from>
    <xdr:to>
      <xdr:col>17</xdr:col>
      <xdr:colOff>0</xdr:colOff>
      <xdr:row>167</xdr:row>
      <xdr:rowOff>352425</xdr:rowOff>
    </xdr:to>
    <xdr:sp macro="" textlink="">
      <xdr:nvSpPr>
        <xdr:cNvPr id="5" name="Прямая соединительная линия 4"/>
        <xdr:cNvSpPr>
          <a:spLocks noChangeShapeType="1"/>
        </xdr:cNvSpPr>
      </xdr:nvSpPr>
      <xdr:spPr bwMode="auto">
        <a:xfrm flipV="1">
          <a:off x="12944475" y="37880925"/>
          <a:ext cx="638175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/>
          <a:tailEnd type="non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9525</xdr:colOff>
      <xdr:row>166</xdr:row>
      <xdr:rowOff>342900</xdr:rowOff>
    </xdr:from>
    <xdr:to>
      <xdr:col>6</xdr:col>
      <xdr:colOff>0</xdr:colOff>
      <xdr:row>166</xdr:row>
      <xdr:rowOff>342900</xdr:rowOff>
    </xdr:to>
    <xdr:sp macro="" textlink="">
      <xdr:nvSpPr>
        <xdr:cNvPr id="6" name="Прямая соединительная линия 1"/>
        <xdr:cNvSpPr>
          <a:spLocks noChangeShapeType="1"/>
        </xdr:cNvSpPr>
      </xdr:nvSpPr>
      <xdr:spPr bwMode="auto">
        <a:xfrm>
          <a:off x="9191625" y="37680900"/>
          <a:ext cx="135255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/>
          <a:tailEnd type="non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167</xdr:row>
      <xdr:rowOff>0</xdr:rowOff>
    </xdr:from>
    <xdr:to>
      <xdr:col>16</xdr:col>
      <xdr:colOff>885825</xdr:colOff>
      <xdr:row>167</xdr:row>
      <xdr:rowOff>0</xdr:rowOff>
    </xdr:to>
    <xdr:sp macro="" textlink="">
      <xdr:nvSpPr>
        <xdr:cNvPr id="7" name="Прямая соединительная линия 2"/>
        <xdr:cNvSpPr>
          <a:spLocks noChangeShapeType="1"/>
        </xdr:cNvSpPr>
      </xdr:nvSpPr>
      <xdr:spPr bwMode="auto">
        <a:xfrm flipV="1">
          <a:off x="12944475" y="37680900"/>
          <a:ext cx="638175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/>
          <a:tailEnd type="non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167</xdr:row>
      <xdr:rowOff>352425</xdr:rowOff>
    </xdr:from>
    <xdr:to>
      <xdr:col>6</xdr:col>
      <xdr:colOff>9525</xdr:colOff>
      <xdr:row>167</xdr:row>
      <xdr:rowOff>352425</xdr:rowOff>
    </xdr:to>
    <xdr:sp macro="" textlink="">
      <xdr:nvSpPr>
        <xdr:cNvPr id="8" name="Прямая соединительная линия 3"/>
        <xdr:cNvSpPr>
          <a:spLocks noChangeShapeType="1"/>
        </xdr:cNvSpPr>
      </xdr:nvSpPr>
      <xdr:spPr bwMode="auto">
        <a:xfrm>
          <a:off x="9182100" y="37880925"/>
          <a:ext cx="137160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/>
          <a:tailEnd type="non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167</xdr:row>
      <xdr:rowOff>352425</xdr:rowOff>
    </xdr:from>
    <xdr:to>
      <xdr:col>17</xdr:col>
      <xdr:colOff>0</xdr:colOff>
      <xdr:row>167</xdr:row>
      <xdr:rowOff>352425</xdr:rowOff>
    </xdr:to>
    <xdr:sp macro="" textlink="">
      <xdr:nvSpPr>
        <xdr:cNvPr id="9" name="Прямая соединительная линия 4"/>
        <xdr:cNvSpPr>
          <a:spLocks noChangeShapeType="1"/>
        </xdr:cNvSpPr>
      </xdr:nvSpPr>
      <xdr:spPr bwMode="auto">
        <a:xfrm flipV="1">
          <a:off x="12944475" y="37880925"/>
          <a:ext cx="638175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/>
          <a:tailEnd type="non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9525</xdr:colOff>
      <xdr:row>166</xdr:row>
      <xdr:rowOff>342900</xdr:rowOff>
    </xdr:from>
    <xdr:to>
      <xdr:col>6</xdr:col>
      <xdr:colOff>0</xdr:colOff>
      <xdr:row>166</xdr:row>
      <xdr:rowOff>342900</xdr:rowOff>
    </xdr:to>
    <xdr:sp macro="" textlink="">
      <xdr:nvSpPr>
        <xdr:cNvPr id="2" name="Прямая соединительная линия 1"/>
        <xdr:cNvSpPr>
          <a:spLocks noChangeShapeType="1"/>
        </xdr:cNvSpPr>
      </xdr:nvSpPr>
      <xdr:spPr bwMode="auto">
        <a:xfrm>
          <a:off x="9191625" y="37680900"/>
          <a:ext cx="135255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/>
          <a:tailEnd type="non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167</xdr:row>
      <xdr:rowOff>0</xdr:rowOff>
    </xdr:from>
    <xdr:to>
      <xdr:col>16</xdr:col>
      <xdr:colOff>885825</xdr:colOff>
      <xdr:row>167</xdr:row>
      <xdr:rowOff>0</xdr:rowOff>
    </xdr:to>
    <xdr:sp macro="" textlink="">
      <xdr:nvSpPr>
        <xdr:cNvPr id="3" name="Прямая соединительная линия 2"/>
        <xdr:cNvSpPr>
          <a:spLocks noChangeShapeType="1"/>
        </xdr:cNvSpPr>
      </xdr:nvSpPr>
      <xdr:spPr bwMode="auto">
        <a:xfrm flipV="1">
          <a:off x="12944475" y="37680900"/>
          <a:ext cx="638175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/>
          <a:tailEnd type="non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167</xdr:row>
      <xdr:rowOff>352425</xdr:rowOff>
    </xdr:from>
    <xdr:to>
      <xdr:col>6</xdr:col>
      <xdr:colOff>9525</xdr:colOff>
      <xdr:row>167</xdr:row>
      <xdr:rowOff>352425</xdr:rowOff>
    </xdr:to>
    <xdr:sp macro="" textlink="">
      <xdr:nvSpPr>
        <xdr:cNvPr id="4" name="Прямая соединительная линия 3"/>
        <xdr:cNvSpPr>
          <a:spLocks noChangeShapeType="1"/>
        </xdr:cNvSpPr>
      </xdr:nvSpPr>
      <xdr:spPr bwMode="auto">
        <a:xfrm>
          <a:off x="9182100" y="37880925"/>
          <a:ext cx="137160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/>
          <a:tailEnd type="non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167</xdr:row>
      <xdr:rowOff>352425</xdr:rowOff>
    </xdr:from>
    <xdr:to>
      <xdr:col>17</xdr:col>
      <xdr:colOff>0</xdr:colOff>
      <xdr:row>167</xdr:row>
      <xdr:rowOff>352425</xdr:rowOff>
    </xdr:to>
    <xdr:sp macro="" textlink="">
      <xdr:nvSpPr>
        <xdr:cNvPr id="5" name="Прямая соединительная линия 4"/>
        <xdr:cNvSpPr>
          <a:spLocks noChangeShapeType="1"/>
        </xdr:cNvSpPr>
      </xdr:nvSpPr>
      <xdr:spPr bwMode="auto">
        <a:xfrm flipV="1">
          <a:off x="12944475" y="37880925"/>
          <a:ext cx="638175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/>
          <a:tailEnd type="non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9525</xdr:colOff>
      <xdr:row>166</xdr:row>
      <xdr:rowOff>342900</xdr:rowOff>
    </xdr:from>
    <xdr:to>
      <xdr:col>6</xdr:col>
      <xdr:colOff>0</xdr:colOff>
      <xdr:row>166</xdr:row>
      <xdr:rowOff>342900</xdr:rowOff>
    </xdr:to>
    <xdr:sp macro="" textlink="">
      <xdr:nvSpPr>
        <xdr:cNvPr id="6" name="Прямая соединительная линия 1"/>
        <xdr:cNvSpPr>
          <a:spLocks noChangeShapeType="1"/>
        </xdr:cNvSpPr>
      </xdr:nvSpPr>
      <xdr:spPr bwMode="auto">
        <a:xfrm>
          <a:off x="9191625" y="37680900"/>
          <a:ext cx="135255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/>
          <a:tailEnd type="non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167</xdr:row>
      <xdr:rowOff>0</xdr:rowOff>
    </xdr:from>
    <xdr:to>
      <xdr:col>16</xdr:col>
      <xdr:colOff>885825</xdr:colOff>
      <xdr:row>167</xdr:row>
      <xdr:rowOff>0</xdr:rowOff>
    </xdr:to>
    <xdr:sp macro="" textlink="">
      <xdr:nvSpPr>
        <xdr:cNvPr id="7" name="Прямая соединительная линия 2"/>
        <xdr:cNvSpPr>
          <a:spLocks noChangeShapeType="1"/>
        </xdr:cNvSpPr>
      </xdr:nvSpPr>
      <xdr:spPr bwMode="auto">
        <a:xfrm flipV="1">
          <a:off x="12944475" y="37680900"/>
          <a:ext cx="638175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/>
          <a:tailEnd type="non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167</xdr:row>
      <xdr:rowOff>352425</xdr:rowOff>
    </xdr:from>
    <xdr:to>
      <xdr:col>6</xdr:col>
      <xdr:colOff>9525</xdr:colOff>
      <xdr:row>167</xdr:row>
      <xdr:rowOff>352425</xdr:rowOff>
    </xdr:to>
    <xdr:sp macro="" textlink="">
      <xdr:nvSpPr>
        <xdr:cNvPr id="8" name="Прямая соединительная линия 3"/>
        <xdr:cNvSpPr>
          <a:spLocks noChangeShapeType="1"/>
        </xdr:cNvSpPr>
      </xdr:nvSpPr>
      <xdr:spPr bwMode="auto">
        <a:xfrm>
          <a:off x="9182100" y="37880925"/>
          <a:ext cx="137160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/>
          <a:tailEnd type="non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167</xdr:row>
      <xdr:rowOff>352425</xdr:rowOff>
    </xdr:from>
    <xdr:to>
      <xdr:col>17</xdr:col>
      <xdr:colOff>0</xdr:colOff>
      <xdr:row>167</xdr:row>
      <xdr:rowOff>352425</xdr:rowOff>
    </xdr:to>
    <xdr:sp macro="" textlink="">
      <xdr:nvSpPr>
        <xdr:cNvPr id="9" name="Прямая соединительная линия 4"/>
        <xdr:cNvSpPr>
          <a:spLocks noChangeShapeType="1"/>
        </xdr:cNvSpPr>
      </xdr:nvSpPr>
      <xdr:spPr bwMode="auto">
        <a:xfrm flipV="1">
          <a:off x="12944475" y="37880925"/>
          <a:ext cx="638175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/>
          <a:tailEnd type="non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9525</xdr:colOff>
      <xdr:row>168</xdr:row>
      <xdr:rowOff>342900</xdr:rowOff>
    </xdr:from>
    <xdr:to>
      <xdr:col>6</xdr:col>
      <xdr:colOff>0</xdr:colOff>
      <xdr:row>168</xdr:row>
      <xdr:rowOff>342900</xdr:rowOff>
    </xdr:to>
    <xdr:sp macro="" textlink="">
      <xdr:nvSpPr>
        <xdr:cNvPr id="2" name="Прямая соединительная линия 1"/>
        <xdr:cNvSpPr>
          <a:spLocks noChangeShapeType="1"/>
        </xdr:cNvSpPr>
      </xdr:nvSpPr>
      <xdr:spPr bwMode="auto">
        <a:xfrm>
          <a:off x="9191625" y="38080950"/>
          <a:ext cx="135255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/>
          <a:tailEnd type="non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169</xdr:row>
      <xdr:rowOff>0</xdr:rowOff>
    </xdr:from>
    <xdr:to>
      <xdr:col>16</xdr:col>
      <xdr:colOff>885825</xdr:colOff>
      <xdr:row>169</xdr:row>
      <xdr:rowOff>0</xdr:rowOff>
    </xdr:to>
    <xdr:sp macro="" textlink="">
      <xdr:nvSpPr>
        <xdr:cNvPr id="3" name="Прямая соединительная линия 2"/>
        <xdr:cNvSpPr>
          <a:spLocks noChangeShapeType="1"/>
        </xdr:cNvSpPr>
      </xdr:nvSpPr>
      <xdr:spPr bwMode="auto">
        <a:xfrm flipV="1">
          <a:off x="12944475" y="38080950"/>
          <a:ext cx="638175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/>
          <a:tailEnd type="non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169</xdr:row>
      <xdr:rowOff>352425</xdr:rowOff>
    </xdr:from>
    <xdr:to>
      <xdr:col>6</xdr:col>
      <xdr:colOff>9525</xdr:colOff>
      <xdr:row>169</xdr:row>
      <xdr:rowOff>352425</xdr:rowOff>
    </xdr:to>
    <xdr:sp macro="" textlink="">
      <xdr:nvSpPr>
        <xdr:cNvPr id="4" name="Прямая соединительная линия 3"/>
        <xdr:cNvSpPr>
          <a:spLocks noChangeShapeType="1"/>
        </xdr:cNvSpPr>
      </xdr:nvSpPr>
      <xdr:spPr bwMode="auto">
        <a:xfrm>
          <a:off x="9182100" y="38280975"/>
          <a:ext cx="137160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/>
          <a:tailEnd type="non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169</xdr:row>
      <xdr:rowOff>352425</xdr:rowOff>
    </xdr:from>
    <xdr:to>
      <xdr:col>17</xdr:col>
      <xdr:colOff>0</xdr:colOff>
      <xdr:row>169</xdr:row>
      <xdr:rowOff>352425</xdr:rowOff>
    </xdr:to>
    <xdr:sp macro="" textlink="">
      <xdr:nvSpPr>
        <xdr:cNvPr id="5" name="Прямая соединительная линия 4"/>
        <xdr:cNvSpPr>
          <a:spLocks noChangeShapeType="1"/>
        </xdr:cNvSpPr>
      </xdr:nvSpPr>
      <xdr:spPr bwMode="auto">
        <a:xfrm flipV="1">
          <a:off x="12944475" y="38280975"/>
          <a:ext cx="638175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/>
          <a:tailEnd type="non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9525</xdr:colOff>
      <xdr:row>168</xdr:row>
      <xdr:rowOff>342900</xdr:rowOff>
    </xdr:from>
    <xdr:to>
      <xdr:col>6</xdr:col>
      <xdr:colOff>0</xdr:colOff>
      <xdr:row>168</xdr:row>
      <xdr:rowOff>342900</xdr:rowOff>
    </xdr:to>
    <xdr:sp macro="" textlink="">
      <xdr:nvSpPr>
        <xdr:cNvPr id="2" name="Прямая соединительная линия 1"/>
        <xdr:cNvSpPr>
          <a:spLocks noChangeShapeType="1"/>
        </xdr:cNvSpPr>
      </xdr:nvSpPr>
      <xdr:spPr bwMode="auto">
        <a:xfrm>
          <a:off x="9191625" y="38080950"/>
          <a:ext cx="135255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/>
          <a:tailEnd type="non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169</xdr:row>
      <xdr:rowOff>0</xdr:rowOff>
    </xdr:from>
    <xdr:to>
      <xdr:col>16</xdr:col>
      <xdr:colOff>885825</xdr:colOff>
      <xdr:row>169</xdr:row>
      <xdr:rowOff>0</xdr:rowOff>
    </xdr:to>
    <xdr:sp macro="" textlink="">
      <xdr:nvSpPr>
        <xdr:cNvPr id="3" name="Прямая соединительная линия 2"/>
        <xdr:cNvSpPr>
          <a:spLocks noChangeShapeType="1"/>
        </xdr:cNvSpPr>
      </xdr:nvSpPr>
      <xdr:spPr bwMode="auto">
        <a:xfrm flipV="1">
          <a:off x="12944475" y="38080950"/>
          <a:ext cx="638175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/>
          <a:tailEnd type="non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169</xdr:row>
      <xdr:rowOff>352425</xdr:rowOff>
    </xdr:from>
    <xdr:to>
      <xdr:col>6</xdr:col>
      <xdr:colOff>9525</xdr:colOff>
      <xdr:row>169</xdr:row>
      <xdr:rowOff>352425</xdr:rowOff>
    </xdr:to>
    <xdr:sp macro="" textlink="">
      <xdr:nvSpPr>
        <xdr:cNvPr id="4" name="Прямая соединительная линия 3"/>
        <xdr:cNvSpPr>
          <a:spLocks noChangeShapeType="1"/>
        </xdr:cNvSpPr>
      </xdr:nvSpPr>
      <xdr:spPr bwMode="auto">
        <a:xfrm>
          <a:off x="9182100" y="38280975"/>
          <a:ext cx="137160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/>
          <a:tailEnd type="non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169</xdr:row>
      <xdr:rowOff>352425</xdr:rowOff>
    </xdr:from>
    <xdr:to>
      <xdr:col>17</xdr:col>
      <xdr:colOff>0</xdr:colOff>
      <xdr:row>169</xdr:row>
      <xdr:rowOff>352425</xdr:rowOff>
    </xdr:to>
    <xdr:sp macro="" textlink="">
      <xdr:nvSpPr>
        <xdr:cNvPr id="5" name="Прямая соединительная линия 4"/>
        <xdr:cNvSpPr>
          <a:spLocks noChangeShapeType="1"/>
        </xdr:cNvSpPr>
      </xdr:nvSpPr>
      <xdr:spPr bwMode="auto">
        <a:xfrm flipV="1">
          <a:off x="12944475" y="38280975"/>
          <a:ext cx="638175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/>
          <a:tailEnd type="non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9525</xdr:colOff>
      <xdr:row>165</xdr:row>
      <xdr:rowOff>342900</xdr:rowOff>
    </xdr:from>
    <xdr:to>
      <xdr:col>6</xdr:col>
      <xdr:colOff>0</xdr:colOff>
      <xdr:row>165</xdr:row>
      <xdr:rowOff>342900</xdr:rowOff>
    </xdr:to>
    <xdr:sp macro="" textlink="">
      <xdr:nvSpPr>
        <xdr:cNvPr id="2" name="Прямая соединительная линия 1"/>
        <xdr:cNvSpPr>
          <a:spLocks noChangeShapeType="1"/>
        </xdr:cNvSpPr>
      </xdr:nvSpPr>
      <xdr:spPr bwMode="auto">
        <a:xfrm>
          <a:off x="8820150" y="37614225"/>
          <a:ext cx="135255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/>
          <a:tailEnd type="non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166</xdr:row>
      <xdr:rowOff>0</xdr:rowOff>
    </xdr:from>
    <xdr:to>
      <xdr:col>16</xdr:col>
      <xdr:colOff>885825</xdr:colOff>
      <xdr:row>166</xdr:row>
      <xdr:rowOff>0</xdr:rowOff>
    </xdr:to>
    <xdr:sp macro="" textlink="">
      <xdr:nvSpPr>
        <xdr:cNvPr id="3" name="Прямая соединительная линия 2"/>
        <xdr:cNvSpPr>
          <a:spLocks noChangeShapeType="1"/>
        </xdr:cNvSpPr>
      </xdr:nvSpPr>
      <xdr:spPr bwMode="auto">
        <a:xfrm flipV="1">
          <a:off x="12573000" y="37614225"/>
          <a:ext cx="638175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/>
          <a:tailEnd type="non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166</xdr:row>
      <xdr:rowOff>352425</xdr:rowOff>
    </xdr:from>
    <xdr:to>
      <xdr:col>6</xdr:col>
      <xdr:colOff>9525</xdr:colOff>
      <xdr:row>166</xdr:row>
      <xdr:rowOff>352425</xdr:rowOff>
    </xdr:to>
    <xdr:sp macro="" textlink="">
      <xdr:nvSpPr>
        <xdr:cNvPr id="4" name="Прямая соединительная линия 3"/>
        <xdr:cNvSpPr>
          <a:spLocks noChangeShapeType="1"/>
        </xdr:cNvSpPr>
      </xdr:nvSpPr>
      <xdr:spPr bwMode="auto">
        <a:xfrm>
          <a:off x="8810625" y="37814250"/>
          <a:ext cx="137160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/>
          <a:tailEnd type="non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166</xdr:row>
      <xdr:rowOff>352425</xdr:rowOff>
    </xdr:from>
    <xdr:to>
      <xdr:col>17</xdr:col>
      <xdr:colOff>0</xdr:colOff>
      <xdr:row>166</xdr:row>
      <xdr:rowOff>352425</xdr:rowOff>
    </xdr:to>
    <xdr:sp macro="" textlink="">
      <xdr:nvSpPr>
        <xdr:cNvPr id="5" name="Прямая соединительная линия 4"/>
        <xdr:cNvSpPr>
          <a:spLocks noChangeShapeType="1"/>
        </xdr:cNvSpPr>
      </xdr:nvSpPr>
      <xdr:spPr bwMode="auto">
        <a:xfrm flipV="1">
          <a:off x="12573000" y="37814250"/>
          <a:ext cx="638175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/>
          <a:tailEnd type="non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R299"/>
  <sheetViews>
    <sheetView tabSelected="1" topLeftCell="A211" workbookViewId="0">
      <selection activeCell="B245" sqref="B245"/>
    </sheetView>
  </sheetViews>
  <sheetFormatPr defaultRowHeight="12.75" x14ac:dyDescent="0.2"/>
  <cols>
    <col min="1" max="1" width="5" style="459" customWidth="1"/>
    <col min="2" max="2" width="43" style="459" customWidth="1"/>
    <col min="3" max="3" width="10.140625" style="459" customWidth="1"/>
    <col min="4" max="4" width="45" style="459" customWidth="1"/>
    <col min="5" max="5" width="34.5703125" style="459" customWidth="1"/>
    <col min="6" max="6" width="20.42578125" style="459" customWidth="1"/>
    <col min="7" max="7" width="36" style="459" customWidth="1"/>
    <col min="8" max="10" width="9.140625" style="459"/>
    <col min="11" max="12" width="9.5703125" style="459" customWidth="1"/>
    <col min="13" max="13" width="9.42578125" style="459" customWidth="1"/>
    <col min="14" max="14" width="9.140625" style="459"/>
    <col min="15" max="16" width="10.5703125" style="459" customWidth="1"/>
    <col min="17" max="17" width="9.42578125" style="459" customWidth="1"/>
    <col min="18" max="256" width="9.140625" style="459"/>
    <col min="257" max="257" width="5" style="459" customWidth="1"/>
    <col min="258" max="258" width="43" style="459" customWidth="1"/>
    <col min="259" max="259" width="10.140625" style="459" customWidth="1"/>
    <col min="260" max="260" width="45" style="459" customWidth="1"/>
    <col min="261" max="261" width="34.5703125" style="459" customWidth="1"/>
    <col min="262" max="262" width="20.42578125" style="459" customWidth="1"/>
    <col min="263" max="263" width="36" style="459" customWidth="1"/>
    <col min="264" max="266" width="9.140625" style="459"/>
    <col min="267" max="268" width="9.5703125" style="459" customWidth="1"/>
    <col min="269" max="269" width="9.42578125" style="459" customWidth="1"/>
    <col min="270" max="270" width="9.140625" style="459"/>
    <col min="271" max="272" width="10.5703125" style="459" customWidth="1"/>
    <col min="273" max="273" width="9.42578125" style="459" customWidth="1"/>
    <col min="274" max="512" width="9.140625" style="459"/>
    <col min="513" max="513" width="5" style="459" customWidth="1"/>
    <col min="514" max="514" width="43" style="459" customWidth="1"/>
    <col min="515" max="515" width="10.140625" style="459" customWidth="1"/>
    <col min="516" max="516" width="45" style="459" customWidth="1"/>
    <col min="517" max="517" width="34.5703125" style="459" customWidth="1"/>
    <col min="518" max="518" width="20.42578125" style="459" customWidth="1"/>
    <col min="519" max="519" width="36" style="459" customWidth="1"/>
    <col min="520" max="522" width="9.140625" style="459"/>
    <col min="523" max="524" width="9.5703125" style="459" customWidth="1"/>
    <col min="525" max="525" width="9.42578125" style="459" customWidth="1"/>
    <col min="526" max="526" width="9.140625" style="459"/>
    <col min="527" max="528" width="10.5703125" style="459" customWidth="1"/>
    <col min="529" max="529" width="9.42578125" style="459" customWidth="1"/>
    <col min="530" max="768" width="9.140625" style="459"/>
    <col min="769" max="769" width="5" style="459" customWidth="1"/>
    <col min="770" max="770" width="43" style="459" customWidth="1"/>
    <col min="771" max="771" width="10.140625" style="459" customWidth="1"/>
    <col min="772" max="772" width="45" style="459" customWidth="1"/>
    <col min="773" max="773" width="34.5703125" style="459" customWidth="1"/>
    <col min="774" max="774" width="20.42578125" style="459" customWidth="1"/>
    <col min="775" max="775" width="36" style="459" customWidth="1"/>
    <col min="776" max="778" width="9.140625" style="459"/>
    <col min="779" max="780" width="9.5703125" style="459" customWidth="1"/>
    <col min="781" max="781" width="9.42578125" style="459" customWidth="1"/>
    <col min="782" max="782" width="9.140625" style="459"/>
    <col min="783" max="784" width="10.5703125" style="459" customWidth="1"/>
    <col min="785" max="785" width="9.42578125" style="459" customWidth="1"/>
    <col min="786" max="1024" width="9.140625" style="459"/>
    <col min="1025" max="1025" width="5" style="459" customWidth="1"/>
    <col min="1026" max="1026" width="43" style="459" customWidth="1"/>
    <col min="1027" max="1027" width="10.140625" style="459" customWidth="1"/>
    <col min="1028" max="1028" width="45" style="459" customWidth="1"/>
    <col min="1029" max="1029" width="34.5703125" style="459" customWidth="1"/>
    <col min="1030" max="1030" width="20.42578125" style="459" customWidth="1"/>
    <col min="1031" max="1031" width="36" style="459" customWidth="1"/>
    <col min="1032" max="1034" width="9.140625" style="459"/>
    <col min="1035" max="1036" width="9.5703125" style="459" customWidth="1"/>
    <col min="1037" max="1037" width="9.42578125" style="459" customWidth="1"/>
    <col min="1038" max="1038" width="9.140625" style="459"/>
    <col min="1039" max="1040" width="10.5703125" style="459" customWidth="1"/>
    <col min="1041" max="1041" width="9.42578125" style="459" customWidth="1"/>
    <col min="1042" max="1280" width="9.140625" style="459"/>
    <col min="1281" max="1281" width="5" style="459" customWidth="1"/>
    <col min="1282" max="1282" width="43" style="459" customWidth="1"/>
    <col min="1283" max="1283" width="10.140625" style="459" customWidth="1"/>
    <col min="1284" max="1284" width="45" style="459" customWidth="1"/>
    <col min="1285" max="1285" width="34.5703125" style="459" customWidth="1"/>
    <col min="1286" max="1286" width="20.42578125" style="459" customWidth="1"/>
    <col min="1287" max="1287" width="36" style="459" customWidth="1"/>
    <col min="1288" max="1290" width="9.140625" style="459"/>
    <col min="1291" max="1292" width="9.5703125" style="459" customWidth="1"/>
    <col min="1293" max="1293" width="9.42578125" style="459" customWidth="1"/>
    <col min="1294" max="1294" width="9.140625" style="459"/>
    <col min="1295" max="1296" width="10.5703125" style="459" customWidth="1"/>
    <col min="1297" max="1297" width="9.42578125" style="459" customWidth="1"/>
    <col min="1298" max="1536" width="9.140625" style="459"/>
    <col min="1537" max="1537" width="5" style="459" customWidth="1"/>
    <col min="1538" max="1538" width="43" style="459" customWidth="1"/>
    <col min="1539" max="1539" width="10.140625" style="459" customWidth="1"/>
    <col min="1540" max="1540" width="45" style="459" customWidth="1"/>
    <col min="1541" max="1541" width="34.5703125" style="459" customWidth="1"/>
    <col min="1542" max="1542" width="20.42578125" style="459" customWidth="1"/>
    <col min="1543" max="1543" width="36" style="459" customWidth="1"/>
    <col min="1544" max="1546" width="9.140625" style="459"/>
    <col min="1547" max="1548" width="9.5703125" style="459" customWidth="1"/>
    <col min="1549" max="1549" width="9.42578125" style="459" customWidth="1"/>
    <col min="1550" max="1550" width="9.140625" style="459"/>
    <col min="1551" max="1552" width="10.5703125" style="459" customWidth="1"/>
    <col min="1553" max="1553" width="9.42578125" style="459" customWidth="1"/>
    <col min="1554" max="1792" width="9.140625" style="459"/>
    <col min="1793" max="1793" width="5" style="459" customWidth="1"/>
    <col min="1794" max="1794" width="43" style="459" customWidth="1"/>
    <col min="1795" max="1795" width="10.140625" style="459" customWidth="1"/>
    <col min="1796" max="1796" width="45" style="459" customWidth="1"/>
    <col min="1797" max="1797" width="34.5703125" style="459" customWidth="1"/>
    <col min="1798" max="1798" width="20.42578125" style="459" customWidth="1"/>
    <col min="1799" max="1799" width="36" style="459" customWidth="1"/>
    <col min="1800" max="1802" width="9.140625" style="459"/>
    <col min="1803" max="1804" width="9.5703125" style="459" customWidth="1"/>
    <col min="1805" max="1805" width="9.42578125" style="459" customWidth="1"/>
    <col min="1806" max="1806" width="9.140625" style="459"/>
    <col min="1807" max="1808" width="10.5703125" style="459" customWidth="1"/>
    <col min="1809" max="1809" width="9.42578125" style="459" customWidth="1"/>
    <col min="1810" max="2048" width="9.140625" style="459"/>
    <col min="2049" max="2049" width="5" style="459" customWidth="1"/>
    <col min="2050" max="2050" width="43" style="459" customWidth="1"/>
    <col min="2051" max="2051" width="10.140625" style="459" customWidth="1"/>
    <col min="2052" max="2052" width="45" style="459" customWidth="1"/>
    <col min="2053" max="2053" width="34.5703125" style="459" customWidth="1"/>
    <col min="2054" max="2054" width="20.42578125" style="459" customWidth="1"/>
    <col min="2055" max="2055" width="36" style="459" customWidth="1"/>
    <col min="2056" max="2058" width="9.140625" style="459"/>
    <col min="2059" max="2060" width="9.5703125" style="459" customWidth="1"/>
    <col min="2061" max="2061" width="9.42578125" style="459" customWidth="1"/>
    <col min="2062" max="2062" width="9.140625" style="459"/>
    <col min="2063" max="2064" width="10.5703125" style="459" customWidth="1"/>
    <col min="2065" max="2065" width="9.42578125" style="459" customWidth="1"/>
    <col min="2066" max="2304" width="9.140625" style="459"/>
    <col min="2305" max="2305" width="5" style="459" customWidth="1"/>
    <col min="2306" max="2306" width="43" style="459" customWidth="1"/>
    <col min="2307" max="2307" width="10.140625" style="459" customWidth="1"/>
    <col min="2308" max="2308" width="45" style="459" customWidth="1"/>
    <col min="2309" max="2309" width="34.5703125" style="459" customWidth="1"/>
    <col min="2310" max="2310" width="20.42578125" style="459" customWidth="1"/>
    <col min="2311" max="2311" width="36" style="459" customWidth="1"/>
    <col min="2312" max="2314" width="9.140625" style="459"/>
    <col min="2315" max="2316" width="9.5703125" style="459" customWidth="1"/>
    <col min="2317" max="2317" width="9.42578125" style="459" customWidth="1"/>
    <col min="2318" max="2318" width="9.140625" style="459"/>
    <col min="2319" max="2320" width="10.5703125" style="459" customWidth="1"/>
    <col min="2321" max="2321" width="9.42578125" style="459" customWidth="1"/>
    <col min="2322" max="2560" width="9.140625" style="459"/>
    <col min="2561" max="2561" width="5" style="459" customWidth="1"/>
    <col min="2562" max="2562" width="43" style="459" customWidth="1"/>
    <col min="2563" max="2563" width="10.140625" style="459" customWidth="1"/>
    <col min="2564" max="2564" width="45" style="459" customWidth="1"/>
    <col min="2565" max="2565" width="34.5703125" style="459" customWidth="1"/>
    <col min="2566" max="2566" width="20.42578125" style="459" customWidth="1"/>
    <col min="2567" max="2567" width="36" style="459" customWidth="1"/>
    <col min="2568" max="2570" width="9.140625" style="459"/>
    <col min="2571" max="2572" width="9.5703125" style="459" customWidth="1"/>
    <col min="2573" max="2573" width="9.42578125" style="459" customWidth="1"/>
    <col min="2574" max="2574" width="9.140625" style="459"/>
    <col min="2575" max="2576" width="10.5703125" style="459" customWidth="1"/>
    <col min="2577" max="2577" width="9.42578125" style="459" customWidth="1"/>
    <col min="2578" max="2816" width="9.140625" style="459"/>
    <col min="2817" max="2817" width="5" style="459" customWidth="1"/>
    <col min="2818" max="2818" width="43" style="459" customWidth="1"/>
    <col min="2819" max="2819" width="10.140625" style="459" customWidth="1"/>
    <col min="2820" max="2820" width="45" style="459" customWidth="1"/>
    <col min="2821" max="2821" width="34.5703125" style="459" customWidth="1"/>
    <col min="2822" max="2822" width="20.42578125" style="459" customWidth="1"/>
    <col min="2823" max="2823" width="36" style="459" customWidth="1"/>
    <col min="2824" max="2826" width="9.140625" style="459"/>
    <col min="2827" max="2828" width="9.5703125" style="459" customWidth="1"/>
    <col min="2829" max="2829" width="9.42578125" style="459" customWidth="1"/>
    <col min="2830" max="2830" width="9.140625" style="459"/>
    <col min="2831" max="2832" width="10.5703125" style="459" customWidth="1"/>
    <col min="2833" max="2833" width="9.42578125" style="459" customWidth="1"/>
    <col min="2834" max="3072" width="9.140625" style="459"/>
    <col min="3073" max="3073" width="5" style="459" customWidth="1"/>
    <col min="3074" max="3074" width="43" style="459" customWidth="1"/>
    <col min="3075" max="3075" width="10.140625" style="459" customWidth="1"/>
    <col min="3076" max="3076" width="45" style="459" customWidth="1"/>
    <col min="3077" max="3077" width="34.5703125" style="459" customWidth="1"/>
    <col min="3078" max="3078" width="20.42578125" style="459" customWidth="1"/>
    <col min="3079" max="3079" width="36" style="459" customWidth="1"/>
    <col min="3080" max="3082" width="9.140625" style="459"/>
    <col min="3083" max="3084" width="9.5703125" style="459" customWidth="1"/>
    <col min="3085" max="3085" width="9.42578125" style="459" customWidth="1"/>
    <col min="3086" max="3086" width="9.140625" style="459"/>
    <col min="3087" max="3088" width="10.5703125" style="459" customWidth="1"/>
    <col min="3089" max="3089" width="9.42578125" style="459" customWidth="1"/>
    <col min="3090" max="3328" width="9.140625" style="459"/>
    <col min="3329" max="3329" width="5" style="459" customWidth="1"/>
    <col min="3330" max="3330" width="43" style="459" customWidth="1"/>
    <col min="3331" max="3331" width="10.140625" style="459" customWidth="1"/>
    <col min="3332" max="3332" width="45" style="459" customWidth="1"/>
    <col min="3333" max="3333" width="34.5703125" style="459" customWidth="1"/>
    <col min="3334" max="3334" width="20.42578125" style="459" customWidth="1"/>
    <col min="3335" max="3335" width="36" style="459" customWidth="1"/>
    <col min="3336" max="3338" width="9.140625" style="459"/>
    <col min="3339" max="3340" width="9.5703125" style="459" customWidth="1"/>
    <col min="3341" max="3341" width="9.42578125" style="459" customWidth="1"/>
    <col min="3342" max="3342" width="9.140625" style="459"/>
    <col min="3343" max="3344" width="10.5703125" style="459" customWidth="1"/>
    <col min="3345" max="3345" width="9.42578125" style="459" customWidth="1"/>
    <col min="3346" max="3584" width="9.140625" style="459"/>
    <col min="3585" max="3585" width="5" style="459" customWidth="1"/>
    <col min="3586" max="3586" width="43" style="459" customWidth="1"/>
    <col min="3587" max="3587" width="10.140625" style="459" customWidth="1"/>
    <col min="3588" max="3588" width="45" style="459" customWidth="1"/>
    <col min="3589" max="3589" width="34.5703125" style="459" customWidth="1"/>
    <col min="3590" max="3590" width="20.42578125" style="459" customWidth="1"/>
    <col min="3591" max="3591" width="36" style="459" customWidth="1"/>
    <col min="3592" max="3594" width="9.140625" style="459"/>
    <col min="3595" max="3596" width="9.5703125" style="459" customWidth="1"/>
    <col min="3597" max="3597" width="9.42578125" style="459" customWidth="1"/>
    <col min="3598" max="3598" width="9.140625" style="459"/>
    <col min="3599" max="3600" width="10.5703125" style="459" customWidth="1"/>
    <col min="3601" max="3601" width="9.42578125" style="459" customWidth="1"/>
    <col min="3602" max="3840" width="9.140625" style="459"/>
    <col min="3841" max="3841" width="5" style="459" customWidth="1"/>
    <col min="3842" max="3842" width="43" style="459" customWidth="1"/>
    <col min="3843" max="3843" width="10.140625" style="459" customWidth="1"/>
    <col min="3844" max="3844" width="45" style="459" customWidth="1"/>
    <col min="3845" max="3845" width="34.5703125" style="459" customWidth="1"/>
    <col min="3846" max="3846" width="20.42578125" style="459" customWidth="1"/>
    <col min="3847" max="3847" width="36" style="459" customWidth="1"/>
    <col min="3848" max="3850" width="9.140625" style="459"/>
    <col min="3851" max="3852" width="9.5703125" style="459" customWidth="1"/>
    <col min="3853" max="3853" width="9.42578125" style="459" customWidth="1"/>
    <col min="3854" max="3854" width="9.140625" style="459"/>
    <col min="3855" max="3856" width="10.5703125" style="459" customWidth="1"/>
    <col min="3857" max="3857" width="9.42578125" style="459" customWidth="1"/>
    <col min="3858" max="4096" width="9.140625" style="459"/>
    <col min="4097" max="4097" width="5" style="459" customWidth="1"/>
    <col min="4098" max="4098" width="43" style="459" customWidth="1"/>
    <col min="4099" max="4099" width="10.140625" style="459" customWidth="1"/>
    <col min="4100" max="4100" width="45" style="459" customWidth="1"/>
    <col min="4101" max="4101" width="34.5703125" style="459" customWidth="1"/>
    <col min="4102" max="4102" width="20.42578125" style="459" customWidth="1"/>
    <col min="4103" max="4103" width="36" style="459" customWidth="1"/>
    <col min="4104" max="4106" width="9.140625" style="459"/>
    <col min="4107" max="4108" width="9.5703125" style="459" customWidth="1"/>
    <col min="4109" max="4109" width="9.42578125" style="459" customWidth="1"/>
    <col min="4110" max="4110" width="9.140625" style="459"/>
    <col min="4111" max="4112" width="10.5703125" style="459" customWidth="1"/>
    <col min="4113" max="4113" width="9.42578125" style="459" customWidth="1"/>
    <col min="4114" max="4352" width="9.140625" style="459"/>
    <col min="4353" max="4353" width="5" style="459" customWidth="1"/>
    <col min="4354" max="4354" width="43" style="459" customWidth="1"/>
    <col min="4355" max="4355" width="10.140625" style="459" customWidth="1"/>
    <col min="4356" max="4356" width="45" style="459" customWidth="1"/>
    <col min="4357" max="4357" width="34.5703125" style="459" customWidth="1"/>
    <col min="4358" max="4358" width="20.42578125" style="459" customWidth="1"/>
    <col min="4359" max="4359" width="36" style="459" customWidth="1"/>
    <col min="4360" max="4362" width="9.140625" style="459"/>
    <col min="4363" max="4364" width="9.5703125" style="459" customWidth="1"/>
    <col min="4365" max="4365" width="9.42578125" style="459" customWidth="1"/>
    <col min="4366" max="4366" width="9.140625" style="459"/>
    <col min="4367" max="4368" width="10.5703125" style="459" customWidth="1"/>
    <col min="4369" max="4369" width="9.42578125" style="459" customWidth="1"/>
    <col min="4370" max="4608" width="9.140625" style="459"/>
    <col min="4609" max="4609" width="5" style="459" customWidth="1"/>
    <col min="4610" max="4610" width="43" style="459" customWidth="1"/>
    <col min="4611" max="4611" width="10.140625" style="459" customWidth="1"/>
    <col min="4612" max="4612" width="45" style="459" customWidth="1"/>
    <col min="4613" max="4613" width="34.5703125" style="459" customWidth="1"/>
    <col min="4614" max="4614" width="20.42578125" style="459" customWidth="1"/>
    <col min="4615" max="4615" width="36" style="459" customWidth="1"/>
    <col min="4616" max="4618" width="9.140625" style="459"/>
    <col min="4619" max="4620" width="9.5703125" style="459" customWidth="1"/>
    <col min="4621" max="4621" width="9.42578125" style="459" customWidth="1"/>
    <col min="4622" max="4622" width="9.140625" style="459"/>
    <col min="4623" max="4624" width="10.5703125" style="459" customWidth="1"/>
    <col min="4625" max="4625" width="9.42578125" style="459" customWidth="1"/>
    <col min="4626" max="4864" width="9.140625" style="459"/>
    <col min="4865" max="4865" width="5" style="459" customWidth="1"/>
    <col min="4866" max="4866" width="43" style="459" customWidth="1"/>
    <col min="4867" max="4867" width="10.140625" style="459" customWidth="1"/>
    <col min="4868" max="4868" width="45" style="459" customWidth="1"/>
    <col min="4869" max="4869" width="34.5703125" style="459" customWidth="1"/>
    <col min="4870" max="4870" width="20.42578125" style="459" customWidth="1"/>
    <col min="4871" max="4871" width="36" style="459" customWidth="1"/>
    <col min="4872" max="4874" width="9.140625" style="459"/>
    <col min="4875" max="4876" width="9.5703125" style="459" customWidth="1"/>
    <col min="4877" max="4877" width="9.42578125" style="459" customWidth="1"/>
    <col min="4878" max="4878" width="9.140625" style="459"/>
    <col min="4879" max="4880" width="10.5703125" style="459" customWidth="1"/>
    <col min="4881" max="4881" width="9.42578125" style="459" customWidth="1"/>
    <col min="4882" max="5120" width="9.140625" style="459"/>
    <col min="5121" max="5121" width="5" style="459" customWidth="1"/>
    <col min="5122" max="5122" width="43" style="459" customWidth="1"/>
    <col min="5123" max="5123" width="10.140625" style="459" customWidth="1"/>
    <col min="5124" max="5124" width="45" style="459" customWidth="1"/>
    <col min="5125" max="5125" width="34.5703125" style="459" customWidth="1"/>
    <col min="5126" max="5126" width="20.42578125" style="459" customWidth="1"/>
    <col min="5127" max="5127" width="36" style="459" customWidth="1"/>
    <col min="5128" max="5130" width="9.140625" style="459"/>
    <col min="5131" max="5132" width="9.5703125" style="459" customWidth="1"/>
    <col min="5133" max="5133" width="9.42578125" style="459" customWidth="1"/>
    <col min="5134" max="5134" width="9.140625" style="459"/>
    <col min="5135" max="5136" width="10.5703125" style="459" customWidth="1"/>
    <col min="5137" max="5137" width="9.42578125" style="459" customWidth="1"/>
    <col min="5138" max="5376" width="9.140625" style="459"/>
    <col min="5377" max="5377" width="5" style="459" customWidth="1"/>
    <col min="5378" max="5378" width="43" style="459" customWidth="1"/>
    <col min="5379" max="5379" width="10.140625" style="459" customWidth="1"/>
    <col min="5380" max="5380" width="45" style="459" customWidth="1"/>
    <col min="5381" max="5381" width="34.5703125" style="459" customWidth="1"/>
    <col min="5382" max="5382" width="20.42578125" style="459" customWidth="1"/>
    <col min="5383" max="5383" width="36" style="459" customWidth="1"/>
    <col min="5384" max="5386" width="9.140625" style="459"/>
    <col min="5387" max="5388" width="9.5703125" style="459" customWidth="1"/>
    <col min="5389" max="5389" width="9.42578125" style="459" customWidth="1"/>
    <col min="5390" max="5390" width="9.140625" style="459"/>
    <col min="5391" max="5392" width="10.5703125" style="459" customWidth="1"/>
    <col min="5393" max="5393" width="9.42578125" style="459" customWidth="1"/>
    <col min="5394" max="5632" width="9.140625" style="459"/>
    <col min="5633" max="5633" width="5" style="459" customWidth="1"/>
    <col min="5634" max="5634" width="43" style="459" customWidth="1"/>
    <col min="5635" max="5635" width="10.140625" style="459" customWidth="1"/>
    <col min="5636" max="5636" width="45" style="459" customWidth="1"/>
    <col min="5637" max="5637" width="34.5703125" style="459" customWidth="1"/>
    <col min="5638" max="5638" width="20.42578125" style="459" customWidth="1"/>
    <col min="5639" max="5639" width="36" style="459" customWidth="1"/>
    <col min="5640" max="5642" width="9.140625" style="459"/>
    <col min="5643" max="5644" width="9.5703125" style="459" customWidth="1"/>
    <col min="5645" max="5645" width="9.42578125" style="459" customWidth="1"/>
    <col min="5646" max="5646" width="9.140625" style="459"/>
    <col min="5647" max="5648" width="10.5703125" style="459" customWidth="1"/>
    <col min="5649" max="5649" width="9.42578125" style="459" customWidth="1"/>
    <col min="5650" max="5888" width="9.140625" style="459"/>
    <col min="5889" max="5889" width="5" style="459" customWidth="1"/>
    <col min="5890" max="5890" width="43" style="459" customWidth="1"/>
    <col min="5891" max="5891" width="10.140625" style="459" customWidth="1"/>
    <col min="5892" max="5892" width="45" style="459" customWidth="1"/>
    <col min="5893" max="5893" width="34.5703125" style="459" customWidth="1"/>
    <col min="5894" max="5894" width="20.42578125" style="459" customWidth="1"/>
    <col min="5895" max="5895" width="36" style="459" customWidth="1"/>
    <col min="5896" max="5898" width="9.140625" style="459"/>
    <col min="5899" max="5900" width="9.5703125" style="459" customWidth="1"/>
    <col min="5901" max="5901" width="9.42578125" style="459" customWidth="1"/>
    <col min="5902" max="5902" width="9.140625" style="459"/>
    <col min="5903" max="5904" width="10.5703125" style="459" customWidth="1"/>
    <col min="5905" max="5905" width="9.42578125" style="459" customWidth="1"/>
    <col min="5906" max="6144" width="9.140625" style="459"/>
    <col min="6145" max="6145" width="5" style="459" customWidth="1"/>
    <col min="6146" max="6146" width="43" style="459" customWidth="1"/>
    <col min="6147" max="6147" width="10.140625" style="459" customWidth="1"/>
    <col min="6148" max="6148" width="45" style="459" customWidth="1"/>
    <col min="6149" max="6149" width="34.5703125" style="459" customWidth="1"/>
    <col min="6150" max="6150" width="20.42578125" style="459" customWidth="1"/>
    <col min="6151" max="6151" width="36" style="459" customWidth="1"/>
    <col min="6152" max="6154" width="9.140625" style="459"/>
    <col min="6155" max="6156" width="9.5703125" style="459" customWidth="1"/>
    <col min="6157" max="6157" width="9.42578125" style="459" customWidth="1"/>
    <col min="6158" max="6158" width="9.140625" style="459"/>
    <col min="6159" max="6160" width="10.5703125" style="459" customWidth="1"/>
    <col min="6161" max="6161" width="9.42578125" style="459" customWidth="1"/>
    <col min="6162" max="6400" width="9.140625" style="459"/>
    <col min="6401" max="6401" width="5" style="459" customWidth="1"/>
    <col min="6402" max="6402" width="43" style="459" customWidth="1"/>
    <col min="6403" max="6403" width="10.140625" style="459" customWidth="1"/>
    <col min="6404" max="6404" width="45" style="459" customWidth="1"/>
    <col min="6405" max="6405" width="34.5703125" style="459" customWidth="1"/>
    <col min="6406" max="6406" width="20.42578125" style="459" customWidth="1"/>
    <col min="6407" max="6407" width="36" style="459" customWidth="1"/>
    <col min="6408" max="6410" width="9.140625" style="459"/>
    <col min="6411" max="6412" width="9.5703125" style="459" customWidth="1"/>
    <col min="6413" max="6413" width="9.42578125" style="459" customWidth="1"/>
    <col min="6414" max="6414" width="9.140625" style="459"/>
    <col min="6415" max="6416" width="10.5703125" style="459" customWidth="1"/>
    <col min="6417" max="6417" width="9.42578125" style="459" customWidth="1"/>
    <col min="6418" max="6656" width="9.140625" style="459"/>
    <col min="6657" max="6657" width="5" style="459" customWidth="1"/>
    <col min="6658" max="6658" width="43" style="459" customWidth="1"/>
    <col min="6659" max="6659" width="10.140625" style="459" customWidth="1"/>
    <col min="6660" max="6660" width="45" style="459" customWidth="1"/>
    <col min="6661" max="6661" width="34.5703125" style="459" customWidth="1"/>
    <col min="6662" max="6662" width="20.42578125" style="459" customWidth="1"/>
    <col min="6663" max="6663" width="36" style="459" customWidth="1"/>
    <col min="6664" max="6666" width="9.140625" style="459"/>
    <col min="6667" max="6668" width="9.5703125" style="459" customWidth="1"/>
    <col min="6669" max="6669" width="9.42578125" style="459" customWidth="1"/>
    <col min="6670" max="6670" width="9.140625" style="459"/>
    <col min="6671" max="6672" width="10.5703125" style="459" customWidth="1"/>
    <col min="6673" max="6673" width="9.42578125" style="459" customWidth="1"/>
    <col min="6674" max="6912" width="9.140625" style="459"/>
    <col min="6913" max="6913" width="5" style="459" customWidth="1"/>
    <col min="6914" max="6914" width="43" style="459" customWidth="1"/>
    <col min="6915" max="6915" width="10.140625" style="459" customWidth="1"/>
    <col min="6916" max="6916" width="45" style="459" customWidth="1"/>
    <col min="6917" max="6917" width="34.5703125" style="459" customWidth="1"/>
    <col min="6918" max="6918" width="20.42578125" style="459" customWidth="1"/>
    <col min="6919" max="6919" width="36" style="459" customWidth="1"/>
    <col min="6920" max="6922" width="9.140625" style="459"/>
    <col min="6923" max="6924" width="9.5703125" style="459" customWidth="1"/>
    <col min="6925" max="6925" width="9.42578125" style="459" customWidth="1"/>
    <col min="6926" max="6926" width="9.140625" style="459"/>
    <col min="6927" max="6928" width="10.5703125" style="459" customWidth="1"/>
    <col min="6929" max="6929" width="9.42578125" style="459" customWidth="1"/>
    <col min="6930" max="7168" width="9.140625" style="459"/>
    <col min="7169" max="7169" width="5" style="459" customWidth="1"/>
    <col min="7170" max="7170" width="43" style="459" customWidth="1"/>
    <col min="7171" max="7171" width="10.140625" style="459" customWidth="1"/>
    <col min="7172" max="7172" width="45" style="459" customWidth="1"/>
    <col min="7173" max="7173" width="34.5703125" style="459" customWidth="1"/>
    <col min="7174" max="7174" width="20.42578125" style="459" customWidth="1"/>
    <col min="7175" max="7175" width="36" style="459" customWidth="1"/>
    <col min="7176" max="7178" width="9.140625" style="459"/>
    <col min="7179" max="7180" width="9.5703125" style="459" customWidth="1"/>
    <col min="7181" max="7181" width="9.42578125" style="459" customWidth="1"/>
    <col min="7182" max="7182" width="9.140625" style="459"/>
    <col min="7183" max="7184" width="10.5703125" style="459" customWidth="1"/>
    <col min="7185" max="7185" width="9.42578125" style="459" customWidth="1"/>
    <col min="7186" max="7424" width="9.140625" style="459"/>
    <col min="7425" max="7425" width="5" style="459" customWidth="1"/>
    <col min="7426" max="7426" width="43" style="459" customWidth="1"/>
    <col min="7427" max="7427" width="10.140625" style="459" customWidth="1"/>
    <col min="7428" max="7428" width="45" style="459" customWidth="1"/>
    <col min="7429" max="7429" width="34.5703125" style="459" customWidth="1"/>
    <col min="7430" max="7430" width="20.42578125" style="459" customWidth="1"/>
    <col min="7431" max="7431" width="36" style="459" customWidth="1"/>
    <col min="7432" max="7434" width="9.140625" style="459"/>
    <col min="7435" max="7436" width="9.5703125" style="459" customWidth="1"/>
    <col min="7437" max="7437" width="9.42578125" style="459" customWidth="1"/>
    <col min="7438" max="7438" width="9.140625" style="459"/>
    <col min="7439" max="7440" width="10.5703125" style="459" customWidth="1"/>
    <col min="7441" max="7441" width="9.42578125" style="459" customWidth="1"/>
    <col min="7442" max="7680" width="9.140625" style="459"/>
    <col min="7681" max="7681" width="5" style="459" customWidth="1"/>
    <col min="7682" max="7682" width="43" style="459" customWidth="1"/>
    <col min="7683" max="7683" width="10.140625" style="459" customWidth="1"/>
    <col min="7684" max="7684" width="45" style="459" customWidth="1"/>
    <col min="7685" max="7685" width="34.5703125" style="459" customWidth="1"/>
    <col min="7686" max="7686" width="20.42578125" style="459" customWidth="1"/>
    <col min="7687" max="7687" width="36" style="459" customWidth="1"/>
    <col min="7688" max="7690" width="9.140625" style="459"/>
    <col min="7691" max="7692" width="9.5703125" style="459" customWidth="1"/>
    <col min="7693" max="7693" width="9.42578125" style="459" customWidth="1"/>
    <col min="7694" max="7694" width="9.140625" style="459"/>
    <col min="7695" max="7696" width="10.5703125" style="459" customWidth="1"/>
    <col min="7697" max="7697" width="9.42578125" style="459" customWidth="1"/>
    <col min="7698" max="7936" width="9.140625" style="459"/>
    <col min="7937" max="7937" width="5" style="459" customWidth="1"/>
    <col min="7938" max="7938" width="43" style="459" customWidth="1"/>
    <col min="7939" max="7939" width="10.140625" style="459" customWidth="1"/>
    <col min="7940" max="7940" width="45" style="459" customWidth="1"/>
    <col min="7941" max="7941" width="34.5703125" style="459" customWidth="1"/>
    <col min="7942" max="7942" width="20.42578125" style="459" customWidth="1"/>
    <col min="7943" max="7943" width="36" style="459" customWidth="1"/>
    <col min="7944" max="7946" width="9.140625" style="459"/>
    <col min="7947" max="7948" width="9.5703125" style="459" customWidth="1"/>
    <col min="7949" max="7949" width="9.42578125" style="459" customWidth="1"/>
    <col min="7950" max="7950" width="9.140625" style="459"/>
    <col min="7951" max="7952" width="10.5703125" style="459" customWidth="1"/>
    <col min="7953" max="7953" width="9.42578125" style="459" customWidth="1"/>
    <col min="7954" max="8192" width="9.140625" style="459"/>
    <col min="8193" max="8193" width="5" style="459" customWidth="1"/>
    <col min="8194" max="8194" width="43" style="459" customWidth="1"/>
    <col min="8195" max="8195" width="10.140625" style="459" customWidth="1"/>
    <col min="8196" max="8196" width="45" style="459" customWidth="1"/>
    <col min="8197" max="8197" width="34.5703125" style="459" customWidth="1"/>
    <col min="8198" max="8198" width="20.42578125" style="459" customWidth="1"/>
    <col min="8199" max="8199" width="36" style="459" customWidth="1"/>
    <col min="8200" max="8202" width="9.140625" style="459"/>
    <col min="8203" max="8204" width="9.5703125" style="459" customWidth="1"/>
    <col min="8205" max="8205" width="9.42578125" style="459" customWidth="1"/>
    <col min="8206" max="8206" width="9.140625" style="459"/>
    <col min="8207" max="8208" width="10.5703125" style="459" customWidth="1"/>
    <col min="8209" max="8209" width="9.42578125" style="459" customWidth="1"/>
    <col min="8210" max="8448" width="9.140625" style="459"/>
    <col min="8449" max="8449" width="5" style="459" customWidth="1"/>
    <col min="8450" max="8450" width="43" style="459" customWidth="1"/>
    <col min="8451" max="8451" width="10.140625" style="459" customWidth="1"/>
    <col min="8452" max="8452" width="45" style="459" customWidth="1"/>
    <col min="8453" max="8453" width="34.5703125" style="459" customWidth="1"/>
    <col min="8454" max="8454" width="20.42578125" style="459" customWidth="1"/>
    <col min="8455" max="8455" width="36" style="459" customWidth="1"/>
    <col min="8456" max="8458" width="9.140625" style="459"/>
    <col min="8459" max="8460" width="9.5703125" style="459" customWidth="1"/>
    <col min="8461" max="8461" width="9.42578125" style="459" customWidth="1"/>
    <col min="8462" max="8462" width="9.140625" style="459"/>
    <col min="8463" max="8464" width="10.5703125" style="459" customWidth="1"/>
    <col min="8465" max="8465" width="9.42578125" style="459" customWidth="1"/>
    <col min="8466" max="8704" width="9.140625" style="459"/>
    <col min="8705" max="8705" width="5" style="459" customWidth="1"/>
    <col min="8706" max="8706" width="43" style="459" customWidth="1"/>
    <col min="8707" max="8707" width="10.140625" style="459" customWidth="1"/>
    <col min="8708" max="8708" width="45" style="459" customWidth="1"/>
    <col min="8709" max="8709" width="34.5703125" style="459" customWidth="1"/>
    <col min="8710" max="8710" width="20.42578125" style="459" customWidth="1"/>
    <col min="8711" max="8711" width="36" style="459" customWidth="1"/>
    <col min="8712" max="8714" width="9.140625" style="459"/>
    <col min="8715" max="8716" width="9.5703125" style="459" customWidth="1"/>
    <col min="8717" max="8717" width="9.42578125" style="459" customWidth="1"/>
    <col min="8718" max="8718" width="9.140625" style="459"/>
    <col min="8719" max="8720" width="10.5703125" style="459" customWidth="1"/>
    <col min="8721" max="8721" width="9.42578125" style="459" customWidth="1"/>
    <col min="8722" max="8960" width="9.140625" style="459"/>
    <col min="8961" max="8961" width="5" style="459" customWidth="1"/>
    <col min="8962" max="8962" width="43" style="459" customWidth="1"/>
    <col min="8963" max="8963" width="10.140625" style="459" customWidth="1"/>
    <col min="8964" max="8964" width="45" style="459" customWidth="1"/>
    <col min="8965" max="8965" width="34.5703125" style="459" customWidth="1"/>
    <col min="8966" max="8966" width="20.42578125" style="459" customWidth="1"/>
    <col min="8967" max="8967" width="36" style="459" customWidth="1"/>
    <col min="8968" max="8970" width="9.140625" style="459"/>
    <col min="8971" max="8972" width="9.5703125" style="459" customWidth="1"/>
    <col min="8973" max="8973" width="9.42578125" style="459" customWidth="1"/>
    <col min="8974" max="8974" width="9.140625" style="459"/>
    <col min="8975" max="8976" width="10.5703125" style="459" customWidth="1"/>
    <col min="8977" max="8977" width="9.42578125" style="459" customWidth="1"/>
    <col min="8978" max="9216" width="9.140625" style="459"/>
    <col min="9217" max="9217" width="5" style="459" customWidth="1"/>
    <col min="9218" max="9218" width="43" style="459" customWidth="1"/>
    <col min="9219" max="9219" width="10.140625" style="459" customWidth="1"/>
    <col min="9220" max="9220" width="45" style="459" customWidth="1"/>
    <col min="9221" max="9221" width="34.5703125" style="459" customWidth="1"/>
    <col min="9222" max="9222" width="20.42578125" style="459" customWidth="1"/>
    <col min="9223" max="9223" width="36" style="459" customWidth="1"/>
    <col min="9224" max="9226" width="9.140625" style="459"/>
    <col min="9227" max="9228" width="9.5703125" style="459" customWidth="1"/>
    <col min="9229" max="9229" width="9.42578125" style="459" customWidth="1"/>
    <col min="9230" max="9230" width="9.140625" style="459"/>
    <col min="9231" max="9232" width="10.5703125" style="459" customWidth="1"/>
    <col min="9233" max="9233" width="9.42578125" style="459" customWidth="1"/>
    <col min="9234" max="9472" width="9.140625" style="459"/>
    <col min="9473" max="9473" width="5" style="459" customWidth="1"/>
    <col min="9474" max="9474" width="43" style="459" customWidth="1"/>
    <col min="9475" max="9475" width="10.140625" style="459" customWidth="1"/>
    <col min="9476" max="9476" width="45" style="459" customWidth="1"/>
    <col min="9477" max="9477" width="34.5703125" style="459" customWidth="1"/>
    <col min="9478" max="9478" width="20.42578125" style="459" customWidth="1"/>
    <col min="9479" max="9479" width="36" style="459" customWidth="1"/>
    <col min="9480" max="9482" width="9.140625" style="459"/>
    <col min="9483" max="9484" width="9.5703125" style="459" customWidth="1"/>
    <col min="9485" max="9485" width="9.42578125" style="459" customWidth="1"/>
    <col min="9486" max="9486" width="9.140625" style="459"/>
    <col min="9487" max="9488" width="10.5703125" style="459" customWidth="1"/>
    <col min="9489" max="9489" width="9.42578125" style="459" customWidth="1"/>
    <col min="9490" max="9728" width="9.140625" style="459"/>
    <col min="9729" max="9729" width="5" style="459" customWidth="1"/>
    <col min="9730" max="9730" width="43" style="459" customWidth="1"/>
    <col min="9731" max="9731" width="10.140625" style="459" customWidth="1"/>
    <col min="9732" max="9732" width="45" style="459" customWidth="1"/>
    <col min="9733" max="9733" width="34.5703125" style="459" customWidth="1"/>
    <col min="9734" max="9734" width="20.42578125" style="459" customWidth="1"/>
    <col min="9735" max="9735" width="36" style="459" customWidth="1"/>
    <col min="9736" max="9738" width="9.140625" style="459"/>
    <col min="9739" max="9740" width="9.5703125" style="459" customWidth="1"/>
    <col min="9741" max="9741" width="9.42578125" style="459" customWidth="1"/>
    <col min="9742" max="9742" width="9.140625" style="459"/>
    <col min="9743" max="9744" width="10.5703125" style="459" customWidth="1"/>
    <col min="9745" max="9745" width="9.42578125" style="459" customWidth="1"/>
    <col min="9746" max="9984" width="9.140625" style="459"/>
    <col min="9985" max="9985" width="5" style="459" customWidth="1"/>
    <col min="9986" max="9986" width="43" style="459" customWidth="1"/>
    <col min="9987" max="9987" width="10.140625" style="459" customWidth="1"/>
    <col min="9988" max="9988" width="45" style="459" customWidth="1"/>
    <col min="9989" max="9989" width="34.5703125" style="459" customWidth="1"/>
    <col min="9990" max="9990" width="20.42578125" style="459" customWidth="1"/>
    <col min="9991" max="9991" width="36" style="459" customWidth="1"/>
    <col min="9992" max="9994" width="9.140625" style="459"/>
    <col min="9995" max="9996" width="9.5703125" style="459" customWidth="1"/>
    <col min="9997" max="9997" width="9.42578125" style="459" customWidth="1"/>
    <col min="9998" max="9998" width="9.140625" style="459"/>
    <col min="9999" max="10000" width="10.5703125" style="459" customWidth="1"/>
    <col min="10001" max="10001" width="9.42578125" style="459" customWidth="1"/>
    <col min="10002" max="10240" width="9.140625" style="459"/>
    <col min="10241" max="10241" width="5" style="459" customWidth="1"/>
    <col min="10242" max="10242" width="43" style="459" customWidth="1"/>
    <col min="10243" max="10243" width="10.140625" style="459" customWidth="1"/>
    <col min="10244" max="10244" width="45" style="459" customWidth="1"/>
    <col min="10245" max="10245" width="34.5703125" style="459" customWidth="1"/>
    <col min="10246" max="10246" width="20.42578125" style="459" customWidth="1"/>
    <col min="10247" max="10247" width="36" style="459" customWidth="1"/>
    <col min="10248" max="10250" width="9.140625" style="459"/>
    <col min="10251" max="10252" width="9.5703125" style="459" customWidth="1"/>
    <col min="10253" max="10253" width="9.42578125" style="459" customWidth="1"/>
    <col min="10254" max="10254" width="9.140625" style="459"/>
    <col min="10255" max="10256" width="10.5703125" style="459" customWidth="1"/>
    <col min="10257" max="10257" width="9.42578125" style="459" customWidth="1"/>
    <col min="10258" max="10496" width="9.140625" style="459"/>
    <col min="10497" max="10497" width="5" style="459" customWidth="1"/>
    <col min="10498" max="10498" width="43" style="459" customWidth="1"/>
    <col min="10499" max="10499" width="10.140625" style="459" customWidth="1"/>
    <col min="10500" max="10500" width="45" style="459" customWidth="1"/>
    <col min="10501" max="10501" width="34.5703125" style="459" customWidth="1"/>
    <col min="10502" max="10502" width="20.42578125" style="459" customWidth="1"/>
    <col min="10503" max="10503" width="36" style="459" customWidth="1"/>
    <col min="10504" max="10506" width="9.140625" style="459"/>
    <col min="10507" max="10508" width="9.5703125" style="459" customWidth="1"/>
    <col min="10509" max="10509" width="9.42578125" style="459" customWidth="1"/>
    <col min="10510" max="10510" width="9.140625" style="459"/>
    <col min="10511" max="10512" width="10.5703125" style="459" customWidth="1"/>
    <col min="10513" max="10513" width="9.42578125" style="459" customWidth="1"/>
    <col min="10514" max="10752" width="9.140625" style="459"/>
    <col min="10753" max="10753" width="5" style="459" customWidth="1"/>
    <col min="10754" max="10754" width="43" style="459" customWidth="1"/>
    <col min="10755" max="10755" width="10.140625" style="459" customWidth="1"/>
    <col min="10756" max="10756" width="45" style="459" customWidth="1"/>
    <col min="10757" max="10757" width="34.5703125" style="459" customWidth="1"/>
    <col min="10758" max="10758" width="20.42578125" style="459" customWidth="1"/>
    <col min="10759" max="10759" width="36" style="459" customWidth="1"/>
    <col min="10760" max="10762" width="9.140625" style="459"/>
    <col min="10763" max="10764" width="9.5703125" style="459" customWidth="1"/>
    <col min="10765" max="10765" width="9.42578125" style="459" customWidth="1"/>
    <col min="10766" max="10766" width="9.140625" style="459"/>
    <col min="10767" max="10768" width="10.5703125" style="459" customWidth="1"/>
    <col min="10769" max="10769" width="9.42578125" style="459" customWidth="1"/>
    <col min="10770" max="11008" width="9.140625" style="459"/>
    <col min="11009" max="11009" width="5" style="459" customWidth="1"/>
    <col min="11010" max="11010" width="43" style="459" customWidth="1"/>
    <col min="11011" max="11011" width="10.140625" style="459" customWidth="1"/>
    <col min="11012" max="11012" width="45" style="459" customWidth="1"/>
    <col min="11013" max="11013" width="34.5703125" style="459" customWidth="1"/>
    <col min="11014" max="11014" width="20.42578125" style="459" customWidth="1"/>
    <col min="11015" max="11015" width="36" style="459" customWidth="1"/>
    <col min="11016" max="11018" width="9.140625" style="459"/>
    <col min="11019" max="11020" width="9.5703125" style="459" customWidth="1"/>
    <col min="11021" max="11021" width="9.42578125" style="459" customWidth="1"/>
    <col min="11022" max="11022" width="9.140625" style="459"/>
    <col min="11023" max="11024" width="10.5703125" style="459" customWidth="1"/>
    <col min="11025" max="11025" width="9.42578125" style="459" customWidth="1"/>
    <col min="11026" max="11264" width="9.140625" style="459"/>
    <col min="11265" max="11265" width="5" style="459" customWidth="1"/>
    <col min="11266" max="11266" width="43" style="459" customWidth="1"/>
    <col min="11267" max="11267" width="10.140625" style="459" customWidth="1"/>
    <col min="11268" max="11268" width="45" style="459" customWidth="1"/>
    <col min="11269" max="11269" width="34.5703125" style="459" customWidth="1"/>
    <col min="11270" max="11270" width="20.42578125" style="459" customWidth="1"/>
    <col min="11271" max="11271" width="36" style="459" customWidth="1"/>
    <col min="11272" max="11274" width="9.140625" style="459"/>
    <col min="11275" max="11276" width="9.5703125" style="459" customWidth="1"/>
    <col min="11277" max="11277" width="9.42578125" style="459" customWidth="1"/>
    <col min="11278" max="11278" width="9.140625" style="459"/>
    <col min="11279" max="11280" width="10.5703125" style="459" customWidth="1"/>
    <col min="11281" max="11281" width="9.42578125" style="459" customWidth="1"/>
    <col min="11282" max="11520" width="9.140625" style="459"/>
    <col min="11521" max="11521" width="5" style="459" customWidth="1"/>
    <col min="11522" max="11522" width="43" style="459" customWidth="1"/>
    <col min="11523" max="11523" width="10.140625" style="459" customWidth="1"/>
    <col min="11524" max="11524" width="45" style="459" customWidth="1"/>
    <col min="11525" max="11525" width="34.5703125" style="459" customWidth="1"/>
    <col min="11526" max="11526" width="20.42578125" style="459" customWidth="1"/>
    <col min="11527" max="11527" width="36" style="459" customWidth="1"/>
    <col min="11528" max="11530" width="9.140625" style="459"/>
    <col min="11531" max="11532" width="9.5703125" style="459" customWidth="1"/>
    <col min="11533" max="11533" width="9.42578125" style="459" customWidth="1"/>
    <col min="11534" max="11534" width="9.140625" style="459"/>
    <col min="11535" max="11536" width="10.5703125" style="459" customWidth="1"/>
    <col min="11537" max="11537" width="9.42578125" style="459" customWidth="1"/>
    <col min="11538" max="11776" width="9.140625" style="459"/>
    <col min="11777" max="11777" width="5" style="459" customWidth="1"/>
    <col min="11778" max="11778" width="43" style="459" customWidth="1"/>
    <col min="11779" max="11779" width="10.140625" style="459" customWidth="1"/>
    <col min="11780" max="11780" width="45" style="459" customWidth="1"/>
    <col min="11781" max="11781" width="34.5703125" style="459" customWidth="1"/>
    <col min="11782" max="11782" width="20.42578125" style="459" customWidth="1"/>
    <col min="11783" max="11783" width="36" style="459" customWidth="1"/>
    <col min="11784" max="11786" width="9.140625" style="459"/>
    <col min="11787" max="11788" width="9.5703125" style="459" customWidth="1"/>
    <col min="11789" max="11789" width="9.42578125" style="459" customWidth="1"/>
    <col min="11790" max="11790" width="9.140625" style="459"/>
    <col min="11791" max="11792" width="10.5703125" style="459" customWidth="1"/>
    <col min="11793" max="11793" width="9.42578125" style="459" customWidth="1"/>
    <col min="11794" max="12032" width="9.140625" style="459"/>
    <col min="12033" max="12033" width="5" style="459" customWidth="1"/>
    <col min="12034" max="12034" width="43" style="459" customWidth="1"/>
    <col min="12035" max="12035" width="10.140625" style="459" customWidth="1"/>
    <col min="12036" max="12036" width="45" style="459" customWidth="1"/>
    <col min="12037" max="12037" width="34.5703125" style="459" customWidth="1"/>
    <col min="12038" max="12038" width="20.42578125" style="459" customWidth="1"/>
    <col min="12039" max="12039" width="36" style="459" customWidth="1"/>
    <col min="12040" max="12042" width="9.140625" style="459"/>
    <col min="12043" max="12044" width="9.5703125" style="459" customWidth="1"/>
    <col min="12045" max="12045" width="9.42578125" style="459" customWidth="1"/>
    <col min="12046" max="12046" width="9.140625" style="459"/>
    <col min="12047" max="12048" width="10.5703125" style="459" customWidth="1"/>
    <col min="12049" max="12049" width="9.42578125" style="459" customWidth="1"/>
    <col min="12050" max="12288" width="9.140625" style="459"/>
    <col min="12289" max="12289" width="5" style="459" customWidth="1"/>
    <col min="12290" max="12290" width="43" style="459" customWidth="1"/>
    <col min="12291" max="12291" width="10.140625" style="459" customWidth="1"/>
    <col min="12292" max="12292" width="45" style="459" customWidth="1"/>
    <col min="12293" max="12293" width="34.5703125" style="459" customWidth="1"/>
    <col min="12294" max="12294" width="20.42578125" style="459" customWidth="1"/>
    <col min="12295" max="12295" width="36" style="459" customWidth="1"/>
    <col min="12296" max="12298" width="9.140625" style="459"/>
    <col min="12299" max="12300" width="9.5703125" style="459" customWidth="1"/>
    <col min="12301" max="12301" width="9.42578125" style="459" customWidth="1"/>
    <col min="12302" max="12302" width="9.140625" style="459"/>
    <col min="12303" max="12304" width="10.5703125" style="459" customWidth="1"/>
    <col min="12305" max="12305" width="9.42578125" style="459" customWidth="1"/>
    <col min="12306" max="12544" width="9.140625" style="459"/>
    <col min="12545" max="12545" width="5" style="459" customWidth="1"/>
    <col min="12546" max="12546" width="43" style="459" customWidth="1"/>
    <col min="12547" max="12547" width="10.140625" style="459" customWidth="1"/>
    <col min="12548" max="12548" width="45" style="459" customWidth="1"/>
    <col min="12549" max="12549" width="34.5703125" style="459" customWidth="1"/>
    <col min="12550" max="12550" width="20.42578125" style="459" customWidth="1"/>
    <col min="12551" max="12551" width="36" style="459" customWidth="1"/>
    <col min="12552" max="12554" width="9.140625" style="459"/>
    <col min="12555" max="12556" width="9.5703125" style="459" customWidth="1"/>
    <col min="12557" max="12557" width="9.42578125" style="459" customWidth="1"/>
    <col min="12558" max="12558" width="9.140625" style="459"/>
    <col min="12559" max="12560" width="10.5703125" style="459" customWidth="1"/>
    <col min="12561" max="12561" width="9.42578125" style="459" customWidth="1"/>
    <col min="12562" max="12800" width="9.140625" style="459"/>
    <col min="12801" max="12801" width="5" style="459" customWidth="1"/>
    <col min="12802" max="12802" width="43" style="459" customWidth="1"/>
    <col min="12803" max="12803" width="10.140625" style="459" customWidth="1"/>
    <col min="12804" max="12804" width="45" style="459" customWidth="1"/>
    <col min="12805" max="12805" width="34.5703125" style="459" customWidth="1"/>
    <col min="12806" max="12806" width="20.42578125" style="459" customWidth="1"/>
    <col min="12807" max="12807" width="36" style="459" customWidth="1"/>
    <col min="12808" max="12810" width="9.140625" style="459"/>
    <col min="12811" max="12812" width="9.5703125" style="459" customWidth="1"/>
    <col min="12813" max="12813" width="9.42578125" style="459" customWidth="1"/>
    <col min="12814" max="12814" width="9.140625" style="459"/>
    <col min="12815" max="12816" width="10.5703125" style="459" customWidth="1"/>
    <col min="12817" max="12817" width="9.42578125" style="459" customWidth="1"/>
    <col min="12818" max="13056" width="9.140625" style="459"/>
    <col min="13057" max="13057" width="5" style="459" customWidth="1"/>
    <col min="13058" max="13058" width="43" style="459" customWidth="1"/>
    <col min="13059" max="13059" width="10.140625" style="459" customWidth="1"/>
    <col min="13060" max="13060" width="45" style="459" customWidth="1"/>
    <col min="13061" max="13061" width="34.5703125" style="459" customWidth="1"/>
    <col min="13062" max="13062" width="20.42578125" style="459" customWidth="1"/>
    <col min="13063" max="13063" width="36" style="459" customWidth="1"/>
    <col min="13064" max="13066" width="9.140625" style="459"/>
    <col min="13067" max="13068" width="9.5703125" style="459" customWidth="1"/>
    <col min="13069" max="13069" width="9.42578125" style="459" customWidth="1"/>
    <col min="13070" max="13070" width="9.140625" style="459"/>
    <col min="13071" max="13072" width="10.5703125" style="459" customWidth="1"/>
    <col min="13073" max="13073" width="9.42578125" style="459" customWidth="1"/>
    <col min="13074" max="13312" width="9.140625" style="459"/>
    <col min="13313" max="13313" width="5" style="459" customWidth="1"/>
    <col min="13314" max="13314" width="43" style="459" customWidth="1"/>
    <col min="13315" max="13315" width="10.140625" style="459" customWidth="1"/>
    <col min="13316" max="13316" width="45" style="459" customWidth="1"/>
    <col min="13317" max="13317" width="34.5703125" style="459" customWidth="1"/>
    <col min="13318" max="13318" width="20.42578125" style="459" customWidth="1"/>
    <col min="13319" max="13319" width="36" style="459" customWidth="1"/>
    <col min="13320" max="13322" width="9.140625" style="459"/>
    <col min="13323" max="13324" width="9.5703125" style="459" customWidth="1"/>
    <col min="13325" max="13325" width="9.42578125" style="459" customWidth="1"/>
    <col min="13326" max="13326" width="9.140625" style="459"/>
    <col min="13327" max="13328" width="10.5703125" style="459" customWidth="1"/>
    <col min="13329" max="13329" width="9.42578125" style="459" customWidth="1"/>
    <col min="13330" max="13568" width="9.140625" style="459"/>
    <col min="13569" max="13569" width="5" style="459" customWidth="1"/>
    <col min="13570" max="13570" width="43" style="459" customWidth="1"/>
    <col min="13571" max="13571" width="10.140625" style="459" customWidth="1"/>
    <col min="13572" max="13572" width="45" style="459" customWidth="1"/>
    <col min="13573" max="13573" width="34.5703125" style="459" customWidth="1"/>
    <col min="13574" max="13574" width="20.42578125" style="459" customWidth="1"/>
    <col min="13575" max="13575" width="36" style="459" customWidth="1"/>
    <col min="13576" max="13578" width="9.140625" style="459"/>
    <col min="13579" max="13580" width="9.5703125" style="459" customWidth="1"/>
    <col min="13581" max="13581" width="9.42578125" style="459" customWidth="1"/>
    <col min="13582" max="13582" width="9.140625" style="459"/>
    <col min="13583" max="13584" width="10.5703125" style="459" customWidth="1"/>
    <col min="13585" max="13585" width="9.42578125" style="459" customWidth="1"/>
    <col min="13586" max="13824" width="9.140625" style="459"/>
    <col min="13825" max="13825" width="5" style="459" customWidth="1"/>
    <col min="13826" max="13826" width="43" style="459" customWidth="1"/>
    <col min="13827" max="13827" width="10.140625" style="459" customWidth="1"/>
    <col min="13828" max="13828" width="45" style="459" customWidth="1"/>
    <col min="13829" max="13829" width="34.5703125" style="459" customWidth="1"/>
    <col min="13830" max="13830" width="20.42578125" style="459" customWidth="1"/>
    <col min="13831" max="13831" width="36" style="459" customWidth="1"/>
    <col min="13832" max="13834" width="9.140625" style="459"/>
    <col min="13835" max="13836" width="9.5703125" style="459" customWidth="1"/>
    <col min="13837" max="13837" width="9.42578125" style="459" customWidth="1"/>
    <col min="13838" max="13838" width="9.140625" style="459"/>
    <col min="13839" max="13840" width="10.5703125" style="459" customWidth="1"/>
    <col min="13841" max="13841" width="9.42578125" style="459" customWidth="1"/>
    <col min="13842" max="14080" width="9.140625" style="459"/>
    <col min="14081" max="14081" width="5" style="459" customWidth="1"/>
    <col min="14082" max="14082" width="43" style="459" customWidth="1"/>
    <col min="14083" max="14083" width="10.140625" style="459" customWidth="1"/>
    <col min="14084" max="14084" width="45" style="459" customWidth="1"/>
    <col min="14085" max="14085" width="34.5703125" style="459" customWidth="1"/>
    <col min="14086" max="14086" width="20.42578125" style="459" customWidth="1"/>
    <col min="14087" max="14087" width="36" style="459" customWidth="1"/>
    <col min="14088" max="14090" width="9.140625" style="459"/>
    <col min="14091" max="14092" width="9.5703125" style="459" customWidth="1"/>
    <col min="14093" max="14093" width="9.42578125" style="459" customWidth="1"/>
    <col min="14094" max="14094" width="9.140625" style="459"/>
    <col min="14095" max="14096" width="10.5703125" style="459" customWidth="1"/>
    <col min="14097" max="14097" width="9.42578125" style="459" customWidth="1"/>
    <col min="14098" max="14336" width="9.140625" style="459"/>
    <col min="14337" max="14337" width="5" style="459" customWidth="1"/>
    <col min="14338" max="14338" width="43" style="459" customWidth="1"/>
    <col min="14339" max="14339" width="10.140625" style="459" customWidth="1"/>
    <col min="14340" max="14340" width="45" style="459" customWidth="1"/>
    <col min="14341" max="14341" width="34.5703125" style="459" customWidth="1"/>
    <col min="14342" max="14342" width="20.42578125" style="459" customWidth="1"/>
    <col min="14343" max="14343" width="36" style="459" customWidth="1"/>
    <col min="14344" max="14346" width="9.140625" style="459"/>
    <col min="14347" max="14348" width="9.5703125" style="459" customWidth="1"/>
    <col min="14349" max="14349" width="9.42578125" style="459" customWidth="1"/>
    <col min="14350" max="14350" width="9.140625" style="459"/>
    <col min="14351" max="14352" width="10.5703125" style="459" customWidth="1"/>
    <col min="14353" max="14353" width="9.42578125" style="459" customWidth="1"/>
    <col min="14354" max="14592" width="9.140625" style="459"/>
    <col min="14593" max="14593" width="5" style="459" customWidth="1"/>
    <col min="14594" max="14594" width="43" style="459" customWidth="1"/>
    <col min="14595" max="14595" width="10.140625" style="459" customWidth="1"/>
    <col min="14596" max="14596" width="45" style="459" customWidth="1"/>
    <col min="14597" max="14597" width="34.5703125" style="459" customWidth="1"/>
    <col min="14598" max="14598" width="20.42578125" style="459" customWidth="1"/>
    <col min="14599" max="14599" width="36" style="459" customWidth="1"/>
    <col min="14600" max="14602" width="9.140625" style="459"/>
    <col min="14603" max="14604" width="9.5703125" style="459" customWidth="1"/>
    <col min="14605" max="14605" width="9.42578125" style="459" customWidth="1"/>
    <col min="14606" max="14606" width="9.140625" style="459"/>
    <col min="14607" max="14608" width="10.5703125" style="459" customWidth="1"/>
    <col min="14609" max="14609" width="9.42578125" style="459" customWidth="1"/>
    <col min="14610" max="14848" width="9.140625" style="459"/>
    <col min="14849" max="14849" width="5" style="459" customWidth="1"/>
    <col min="14850" max="14850" width="43" style="459" customWidth="1"/>
    <col min="14851" max="14851" width="10.140625" style="459" customWidth="1"/>
    <col min="14852" max="14852" width="45" style="459" customWidth="1"/>
    <col min="14853" max="14853" width="34.5703125" style="459" customWidth="1"/>
    <col min="14854" max="14854" width="20.42578125" style="459" customWidth="1"/>
    <col min="14855" max="14855" width="36" style="459" customWidth="1"/>
    <col min="14856" max="14858" width="9.140625" style="459"/>
    <col min="14859" max="14860" width="9.5703125" style="459" customWidth="1"/>
    <col min="14861" max="14861" width="9.42578125" style="459" customWidth="1"/>
    <col min="14862" max="14862" width="9.140625" style="459"/>
    <col min="14863" max="14864" width="10.5703125" style="459" customWidth="1"/>
    <col min="14865" max="14865" width="9.42578125" style="459" customWidth="1"/>
    <col min="14866" max="15104" width="9.140625" style="459"/>
    <col min="15105" max="15105" width="5" style="459" customWidth="1"/>
    <col min="15106" max="15106" width="43" style="459" customWidth="1"/>
    <col min="15107" max="15107" width="10.140625" style="459" customWidth="1"/>
    <col min="15108" max="15108" width="45" style="459" customWidth="1"/>
    <col min="15109" max="15109" width="34.5703125" style="459" customWidth="1"/>
    <col min="15110" max="15110" width="20.42578125" style="459" customWidth="1"/>
    <col min="15111" max="15111" width="36" style="459" customWidth="1"/>
    <col min="15112" max="15114" width="9.140625" style="459"/>
    <col min="15115" max="15116" width="9.5703125" style="459" customWidth="1"/>
    <col min="15117" max="15117" width="9.42578125" style="459" customWidth="1"/>
    <col min="15118" max="15118" width="9.140625" style="459"/>
    <col min="15119" max="15120" width="10.5703125" style="459" customWidth="1"/>
    <col min="15121" max="15121" width="9.42578125" style="459" customWidth="1"/>
    <col min="15122" max="15360" width="9.140625" style="459"/>
    <col min="15361" max="15361" width="5" style="459" customWidth="1"/>
    <col min="15362" max="15362" width="43" style="459" customWidth="1"/>
    <col min="15363" max="15363" width="10.140625" style="459" customWidth="1"/>
    <col min="15364" max="15364" width="45" style="459" customWidth="1"/>
    <col min="15365" max="15365" width="34.5703125" style="459" customWidth="1"/>
    <col min="15366" max="15366" width="20.42578125" style="459" customWidth="1"/>
    <col min="15367" max="15367" width="36" style="459" customWidth="1"/>
    <col min="15368" max="15370" width="9.140625" style="459"/>
    <col min="15371" max="15372" width="9.5703125" style="459" customWidth="1"/>
    <col min="15373" max="15373" width="9.42578125" style="459" customWidth="1"/>
    <col min="15374" max="15374" width="9.140625" style="459"/>
    <col min="15375" max="15376" width="10.5703125" style="459" customWidth="1"/>
    <col min="15377" max="15377" width="9.42578125" style="459" customWidth="1"/>
    <col min="15378" max="15616" width="9.140625" style="459"/>
    <col min="15617" max="15617" width="5" style="459" customWidth="1"/>
    <col min="15618" max="15618" width="43" style="459" customWidth="1"/>
    <col min="15619" max="15619" width="10.140625" style="459" customWidth="1"/>
    <col min="15620" max="15620" width="45" style="459" customWidth="1"/>
    <col min="15621" max="15621" width="34.5703125" style="459" customWidth="1"/>
    <col min="15622" max="15622" width="20.42578125" style="459" customWidth="1"/>
    <col min="15623" max="15623" width="36" style="459" customWidth="1"/>
    <col min="15624" max="15626" width="9.140625" style="459"/>
    <col min="15627" max="15628" width="9.5703125" style="459" customWidth="1"/>
    <col min="15629" max="15629" width="9.42578125" style="459" customWidth="1"/>
    <col min="15630" max="15630" width="9.140625" style="459"/>
    <col min="15631" max="15632" width="10.5703125" style="459" customWidth="1"/>
    <col min="15633" max="15633" width="9.42578125" style="459" customWidth="1"/>
    <col min="15634" max="15872" width="9.140625" style="459"/>
    <col min="15873" max="15873" width="5" style="459" customWidth="1"/>
    <col min="15874" max="15874" width="43" style="459" customWidth="1"/>
    <col min="15875" max="15875" width="10.140625" style="459" customWidth="1"/>
    <col min="15876" max="15876" width="45" style="459" customWidth="1"/>
    <col min="15877" max="15877" width="34.5703125" style="459" customWidth="1"/>
    <col min="15878" max="15878" width="20.42578125" style="459" customWidth="1"/>
    <col min="15879" max="15879" width="36" style="459" customWidth="1"/>
    <col min="15880" max="15882" width="9.140625" style="459"/>
    <col min="15883" max="15884" width="9.5703125" style="459" customWidth="1"/>
    <col min="15885" max="15885" width="9.42578125" style="459" customWidth="1"/>
    <col min="15886" max="15886" width="9.140625" style="459"/>
    <col min="15887" max="15888" width="10.5703125" style="459" customWidth="1"/>
    <col min="15889" max="15889" width="9.42578125" style="459" customWidth="1"/>
    <col min="15890" max="16128" width="9.140625" style="459"/>
    <col min="16129" max="16129" width="5" style="459" customWidth="1"/>
    <col min="16130" max="16130" width="43" style="459" customWidth="1"/>
    <col min="16131" max="16131" width="10.140625" style="459" customWidth="1"/>
    <col min="16132" max="16132" width="45" style="459" customWidth="1"/>
    <col min="16133" max="16133" width="34.5703125" style="459" customWidth="1"/>
    <col min="16134" max="16134" width="20.42578125" style="459" customWidth="1"/>
    <col min="16135" max="16135" width="36" style="459" customWidth="1"/>
    <col min="16136" max="16138" width="9.140625" style="459"/>
    <col min="16139" max="16140" width="9.5703125" style="459" customWidth="1"/>
    <col min="16141" max="16141" width="9.42578125" style="459" customWidth="1"/>
    <col min="16142" max="16142" width="9.140625" style="459"/>
    <col min="16143" max="16144" width="10.5703125" style="459" customWidth="1"/>
    <col min="16145" max="16145" width="9.42578125" style="459" customWidth="1"/>
    <col min="16146" max="16384" width="9.140625" style="459"/>
  </cols>
  <sheetData>
    <row r="1" spans="1:252" ht="127.5" x14ac:dyDescent="0.2">
      <c r="A1" s="494"/>
      <c r="B1" s="495"/>
      <c r="C1" s="495"/>
      <c r="D1" s="495"/>
      <c r="E1" s="495"/>
      <c r="F1" s="495"/>
      <c r="G1" s="495"/>
      <c r="H1" s="495"/>
      <c r="I1" s="495"/>
      <c r="J1" s="495"/>
      <c r="K1" s="496"/>
      <c r="L1" s="496"/>
      <c r="M1" s="496"/>
      <c r="N1" s="495"/>
      <c r="O1" s="523" t="s">
        <v>15</v>
      </c>
      <c r="P1" s="523"/>
      <c r="Q1" s="523"/>
      <c r="R1" s="524"/>
      <c r="S1" s="524"/>
      <c r="T1" s="524"/>
      <c r="U1" s="524"/>
      <c r="V1" s="524"/>
      <c r="W1" s="524"/>
      <c r="X1" s="524"/>
      <c r="Y1" s="524"/>
      <c r="Z1" s="524"/>
      <c r="AA1" s="524"/>
      <c r="AB1" s="524"/>
      <c r="AC1" s="524"/>
      <c r="AD1" s="524"/>
      <c r="AE1" s="524"/>
      <c r="AF1" s="524"/>
      <c r="AG1" s="524"/>
      <c r="AH1" s="524"/>
      <c r="AI1" s="524"/>
      <c r="AJ1" s="524"/>
      <c r="AK1" s="524"/>
      <c r="AL1" s="524"/>
      <c r="AM1" s="524"/>
      <c r="AN1" s="524"/>
      <c r="AO1" s="524"/>
      <c r="AP1" s="524"/>
      <c r="AQ1" s="524"/>
      <c r="AR1" s="524"/>
      <c r="AS1" s="524"/>
      <c r="AT1" s="524"/>
      <c r="AU1" s="524"/>
      <c r="AV1" s="524"/>
      <c r="AW1" s="524"/>
      <c r="AX1" s="524"/>
      <c r="AY1" s="524"/>
      <c r="AZ1" s="524"/>
      <c r="BA1" s="524"/>
      <c r="BB1" s="524"/>
      <c r="BC1" s="524"/>
      <c r="BD1" s="524"/>
      <c r="BE1" s="524"/>
      <c r="BF1" s="524"/>
      <c r="BG1" s="524"/>
      <c r="BH1" s="524"/>
      <c r="BI1" s="524"/>
      <c r="BJ1" s="524"/>
      <c r="BK1" s="524"/>
      <c r="BL1" s="524"/>
      <c r="BM1" s="524"/>
      <c r="BN1" s="524"/>
      <c r="BO1" s="524"/>
      <c r="BP1" s="524"/>
      <c r="BQ1" s="524"/>
      <c r="BR1" s="524"/>
      <c r="BS1" s="524"/>
      <c r="BT1" s="524"/>
      <c r="BU1" s="524"/>
      <c r="BV1" s="524"/>
      <c r="BW1" s="524"/>
      <c r="BX1" s="524"/>
      <c r="BY1" s="524"/>
      <c r="BZ1" s="524"/>
      <c r="CA1" s="524"/>
      <c r="CB1" s="524"/>
      <c r="CC1" s="524"/>
      <c r="CD1" s="524"/>
      <c r="CE1" s="524"/>
      <c r="CF1" s="524"/>
      <c r="CG1" s="524"/>
      <c r="CH1" s="524"/>
      <c r="CI1" s="524"/>
      <c r="CJ1" s="524"/>
      <c r="CK1" s="524"/>
      <c r="CL1" s="524"/>
      <c r="CM1" s="524"/>
      <c r="CN1" s="524"/>
      <c r="CO1" s="524"/>
      <c r="CP1" s="524"/>
      <c r="CQ1" s="524"/>
      <c r="CR1" s="524"/>
      <c r="CS1" s="524"/>
      <c r="CT1" s="524"/>
      <c r="CU1" s="524"/>
      <c r="CV1" s="524"/>
      <c r="CW1" s="524"/>
      <c r="CX1" s="524"/>
      <c r="CY1" s="524"/>
      <c r="CZ1" s="524"/>
      <c r="DA1" s="524"/>
      <c r="DB1" s="524"/>
      <c r="DC1" s="524"/>
      <c r="DD1" s="524"/>
      <c r="DE1" s="524"/>
      <c r="DF1" s="524"/>
      <c r="DG1" s="524"/>
      <c r="DH1" s="524"/>
      <c r="DI1" s="524"/>
      <c r="DJ1" s="524"/>
      <c r="DK1" s="524"/>
      <c r="DL1" s="524"/>
      <c r="DM1" s="524"/>
      <c r="DN1" s="524"/>
      <c r="DO1" s="524"/>
      <c r="DP1" s="524"/>
      <c r="DQ1" s="524"/>
      <c r="DR1" s="524"/>
      <c r="DS1" s="524"/>
      <c r="DT1" s="524"/>
      <c r="DU1" s="524"/>
      <c r="DV1" s="524"/>
      <c r="DW1" s="524"/>
      <c r="DX1" s="524"/>
      <c r="DY1" s="524"/>
      <c r="DZ1" s="524"/>
      <c r="EA1" s="524"/>
      <c r="EB1" s="524"/>
      <c r="EC1" s="524"/>
      <c r="ED1" s="524"/>
      <c r="EE1" s="524"/>
      <c r="EF1" s="524"/>
      <c r="EG1" s="524"/>
      <c r="EH1" s="524"/>
      <c r="EI1" s="524"/>
      <c r="EJ1" s="524"/>
      <c r="EK1" s="524"/>
      <c r="EL1" s="524"/>
      <c r="EM1" s="524"/>
      <c r="EN1" s="524"/>
      <c r="EO1" s="524"/>
      <c r="EP1" s="524"/>
      <c r="EQ1" s="524"/>
      <c r="ER1" s="524"/>
      <c r="ES1" s="524"/>
      <c r="ET1" s="524"/>
      <c r="EU1" s="524"/>
      <c r="EV1" s="524"/>
      <c r="EW1" s="524"/>
      <c r="EX1" s="524"/>
      <c r="EY1" s="524"/>
      <c r="EZ1" s="524"/>
      <c r="FA1" s="524"/>
      <c r="FB1" s="524"/>
      <c r="FC1" s="524"/>
      <c r="FD1" s="524"/>
      <c r="FE1" s="524"/>
      <c r="FF1" s="524"/>
      <c r="FG1" s="524"/>
      <c r="FH1" s="524"/>
      <c r="FI1" s="524"/>
      <c r="FJ1" s="524"/>
      <c r="FK1" s="524"/>
      <c r="FL1" s="524"/>
      <c r="FM1" s="524"/>
      <c r="FN1" s="524"/>
      <c r="FO1" s="524"/>
      <c r="FP1" s="524"/>
      <c r="FQ1" s="524"/>
      <c r="FR1" s="524"/>
      <c r="FS1" s="524"/>
      <c r="FT1" s="524"/>
      <c r="FU1" s="524"/>
      <c r="FV1" s="524"/>
      <c r="FW1" s="524"/>
      <c r="FX1" s="524"/>
      <c r="FY1" s="524"/>
      <c r="FZ1" s="524"/>
      <c r="GA1" s="524"/>
      <c r="GB1" s="524"/>
      <c r="GC1" s="524"/>
      <c r="GD1" s="524"/>
      <c r="GE1" s="524"/>
      <c r="GF1" s="524"/>
      <c r="GG1" s="524"/>
      <c r="GH1" s="524"/>
      <c r="GI1" s="524"/>
      <c r="GJ1" s="524"/>
      <c r="GK1" s="524"/>
      <c r="GL1" s="524"/>
      <c r="GM1" s="524"/>
      <c r="GN1" s="524"/>
      <c r="GO1" s="524"/>
      <c r="GP1" s="524"/>
      <c r="GQ1" s="524"/>
      <c r="GR1" s="524"/>
      <c r="GS1" s="524"/>
      <c r="GT1" s="524"/>
      <c r="GU1" s="524"/>
      <c r="GV1" s="524"/>
      <c r="GW1" s="524"/>
      <c r="GX1" s="524"/>
      <c r="GY1" s="524"/>
      <c r="GZ1" s="524"/>
      <c r="HA1" s="524"/>
      <c r="HB1" s="524"/>
      <c r="HC1" s="524"/>
      <c r="HD1" s="524"/>
      <c r="HE1" s="524"/>
      <c r="HF1" s="524"/>
      <c r="HG1" s="524"/>
      <c r="HH1" s="524"/>
      <c r="HI1" s="524"/>
      <c r="HJ1" s="524"/>
      <c r="HK1" s="524"/>
      <c r="HL1" s="524"/>
      <c r="HM1" s="524"/>
      <c r="HN1" s="524"/>
      <c r="HO1" s="524"/>
      <c r="HP1" s="524"/>
      <c r="HQ1" s="524"/>
      <c r="HR1" s="524"/>
      <c r="HS1" s="524"/>
      <c r="HT1" s="524"/>
      <c r="HU1" s="524"/>
      <c r="HV1" s="524"/>
      <c r="HW1" s="524"/>
      <c r="HX1" s="524"/>
      <c r="HY1" s="524"/>
      <c r="HZ1" s="524"/>
      <c r="IA1" s="524"/>
      <c r="IB1" s="524"/>
      <c r="IC1" s="524"/>
      <c r="ID1" s="524"/>
      <c r="IE1" s="524"/>
      <c r="IF1" s="524"/>
      <c r="IG1" s="524"/>
      <c r="IH1" s="524"/>
      <c r="II1" s="524"/>
      <c r="IJ1" s="524"/>
      <c r="IK1" s="524"/>
      <c r="IL1" s="524"/>
      <c r="IM1" s="524"/>
      <c r="IN1" s="524"/>
      <c r="IO1" s="524"/>
      <c r="IP1" s="524"/>
      <c r="IQ1" s="524"/>
      <c r="IR1" s="524"/>
    </row>
    <row r="2" spans="1:252" x14ac:dyDescent="0.2">
      <c r="A2" s="494"/>
      <c r="B2" s="495"/>
      <c r="C2" s="495"/>
      <c r="D2" s="495"/>
      <c r="E2" s="495"/>
      <c r="F2" s="495"/>
      <c r="G2" s="495"/>
      <c r="H2" s="495"/>
      <c r="I2" s="495"/>
      <c r="J2" s="495"/>
      <c r="K2" s="496"/>
      <c r="L2" s="496"/>
      <c r="M2" s="496"/>
      <c r="N2" s="495"/>
      <c r="O2" s="496"/>
      <c r="P2" s="496"/>
      <c r="Q2" s="496"/>
      <c r="R2" s="524"/>
      <c r="S2" s="524"/>
      <c r="T2" s="524"/>
      <c r="U2" s="524"/>
      <c r="V2" s="524"/>
      <c r="W2" s="524"/>
      <c r="X2" s="524"/>
      <c r="Y2" s="524"/>
      <c r="Z2" s="524"/>
      <c r="AA2" s="524"/>
      <c r="AB2" s="524"/>
      <c r="AC2" s="524"/>
      <c r="AD2" s="524"/>
      <c r="AE2" s="524"/>
      <c r="AF2" s="524"/>
      <c r="AG2" s="524"/>
      <c r="AH2" s="524"/>
      <c r="AI2" s="524"/>
      <c r="AJ2" s="524"/>
      <c r="AK2" s="524"/>
      <c r="AL2" s="524"/>
      <c r="AM2" s="524"/>
      <c r="AN2" s="524"/>
      <c r="AO2" s="524"/>
      <c r="AP2" s="524"/>
      <c r="AQ2" s="524"/>
      <c r="AR2" s="524"/>
      <c r="AS2" s="524"/>
      <c r="AT2" s="524"/>
      <c r="AU2" s="524"/>
      <c r="AV2" s="524"/>
      <c r="AW2" s="524"/>
      <c r="AX2" s="524"/>
      <c r="AY2" s="524"/>
      <c r="AZ2" s="524"/>
      <c r="BA2" s="524"/>
      <c r="BB2" s="524"/>
      <c r="BC2" s="524"/>
      <c r="BD2" s="524"/>
      <c r="BE2" s="524"/>
      <c r="BF2" s="524"/>
      <c r="BG2" s="524"/>
      <c r="BH2" s="524"/>
      <c r="BI2" s="524"/>
      <c r="BJ2" s="524"/>
      <c r="BK2" s="524"/>
      <c r="BL2" s="524"/>
      <c r="BM2" s="524"/>
      <c r="BN2" s="524"/>
      <c r="BO2" s="524"/>
      <c r="BP2" s="524"/>
      <c r="BQ2" s="524"/>
      <c r="BR2" s="524"/>
      <c r="BS2" s="524"/>
      <c r="BT2" s="524"/>
      <c r="BU2" s="524"/>
      <c r="BV2" s="524"/>
      <c r="BW2" s="524"/>
      <c r="BX2" s="524"/>
      <c r="BY2" s="524"/>
      <c r="BZ2" s="524"/>
      <c r="CA2" s="524"/>
      <c r="CB2" s="524"/>
      <c r="CC2" s="524"/>
      <c r="CD2" s="524"/>
      <c r="CE2" s="524"/>
      <c r="CF2" s="524"/>
      <c r="CG2" s="524"/>
      <c r="CH2" s="524"/>
      <c r="CI2" s="524"/>
      <c r="CJ2" s="524"/>
      <c r="CK2" s="524"/>
      <c r="CL2" s="524"/>
      <c r="CM2" s="524"/>
      <c r="CN2" s="524"/>
      <c r="CO2" s="524"/>
      <c r="CP2" s="524"/>
      <c r="CQ2" s="524"/>
      <c r="CR2" s="524"/>
      <c r="CS2" s="524"/>
      <c r="CT2" s="524"/>
      <c r="CU2" s="524"/>
      <c r="CV2" s="524"/>
      <c r="CW2" s="524"/>
      <c r="CX2" s="524"/>
      <c r="CY2" s="524"/>
      <c r="CZ2" s="524"/>
      <c r="DA2" s="524"/>
      <c r="DB2" s="524"/>
      <c r="DC2" s="524"/>
      <c r="DD2" s="524"/>
      <c r="DE2" s="524"/>
      <c r="DF2" s="524"/>
      <c r="DG2" s="524"/>
      <c r="DH2" s="524"/>
      <c r="DI2" s="524"/>
      <c r="DJ2" s="524"/>
      <c r="DK2" s="524"/>
      <c r="DL2" s="524"/>
      <c r="DM2" s="524"/>
      <c r="DN2" s="524"/>
      <c r="DO2" s="524"/>
      <c r="DP2" s="524"/>
      <c r="DQ2" s="524"/>
      <c r="DR2" s="524"/>
      <c r="DS2" s="524"/>
      <c r="DT2" s="524"/>
      <c r="DU2" s="524"/>
      <c r="DV2" s="524"/>
      <c r="DW2" s="524"/>
      <c r="DX2" s="524"/>
      <c r="DY2" s="524"/>
      <c r="DZ2" s="524"/>
      <c r="EA2" s="524"/>
      <c r="EB2" s="524"/>
      <c r="EC2" s="524"/>
      <c r="ED2" s="524"/>
      <c r="EE2" s="524"/>
      <c r="EF2" s="524"/>
      <c r="EG2" s="524"/>
      <c r="EH2" s="524"/>
      <c r="EI2" s="524"/>
      <c r="EJ2" s="524"/>
      <c r="EK2" s="524"/>
      <c r="EL2" s="524"/>
      <c r="EM2" s="524"/>
      <c r="EN2" s="524"/>
      <c r="EO2" s="524"/>
      <c r="EP2" s="524"/>
      <c r="EQ2" s="524"/>
      <c r="ER2" s="524"/>
      <c r="ES2" s="524"/>
      <c r="ET2" s="524"/>
      <c r="EU2" s="524"/>
      <c r="EV2" s="524"/>
      <c r="EW2" s="524"/>
      <c r="EX2" s="524"/>
      <c r="EY2" s="524"/>
      <c r="EZ2" s="524"/>
      <c r="FA2" s="524"/>
      <c r="FB2" s="524"/>
      <c r="FC2" s="524"/>
      <c r="FD2" s="524"/>
      <c r="FE2" s="524"/>
      <c r="FF2" s="524"/>
      <c r="FG2" s="524"/>
      <c r="FH2" s="524"/>
      <c r="FI2" s="524"/>
      <c r="FJ2" s="524"/>
      <c r="FK2" s="524"/>
      <c r="FL2" s="524"/>
      <c r="FM2" s="524"/>
      <c r="FN2" s="524"/>
      <c r="FO2" s="524"/>
      <c r="FP2" s="524"/>
      <c r="FQ2" s="524"/>
      <c r="FR2" s="524"/>
      <c r="FS2" s="524"/>
      <c r="FT2" s="524"/>
      <c r="FU2" s="524"/>
      <c r="FV2" s="524"/>
      <c r="FW2" s="524"/>
      <c r="FX2" s="524"/>
      <c r="FY2" s="524"/>
      <c r="FZ2" s="524"/>
      <c r="GA2" s="524"/>
      <c r="GB2" s="524"/>
      <c r="GC2" s="524"/>
      <c r="GD2" s="524"/>
      <c r="GE2" s="524"/>
      <c r="GF2" s="524"/>
      <c r="GG2" s="524"/>
      <c r="GH2" s="524"/>
      <c r="GI2" s="524"/>
      <c r="GJ2" s="524"/>
      <c r="GK2" s="524"/>
      <c r="GL2" s="524"/>
      <c r="GM2" s="524"/>
      <c r="GN2" s="524"/>
      <c r="GO2" s="524"/>
      <c r="GP2" s="524"/>
      <c r="GQ2" s="524"/>
      <c r="GR2" s="524"/>
      <c r="GS2" s="524"/>
      <c r="GT2" s="524"/>
      <c r="GU2" s="524"/>
      <c r="GV2" s="524"/>
      <c r="GW2" s="524"/>
      <c r="GX2" s="524"/>
      <c r="GY2" s="524"/>
      <c r="GZ2" s="524"/>
      <c r="HA2" s="524"/>
      <c r="HB2" s="524"/>
      <c r="HC2" s="524"/>
      <c r="HD2" s="524"/>
      <c r="HE2" s="524"/>
      <c r="HF2" s="524"/>
      <c r="HG2" s="524"/>
      <c r="HH2" s="524"/>
      <c r="HI2" s="524"/>
      <c r="HJ2" s="524"/>
      <c r="HK2" s="524"/>
      <c r="HL2" s="524"/>
      <c r="HM2" s="524"/>
      <c r="HN2" s="524"/>
      <c r="HO2" s="524"/>
      <c r="HP2" s="524"/>
      <c r="HQ2" s="524"/>
      <c r="HR2" s="524"/>
      <c r="HS2" s="524"/>
      <c r="HT2" s="524"/>
      <c r="HU2" s="524"/>
      <c r="HV2" s="524"/>
      <c r="HW2" s="524"/>
      <c r="HX2" s="524"/>
      <c r="HY2" s="524"/>
      <c r="HZ2" s="524"/>
      <c r="IA2" s="524"/>
      <c r="IB2" s="524"/>
      <c r="IC2" s="524"/>
      <c r="ID2" s="524"/>
      <c r="IE2" s="524"/>
      <c r="IF2" s="524"/>
      <c r="IG2" s="524"/>
      <c r="IH2" s="524"/>
      <c r="II2" s="524"/>
      <c r="IJ2" s="524"/>
      <c r="IK2" s="524"/>
      <c r="IL2" s="524"/>
      <c r="IM2" s="524"/>
      <c r="IN2" s="524"/>
      <c r="IO2" s="524"/>
      <c r="IP2" s="524"/>
      <c r="IQ2" s="524"/>
      <c r="IR2" s="524"/>
    </row>
    <row r="3" spans="1:252" ht="15" x14ac:dyDescent="0.2">
      <c r="A3" s="497" t="s">
        <v>669</v>
      </c>
      <c r="B3" s="497"/>
      <c r="C3" s="497"/>
      <c r="D3" s="497"/>
      <c r="E3" s="497"/>
      <c r="F3" s="497"/>
      <c r="G3" s="497"/>
      <c r="H3" s="497"/>
      <c r="I3" s="497"/>
      <c r="J3" s="497"/>
      <c r="K3" s="497"/>
      <c r="L3" s="497"/>
      <c r="M3" s="497"/>
      <c r="N3" s="497"/>
      <c r="O3" s="497"/>
      <c r="P3" s="497"/>
      <c r="Q3" s="497"/>
      <c r="R3" s="524"/>
      <c r="S3" s="524"/>
      <c r="T3" s="524"/>
      <c r="U3" s="524"/>
      <c r="V3" s="524"/>
      <c r="W3" s="524"/>
      <c r="X3" s="524"/>
      <c r="Y3" s="524"/>
      <c r="Z3" s="524"/>
      <c r="AA3" s="524"/>
      <c r="AB3" s="524"/>
      <c r="AC3" s="524"/>
      <c r="AD3" s="524"/>
      <c r="AE3" s="524"/>
      <c r="AF3" s="524"/>
      <c r="AG3" s="524"/>
      <c r="AH3" s="524"/>
      <c r="AI3" s="524"/>
      <c r="AJ3" s="524"/>
      <c r="AK3" s="524"/>
      <c r="AL3" s="524"/>
      <c r="AM3" s="524"/>
      <c r="AN3" s="524"/>
      <c r="AO3" s="524"/>
      <c r="AP3" s="524"/>
      <c r="AQ3" s="524"/>
      <c r="AR3" s="524"/>
      <c r="AS3" s="524"/>
      <c r="AT3" s="524"/>
      <c r="AU3" s="524"/>
      <c r="AV3" s="524"/>
      <c r="AW3" s="524"/>
      <c r="AX3" s="524"/>
      <c r="AY3" s="524"/>
      <c r="AZ3" s="524"/>
      <c r="BA3" s="524"/>
      <c r="BB3" s="524"/>
      <c r="BC3" s="524"/>
      <c r="BD3" s="524"/>
      <c r="BE3" s="524"/>
      <c r="BF3" s="524"/>
      <c r="BG3" s="524"/>
      <c r="BH3" s="524"/>
      <c r="BI3" s="524"/>
      <c r="BJ3" s="524"/>
      <c r="BK3" s="524"/>
      <c r="BL3" s="524"/>
      <c r="BM3" s="524"/>
      <c r="BN3" s="524"/>
      <c r="BO3" s="524"/>
      <c r="BP3" s="524"/>
      <c r="BQ3" s="524"/>
      <c r="BR3" s="524"/>
      <c r="BS3" s="524"/>
      <c r="BT3" s="524"/>
      <c r="BU3" s="524"/>
      <c r="BV3" s="524"/>
      <c r="BW3" s="524"/>
      <c r="BX3" s="524"/>
      <c r="BY3" s="524"/>
      <c r="BZ3" s="524"/>
      <c r="CA3" s="524"/>
      <c r="CB3" s="524"/>
      <c r="CC3" s="524"/>
      <c r="CD3" s="524"/>
      <c r="CE3" s="524"/>
      <c r="CF3" s="524"/>
      <c r="CG3" s="524"/>
      <c r="CH3" s="524"/>
      <c r="CI3" s="524"/>
      <c r="CJ3" s="524"/>
      <c r="CK3" s="524"/>
      <c r="CL3" s="524"/>
      <c r="CM3" s="524"/>
      <c r="CN3" s="524"/>
      <c r="CO3" s="524"/>
      <c r="CP3" s="524"/>
      <c r="CQ3" s="524"/>
      <c r="CR3" s="524"/>
      <c r="CS3" s="524"/>
      <c r="CT3" s="524"/>
      <c r="CU3" s="524"/>
      <c r="CV3" s="524"/>
      <c r="CW3" s="524"/>
      <c r="CX3" s="524"/>
      <c r="CY3" s="524"/>
      <c r="CZ3" s="524"/>
      <c r="DA3" s="524"/>
      <c r="DB3" s="524"/>
      <c r="DC3" s="524"/>
      <c r="DD3" s="524"/>
      <c r="DE3" s="524"/>
      <c r="DF3" s="524"/>
      <c r="DG3" s="524"/>
      <c r="DH3" s="524"/>
      <c r="DI3" s="524"/>
      <c r="DJ3" s="524"/>
      <c r="DK3" s="524"/>
      <c r="DL3" s="524"/>
      <c r="DM3" s="524"/>
      <c r="DN3" s="524"/>
      <c r="DO3" s="524"/>
      <c r="DP3" s="524"/>
      <c r="DQ3" s="524"/>
      <c r="DR3" s="524"/>
      <c r="DS3" s="524"/>
      <c r="DT3" s="524"/>
      <c r="DU3" s="524"/>
      <c r="DV3" s="524"/>
      <c r="DW3" s="524"/>
      <c r="DX3" s="524"/>
      <c r="DY3" s="524"/>
      <c r="DZ3" s="524"/>
      <c r="EA3" s="524"/>
      <c r="EB3" s="524"/>
      <c r="EC3" s="524"/>
      <c r="ED3" s="524"/>
      <c r="EE3" s="524"/>
      <c r="EF3" s="524"/>
      <c r="EG3" s="524"/>
      <c r="EH3" s="524"/>
      <c r="EI3" s="524"/>
      <c r="EJ3" s="524"/>
      <c r="EK3" s="524"/>
      <c r="EL3" s="524"/>
      <c r="EM3" s="524"/>
      <c r="EN3" s="524"/>
      <c r="EO3" s="524"/>
      <c r="EP3" s="524"/>
      <c r="EQ3" s="524"/>
      <c r="ER3" s="524"/>
      <c r="ES3" s="524"/>
      <c r="ET3" s="524"/>
      <c r="EU3" s="524"/>
      <c r="EV3" s="524"/>
      <c r="EW3" s="524"/>
      <c r="EX3" s="524"/>
      <c r="EY3" s="524"/>
      <c r="EZ3" s="524"/>
      <c r="FA3" s="524"/>
      <c r="FB3" s="524"/>
      <c r="FC3" s="524"/>
      <c r="FD3" s="524"/>
      <c r="FE3" s="524"/>
      <c r="FF3" s="524"/>
      <c r="FG3" s="524"/>
      <c r="FH3" s="524"/>
      <c r="FI3" s="524"/>
      <c r="FJ3" s="524"/>
      <c r="FK3" s="524"/>
      <c r="FL3" s="524"/>
      <c r="FM3" s="524"/>
      <c r="FN3" s="524"/>
      <c r="FO3" s="524"/>
      <c r="FP3" s="524"/>
      <c r="FQ3" s="524"/>
      <c r="FR3" s="524"/>
      <c r="FS3" s="524"/>
      <c r="FT3" s="524"/>
      <c r="FU3" s="524"/>
      <c r="FV3" s="524"/>
      <c r="FW3" s="524"/>
      <c r="FX3" s="524"/>
      <c r="FY3" s="524"/>
      <c r="FZ3" s="524"/>
      <c r="GA3" s="524"/>
      <c r="GB3" s="524"/>
      <c r="GC3" s="524"/>
      <c r="GD3" s="524"/>
      <c r="GE3" s="524"/>
      <c r="GF3" s="524"/>
      <c r="GG3" s="524"/>
      <c r="GH3" s="524"/>
      <c r="GI3" s="524"/>
      <c r="GJ3" s="524"/>
      <c r="GK3" s="524"/>
      <c r="GL3" s="524"/>
      <c r="GM3" s="524"/>
      <c r="GN3" s="524"/>
      <c r="GO3" s="524"/>
      <c r="GP3" s="524"/>
      <c r="GQ3" s="524"/>
      <c r="GR3" s="524"/>
      <c r="GS3" s="524"/>
      <c r="GT3" s="524"/>
      <c r="GU3" s="524"/>
      <c r="GV3" s="524"/>
      <c r="GW3" s="524"/>
      <c r="GX3" s="524"/>
      <c r="GY3" s="524"/>
      <c r="GZ3" s="524"/>
      <c r="HA3" s="524"/>
      <c r="HB3" s="524"/>
      <c r="HC3" s="524"/>
      <c r="HD3" s="524"/>
      <c r="HE3" s="524"/>
      <c r="HF3" s="524"/>
      <c r="HG3" s="524"/>
      <c r="HH3" s="524"/>
      <c r="HI3" s="524"/>
      <c r="HJ3" s="524"/>
      <c r="HK3" s="524"/>
      <c r="HL3" s="524"/>
      <c r="HM3" s="524"/>
      <c r="HN3" s="524"/>
      <c r="HO3" s="524"/>
      <c r="HP3" s="524"/>
      <c r="HQ3" s="524"/>
      <c r="HR3" s="524"/>
      <c r="HS3" s="524"/>
      <c r="HT3" s="524"/>
      <c r="HU3" s="524"/>
      <c r="HV3" s="524"/>
      <c r="HW3" s="524"/>
      <c r="HX3" s="524"/>
      <c r="HY3" s="524"/>
      <c r="HZ3" s="524"/>
      <c r="IA3" s="524"/>
      <c r="IB3" s="524"/>
      <c r="IC3" s="524"/>
      <c r="ID3" s="524"/>
      <c r="IE3" s="524"/>
      <c r="IF3" s="524"/>
      <c r="IG3" s="524"/>
      <c r="IH3" s="524"/>
      <c r="II3" s="524"/>
      <c r="IJ3" s="524"/>
      <c r="IK3" s="524"/>
      <c r="IL3" s="524"/>
      <c r="IM3" s="524"/>
      <c r="IN3" s="524"/>
      <c r="IO3" s="524"/>
      <c r="IP3" s="524"/>
      <c r="IQ3" s="524"/>
      <c r="IR3" s="524"/>
    </row>
    <row r="4" spans="1:252" ht="18.75" x14ac:dyDescent="0.2">
      <c r="A4" s="498" t="s">
        <v>16</v>
      </c>
      <c r="B4" s="498"/>
      <c r="C4" s="498"/>
      <c r="D4" s="498"/>
      <c r="E4" s="498"/>
      <c r="F4" s="498"/>
      <c r="G4" s="498"/>
      <c r="H4" s="498"/>
      <c r="I4" s="498"/>
      <c r="J4" s="498"/>
      <c r="K4" s="498"/>
      <c r="L4" s="498"/>
      <c r="M4" s="498"/>
      <c r="N4" s="498"/>
      <c r="O4" s="498"/>
      <c r="P4" s="498"/>
      <c r="Q4" s="498"/>
      <c r="R4" s="524"/>
      <c r="S4" s="524"/>
      <c r="T4" s="524"/>
      <c r="U4" s="524"/>
      <c r="V4" s="524"/>
      <c r="W4" s="524"/>
      <c r="X4" s="524"/>
      <c r="Y4" s="524"/>
      <c r="Z4" s="524"/>
      <c r="AA4" s="524"/>
      <c r="AB4" s="524"/>
      <c r="AC4" s="524"/>
      <c r="AD4" s="524"/>
      <c r="AE4" s="524"/>
      <c r="AF4" s="524"/>
      <c r="AG4" s="524"/>
      <c r="AH4" s="524"/>
      <c r="AI4" s="524"/>
      <c r="AJ4" s="524"/>
      <c r="AK4" s="524"/>
      <c r="AL4" s="524"/>
      <c r="AM4" s="524"/>
      <c r="AN4" s="524"/>
      <c r="AO4" s="524"/>
      <c r="AP4" s="524"/>
      <c r="AQ4" s="524"/>
      <c r="AR4" s="524"/>
      <c r="AS4" s="524"/>
      <c r="AT4" s="524"/>
      <c r="AU4" s="524"/>
      <c r="AV4" s="524"/>
      <c r="AW4" s="524"/>
      <c r="AX4" s="524"/>
      <c r="AY4" s="524"/>
      <c r="AZ4" s="524"/>
      <c r="BA4" s="524"/>
      <c r="BB4" s="524"/>
      <c r="BC4" s="524"/>
      <c r="BD4" s="524"/>
      <c r="BE4" s="524"/>
      <c r="BF4" s="524"/>
      <c r="BG4" s="524"/>
      <c r="BH4" s="524"/>
      <c r="BI4" s="524"/>
      <c r="BJ4" s="524"/>
      <c r="BK4" s="524"/>
      <c r="BL4" s="524"/>
      <c r="BM4" s="524"/>
      <c r="BN4" s="524"/>
      <c r="BO4" s="524"/>
      <c r="BP4" s="524"/>
      <c r="BQ4" s="524"/>
      <c r="BR4" s="524"/>
      <c r="BS4" s="524"/>
      <c r="BT4" s="524"/>
      <c r="BU4" s="524"/>
      <c r="BV4" s="524"/>
      <c r="BW4" s="524"/>
      <c r="BX4" s="524"/>
      <c r="BY4" s="524"/>
      <c r="BZ4" s="524"/>
      <c r="CA4" s="524"/>
      <c r="CB4" s="524"/>
      <c r="CC4" s="524"/>
      <c r="CD4" s="524"/>
      <c r="CE4" s="524"/>
      <c r="CF4" s="524"/>
      <c r="CG4" s="524"/>
      <c r="CH4" s="524"/>
      <c r="CI4" s="524"/>
      <c r="CJ4" s="524"/>
      <c r="CK4" s="524"/>
      <c r="CL4" s="524"/>
      <c r="CM4" s="524"/>
      <c r="CN4" s="524"/>
      <c r="CO4" s="524"/>
      <c r="CP4" s="524"/>
      <c r="CQ4" s="524"/>
      <c r="CR4" s="524"/>
      <c r="CS4" s="524"/>
      <c r="CT4" s="524"/>
      <c r="CU4" s="524"/>
      <c r="CV4" s="524"/>
      <c r="CW4" s="524"/>
      <c r="CX4" s="524"/>
      <c r="CY4" s="524"/>
      <c r="CZ4" s="524"/>
      <c r="DA4" s="524"/>
      <c r="DB4" s="524"/>
      <c r="DC4" s="524"/>
      <c r="DD4" s="524"/>
      <c r="DE4" s="524"/>
      <c r="DF4" s="524"/>
      <c r="DG4" s="524"/>
      <c r="DH4" s="524"/>
      <c r="DI4" s="524"/>
      <c r="DJ4" s="524"/>
      <c r="DK4" s="524"/>
      <c r="DL4" s="524"/>
      <c r="DM4" s="524"/>
      <c r="DN4" s="524"/>
      <c r="DO4" s="524"/>
      <c r="DP4" s="524"/>
      <c r="DQ4" s="524"/>
      <c r="DR4" s="524"/>
      <c r="DS4" s="524"/>
      <c r="DT4" s="524"/>
      <c r="DU4" s="524"/>
      <c r="DV4" s="524"/>
      <c r="DW4" s="524"/>
      <c r="DX4" s="524"/>
      <c r="DY4" s="524"/>
      <c r="DZ4" s="524"/>
      <c r="EA4" s="524"/>
      <c r="EB4" s="524"/>
      <c r="EC4" s="524"/>
      <c r="ED4" s="524"/>
      <c r="EE4" s="524"/>
      <c r="EF4" s="524"/>
      <c r="EG4" s="524"/>
      <c r="EH4" s="524"/>
      <c r="EI4" s="524"/>
      <c r="EJ4" s="524"/>
      <c r="EK4" s="524"/>
      <c r="EL4" s="524"/>
      <c r="EM4" s="524"/>
      <c r="EN4" s="524"/>
      <c r="EO4" s="524"/>
      <c r="EP4" s="524"/>
      <c r="EQ4" s="524"/>
      <c r="ER4" s="524"/>
      <c r="ES4" s="524"/>
      <c r="ET4" s="524"/>
      <c r="EU4" s="524"/>
      <c r="EV4" s="524"/>
      <c r="EW4" s="524"/>
      <c r="EX4" s="524"/>
      <c r="EY4" s="524"/>
      <c r="EZ4" s="524"/>
      <c r="FA4" s="524"/>
      <c r="FB4" s="524"/>
      <c r="FC4" s="524"/>
      <c r="FD4" s="524"/>
      <c r="FE4" s="524"/>
      <c r="FF4" s="524"/>
      <c r="FG4" s="524"/>
      <c r="FH4" s="524"/>
      <c r="FI4" s="524"/>
      <c r="FJ4" s="524"/>
      <c r="FK4" s="524"/>
      <c r="FL4" s="524"/>
      <c r="FM4" s="524"/>
      <c r="FN4" s="524"/>
      <c r="FO4" s="524"/>
      <c r="FP4" s="524"/>
      <c r="FQ4" s="524"/>
      <c r="FR4" s="524"/>
      <c r="FS4" s="524"/>
      <c r="FT4" s="524"/>
      <c r="FU4" s="524"/>
      <c r="FV4" s="524"/>
      <c r="FW4" s="524"/>
      <c r="FX4" s="524"/>
      <c r="FY4" s="524"/>
      <c r="FZ4" s="524"/>
      <c r="GA4" s="524"/>
      <c r="GB4" s="524"/>
      <c r="GC4" s="524"/>
      <c r="GD4" s="524"/>
      <c r="GE4" s="524"/>
      <c r="GF4" s="524"/>
      <c r="GG4" s="524"/>
      <c r="GH4" s="524"/>
      <c r="GI4" s="524"/>
      <c r="GJ4" s="524"/>
      <c r="GK4" s="524"/>
      <c r="GL4" s="524"/>
      <c r="GM4" s="524"/>
      <c r="GN4" s="524"/>
      <c r="GO4" s="524"/>
      <c r="GP4" s="524"/>
      <c r="GQ4" s="524"/>
      <c r="GR4" s="524"/>
      <c r="GS4" s="524"/>
      <c r="GT4" s="524"/>
      <c r="GU4" s="524"/>
      <c r="GV4" s="524"/>
      <c r="GW4" s="524"/>
      <c r="GX4" s="524"/>
      <c r="GY4" s="524"/>
      <c r="GZ4" s="524"/>
      <c r="HA4" s="524"/>
      <c r="HB4" s="524"/>
      <c r="HC4" s="524"/>
      <c r="HD4" s="524"/>
      <c r="HE4" s="524"/>
      <c r="HF4" s="524"/>
      <c r="HG4" s="524"/>
      <c r="HH4" s="524"/>
      <c r="HI4" s="524"/>
      <c r="HJ4" s="524"/>
      <c r="HK4" s="524"/>
      <c r="HL4" s="524"/>
      <c r="HM4" s="524"/>
      <c r="HN4" s="524"/>
      <c r="HO4" s="524"/>
      <c r="HP4" s="524"/>
      <c r="HQ4" s="524"/>
      <c r="HR4" s="524"/>
      <c r="HS4" s="524"/>
      <c r="HT4" s="524"/>
      <c r="HU4" s="524"/>
      <c r="HV4" s="524"/>
      <c r="HW4" s="524"/>
      <c r="HX4" s="524"/>
      <c r="HY4" s="524"/>
      <c r="HZ4" s="524"/>
      <c r="IA4" s="524"/>
      <c r="IB4" s="524"/>
      <c r="IC4" s="524"/>
      <c r="ID4" s="524"/>
      <c r="IE4" s="524"/>
      <c r="IF4" s="524"/>
      <c r="IG4" s="524"/>
      <c r="IH4" s="524"/>
      <c r="II4" s="524"/>
      <c r="IJ4" s="524"/>
      <c r="IK4" s="524"/>
      <c r="IL4" s="524"/>
      <c r="IM4" s="524"/>
      <c r="IN4" s="524"/>
      <c r="IO4" s="524"/>
      <c r="IP4" s="524"/>
      <c r="IQ4" s="524"/>
      <c r="IR4" s="524"/>
    </row>
    <row r="5" spans="1:252" x14ac:dyDescent="0.2">
      <c r="A5" s="499" t="s">
        <v>14</v>
      </c>
      <c r="B5" s="499"/>
      <c r="C5" s="499"/>
      <c r="D5" s="499"/>
      <c r="E5" s="499"/>
      <c r="F5" s="499"/>
      <c r="G5" s="499"/>
      <c r="H5" s="499"/>
      <c r="I5" s="499"/>
      <c r="J5" s="499"/>
      <c r="K5" s="499"/>
      <c r="L5" s="499"/>
      <c r="M5" s="499"/>
      <c r="N5" s="499"/>
      <c r="O5" s="499"/>
      <c r="P5" s="499"/>
      <c r="Q5" s="499"/>
      <c r="R5" s="524"/>
      <c r="S5" s="524"/>
      <c r="T5" s="524"/>
      <c r="U5" s="524"/>
      <c r="V5" s="524"/>
      <c r="W5" s="524"/>
      <c r="X5" s="524"/>
      <c r="Y5" s="524"/>
      <c r="Z5" s="524"/>
      <c r="AA5" s="524"/>
      <c r="AB5" s="524"/>
      <c r="AC5" s="524"/>
      <c r="AD5" s="524"/>
      <c r="AE5" s="524"/>
      <c r="AF5" s="524"/>
      <c r="AG5" s="524"/>
      <c r="AH5" s="524"/>
      <c r="AI5" s="524"/>
      <c r="AJ5" s="524"/>
      <c r="AK5" s="524"/>
      <c r="AL5" s="524"/>
      <c r="AM5" s="524"/>
      <c r="AN5" s="524"/>
      <c r="AO5" s="524"/>
      <c r="AP5" s="524"/>
      <c r="AQ5" s="524"/>
      <c r="AR5" s="524"/>
      <c r="AS5" s="524"/>
      <c r="AT5" s="524"/>
      <c r="AU5" s="524"/>
      <c r="AV5" s="524"/>
      <c r="AW5" s="524"/>
      <c r="AX5" s="524"/>
      <c r="AY5" s="524"/>
      <c r="AZ5" s="524"/>
      <c r="BA5" s="524"/>
      <c r="BB5" s="524"/>
      <c r="BC5" s="524"/>
      <c r="BD5" s="524"/>
      <c r="BE5" s="524"/>
      <c r="BF5" s="524"/>
      <c r="BG5" s="524"/>
      <c r="BH5" s="524"/>
      <c r="BI5" s="524"/>
      <c r="BJ5" s="524"/>
      <c r="BK5" s="524"/>
      <c r="BL5" s="524"/>
      <c r="BM5" s="524"/>
      <c r="BN5" s="524"/>
      <c r="BO5" s="524"/>
      <c r="BP5" s="524"/>
      <c r="BQ5" s="524"/>
      <c r="BR5" s="524"/>
      <c r="BS5" s="524"/>
      <c r="BT5" s="524"/>
      <c r="BU5" s="524"/>
      <c r="BV5" s="524"/>
      <c r="BW5" s="524"/>
      <c r="BX5" s="524"/>
      <c r="BY5" s="524"/>
      <c r="BZ5" s="524"/>
      <c r="CA5" s="524"/>
      <c r="CB5" s="524"/>
      <c r="CC5" s="524"/>
      <c r="CD5" s="524"/>
      <c r="CE5" s="524"/>
      <c r="CF5" s="524"/>
      <c r="CG5" s="524"/>
      <c r="CH5" s="524"/>
      <c r="CI5" s="524"/>
      <c r="CJ5" s="524"/>
      <c r="CK5" s="524"/>
      <c r="CL5" s="524"/>
      <c r="CM5" s="524"/>
      <c r="CN5" s="524"/>
      <c r="CO5" s="524"/>
      <c r="CP5" s="524"/>
      <c r="CQ5" s="524"/>
      <c r="CR5" s="524"/>
      <c r="CS5" s="524"/>
      <c r="CT5" s="524"/>
      <c r="CU5" s="524"/>
      <c r="CV5" s="524"/>
      <c r="CW5" s="524"/>
      <c r="CX5" s="524"/>
      <c r="CY5" s="524"/>
      <c r="CZ5" s="524"/>
      <c r="DA5" s="524"/>
      <c r="DB5" s="524"/>
      <c r="DC5" s="524"/>
      <c r="DD5" s="524"/>
      <c r="DE5" s="524"/>
      <c r="DF5" s="524"/>
      <c r="DG5" s="524"/>
      <c r="DH5" s="524"/>
      <c r="DI5" s="524"/>
      <c r="DJ5" s="524"/>
      <c r="DK5" s="524"/>
      <c r="DL5" s="524"/>
      <c r="DM5" s="524"/>
      <c r="DN5" s="524"/>
      <c r="DO5" s="524"/>
      <c r="DP5" s="524"/>
      <c r="DQ5" s="524"/>
      <c r="DR5" s="524"/>
      <c r="DS5" s="524"/>
      <c r="DT5" s="524"/>
      <c r="DU5" s="524"/>
      <c r="DV5" s="524"/>
      <c r="DW5" s="524"/>
      <c r="DX5" s="524"/>
      <c r="DY5" s="524"/>
      <c r="DZ5" s="524"/>
      <c r="EA5" s="524"/>
      <c r="EB5" s="524"/>
      <c r="EC5" s="524"/>
      <c r="ED5" s="524"/>
      <c r="EE5" s="524"/>
      <c r="EF5" s="524"/>
      <c r="EG5" s="524"/>
      <c r="EH5" s="524"/>
      <c r="EI5" s="524"/>
      <c r="EJ5" s="524"/>
      <c r="EK5" s="524"/>
      <c r="EL5" s="524"/>
      <c r="EM5" s="524"/>
      <c r="EN5" s="524"/>
      <c r="EO5" s="524"/>
      <c r="EP5" s="524"/>
      <c r="EQ5" s="524"/>
      <c r="ER5" s="524"/>
      <c r="ES5" s="524"/>
      <c r="ET5" s="524"/>
      <c r="EU5" s="524"/>
      <c r="EV5" s="524"/>
      <c r="EW5" s="524"/>
      <c r="EX5" s="524"/>
      <c r="EY5" s="524"/>
      <c r="EZ5" s="524"/>
      <c r="FA5" s="524"/>
      <c r="FB5" s="524"/>
      <c r="FC5" s="524"/>
      <c r="FD5" s="524"/>
      <c r="FE5" s="524"/>
      <c r="FF5" s="524"/>
      <c r="FG5" s="524"/>
      <c r="FH5" s="524"/>
      <c r="FI5" s="524"/>
      <c r="FJ5" s="524"/>
      <c r="FK5" s="524"/>
      <c r="FL5" s="524"/>
      <c r="FM5" s="524"/>
      <c r="FN5" s="524"/>
      <c r="FO5" s="524"/>
      <c r="FP5" s="524"/>
      <c r="FQ5" s="524"/>
      <c r="FR5" s="524"/>
      <c r="FS5" s="524"/>
      <c r="FT5" s="524"/>
      <c r="FU5" s="524"/>
      <c r="FV5" s="524"/>
      <c r="FW5" s="524"/>
      <c r="FX5" s="524"/>
      <c r="FY5" s="524"/>
      <c r="FZ5" s="524"/>
      <c r="GA5" s="524"/>
      <c r="GB5" s="524"/>
      <c r="GC5" s="524"/>
      <c r="GD5" s="524"/>
      <c r="GE5" s="524"/>
      <c r="GF5" s="524"/>
      <c r="GG5" s="524"/>
      <c r="GH5" s="524"/>
      <c r="GI5" s="524"/>
      <c r="GJ5" s="524"/>
      <c r="GK5" s="524"/>
      <c r="GL5" s="524"/>
      <c r="GM5" s="524"/>
      <c r="GN5" s="524"/>
      <c r="GO5" s="524"/>
      <c r="GP5" s="524"/>
      <c r="GQ5" s="524"/>
      <c r="GR5" s="524"/>
      <c r="GS5" s="524"/>
      <c r="GT5" s="524"/>
      <c r="GU5" s="524"/>
      <c r="GV5" s="524"/>
      <c r="GW5" s="524"/>
      <c r="GX5" s="524"/>
      <c r="GY5" s="524"/>
      <c r="GZ5" s="524"/>
      <c r="HA5" s="524"/>
      <c r="HB5" s="524"/>
      <c r="HC5" s="524"/>
      <c r="HD5" s="524"/>
      <c r="HE5" s="524"/>
      <c r="HF5" s="524"/>
      <c r="HG5" s="524"/>
      <c r="HH5" s="524"/>
      <c r="HI5" s="524"/>
      <c r="HJ5" s="524"/>
      <c r="HK5" s="524"/>
      <c r="HL5" s="524"/>
      <c r="HM5" s="524"/>
      <c r="HN5" s="524"/>
      <c r="HO5" s="524"/>
      <c r="HP5" s="524"/>
      <c r="HQ5" s="524"/>
      <c r="HR5" s="524"/>
      <c r="HS5" s="524"/>
      <c r="HT5" s="524"/>
      <c r="HU5" s="524"/>
      <c r="HV5" s="524"/>
      <c r="HW5" s="524"/>
      <c r="HX5" s="524"/>
      <c r="HY5" s="524"/>
      <c r="HZ5" s="524"/>
      <c r="IA5" s="524"/>
      <c r="IB5" s="524"/>
      <c r="IC5" s="524"/>
      <c r="ID5" s="524"/>
      <c r="IE5" s="524"/>
      <c r="IF5" s="524"/>
      <c r="IG5" s="524"/>
      <c r="IH5" s="524"/>
      <c r="II5" s="524"/>
      <c r="IJ5" s="524"/>
      <c r="IK5" s="524"/>
      <c r="IL5" s="524"/>
      <c r="IM5" s="524"/>
      <c r="IN5" s="524"/>
      <c r="IO5" s="524"/>
      <c r="IP5" s="524"/>
      <c r="IQ5" s="524"/>
      <c r="IR5" s="524"/>
    </row>
    <row r="6" spans="1:252" ht="21" x14ac:dyDescent="0.2">
      <c r="A6" s="525" t="s">
        <v>17</v>
      </c>
      <c r="B6" s="525"/>
      <c r="C6" s="525"/>
      <c r="D6" s="525"/>
      <c r="E6" s="525"/>
      <c r="F6" s="525"/>
      <c r="G6" s="525"/>
      <c r="H6" s="525"/>
      <c r="I6" s="525"/>
      <c r="J6" s="525"/>
      <c r="K6" s="525"/>
      <c r="L6" s="525"/>
      <c r="M6" s="525"/>
      <c r="N6" s="525"/>
      <c r="O6" s="525"/>
      <c r="P6" s="525"/>
      <c r="Q6" s="525"/>
      <c r="R6" s="524"/>
      <c r="S6" s="524"/>
      <c r="T6" s="524"/>
      <c r="U6" s="524"/>
      <c r="V6" s="524"/>
      <c r="W6" s="524"/>
      <c r="X6" s="524"/>
      <c r="Y6" s="524"/>
      <c r="Z6" s="524"/>
      <c r="AA6" s="524"/>
      <c r="AB6" s="524"/>
      <c r="AC6" s="524"/>
      <c r="AD6" s="524"/>
      <c r="AE6" s="524"/>
      <c r="AF6" s="524"/>
      <c r="AG6" s="524"/>
      <c r="AH6" s="524"/>
      <c r="AI6" s="524"/>
      <c r="AJ6" s="524"/>
      <c r="AK6" s="524"/>
      <c r="AL6" s="524"/>
      <c r="AM6" s="524"/>
      <c r="AN6" s="524"/>
      <c r="AO6" s="524"/>
      <c r="AP6" s="524"/>
      <c r="AQ6" s="524"/>
      <c r="AR6" s="524"/>
      <c r="AS6" s="524"/>
      <c r="AT6" s="524"/>
      <c r="AU6" s="524"/>
      <c r="AV6" s="524"/>
      <c r="AW6" s="524"/>
      <c r="AX6" s="524"/>
      <c r="AY6" s="524"/>
      <c r="AZ6" s="524"/>
      <c r="BA6" s="524"/>
      <c r="BB6" s="524"/>
      <c r="BC6" s="524"/>
      <c r="BD6" s="524"/>
      <c r="BE6" s="524"/>
      <c r="BF6" s="524"/>
      <c r="BG6" s="524"/>
      <c r="BH6" s="524"/>
      <c r="BI6" s="524"/>
      <c r="BJ6" s="524"/>
      <c r="BK6" s="524"/>
      <c r="BL6" s="524"/>
      <c r="BM6" s="524"/>
      <c r="BN6" s="524"/>
      <c r="BO6" s="524"/>
      <c r="BP6" s="524"/>
      <c r="BQ6" s="524"/>
      <c r="BR6" s="524"/>
      <c r="BS6" s="524"/>
      <c r="BT6" s="524"/>
      <c r="BU6" s="524"/>
      <c r="BV6" s="524"/>
      <c r="BW6" s="524"/>
      <c r="BX6" s="524"/>
      <c r="BY6" s="524"/>
      <c r="BZ6" s="524"/>
      <c r="CA6" s="524"/>
      <c r="CB6" s="524"/>
      <c r="CC6" s="524"/>
      <c r="CD6" s="524"/>
      <c r="CE6" s="524"/>
      <c r="CF6" s="524"/>
      <c r="CG6" s="524"/>
      <c r="CH6" s="524"/>
      <c r="CI6" s="524"/>
      <c r="CJ6" s="524"/>
      <c r="CK6" s="524"/>
      <c r="CL6" s="524"/>
      <c r="CM6" s="524"/>
      <c r="CN6" s="524"/>
      <c r="CO6" s="524"/>
      <c r="CP6" s="524"/>
      <c r="CQ6" s="524"/>
      <c r="CR6" s="524"/>
      <c r="CS6" s="524"/>
      <c r="CT6" s="524"/>
      <c r="CU6" s="524"/>
      <c r="CV6" s="524"/>
      <c r="CW6" s="524"/>
      <c r="CX6" s="524"/>
      <c r="CY6" s="524"/>
      <c r="CZ6" s="524"/>
      <c r="DA6" s="524"/>
      <c r="DB6" s="524"/>
      <c r="DC6" s="524"/>
      <c r="DD6" s="524"/>
      <c r="DE6" s="524"/>
      <c r="DF6" s="524"/>
      <c r="DG6" s="524"/>
      <c r="DH6" s="524"/>
      <c r="DI6" s="524"/>
      <c r="DJ6" s="524"/>
      <c r="DK6" s="524"/>
      <c r="DL6" s="524"/>
      <c r="DM6" s="524"/>
      <c r="DN6" s="524"/>
      <c r="DO6" s="524"/>
      <c r="DP6" s="524"/>
      <c r="DQ6" s="524"/>
      <c r="DR6" s="524"/>
      <c r="DS6" s="524"/>
      <c r="DT6" s="524"/>
      <c r="DU6" s="524"/>
      <c r="DV6" s="524"/>
      <c r="DW6" s="524"/>
      <c r="DX6" s="524"/>
      <c r="DY6" s="524"/>
      <c r="DZ6" s="524"/>
      <c r="EA6" s="524"/>
      <c r="EB6" s="524"/>
      <c r="EC6" s="524"/>
      <c r="ED6" s="524"/>
      <c r="EE6" s="524"/>
      <c r="EF6" s="524"/>
      <c r="EG6" s="524"/>
      <c r="EH6" s="524"/>
      <c r="EI6" s="524"/>
      <c r="EJ6" s="524"/>
      <c r="EK6" s="524"/>
      <c r="EL6" s="524"/>
      <c r="EM6" s="524"/>
      <c r="EN6" s="524"/>
      <c r="EO6" s="524"/>
      <c r="EP6" s="524"/>
      <c r="EQ6" s="524"/>
      <c r="ER6" s="524"/>
      <c r="ES6" s="524"/>
      <c r="ET6" s="524"/>
      <c r="EU6" s="524"/>
      <c r="EV6" s="524"/>
      <c r="EW6" s="524"/>
      <c r="EX6" s="524"/>
      <c r="EY6" s="524"/>
      <c r="EZ6" s="524"/>
      <c r="FA6" s="524"/>
      <c r="FB6" s="524"/>
      <c r="FC6" s="524"/>
      <c r="FD6" s="524"/>
      <c r="FE6" s="524"/>
      <c r="FF6" s="524"/>
      <c r="FG6" s="524"/>
      <c r="FH6" s="524"/>
      <c r="FI6" s="524"/>
      <c r="FJ6" s="524"/>
      <c r="FK6" s="524"/>
      <c r="FL6" s="524"/>
      <c r="FM6" s="524"/>
      <c r="FN6" s="524"/>
      <c r="FO6" s="524"/>
      <c r="FP6" s="524"/>
      <c r="FQ6" s="524"/>
      <c r="FR6" s="524"/>
      <c r="FS6" s="524"/>
      <c r="FT6" s="524"/>
      <c r="FU6" s="524"/>
      <c r="FV6" s="524"/>
      <c r="FW6" s="524"/>
      <c r="FX6" s="524"/>
      <c r="FY6" s="524"/>
      <c r="FZ6" s="524"/>
      <c r="GA6" s="524"/>
      <c r="GB6" s="524"/>
      <c r="GC6" s="524"/>
      <c r="GD6" s="524"/>
      <c r="GE6" s="524"/>
      <c r="GF6" s="524"/>
      <c r="GG6" s="524"/>
      <c r="GH6" s="524"/>
      <c r="GI6" s="524"/>
      <c r="GJ6" s="524"/>
      <c r="GK6" s="524"/>
      <c r="GL6" s="524"/>
      <c r="GM6" s="524"/>
      <c r="GN6" s="524"/>
      <c r="GO6" s="524"/>
      <c r="GP6" s="524"/>
      <c r="GQ6" s="524"/>
      <c r="GR6" s="524"/>
      <c r="GS6" s="524"/>
      <c r="GT6" s="524"/>
      <c r="GU6" s="524"/>
      <c r="GV6" s="524"/>
      <c r="GW6" s="524"/>
      <c r="GX6" s="524"/>
      <c r="GY6" s="524"/>
      <c r="GZ6" s="524"/>
      <c r="HA6" s="524"/>
      <c r="HB6" s="524"/>
      <c r="HC6" s="524"/>
      <c r="HD6" s="524"/>
      <c r="HE6" s="524"/>
      <c r="HF6" s="524"/>
      <c r="HG6" s="524"/>
      <c r="HH6" s="524"/>
      <c r="HI6" s="524"/>
      <c r="HJ6" s="524"/>
      <c r="HK6" s="524"/>
      <c r="HL6" s="524"/>
      <c r="HM6" s="524"/>
      <c r="HN6" s="524"/>
      <c r="HO6" s="524"/>
      <c r="HP6" s="524"/>
      <c r="HQ6" s="524"/>
      <c r="HR6" s="524"/>
      <c r="HS6" s="524"/>
      <c r="HT6" s="524"/>
      <c r="HU6" s="524"/>
      <c r="HV6" s="524"/>
      <c r="HW6" s="524"/>
      <c r="HX6" s="524"/>
      <c r="HY6" s="524"/>
      <c r="HZ6" s="524"/>
      <c r="IA6" s="524"/>
      <c r="IB6" s="524"/>
      <c r="IC6" s="524"/>
      <c r="ID6" s="524"/>
      <c r="IE6" s="524"/>
      <c r="IF6" s="524"/>
      <c r="IG6" s="524"/>
      <c r="IH6" s="524"/>
      <c r="II6" s="524"/>
      <c r="IJ6" s="524"/>
      <c r="IK6" s="524"/>
      <c r="IL6" s="524"/>
      <c r="IM6" s="524"/>
      <c r="IN6" s="524"/>
      <c r="IO6" s="524"/>
      <c r="IP6" s="524"/>
      <c r="IQ6" s="524"/>
      <c r="IR6" s="524"/>
    </row>
    <row r="7" spans="1:252" ht="51" x14ac:dyDescent="0.2">
      <c r="A7" s="501" t="s">
        <v>0</v>
      </c>
      <c r="B7" s="502" t="s">
        <v>10</v>
      </c>
      <c r="C7" s="595"/>
      <c r="D7" s="503"/>
      <c r="E7" s="503"/>
      <c r="F7" s="503"/>
      <c r="G7" s="504"/>
      <c r="H7" s="502" t="s">
        <v>322</v>
      </c>
      <c r="I7" s="503"/>
      <c r="J7" s="503"/>
      <c r="K7" s="503"/>
      <c r="L7" s="503"/>
      <c r="M7" s="503"/>
      <c r="N7" s="502" t="s">
        <v>324</v>
      </c>
      <c r="O7" s="503"/>
      <c r="P7" s="503"/>
      <c r="Q7" s="504"/>
      <c r="R7" s="524"/>
      <c r="S7" s="524"/>
      <c r="T7" s="524"/>
      <c r="U7" s="524"/>
      <c r="V7" s="524"/>
      <c r="W7" s="524"/>
      <c r="X7" s="524"/>
      <c r="Y7" s="524"/>
      <c r="Z7" s="524"/>
      <c r="AA7" s="524"/>
      <c r="AB7" s="524"/>
      <c r="AC7" s="524"/>
      <c r="AD7" s="524"/>
      <c r="AE7" s="524"/>
      <c r="AF7" s="524"/>
      <c r="AG7" s="524"/>
      <c r="AH7" s="524"/>
      <c r="AI7" s="524"/>
      <c r="AJ7" s="524"/>
      <c r="AK7" s="524"/>
      <c r="AL7" s="524"/>
      <c r="AM7" s="524"/>
      <c r="AN7" s="524"/>
      <c r="AO7" s="524"/>
      <c r="AP7" s="524"/>
      <c r="AQ7" s="524"/>
      <c r="AR7" s="524"/>
      <c r="AS7" s="524"/>
      <c r="AT7" s="524"/>
      <c r="AU7" s="524"/>
      <c r="AV7" s="524"/>
      <c r="AW7" s="524"/>
      <c r="AX7" s="524"/>
      <c r="AY7" s="524"/>
      <c r="AZ7" s="524"/>
      <c r="BA7" s="524"/>
      <c r="BB7" s="524"/>
      <c r="BC7" s="524"/>
      <c r="BD7" s="524"/>
      <c r="BE7" s="524"/>
      <c r="BF7" s="524"/>
      <c r="BG7" s="524"/>
      <c r="BH7" s="524"/>
      <c r="BI7" s="524"/>
      <c r="BJ7" s="524"/>
      <c r="BK7" s="524"/>
      <c r="BL7" s="524"/>
      <c r="BM7" s="524"/>
      <c r="BN7" s="524"/>
      <c r="BO7" s="524"/>
      <c r="BP7" s="524"/>
      <c r="BQ7" s="524"/>
      <c r="BR7" s="524"/>
      <c r="BS7" s="524"/>
      <c r="BT7" s="524"/>
      <c r="BU7" s="524"/>
      <c r="BV7" s="524"/>
      <c r="BW7" s="524"/>
      <c r="BX7" s="524"/>
      <c r="BY7" s="524"/>
      <c r="BZ7" s="524"/>
      <c r="CA7" s="524"/>
      <c r="CB7" s="524"/>
      <c r="CC7" s="524"/>
      <c r="CD7" s="524"/>
      <c r="CE7" s="524"/>
      <c r="CF7" s="524"/>
      <c r="CG7" s="524"/>
      <c r="CH7" s="524"/>
      <c r="CI7" s="524"/>
      <c r="CJ7" s="524"/>
      <c r="CK7" s="524"/>
      <c r="CL7" s="524"/>
      <c r="CM7" s="524"/>
      <c r="CN7" s="524"/>
      <c r="CO7" s="524"/>
      <c r="CP7" s="524"/>
      <c r="CQ7" s="524"/>
      <c r="CR7" s="524"/>
      <c r="CS7" s="524"/>
      <c r="CT7" s="524"/>
      <c r="CU7" s="524"/>
      <c r="CV7" s="524"/>
      <c r="CW7" s="524"/>
      <c r="CX7" s="524"/>
      <c r="CY7" s="524"/>
      <c r="CZ7" s="524"/>
      <c r="DA7" s="524"/>
      <c r="DB7" s="524"/>
      <c r="DC7" s="524"/>
      <c r="DD7" s="524"/>
      <c r="DE7" s="524"/>
      <c r="DF7" s="524"/>
      <c r="DG7" s="524"/>
      <c r="DH7" s="524"/>
      <c r="DI7" s="524"/>
      <c r="DJ7" s="524"/>
      <c r="DK7" s="524"/>
      <c r="DL7" s="524"/>
      <c r="DM7" s="524"/>
      <c r="DN7" s="524"/>
      <c r="DO7" s="524"/>
      <c r="DP7" s="524"/>
      <c r="DQ7" s="524"/>
      <c r="DR7" s="524"/>
      <c r="DS7" s="524"/>
      <c r="DT7" s="524"/>
      <c r="DU7" s="524"/>
      <c r="DV7" s="524"/>
      <c r="DW7" s="524"/>
      <c r="DX7" s="524"/>
      <c r="DY7" s="524"/>
      <c r="DZ7" s="524"/>
      <c r="EA7" s="524"/>
      <c r="EB7" s="524"/>
      <c r="EC7" s="524"/>
      <c r="ED7" s="524"/>
      <c r="EE7" s="524"/>
      <c r="EF7" s="524"/>
      <c r="EG7" s="524"/>
      <c r="EH7" s="524"/>
      <c r="EI7" s="524"/>
      <c r="EJ7" s="524"/>
      <c r="EK7" s="524"/>
      <c r="EL7" s="524"/>
      <c r="EM7" s="524"/>
      <c r="EN7" s="524"/>
      <c r="EO7" s="524"/>
      <c r="EP7" s="524"/>
      <c r="EQ7" s="524"/>
      <c r="ER7" s="524"/>
      <c r="ES7" s="524"/>
      <c r="ET7" s="524"/>
      <c r="EU7" s="524"/>
      <c r="EV7" s="524"/>
      <c r="EW7" s="524"/>
      <c r="EX7" s="524"/>
      <c r="EY7" s="524"/>
      <c r="EZ7" s="524"/>
      <c r="FA7" s="524"/>
      <c r="FB7" s="524"/>
      <c r="FC7" s="524"/>
      <c r="FD7" s="524"/>
      <c r="FE7" s="524"/>
      <c r="FF7" s="524"/>
      <c r="FG7" s="524"/>
      <c r="FH7" s="524"/>
      <c r="FI7" s="524"/>
      <c r="FJ7" s="524"/>
      <c r="FK7" s="524"/>
      <c r="FL7" s="524"/>
      <c r="FM7" s="524"/>
      <c r="FN7" s="524"/>
      <c r="FO7" s="524"/>
      <c r="FP7" s="524"/>
      <c r="FQ7" s="524"/>
      <c r="FR7" s="524"/>
      <c r="FS7" s="524"/>
      <c r="FT7" s="524"/>
      <c r="FU7" s="524"/>
      <c r="FV7" s="524"/>
      <c r="FW7" s="524"/>
      <c r="FX7" s="524"/>
      <c r="FY7" s="524"/>
      <c r="FZ7" s="524"/>
      <c r="GA7" s="524"/>
      <c r="GB7" s="524"/>
      <c r="GC7" s="524"/>
      <c r="GD7" s="524"/>
      <c r="GE7" s="524"/>
      <c r="GF7" s="524"/>
      <c r="GG7" s="524"/>
      <c r="GH7" s="524"/>
      <c r="GI7" s="524"/>
      <c r="GJ7" s="524"/>
      <c r="GK7" s="524"/>
      <c r="GL7" s="524"/>
      <c r="GM7" s="524"/>
      <c r="GN7" s="524"/>
      <c r="GO7" s="524"/>
      <c r="GP7" s="524"/>
      <c r="GQ7" s="524"/>
      <c r="GR7" s="524"/>
      <c r="GS7" s="524"/>
      <c r="GT7" s="524"/>
      <c r="GU7" s="524"/>
      <c r="GV7" s="524"/>
      <c r="GW7" s="524"/>
      <c r="GX7" s="524"/>
      <c r="GY7" s="524"/>
      <c r="GZ7" s="524"/>
      <c r="HA7" s="524"/>
      <c r="HB7" s="524"/>
      <c r="HC7" s="524"/>
      <c r="HD7" s="524"/>
      <c r="HE7" s="524"/>
      <c r="HF7" s="524"/>
      <c r="HG7" s="524"/>
      <c r="HH7" s="524"/>
      <c r="HI7" s="524"/>
      <c r="HJ7" s="524"/>
      <c r="HK7" s="524"/>
      <c r="HL7" s="524"/>
      <c r="HM7" s="524"/>
      <c r="HN7" s="524"/>
      <c r="HO7" s="524"/>
      <c r="HP7" s="524"/>
      <c r="HQ7" s="524"/>
      <c r="HR7" s="524"/>
      <c r="HS7" s="524"/>
      <c r="HT7" s="524"/>
      <c r="HU7" s="524"/>
      <c r="HV7" s="524"/>
      <c r="HW7" s="524"/>
      <c r="HX7" s="524"/>
      <c r="HY7" s="524"/>
      <c r="HZ7" s="524"/>
      <c r="IA7" s="524"/>
      <c r="IB7" s="524"/>
      <c r="IC7" s="524"/>
      <c r="ID7" s="524"/>
      <c r="IE7" s="524"/>
      <c r="IF7" s="524"/>
      <c r="IG7" s="524"/>
      <c r="IH7" s="524"/>
      <c r="II7" s="524"/>
      <c r="IJ7" s="524"/>
      <c r="IK7" s="524"/>
      <c r="IL7" s="524"/>
      <c r="IM7" s="524"/>
      <c r="IN7" s="524"/>
      <c r="IO7" s="524"/>
      <c r="IP7" s="524"/>
      <c r="IQ7" s="524"/>
      <c r="IR7" s="524"/>
    </row>
    <row r="8" spans="1:252" ht="204" x14ac:dyDescent="0.2">
      <c r="A8" s="505"/>
      <c r="B8" s="506" t="s">
        <v>4</v>
      </c>
      <c r="C8" s="506" t="s">
        <v>1</v>
      </c>
      <c r="D8" s="506" t="s">
        <v>3</v>
      </c>
      <c r="E8" s="506" t="s">
        <v>2</v>
      </c>
      <c r="F8" s="506" t="s">
        <v>6</v>
      </c>
      <c r="G8" s="506" t="s">
        <v>5</v>
      </c>
      <c r="H8" s="506" t="s">
        <v>7</v>
      </c>
      <c r="I8" s="507" t="s">
        <v>8</v>
      </c>
      <c r="J8" s="507" t="s">
        <v>9</v>
      </c>
      <c r="K8" s="508" t="s">
        <v>11</v>
      </c>
      <c r="L8" s="508" t="s">
        <v>12</v>
      </c>
      <c r="M8" s="508" t="s">
        <v>13</v>
      </c>
      <c r="N8" s="507" t="s">
        <v>9</v>
      </c>
      <c r="O8" s="508" t="s">
        <v>11</v>
      </c>
      <c r="P8" s="508" t="s">
        <v>12</v>
      </c>
      <c r="Q8" s="509" t="s">
        <v>13</v>
      </c>
      <c r="R8" s="524"/>
      <c r="S8" s="524"/>
      <c r="T8" s="524"/>
      <c r="U8" s="524"/>
      <c r="V8" s="524"/>
      <c r="W8" s="524"/>
      <c r="X8" s="524"/>
      <c r="Y8" s="524"/>
      <c r="Z8" s="524"/>
      <c r="AA8" s="524"/>
      <c r="AB8" s="524"/>
      <c r="AC8" s="524"/>
      <c r="AD8" s="524"/>
      <c r="AE8" s="524"/>
      <c r="AF8" s="524"/>
      <c r="AG8" s="524"/>
      <c r="AH8" s="524"/>
      <c r="AI8" s="524"/>
      <c r="AJ8" s="524"/>
      <c r="AK8" s="524"/>
      <c r="AL8" s="524"/>
      <c r="AM8" s="524"/>
      <c r="AN8" s="524"/>
      <c r="AO8" s="524"/>
      <c r="AP8" s="524"/>
      <c r="AQ8" s="524"/>
      <c r="AR8" s="524"/>
      <c r="AS8" s="524"/>
      <c r="AT8" s="524"/>
      <c r="AU8" s="524"/>
      <c r="AV8" s="524"/>
      <c r="AW8" s="524"/>
      <c r="AX8" s="524"/>
      <c r="AY8" s="524"/>
      <c r="AZ8" s="524"/>
      <c r="BA8" s="524"/>
      <c r="BB8" s="524"/>
      <c r="BC8" s="524"/>
      <c r="BD8" s="524"/>
      <c r="BE8" s="524"/>
      <c r="BF8" s="524"/>
      <c r="BG8" s="524"/>
      <c r="BH8" s="524"/>
      <c r="BI8" s="524"/>
      <c r="BJ8" s="524"/>
      <c r="BK8" s="524"/>
      <c r="BL8" s="524"/>
      <c r="BM8" s="524"/>
      <c r="BN8" s="524"/>
      <c r="BO8" s="524"/>
      <c r="BP8" s="524"/>
      <c r="BQ8" s="524"/>
      <c r="BR8" s="524"/>
      <c r="BS8" s="524"/>
      <c r="BT8" s="524"/>
      <c r="BU8" s="524"/>
      <c r="BV8" s="524"/>
      <c r="BW8" s="524"/>
      <c r="BX8" s="524"/>
      <c r="BY8" s="524"/>
      <c r="BZ8" s="524"/>
      <c r="CA8" s="524"/>
      <c r="CB8" s="524"/>
      <c r="CC8" s="524"/>
      <c r="CD8" s="524"/>
      <c r="CE8" s="524"/>
      <c r="CF8" s="524"/>
      <c r="CG8" s="524"/>
      <c r="CH8" s="524"/>
      <c r="CI8" s="524"/>
      <c r="CJ8" s="524"/>
      <c r="CK8" s="524"/>
      <c r="CL8" s="524"/>
      <c r="CM8" s="524"/>
      <c r="CN8" s="524"/>
      <c r="CO8" s="524"/>
      <c r="CP8" s="524"/>
      <c r="CQ8" s="524"/>
      <c r="CR8" s="524"/>
      <c r="CS8" s="524"/>
      <c r="CT8" s="524"/>
      <c r="CU8" s="524"/>
      <c r="CV8" s="524"/>
      <c r="CW8" s="524"/>
      <c r="CX8" s="524"/>
      <c r="CY8" s="524"/>
      <c r="CZ8" s="524"/>
      <c r="DA8" s="524"/>
      <c r="DB8" s="524"/>
      <c r="DC8" s="524"/>
      <c r="DD8" s="524"/>
      <c r="DE8" s="524"/>
      <c r="DF8" s="524"/>
      <c r="DG8" s="524"/>
      <c r="DH8" s="524"/>
      <c r="DI8" s="524"/>
      <c r="DJ8" s="524"/>
      <c r="DK8" s="524"/>
      <c r="DL8" s="524"/>
      <c r="DM8" s="524"/>
      <c r="DN8" s="524"/>
      <c r="DO8" s="524"/>
      <c r="DP8" s="524"/>
      <c r="DQ8" s="524"/>
      <c r="DR8" s="524"/>
      <c r="DS8" s="524"/>
      <c r="DT8" s="524"/>
      <c r="DU8" s="524"/>
      <c r="DV8" s="524"/>
      <c r="DW8" s="524"/>
      <c r="DX8" s="524"/>
      <c r="DY8" s="524"/>
      <c r="DZ8" s="524"/>
      <c r="EA8" s="524"/>
      <c r="EB8" s="524"/>
      <c r="EC8" s="524"/>
      <c r="ED8" s="524"/>
      <c r="EE8" s="524"/>
      <c r="EF8" s="524"/>
      <c r="EG8" s="524"/>
      <c r="EH8" s="524"/>
      <c r="EI8" s="524"/>
      <c r="EJ8" s="524"/>
      <c r="EK8" s="524"/>
      <c r="EL8" s="524"/>
      <c r="EM8" s="524"/>
      <c r="EN8" s="524"/>
      <c r="EO8" s="524"/>
      <c r="EP8" s="524"/>
      <c r="EQ8" s="524"/>
      <c r="ER8" s="524"/>
      <c r="ES8" s="524"/>
      <c r="ET8" s="524"/>
      <c r="EU8" s="524"/>
      <c r="EV8" s="524"/>
      <c r="EW8" s="524"/>
      <c r="EX8" s="524"/>
      <c r="EY8" s="524"/>
      <c r="EZ8" s="524"/>
      <c r="FA8" s="524"/>
      <c r="FB8" s="524"/>
      <c r="FC8" s="524"/>
      <c r="FD8" s="524"/>
      <c r="FE8" s="524"/>
      <c r="FF8" s="524"/>
      <c r="FG8" s="524"/>
      <c r="FH8" s="524"/>
      <c r="FI8" s="524"/>
      <c r="FJ8" s="524"/>
      <c r="FK8" s="524"/>
      <c r="FL8" s="524"/>
      <c r="FM8" s="524"/>
      <c r="FN8" s="524"/>
      <c r="FO8" s="524"/>
      <c r="FP8" s="524"/>
      <c r="FQ8" s="524"/>
      <c r="FR8" s="524"/>
      <c r="FS8" s="524"/>
      <c r="FT8" s="524"/>
      <c r="FU8" s="524"/>
      <c r="FV8" s="524"/>
      <c r="FW8" s="524"/>
      <c r="FX8" s="524"/>
      <c r="FY8" s="524"/>
      <c r="FZ8" s="524"/>
      <c r="GA8" s="524"/>
      <c r="GB8" s="524"/>
      <c r="GC8" s="524"/>
      <c r="GD8" s="524"/>
      <c r="GE8" s="524"/>
      <c r="GF8" s="524"/>
      <c r="GG8" s="524"/>
      <c r="GH8" s="524"/>
      <c r="GI8" s="524"/>
      <c r="GJ8" s="524"/>
      <c r="GK8" s="524"/>
      <c r="GL8" s="524"/>
      <c r="GM8" s="524"/>
      <c r="GN8" s="524"/>
      <c r="GO8" s="524"/>
      <c r="GP8" s="524"/>
      <c r="GQ8" s="524"/>
      <c r="GR8" s="524"/>
      <c r="GS8" s="524"/>
      <c r="GT8" s="524"/>
      <c r="GU8" s="524"/>
      <c r="GV8" s="524"/>
      <c r="GW8" s="524"/>
      <c r="GX8" s="524"/>
      <c r="GY8" s="524"/>
      <c r="GZ8" s="524"/>
      <c r="HA8" s="524"/>
      <c r="HB8" s="524"/>
      <c r="HC8" s="524"/>
      <c r="HD8" s="524"/>
      <c r="HE8" s="524"/>
      <c r="HF8" s="524"/>
      <c r="HG8" s="524"/>
      <c r="HH8" s="524"/>
      <c r="HI8" s="524"/>
      <c r="HJ8" s="524"/>
      <c r="HK8" s="524"/>
      <c r="HL8" s="524"/>
      <c r="HM8" s="524"/>
      <c r="HN8" s="524"/>
      <c r="HO8" s="524"/>
      <c r="HP8" s="524"/>
      <c r="HQ8" s="524"/>
      <c r="HR8" s="524"/>
      <c r="HS8" s="524"/>
      <c r="HT8" s="524"/>
      <c r="HU8" s="524"/>
      <c r="HV8" s="524"/>
      <c r="HW8" s="524"/>
      <c r="HX8" s="524"/>
      <c r="HY8" s="524"/>
      <c r="HZ8" s="524"/>
      <c r="IA8" s="524"/>
      <c r="IB8" s="524"/>
      <c r="IC8" s="524"/>
      <c r="ID8" s="524"/>
      <c r="IE8" s="524"/>
      <c r="IF8" s="524"/>
      <c r="IG8" s="524"/>
      <c r="IH8" s="524"/>
      <c r="II8" s="524"/>
      <c r="IJ8" s="524"/>
      <c r="IK8" s="524"/>
      <c r="IL8" s="524"/>
      <c r="IM8" s="524"/>
      <c r="IN8" s="524"/>
      <c r="IO8" s="524"/>
      <c r="IP8" s="524"/>
      <c r="IQ8" s="524"/>
      <c r="IR8" s="524"/>
    </row>
    <row r="9" spans="1:252" ht="15.75" customHeight="1" x14ac:dyDescent="0.2">
      <c r="A9" s="529">
        <v>1</v>
      </c>
      <c r="B9" s="529" t="s">
        <v>159</v>
      </c>
      <c r="C9" s="516" t="s">
        <v>62</v>
      </c>
      <c r="D9" s="529"/>
      <c r="E9" s="529" t="s">
        <v>121</v>
      </c>
      <c r="F9" s="529" t="s">
        <v>160</v>
      </c>
      <c r="G9" s="510" t="s">
        <v>85</v>
      </c>
      <c r="H9" s="529">
        <v>3</v>
      </c>
      <c r="I9" s="529">
        <v>3</v>
      </c>
      <c r="J9" s="529">
        <v>3</v>
      </c>
      <c r="K9" s="529">
        <v>1493.3</v>
      </c>
      <c r="L9" s="529">
        <v>1493.3</v>
      </c>
      <c r="M9" s="529">
        <v>0</v>
      </c>
      <c r="N9" s="529">
        <v>9</v>
      </c>
      <c r="O9" s="529">
        <v>26421.62</v>
      </c>
      <c r="P9" s="529">
        <v>26421.62</v>
      </c>
      <c r="Q9" s="529">
        <v>0</v>
      </c>
    </row>
    <row r="10" spans="1:252" ht="15.75" customHeight="1" x14ac:dyDescent="0.2">
      <c r="A10" s="529">
        <v>2</v>
      </c>
      <c r="B10" s="529" t="s">
        <v>95</v>
      </c>
      <c r="C10" s="516" t="s">
        <v>62</v>
      </c>
      <c r="D10" s="529"/>
      <c r="E10" s="529" t="s">
        <v>74</v>
      </c>
      <c r="F10" s="529" t="s">
        <v>161</v>
      </c>
      <c r="G10" s="510" t="s">
        <v>85</v>
      </c>
      <c r="H10" s="529">
        <v>58</v>
      </c>
      <c r="I10" s="529">
        <v>51</v>
      </c>
      <c r="J10" s="529">
        <v>71</v>
      </c>
      <c r="K10" s="529">
        <v>109311.3</v>
      </c>
      <c r="L10" s="529">
        <v>109311.3</v>
      </c>
      <c r="M10" s="529">
        <v>0</v>
      </c>
      <c r="N10" s="529">
        <v>32</v>
      </c>
      <c r="O10" s="529">
        <v>114034.12</v>
      </c>
      <c r="P10" s="529">
        <v>114034.12</v>
      </c>
      <c r="Q10" s="529">
        <v>0</v>
      </c>
    </row>
    <row r="11" spans="1:252" ht="15.75" customHeight="1" x14ac:dyDescent="0.2">
      <c r="A11" s="529">
        <v>3</v>
      </c>
      <c r="B11" s="529" t="s">
        <v>684</v>
      </c>
      <c r="C11" s="516" t="s">
        <v>67</v>
      </c>
      <c r="D11" s="529" t="s">
        <v>486</v>
      </c>
      <c r="E11" s="529" t="s">
        <v>174</v>
      </c>
      <c r="F11" s="529" t="s">
        <v>685</v>
      </c>
      <c r="G11" s="510" t="s">
        <v>85</v>
      </c>
      <c r="H11" s="529">
        <v>11</v>
      </c>
      <c r="I11" s="529">
        <v>7</v>
      </c>
      <c r="J11" s="529">
        <v>9</v>
      </c>
      <c r="K11" s="529">
        <v>9386.24</v>
      </c>
      <c r="L11" s="529">
        <v>9386.24</v>
      </c>
      <c r="M11" s="529">
        <v>0</v>
      </c>
      <c r="N11" s="529">
        <v>0</v>
      </c>
      <c r="O11" s="529">
        <v>0</v>
      </c>
      <c r="P11" s="529">
        <v>0</v>
      </c>
      <c r="Q11" s="529">
        <v>0</v>
      </c>
    </row>
    <row r="12" spans="1:252" ht="15.75" customHeight="1" x14ac:dyDescent="0.2">
      <c r="A12" s="529">
        <v>4</v>
      </c>
      <c r="B12" s="529" t="s">
        <v>541</v>
      </c>
      <c r="C12" s="516" t="s">
        <v>62</v>
      </c>
      <c r="D12" s="529"/>
      <c r="E12" s="529" t="s">
        <v>177</v>
      </c>
      <c r="F12" s="529" t="s">
        <v>542</v>
      </c>
      <c r="G12" s="510" t="s">
        <v>85</v>
      </c>
      <c r="H12" s="529">
        <v>33</v>
      </c>
      <c r="I12" s="529">
        <v>26</v>
      </c>
      <c r="J12" s="529">
        <v>37</v>
      </c>
      <c r="K12" s="529">
        <v>38653.050000000003</v>
      </c>
      <c r="L12" s="529">
        <v>38653.050000000003</v>
      </c>
      <c r="M12" s="529">
        <v>0</v>
      </c>
      <c r="N12" s="529">
        <v>0</v>
      </c>
      <c r="O12" s="529">
        <v>0</v>
      </c>
      <c r="P12" s="529">
        <v>0</v>
      </c>
      <c r="Q12" s="529">
        <v>0</v>
      </c>
    </row>
    <row r="13" spans="1:252" ht="15.75" customHeight="1" x14ac:dyDescent="0.2">
      <c r="A13" s="529">
        <v>5</v>
      </c>
      <c r="B13" s="529" t="s">
        <v>628</v>
      </c>
      <c r="C13" s="516" t="s">
        <v>62</v>
      </c>
      <c r="D13" s="529"/>
      <c r="E13" s="529" t="s">
        <v>174</v>
      </c>
      <c r="F13" s="529" t="s">
        <v>653</v>
      </c>
      <c r="G13" s="510" t="s">
        <v>85</v>
      </c>
      <c r="H13" s="529">
        <v>14</v>
      </c>
      <c r="I13" s="529">
        <v>11</v>
      </c>
      <c r="J13" s="529">
        <v>12</v>
      </c>
      <c r="K13" s="529">
        <v>0</v>
      </c>
      <c r="L13" s="529">
        <v>0</v>
      </c>
      <c r="M13" s="529">
        <v>0</v>
      </c>
      <c r="N13" s="529">
        <v>0</v>
      </c>
      <c r="O13" s="529">
        <v>0</v>
      </c>
      <c r="P13" s="529">
        <v>0</v>
      </c>
      <c r="Q13" s="529">
        <v>0</v>
      </c>
    </row>
    <row r="14" spans="1:252" ht="15.75" customHeight="1" x14ac:dyDescent="0.2">
      <c r="A14" s="529">
        <v>6</v>
      </c>
      <c r="B14" s="529" t="s">
        <v>18</v>
      </c>
      <c r="C14" s="516" t="s">
        <v>62</v>
      </c>
      <c r="D14" s="529"/>
      <c r="E14" s="529" t="s">
        <v>70</v>
      </c>
      <c r="F14" s="529" t="s">
        <v>565</v>
      </c>
      <c r="G14" s="510" t="s">
        <v>85</v>
      </c>
      <c r="H14" s="529">
        <v>6</v>
      </c>
      <c r="I14" s="529">
        <v>1</v>
      </c>
      <c r="J14" s="529">
        <v>1</v>
      </c>
      <c r="K14" s="529">
        <v>3936.79</v>
      </c>
      <c r="L14" s="529">
        <v>3936.79</v>
      </c>
      <c r="M14" s="529">
        <v>0</v>
      </c>
      <c r="N14" s="529">
        <v>2</v>
      </c>
      <c r="O14" s="529">
        <v>3205.88</v>
      </c>
      <c r="P14" s="529">
        <v>3205.88</v>
      </c>
      <c r="Q14" s="529">
        <v>0</v>
      </c>
    </row>
    <row r="15" spans="1:252" ht="15.75" customHeight="1" x14ac:dyDescent="0.2">
      <c r="A15" s="529">
        <v>7</v>
      </c>
      <c r="B15" s="529" t="s">
        <v>672</v>
      </c>
      <c r="C15" s="516" t="s">
        <v>62</v>
      </c>
      <c r="D15" s="529"/>
      <c r="E15" s="529"/>
      <c r="F15" s="529" t="s">
        <v>673</v>
      </c>
      <c r="G15" s="510"/>
      <c r="H15" s="529"/>
      <c r="I15" s="529"/>
      <c r="J15" s="529"/>
      <c r="K15" s="529"/>
      <c r="L15" s="529"/>
      <c r="M15" s="529"/>
      <c r="N15" s="529">
        <v>2</v>
      </c>
      <c r="O15" s="529">
        <v>5462.2</v>
      </c>
      <c r="P15" s="529">
        <v>5462.2</v>
      </c>
      <c r="Q15" s="529"/>
    </row>
    <row r="16" spans="1:252" ht="15.75" customHeight="1" x14ac:dyDescent="0.2">
      <c r="A16" s="529">
        <v>8</v>
      </c>
      <c r="B16" s="529" t="s">
        <v>19</v>
      </c>
      <c r="C16" s="516" t="s">
        <v>62</v>
      </c>
      <c r="D16" s="529"/>
      <c r="E16" s="529" t="s">
        <v>71</v>
      </c>
      <c r="F16" s="529" t="s">
        <v>162</v>
      </c>
      <c r="G16" s="510" t="s">
        <v>85</v>
      </c>
      <c r="H16" s="529">
        <v>130</v>
      </c>
      <c r="I16" s="529">
        <v>107</v>
      </c>
      <c r="J16" s="529">
        <v>141</v>
      </c>
      <c r="K16" s="529">
        <v>140995.63</v>
      </c>
      <c r="L16" s="529">
        <v>140995.63</v>
      </c>
      <c r="M16" s="529">
        <v>0</v>
      </c>
      <c r="N16" s="529">
        <v>32</v>
      </c>
      <c r="O16" s="529">
        <v>91368.56</v>
      </c>
      <c r="P16" s="529">
        <v>91368.56</v>
      </c>
      <c r="Q16" s="529">
        <v>0</v>
      </c>
    </row>
    <row r="17" spans="1:17" ht="15.75" customHeight="1" x14ac:dyDescent="0.2">
      <c r="A17" s="529">
        <v>9</v>
      </c>
      <c r="B17" s="529" t="s">
        <v>20</v>
      </c>
      <c r="C17" s="516" t="s">
        <v>62</v>
      </c>
      <c r="D17" s="529"/>
      <c r="E17" s="529" t="s">
        <v>72</v>
      </c>
      <c r="F17" s="529" t="s">
        <v>163</v>
      </c>
      <c r="G17" s="510" t="s">
        <v>85</v>
      </c>
      <c r="H17" s="529">
        <v>0</v>
      </c>
      <c r="I17" s="529">
        <v>0</v>
      </c>
      <c r="J17" s="529">
        <v>0</v>
      </c>
      <c r="K17" s="529">
        <v>0</v>
      </c>
      <c r="L17" s="529">
        <v>0</v>
      </c>
      <c r="M17" s="529">
        <v>0</v>
      </c>
      <c r="N17" s="529">
        <v>0</v>
      </c>
      <c r="O17" s="529">
        <v>6138.73</v>
      </c>
      <c r="P17" s="529">
        <v>6138.73</v>
      </c>
      <c r="Q17" s="529">
        <v>0</v>
      </c>
    </row>
    <row r="18" spans="1:17" ht="15.75" customHeight="1" x14ac:dyDescent="0.2">
      <c r="A18" s="529">
        <v>10</v>
      </c>
      <c r="B18" s="529" t="s">
        <v>100</v>
      </c>
      <c r="C18" s="516" t="s">
        <v>62</v>
      </c>
      <c r="D18" s="529"/>
      <c r="E18" s="529" t="s">
        <v>101</v>
      </c>
      <c r="F18" s="529" t="s">
        <v>164</v>
      </c>
      <c r="G18" s="510" t="s">
        <v>85</v>
      </c>
      <c r="H18" s="529">
        <v>19</v>
      </c>
      <c r="I18" s="529">
        <v>16</v>
      </c>
      <c r="J18" s="529">
        <v>22</v>
      </c>
      <c r="K18" s="529">
        <v>37959.129999999997</v>
      </c>
      <c r="L18" s="529">
        <v>37959.129999999997</v>
      </c>
      <c r="M18" s="529">
        <v>0</v>
      </c>
      <c r="N18" s="529">
        <v>13</v>
      </c>
      <c r="O18" s="529">
        <v>40729.06</v>
      </c>
      <c r="P18" s="529">
        <v>40729.06</v>
      </c>
      <c r="Q18" s="529">
        <v>0</v>
      </c>
    </row>
    <row r="19" spans="1:17" ht="15.75" customHeight="1" x14ac:dyDescent="0.2">
      <c r="A19" s="529">
        <v>11</v>
      </c>
      <c r="B19" s="529" t="s">
        <v>86</v>
      </c>
      <c r="C19" s="516" t="s">
        <v>62</v>
      </c>
      <c r="D19" s="529"/>
      <c r="E19" s="529" t="s">
        <v>74</v>
      </c>
      <c r="F19" s="529" t="s">
        <v>165</v>
      </c>
      <c r="G19" s="510" t="s">
        <v>85</v>
      </c>
      <c r="H19" s="529">
        <v>54</v>
      </c>
      <c r="I19" s="529">
        <v>35</v>
      </c>
      <c r="J19" s="529">
        <v>39</v>
      </c>
      <c r="K19" s="529">
        <v>29245.21</v>
      </c>
      <c r="L19" s="529">
        <v>29245.21</v>
      </c>
      <c r="M19" s="529">
        <v>0</v>
      </c>
      <c r="N19" s="529">
        <v>25</v>
      </c>
      <c r="O19" s="529">
        <v>58714.67</v>
      </c>
      <c r="P19" s="529">
        <v>58714.67</v>
      </c>
      <c r="Q19" s="529">
        <v>0</v>
      </c>
    </row>
    <row r="20" spans="1:17" ht="15.75" customHeight="1" x14ac:dyDescent="0.2">
      <c r="A20" s="529">
        <v>12</v>
      </c>
      <c r="B20" s="529" t="s">
        <v>166</v>
      </c>
      <c r="C20" s="516" t="s">
        <v>62</v>
      </c>
      <c r="D20" s="529"/>
      <c r="E20" s="529"/>
      <c r="F20" s="529" t="s">
        <v>167</v>
      </c>
      <c r="G20" s="510" t="s">
        <v>85</v>
      </c>
      <c r="H20" s="529">
        <v>24</v>
      </c>
      <c r="I20" s="529">
        <v>19</v>
      </c>
      <c r="J20" s="529">
        <v>22</v>
      </c>
      <c r="K20" s="529">
        <v>17436.310000000001</v>
      </c>
      <c r="L20" s="529">
        <v>17436.310000000001</v>
      </c>
      <c r="M20" s="529">
        <v>0</v>
      </c>
      <c r="N20" s="529">
        <v>0</v>
      </c>
      <c r="O20" s="529">
        <v>0</v>
      </c>
      <c r="P20" s="529">
        <v>0</v>
      </c>
      <c r="Q20" s="529">
        <v>0</v>
      </c>
    </row>
    <row r="21" spans="1:17" ht="15.75" customHeight="1" x14ac:dyDescent="0.2">
      <c r="A21" s="529">
        <v>13</v>
      </c>
      <c r="B21" s="529" t="s">
        <v>168</v>
      </c>
      <c r="C21" s="516" t="s">
        <v>62</v>
      </c>
      <c r="D21" s="529"/>
      <c r="E21" s="529"/>
      <c r="F21" s="529" t="s">
        <v>169</v>
      </c>
      <c r="G21" s="510" t="s">
        <v>85</v>
      </c>
      <c r="H21" s="529">
        <v>59</v>
      </c>
      <c r="I21" s="529">
        <v>53</v>
      </c>
      <c r="J21" s="529">
        <v>66</v>
      </c>
      <c r="K21" s="529">
        <v>60626.239999999998</v>
      </c>
      <c r="L21" s="529">
        <v>60626.239999999998</v>
      </c>
      <c r="M21" s="529">
        <v>0</v>
      </c>
      <c r="N21" s="529">
        <v>0</v>
      </c>
      <c r="O21" s="529">
        <v>0</v>
      </c>
      <c r="P21" s="529">
        <v>0</v>
      </c>
      <c r="Q21" s="529">
        <v>0</v>
      </c>
    </row>
    <row r="22" spans="1:17" ht="15.75" customHeight="1" x14ac:dyDescent="0.2">
      <c r="A22" s="529">
        <v>14</v>
      </c>
      <c r="B22" s="529" t="s">
        <v>21</v>
      </c>
      <c r="C22" s="516" t="s">
        <v>62</v>
      </c>
      <c r="D22" s="529"/>
      <c r="E22" s="529" t="s">
        <v>73</v>
      </c>
      <c r="F22" s="529" t="s">
        <v>170</v>
      </c>
      <c r="G22" s="510" t="s">
        <v>85</v>
      </c>
      <c r="H22" s="529">
        <v>57</v>
      </c>
      <c r="I22" s="529">
        <v>54</v>
      </c>
      <c r="J22" s="529">
        <v>64</v>
      </c>
      <c r="K22" s="529">
        <v>84327.7</v>
      </c>
      <c r="L22" s="529">
        <v>84327.7</v>
      </c>
      <c r="M22" s="529">
        <v>0</v>
      </c>
      <c r="N22" s="529">
        <v>44</v>
      </c>
      <c r="O22" s="529">
        <v>159640.63</v>
      </c>
      <c r="P22" s="529">
        <v>159640.63</v>
      </c>
      <c r="Q22" s="529">
        <v>0</v>
      </c>
    </row>
    <row r="23" spans="1:17" ht="15.75" customHeight="1" x14ac:dyDescent="0.2">
      <c r="A23" s="529">
        <v>15</v>
      </c>
      <c r="B23" s="529" t="s">
        <v>22</v>
      </c>
      <c r="C23" s="516" t="s">
        <v>62</v>
      </c>
      <c r="D23" s="529"/>
      <c r="E23" s="529" t="s">
        <v>74</v>
      </c>
      <c r="F23" s="529" t="s">
        <v>171</v>
      </c>
      <c r="G23" s="510" t="s">
        <v>85</v>
      </c>
      <c r="H23" s="529">
        <v>50</v>
      </c>
      <c r="I23" s="529">
        <v>41</v>
      </c>
      <c r="J23" s="529">
        <v>56</v>
      </c>
      <c r="K23" s="529">
        <v>69417.06</v>
      </c>
      <c r="L23" s="529">
        <v>69417.06</v>
      </c>
      <c r="M23" s="529">
        <v>0</v>
      </c>
      <c r="N23" s="529">
        <v>45</v>
      </c>
      <c r="O23" s="529">
        <v>116060.79</v>
      </c>
      <c r="P23" s="529">
        <v>116060.79</v>
      </c>
      <c r="Q23" s="529">
        <v>0</v>
      </c>
    </row>
    <row r="24" spans="1:17" ht="15.75" customHeight="1" x14ac:dyDescent="0.2">
      <c r="A24" s="529">
        <v>16</v>
      </c>
      <c r="B24" s="529" t="s">
        <v>24</v>
      </c>
      <c r="C24" s="516" t="s">
        <v>62</v>
      </c>
      <c r="D24" s="529"/>
      <c r="E24" s="529" t="s">
        <v>74</v>
      </c>
      <c r="F24" s="529" t="s">
        <v>172</v>
      </c>
      <c r="G24" s="510" t="s">
        <v>85</v>
      </c>
      <c r="H24" s="529">
        <v>67</v>
      </c>
      <c r="I24" s="529">
        <v>58</v>
      </c>
      <c r="J24" s="529">
        <v>75</v>
      </c>
      <c r="K24" s="529">
        <v>66360.820000000007</v>
      </c>
      <c r="L24" s="529">
        <v>66360.820000000007</v>
      </c>
      <c r="M24" s="529">
        <v>0</v>
      </c>
      <c r="N24" s="529">
        <v>33</v>
      </c>
      <c r="O24" s="529">
        <v>109814.73</v>
      </c>
      <c r="P24" s="529">
        <v>109814.73</v>
      </c>
      <c r="Q24" s="529">
        <v>0</v>
      </c>
    </row>
    <row r="25" spans="1:17" ht="15.75" customHeight="1" x14ac:dyDescent="0.2">
      <c r="A25" s="529">
        <v>17</v>
      </c>
      <c r="B25" s="529" t="s">
        <v>102</v>
      </c>
      <c r="C25" s="516" t="s">
        <v>67</v>
      </c>
      <c r="D25" s="456" t="s">
        <v>594</v>
      </c>
      <c r="E25" s="529" t="s">
        <v>74</v>
      </c>
      <c r="F25" s="529" t="s">
        <v>477</v>
      </c>
      <c r="G25" s="510" t="s">
        <v>85</v>
      </c>
      <c r="H25" s="529">
        <v>5</v>
      </c>
      <c r="I25" s="529">
        <v>1</v>
      </c>
      <c r="J25" s="529">
        <v>1</v>
      </c>
      <c r="K25" s="529">
        <v>528.6</v>
      </c>
      <c r="L25" s="529">
        <v>528.6</v>
      </c>
      <c r="M25" s="529">
        <v>0</v>
      </c>
      <c r="N25" s="529">
        <v>6</v>
      </c>
      <c r="O25" s="529">
        <v>33557.919999999998</v>
      </c>
      <c r="P25" s="529">
        <v>33557.919999999998</v>
      </c>
      <c r="Q25" s="529">
        <v>0</v>
      </c>
    </row>
    <row r="26" spans="1:17" ht="15.75" customHeight="1" x14ac:dyDescent="0.2">
      <c r="A26" s="529">
        <v>18</v>
      </c>
      <c r="B26" s="529" t="s">
        <v>173</v>
      </c>
      <c r="C26" s="516" t="s">
        <v>67</v>
      </c>
      <c r="D26" s="529" t="s">
        <v>478</v>
      </c>
      <c r="E26" s="529" t="s">
        <v>174</v>
      </c>
      <c r="F26" s="529" t="s">
        <v>175</v>
      </c>
      <c r="G26" s="510" t="s">
        <v>85</v>
      </c>
      <c r="H26" s="529">
        <v>34</v>
      </c>
      <c r="I26" s="529">
        <v>28</v>
      </c>
      <c r="J26" s="529">
        <v>35</v>
      </c>
      <c r="K26" s="529">
        <v>37797.730000000003</v>
      </c>
      <c r="L26" s="529">
        <v>37797.730000000003</v>
      </c>
      <c r="M26" s="529">
        <v>0</v>
      </c>
      <c r="N26" s="529">
        <v>0</v>
      </c>
      <c r="O26" s="529">
        <v>0</v>
      </c>
      <c r="P26" s="529">
        <v>0</v>
      </c>
      <c r="Q26" s="529">
        <v>0</v>
      </c>
    </row>
    <row r="27" spans="1:17" ht="15.75" customHeight="1" x14ac:dyDescent="0.2">
      <c r="A27" s="529">
        <v>19</v>
      </c>
      <c r="B27" s="529" t="s">
        <v>25</v>
      </c>
      <c r="C27" s="516" t="s">
        <v>62</v>
      </c>
      <c r="D27" s="529"/>
      <c r="E27" s="529" t="s">
        <v>76</v>
      </c>
      <c r="F27" s="529" t="s">
        <v>584</v>
      </c>
      <c r="G27" s="510" t="s">
        <v>85</v>
      </c>
      <c r="H27" s="529">
        <v>78</v>
      </c>
      <c r="I27" s="529">
        <v>0</v>
      </c>
      <c r="J27" s="529">
        <v>0</v>
      </c>
      <c r="K27" s="529">
        <v>0</v>
      </c>
      <c r="L27" s="529">
        <v>0</v>
      </c>
      <c r="M27" s="529">
        <v>0</v>
      </c>
      <c r="N27" s="529">
        <v>0</v>
      </c>
      <c r="O27" s="529">
        <v>0</v>
      </c>
      <c r="P27" s="529">
        <v>0</v>
      </c>
      <c r="Q27" s="529">
        <v>0</v>
      </c>
    </row>
    <row r="28" spans="1:17" ht="15.75" customHeight="1" x14ac:dyDescent="0.2">
      <c r="A28" s="529">
        <v>20</v>
      </c>
      <c r="B28" s="529" t="s">
        <v>600</v>
      </c>
      <c r="C28" s="516" t="s">
        <v>62</v>
      </c>
      <c r="D28" s="529"/>
      <c r="E28" s="529" t="s">
        <v>75</v>
      </c>
      <c r="F28" s="529" t="s">
        <v>103</v>
      </c>
      <c r="G28" s="510" t="s">
        <v>85</v>
      </c>
      <c r="H28" s="529">
        <v>0</v>
      </c>
      <c r="I28" s="529">
        <v>0</v>
      </c>
      <c r="J28" s="529">
        <v>0</v>
      </c>
      <c r="K28" s="529">
        <v>0</v>
      </c>
      <c r="L28" s="529">
        <v>0</v>
      </c>
      <c r="M28" s="529">
        <v>0</v>
      </c>
      <c r="N28" s="529">
        <v>23</v>
      </c>
      <c r="O28" s="529">
        <v>123194.59</v>
      </c>
      <c r="P28" s="529">
        <v>123194.59</v>
      </c>
      <c r="Q28" s="529">
        <v>0</v>
      </c>
    </row>
    <row r="29" spans="1:17" ht="15.75" customHeight="1" x14ac:dyDescent="0.2">
      <c r="A29" s="529">
        <v>21</v>
      </c>
      <c r="B29" s="529" t="s">
        <v>479</v>
      </c>
      <c r="C29" s="516" t="s">
        <v>67</v>
      </c>
      <c r="D29" s="529" t="s">
        <v>480</v>
      </c>
      <c r="E29" s="529" t="s">
        <v>271</v>
      </c>
      <c r="F29" s="529" t="s">
        <v>481</v>
      </c>
      <c r="G29" s="510" t="s">
        <v>85</v>
      </c>
      <c r="H29" s="529">
        <v>18</v>
      </c>
      <c r="I29" s="529">
        <v>12</v>
      </c>
      <c r="J29" s="529">
        <v>12</v>
      </c>
      <c r="K29" s="529">
        <v>6034.16</v>
      </c>
      <c r="L29" s="529">
        <v>6034.16</v>
      </c>
      <c r="M29" s="529">
        <v>0</v>
      </c>
      <c r="N29" s="529">
        <v>0</v>
      </c>
      <c r="O29" s="529">
        <v>0</v>
      </c>
      <c r="P29" s="529">
        <v>0</v>
      </c>
      <c r="Q29" s="529">
        <v>0</v>
      </c>
    </row>
    <row r="30" spans="1:17" ht="15.75" customHeight="1" x14ac:dyDescent="0.2">
      <c r="A30" s="529">
        <v>22</v>
      </c>
      <c r="B30" s="529" t="s">
        <v>176</v>
      </c>
      <c r="C30" s="516" t="s">
        <v>62</v>
      </c>
      <c r="D30" s="529"/>
      <c r="E30" s="529" t="s">
        <v>177</v>
      </c>
      <c r="F30" s="529" t="s">
        <v>178</v>
      </c>
      <c r="G30" s="510" t="s">
        <v>85</v>
      </c>
      <c r="H30" s="529">
        <v>25</v>
      </c>
      <c r="I30" s="529">
        <v>17</v>
      </c>
      <c r="J30" s="529">
        <v>18</v>
      </c>
      <c r="K30" s="529">
        <v>16427.62</v>
      </c>
      <c r="L30" s="529">
        <v>16427.62</v>
      </c>
      <c r="M30" s="529">
        <v>0</v>
      </c>
      <c r="N30" s="529">
        <v>0</v>
      </c>
      <c r="O30" s="529">
        <v>0</v>
      </c>
      <c r="P30" s="529">
        <v>0</v>
      </c>
      <c r="Q30" s="529">
        <v>0</v>
      </c>
    </row>
    <row r="31" spans="1:17" ht="15.75" customHeight="1" x14ac:dyDescent="0.2">
      <c r="A31" s="529">
        <v>23</v>
      </c>
      <c r="B31" s="529" t="s">
        <v>152</v>
      </c>
      <c r="C31" s="516" t="s">
        <v>62</v>
      </c>
      <c r="D31" s="529"/>
      <c r="E31" s="529"/>
      <c r="F31" s="529" t="s">
        <v>179</v>
      </c>
      <c r="G31" s="510" t="s">
        <v>85</v>
      </c>
      <c r="H31" s="529">
        <v>34</v>
      </c>
      <c r="I31" s="529">
        <v>20</v>
      </c>
      <c r="J31" s="529">
        <v>24</v>
      </c>
      <c r="K31" s="529">
        <v>49771.27</v>
      </c>
      <c r="L31" s="529">
        <v>49771.27</v>
      </c>
      <c r="M31" s="529">
        <v>0</v>
      </c>
      <c r="N31" s="529">
        <v>17</v>
      </c>
      <c r="O31" s="529">
        <v>19810.22</v>
      </c>
      <c r="P31" s="529">
        <v>19810.22</v>
      </c>
      <c r="Q31" s="529">
        <v>0</v>
      </c>
    </row>
    <row r="32" spans="1:17" ht="15.75" customHeight="1" x14ac:dyDescent="0.2">
      <c r="A32" s="529">
        <v>24</v>
      </c>
      <c r="B32" s="529" t="s">
        <v>88</v>
      </c>
      <c r="C32" s="516" t="s">
        <v>62</v>
      </c>
      <c r="D32" s="529"/>
      <c r="E32" s="529" t="s">
        <v>74</v>
      </c>
      <c r="F32" s="529" t="s">
        <v>180</v>
      </c>
      <c r="G32" s="510" t="s">
        <v>85</v>
      </c>
      <c r="H32" s="529">
        <v>10</v>
      </c>
      <c r="I32" s="529">
        <v>6</v>
      </c>
      <c r="J32" s="529">
        <v>6</v>
      </c>
      <c r="K32" s="529">
        <v>16417.96</v>
      </c>
      <c r="L32" s="529">
        <v>16417.96</v>
      </c>
      <c r="M32" s="529">
        <v>0</v>
      </c>
      <c r="N32" s="529">
        <v>3</v>
      </c>
      <c r="O32" s="529">
        <v>23989.59</v>
      </c>
      <c r="P32" s="529">
        <v>23989.59</v>
      </c>
      <c r="Q32" s="529">
        <v>0</v>
      </c>
    </row>
    <row r="33" spans="1:17" ht="15.75" customHeight="1" x14ac:dyDescent="0.2">
      <c r="A33" s="529">
        <v>25</v>
      </c>
      <c r="B33" s="529" t="s">
        <v>26</v>
      </c>
      <c r="C33" s="516" t="s">
        <v>62</v>
      </c>
      <c r="D33" s="529"/>
      <c r="E33" s="529" t="s">
        <v>74</v>
      </c>
      <c r="F33" s="529" t="s">
        <v>181</v>
      </c>
      <c r="G33" s="510" t="s">
        <v>85</v>
      </c>
      <c r="H33" s="529">
        <v>32</v>
      </c>
      <c r="I33" s="529">
        <v>28</v>
      </c>
      <c r="J33" s="529">
        <v>38</v>
      </c>
      <c r="K33" s="529">
        <v>69877.14</v>
      </c>
      <c r="L33" s="529">
        <v>69877.14</v>
      </c>
      <c r="M33" s="529">
        <v>0</v>
      </c>
      <c r="N33" s="529">
        <v>20</v>
      </c>
      <c r="O33" s="529">
        <v>59286.48</v>
      </c>
      <c r="P33" s="529">
        <v>59286.48</v>
      </c>
      <c r="Q33" s="529">
        <v>0</v>
      </c>
    </row>
    <row r="34" spans="1:17" ht="15.75" customHeight="1" x14ac:dyDescent="0.2">
      <c r="A34" s="529">
        <v>26</v>
      </c>
      <c r="B34" s="529" t="s">
        <v>182</v>
      </c>
      <c r="C34" s="516" t="s">
        <v>62</v>
      </c>
      <c r="D34" s="529"/>
      <c r="E34" s="529" t="s">
        <v>174</v>
      </c>
      <c r="F34" s="529" t="s">
        <v>183</v>
      </c>
      <c r="G34" s="510" t="s">
        <v>85</v>
      </c>
      <c r="H34" s="529">
        <v>44</v>
      </c>
      <c r="I34" s="529">
        <v>23</v>
      </c>
      <c r="J34" s="529">
        <v>28</v>
      </c>
      <c r="K34" s="529">
        <v>23283.040000000001</v>
      </c>
      <c r="L34" s="529">
        <v>23283.040000000001</v>
      </c>
      <c r="M34" s="529">
        <v>0</v>
      </c>
      <c r="N34" s="529">
        <v>0</v>
      </c>
      <c r="O34" s="529">
        <v>0</v>
      </c>
      <c r="P34" s="529">
        <v>0</v>
      </c>
      <c r="Q34" s="529">
        <v>0</v>
      </c>
    </row>
    <row r="35" spans="1:17" ht="15.75" customHeight="1" x14ac:dyDescent="0.2">
      <c r="A35" s="529">
        <v>27</v>
      </c>
      <c r="B35" s="529" t="s">
        <v>601</v>
      </c>
      <c r="C35" s="516" t="s">
        <v>62</v>
      </c>
      <c r="D35" s="529"/>
      <c r="E35" s="529" t="s">
        <v>366</v>
      </c>
      <c r="F35" s="529" t="s">
        <v>602</v>
      </c>
      <c r="G35" s="510" t="s">
        <v>85</v>
      </c>
      <c r="H35" s="529">
        <v>7</v>
      </c>
      <c r="I35" s="529">
        <v>0</v>
      </c>
      <c r="J35" s="529">
        <v>0</v>
      </c>
      <c r="K35" s="529">
        <v>0</v>
      </c>
      <c r="L35" s="529">
        <v>0</v>
      </c>
      <c r="M35" s="529">
        <v>0</v>
      </c>
      <c r="N35" s="529">
        <v>0</v>
      </c>
      <c r="O35" s="529">
        <v>0</v>
      </c>
      <c r="P35" s="529">
        <v>0</v>
      </c>
      <c r="Q35" s="529">
        <v>0</v>
      </c>
    </row>
    <row r="36" spans="1:17" ht="15.75" customHeight="1" x14ac:dyDescent="0.2">
      <c r="A36" s="529">
        <v>28</v>
      </c>
      <c r="B36" s="529" t="s">
        <v>137</v>
      </c>
      <c r="C36" s="516" t="s">
        <v>62</v>
      </c>
      <c r="D36" s="529"/>
      <c r="E36" s="529" t="s">
        <v>78</v>
      </c>
      <c r="F36" s="529" t="s">
        <v>184</v>
      </c>
      <c r="G36" s="510" t="s">
        <v>85</v>
      </c>
      <c r="H36" s="529">
        <v>13</v>
      </c>
      <c r="I36" s="529">
        <v>6</v>
      </c>
      <c r="J36" s="529">
        <v>6</v>
      </c>
      <c r="K36" s="529">
        <v>11251.56</v>
      </c>
      <c r="L36" s="529">
        <v>11251.56</v>
      </c>
      <c r="M36" s="529">
        <v>0</v>
      </c>
      <c r="N36" s="529">
        <v>5</v>
      </c>
      <c r="O36" s="529">
        <v>9148.83</v>
      </c>
      <c r="P36" s="529">
        <v>9148.83</v>
      </c>
      <c r="Q36" s="529">
        <v>0</v>
      </c>
    </row>
    <row r="37" spans="1:17" ht="15.75" customHeight="1" x14ac:dyDescent="0.2">
      <c r="A37" s="529">
        <v>29</v>
      </c>
      <c r="B37" s="529" t="s">
        <v>335</v>
      </c>
      <c r="C37" s="516" t="s">
        <v>62</v>
      </c>
      <c r="D37" s="529"/>
      <c r="E37" s="529" t="s">
        <v>74</v>
      </c>
      <c r="F37" s="529" t="s">
        <v>748</v>
      </c>
      <c r="G37" s="510" t="s">
        <v>85</v>
      </c>
      <c r="H37" s="529">
        <v>9</v>
      </c>
      <c r="I37" s="529">
        <v>0</v>
      </c>
      <c r="J37" s="529">
        <v>0</v>
      </c>
      <c r="K37" s="529">
        <v>0</v>
      </c>
      <c r="L37" s="529">
        <v>0</v>
      </c>
      <c r="M37" s="529">
        <v>0</v>
      </c>
      <c r="N37" s="529">
        <v>0</v>
      </c>
      <c r="O37" s="529">
        <v>0</v>
      </c>
      <c r="P37" s="529">
        <v>0</v>
      </c>
      <c r="Q37" s="529">
        <v>0</v>
      </c>
    </row>
    <row r="38" spans="1:17" ht="15.75" customHeight="1" x14ac:dyDescent="0.2">
      <c r="A38" s="529">
        <v>30</v>
      </c>
      <c r="B38" s="529" t="s">
        <v>185</v>
      </c>
      <c r="C38" s="516" t="s">
        <v>62</v>
      </c>
      <c r="D38" s="529"/>
      <c r="E38" s="529" t="s">
        <v>186</v>
      </c>
      <c r="F38" s="529" t="s">
        <v>463</v>
      </c>
      <c r="G38" s="510" t="s">
        <v>85</v>
      </c>
      <c r="H38" s="529">
        <v>18</v>
      </c>
      <c r="I38" s="529">
        <v>13</v>
      </c>
      <c r="J38" s="529">
        <v>16</v>
      </c>
      <c r="K38" s="529">
        <v>21575.49</v>
      </c>
      <c r="L38" s="529">
        <v>21575.49</v>
      </c>
      <c r="M38" s="529">
        <v>0</v>
      </c>
      <c r="N38" s="529">
        <v>0</v>
      </c>
      <c r="O38" s="529">
        <v>0</v>
      </c>
      <c r="P38" s="529">
        <v>0</v>
      </c>
      <c r="Q38" s="529">
        <v>0</v>
      </c>
    </row>
    <row r="39" spans="1:17" ht="15.75" customHeight="1" x14ac:dyDescent="0.2">
      <c r="A39" s="529">
        <v>31</v>
      </c>
      <c r="B39" s="529" t="s">
        <v>27</v>
      </c>
      <c r="C39" s="516" t="s">
        <v>62</v>
      </c>
      <c r="D39" s="529"/>
      <c r="E39" s="529" t="s">
        <v>74</v>
      </c>
      <c r="F39" s="529" t="s">
        <v>187</v>
      </c>
      <c r="G39" s="510" t="s">
        <v>85</v>
      </c>
      <c r="H39" s="529">
        <v>19</v>
      </c>
      <c r="I39" s="529">
        <v>13</v>
      </c>
      <c r="J39" s="529">
        <v>15</v>
      </c>
      <c r="K39" s="529">
        <v>20675.43</v>
      </c>
      <c r="L39" s="529">
        <v>20675.43</v>
      </c>
      <c r="M39" s="529">
        <v>0</v>
      </c>
      <c r="N39" s="529">
        <v>7</v>
      </c>
      <c r="O39" s="529">
        <v>35186.089999999997</v>
      </c>
      <c r="P39" s="529">
        <v>35186.089999999997</v>
      </c>
      <c r="Q39" s="529">
        <v>0</v>
      </c>
    </row>
    <row r="40" spans="1:17" ht="15.75" customHeight="1" x14ac:dyDescent="0.2">
      <c r="A40" s="529">
        <v>32</v>
      </c>
      <c r="B40" s="529" t="s">
        <v>654</v>
      </c>
      <c r="C40" s="516" t="s">
        <v>67</v>
      </c>
      <c r="D40" s="529" t="s">
        <v>680</v>
      </c>
      <c r="E40" s="529" t="s">
        <v>655</v>
      </c>
      <c r="F40" s="529" t="s">
        <v>656</v>
      </c>
      <c r="G40" s="510" t="s">
        <v>85</v>
      </c>
      <c r="H40" s="529">
        <v>8</v>
      </c>
      <c r="I40" s="529">
        <v>5</v>
      </c>
      <c r="J40" s="529">
        <v>6</v>
      </c>
      <c r="K40" s="529">
        <v>1141.42</v>
      </c>
      <c r="L40" s="529">
        <v>1141.42</v>
      </c>
      <c r="M40" s="529">
        <v>0</v>
      </c>
      <c r="N40" s="529">
        <v>0</v>
      </c>
      <c r="O40" s="529">
        <v>0</v>
      </c>
      <c r="P40" s="529">
        <v>0</v>
      </c>
      <c r="Q40" s="529">
        <v>0</v>
      </c>
    </row>
    <row r="41" spans="1:17" ht="15.75" customHeight="1" x14ac:dyDescent="0.2">
      <c r="A41" s="529">
        <v>33</v>
      </c>
      <c r="B41" s="529" t="s">
        <v>482</v>
      </c>
      <c r="C41" s="516" t="s">
        <v>64</v>
      </c>
      <c r="D41" s="529" t="s">
        <v>483</v>
      </c>
      <c r="E41" s="529" t="s">
        <v>313</v>
      </c>
      <c r="F41" s="529" t="s">
        <v>484</v>
      </c>
      <c r="G41" s="510" t="s">
        <v>85</v>
      </c>
      <c r="H41" s="529">
        <v>12</v>
      </c>
      <c r="I41" s="529">
        <v>2</v>
      </c>
      <c r="J41" s="529">
        <v>2</v>
      </c>
      <c r="K41" s="529">
        <v>754.81</v>
      </c>
      <c r="L41" s="529">
        <v>754.81</v>
      </c>
      <c r="M41" s="529">
        <v>0</v>
      </c>
      <c r="N41" s="529">
        <v>0</v>
      </c>
      <c r="O41" s="529">
        <v>0</v>
      </c>
      <c r="P41" s="529">
        <v>0</v>
      </c>
      <c r="Q41" s="529">
        <v>0</v>
      </c>
    </row>
    <row r="42" spans="1:17" ht="15.75" customHeight="1" x14ac:dyDescent="0.2">
      <c r="A42" s="529">
        <v>34</v>
      </c>
      <c r="B42" s="529" t="s">
        <v>104</v>
      </c>
      <c r="C42" s="516" t="s">
        <v>62</v>
      </c>
      <c r="D42" s="529"/>
      <c r="E42" s="529" t="s">
        <v>105</v>
      </c>
      <c r="F42" s="529" t="s">
        <v>188</v>
      </c>
      <c r="G42" s="510" t="s">
        <v>85</v>
      </c>
      <c r="H42" s="529">
        <v>9</v>
      </c>
      <c r="I42" s="529">
        <v>7</v>
      </c>
      <c r="J42" s="529">
        <v>9</v>
      </c>
      <c r="K42" s="529">
        <v>19587.169999999998</v>
      </c>
      <c r="L42" s="529">
        <v>19587.169999999998</v>
      </c>
      <c r="M42" s="529">
        <v>0</v>
      </c>
      <c r="N42" s="529">
        <v>31</v>
      </c>
      <c r="O42" s="529">
        <v>70685.78</v>
      </c>
      <c r="P42" s="529">
        <v>70685.78</v>
      </c>
      <c r="Q42" s="529">
        <v>0</v>
      </c>
    </row>
    <row r="43" spans="1:17" ht="15.75" customHeight="1" x14ac:dyDescent="0.2">
      <c r="A43" s="529">
        <v>35</v>
      </c>
      <c r="B43" s="529" t="s">
        <v>517</v>
      </c>
      <c r="C43" s="516" t="s">
        <v>62</v>
      </c>
      <c r="D43" s="529"/>
      <c r="E43" s="529" t="s">
        <v>239</v>
      </c>
      <c r="F43" s="529" t="s">
        <v>567</v>
      </c>
      <c r="G43" s="510" t="s">
        <v>85</v>
      </c>
      <c r="H43" s="529">
        <v>29</v>
      </c>
      <c r="I43" s="529">
        <v>19</v>
      </c>
      <c r="J43" s="529">
        <v>20</v>
      </c>
      <c r="K43" s="529">
        <v>19580.32</v>
      </c>
      <c r="L43" s="529">
        <v>19580.32</v>
      </c>
      <c r="M43" s="529">
        <v>0</v>
      </c>
      <c r="N43" s="529">
        <v>0</v>
      </c>
      <c r="O43" s="529">
        <v>0</v>
      </c>
      <c r="P43" s="529">
        <v>0</v>
      </c>
      <c r="Q43" s="529">
        <v>0</v>
      </c>
    </row>
    <row r="44" spans="1:17" ht="15.75" customHeight="1" x14ac:dyDescent="0.2">
      <c r="A44" s="529">
        <v>36</v>
      </c>
      <c r="B44" s="529" t="s">
        <v>28</v>
      </c>
      <c r="C44" s="516" t="s">
        <v>62</v>
      </c>
      <c r="D44" s="529"/>
      <c r="E44" s="529" t="s">
        <v>74</v>
      </c>
      <c r="F44" s="529" t="s">
        <v>189</v>
      </c>
      <c r="G44" s="510" t="s">
        <v>85</v>
      </c>
      <c r="H44" s="529">
        <v>15</v>
      </c>
      <c r="I44" s="529">
        <v>12</v>
      </c>
      <c r="J44" s="529">
        <v>14</v>
      </c>
      <c r="K44" s="529">
        <v>16065.46</v>
      </c>
      <c r="L44" s="529">
        <v>16065.46</v>
      </c>
      <c r="M44" s="529">
        <v>0</v>
      </c>
      <c r="N44" s="529">
        <v>9</v>
      </c>
      <c r="O44" s="529">
        <v>34951.29</v>
      </c>
      <c r="P44" s="529">
        <v>34951.29</v>
      </c>
      <c r="Q44" s="529">
        <v>0</v>
      </c>
    </row>
    <row r="45" spans="1:17" ht="15.75" customHeight="1" x14ac:dyDescent="0.2">
      <c r="A45" s="529">
        <v>37</v>
      </c>
      <c r="B45" s="529" t="s">
        <v>190</v>
      </c>
      <c r="C45" s="516" t="s">
        <v>62</v>
      </c>
      <c r="D45" s="529"/>
      <c r="E45" s="529"/>
      <c r="F45" s="529" t="s">
        <v>191</v>
      </c>
      <c r="G45" s="510" t="s">
        <v>85</v>
      </c>
      <c r="H45" s="529">
        <v>23</v>
      </c>
      <c r="I45" s="529">
        <v>19</v>
      </c>
      <c r="J45" s="529">
        <v>19</v>
      </c>
      <c r="K45" s="529">
        <v>28138.25</v>
      </c>
      <c r="L45" s="529">
        <v>28138.25</v>
      </c>
      <c r="M45" s="529">
        <v>0</v>
      </c>
      <c r="N45" s="529">
        <v>0</v>
      </c>
      <c r="O45" s="529">
        <v>0</v>
      </c>
      <c r="P45" s="529">
        <v>0</v>
      </c>
      <c r="Q45" s="529">
        <v>0</v>
      </c>
    </row>
    <row r="46" spans="1:17" ht="15.75" customHeight="1" x14ac:dyDescent="0.2">
      <c r="A46" s="529">
        <v>38</v>
      </c>
      <c r="B46" s="529" t="s">
        <v>89</v>
      </c>
      <c r="C46" s="516" t="s">
        <v>62</v>
      </c>
      <c r="D46" s="529"/>
      <c r="E46" s="529" t="s">
        <v>74</v>
      </c>
      <c r="F46" s="529" t="s">
        <v>195</v>
      </c>
      <c r="G46" s="510" t="s">
        <v>85</v>
      </c>
      <c r="H46" s="529">
        <v>45</v>
      </c>
      <c r="I46" s="529">
        <v>39</v>
      </c>
      <c r="J46" s="529">
        <v>42</v>
      </c>
      <c r="K46" s="529">
        <v>48239.83</v>
      </c>
      <c r="L46" s="529">
        <v>48239.83</v>
      </c>
      <c r="M46" s="529">
        <v>0</v>
      </c>
      <c r="N46" s="529">
        <v>7</v>
      </c>
      <c r="O46" s="529">
        <v>42577.61</v>
      </c>
      <c r="P46" s="529">
        <v>42577.61</v>
      </c>
      <c r="Q46" s="529">
        <v>0</v>
      </c>
    </row>
    <row r="47" spans="1:17" ht="15.75" customHeight="1" x14ac:dyDescent="0.2">
      <c r="A47" s="529">
        <v>39</v>
      </c>
      <c r="B47" s="529" t="s">
        <v>196</v>
      </c>
      <c r="C47" s="516" t="s">
        <v>62</v>
      </c>
      <c r="D47" s="529"/>
      <c r="E47" s="529" t="s">
        <v>197</v>
      </c>
      <c r="F47" s="529" t="s">
        <v>198</v>
      </c>
      <c r="G47" s="510" t="s">
        <v>85</v>
      </c>
      <c r="H47" s="529">
        <v>31</v>
      </c>
      <c r="I47" s="529">
        <v>22</v>
      </c>
      <c r="J47" s="529">
        <v>24</v>
      </c>
      <c r="K47" s="529">
        <v>37753.46</v>
      </c>
      <c r="L47" s="529">
        <v>37753.46</v>
      </c>
      <c r="M47" s="529">
        <v>0</v>
      </c>
      <c r="N47" s="529">
        <v>0</v>
      </c>
      <c r="O47" s="529">
        <v>0</v>
      </c>
      <c r="P47" s="529">
        <v>0</v>
      </c>
      <c r="Q47" s="529">
        <v>0</v>
      </c>
    </row>
    <row r="48" spans="1:17" ht="15.75" customHeight="1" x14ac:dyDescent="0.2">
      <c r="A48" s="529">
        <v>40</v>
      </c>
      <c r="B48" s="529" t="s">
        <v>106</v>
      </c>
      <c r="C48" s="516" t="s">
        <v>62</v>
      </c>
      <c r="D48" s="529"/>
      <c r="E48" s="529" t="s">
        <v>74</v>
      </c>
      <c r="F48" s="529" t="s">
        <v>199</v>
      </c>
      <c r="G48" s="510" t="s">
        <v>85</v>
      </c>
      <c r="H48" s="529">
        <v>63</v>
      </c>
      <c r="I48" s="529">
        <v>48</v>
      </c>
      <c r="J48" s="529">
        <v>73</v>
      </c>
      <c r="K48" s="529">
        <v>112540.63</v>
      </c>
      <c r="L48" s="529">
        <v>112540.63</v>
      </c>
      <c r="M48" s="529">
        <v>0</v>
      </c>
      <c r="N48" s="529">
        <v>28</v>
      </c>
      <c r="O48" s="529">
        <v>192688.16</v>
      </c>
      <c r="P48" s="529">
        <v>192688.16</v>
      </c>
      <c r="Q48" s="529">
        <v>0</v>
      </c>
    </row>
    <row r="49" spans="1:17" ht="15.75" customHeight="1" x14ac:dyDescent="0.2">
      <c r="A49" s="529">
        <v>41</v>
      </c>
      <c r="B49" s="529" t="s">
        <v>750</v>
      </c>
      <c r="C49" s="516" t="s">
        <v>62</v>
      </c>
      <c r="D49" s="529"/>
      <c r="E49" s="529" t="s">
        <v>313</v>
      </c>
      <c r="F49" s="529" t="s">
        <v>751</v>
      </c>
      <c r="G49" s="510" t="s">
        <v>85</v>
      </c>
      <c r="H49" s="529">
        <v>1</v>
      </c>
      <c r="I49" s="529">
        <v>0</v>
      </c>
      <c r="J49" s="529">
        <v>0</v>
      </c>
      <c r="K49" s="529">
        <v>0</v>
      </c>
      <c r="L49" s="529">
        <v>0</v>
      </c>
      <c r="M49" s="529">
        <v>0</v>
      </c>
      <c r="N49" s="529">
        <v>0</v>
      </c>
      <c r="O49" s="529">
        <v>0</v>
      </c>
      <c r="P49" s="529">
        <v>0</v>
      </c>
      <c r="Q49" s="529">
        <v>0</v>
      </c>
    </row>
    <row r="50" spans="1:17" ht="15.75" customHeight="1" x14ac:dyDescent="0.2">
      <c r="A50" s="529">
        <v>42</v>
      </c>
      <c r="B50" s="529" t="s">
        <v>107</v>
      </c>
      <c r="C50" s="516" t="s">
        <v>62</v>
      </c>
      <c r="D50" s="529"/>
      <c r="E50" s="529" t="s">
        <v>74</v>
      </c>
      <c r="F50" s="529" t="s">
        <v>138</v>
      </c>
      <c r="G50" s="510" t="s">
        <v>85</v>
      </c>
      <c r="H50" s="529">
        <v>10</v>
      </c>
      <c r="I50" s="529">
        <v>2</v>
      </c>
      <c r="J50" s="529">
        <v>2</v>
      </c>
      <c r="K50" s="529">
        <v>0</v>
      </c>
      <c r="L50" s="529">
        <v>0</v>
      </c>
      <c r="M50" s="529">
        <v>0</v>
      </c>
      <c r="N50" s="529">
        <v>3</v>
      </c>
      <c r="O50" s="529">
        <v>31862.65</v>
      </c>
      <c r="P50" s="529">
        <v>31862.65</v>
      </c>
      <c r="Q50" s="529">
        <v>0</v>
      </c>
    </row>
    <row r="51" spans="1:17" ht="15.75" customHeight="1" x14ac:dyDescent="0.2">
      <c r="A51" s="529">
        <v>43</v>
      </c>
      <c r="B51" s="529" t="s">
        <v>29</v>
      </c>
      <c r="C51" s="516" t="s">
        <v>62</v>
      </c>
      <c r="D51" s="529"/>
      <c r="E51" s="529" t="s">
        <v>74</v>
      </c>
      <c r="F51" s="529" t="s">
        <v>200</v>
      </c>
      <c r="G51" s="510" t="s">
        <v>85</v>
      </c>
      <c r="H51" s="529">
        <v>40</v>
      </c>
      <c r="I51" s="529">
        <v>31</v>
      </c>
      <c r="J51" s="529">
        <v>45</v>
      </c>
      <c r="K51" s="529">
        <v>46978.1</v>
      </c>
      <c r="L51" s="529">
        <v>46978.1</v>
      </c>
      <c r="M51" s="529">
        <v>0</v>
      </c>
      <c r="N51" s="529">
        <v>23</v>
      </c>
      <c r="O51" s="529">
        <v>30829.25</v>
      </c>
      <c r="P51" s="529">
        <v>30829.25</v>
      </c>
      <c r="Q51" s="529">
        <v>0</v>
      </c>
    </row>
    <row r="52" spans="1:17" ht="15.75" customHeight="1" x14ac:dyDescent="0.2">
      <c r="A52" s="529">
        <v>44</v>
      </c>
      <c r="B52" s="529" t="s">
        <v>201</v>
      </c>
      <c r="C52" s="516" t="s">
        <v>67</v>
      </c>
      <c r="D52" s="529" t="s">
        <v>485</v>
      </c>
      <c r="E52" s="529" t="s">
        <v>74</v>
      </c>
      <c r="F52" s="529" t="s">
        <v>202</v>
      </c>
      <c r="G52" s="510" t="s">
        <v>85</v>
      </c>
      <c r="H52" s="529">
        <v>33</v>
      </c>
      <c r="I52" s="529">
        <v>27</v>
      </c>
      <c r="J52" s="529">
        <v>30</v>
      </c>
      <c r="K52" s="529">
        <v>56474.35</v>
      </c>
      <c r="L52" s="529">
        <v>56474.35</v>
      </c>
      <c r="M52" s="529">
        <v>0</v>
      </c>
      <c r="N52" s="529">
        <v>1</v>
      </c>
      <c r="O52" s="529">
        <v>1717.95</v>
      </c>
      <c r="P52" s="529">
        <v>1717.95</v>
      </c>
      <c r="Q52" s="529">
        <v>0</v>
      </c>
    </row>
    <row r="53" spans="1:17" ht="15.75" customHeight="1" x14ac:dyDescent="0.2">
      <c r="A53" s="529">
        <v>45</v>
      </c>
      <c r="B53" s="529" t="s">
        <v>30</v>
      </c>
      <c r="C53" s="516" t="s">
        <v>62</v>
      </c>
      <c r="D53" s="529"/>
      <c r="E53" s="529" t="s">
        <v>203</v>
      </c>
      <c r="F53" s="529" t="s">
        <v>204</v>
      </c>
      <c r="G53" s="510" t="s">
        <v>85</v>
      </c>
      <c r="H53" s="529">
        <v>30</v>
      </c>
      <c r="I53" s="529">
        <v>22</v>
      </c>
      <c r="J53" s="529">
        <v>30</v>
      </c>
      <c r="K53" s="529">
        <v>84568.22</v>
      </c>
      <c r="L53" s="529">
        <v>84568.22</v>
      </c>
      <c r="M53" s="529">
        <v>0</v>
      </c>
      <c r="N53" s="529">
        <v>21</v>
      </c>
      <c r="O53" s="529">
        <v>122626.55</v>
      </c>
      <c r="P53" s="529">
        <v>122626.55</v>
      </c>
      <c r="Q53" s="529">
        <v>0</v>
      </c>
    </row>
    <row r="54" spans="1:17" ht="15.75" customHeight="1" x14ac:dyDescent="0.2">
      <c r="A54" s="529">
        <v>46</v>
      </c>
      <c r="B54" s="529" t="s">
        <v>90</v>
      </c>
      <c r="C54" s="516" t="s">
        <v>62</v>
      </c>
      <c r="D54" s="529"/>
      <c r="E54" s="529" t="s">
        <v>205</v>
      </c>
      <c r="F54" s="529" t="s">
        <v>464</v>
      </c>
      <c r="G54" s="510" t="s">
        <v>85</v>
      </c>
      <c r="H54" s="529">
        <v>35</v>
      </c>
      <c r="I54" s="529">
        <v>22</v>
      </c>
      <c r="J54" s="529">
        <v>30</v>
      </c>
      <c r="K54" s="529">
        <v>52809.81</v>
      </c>
      <c r="L54" s="529">
        <v>52809.81</v>
      </c>
      <c r="M54" s="529">
        <v>0</v>
      </c>
      <c r="N54" s="529">
        <v>18</v>
      </c>
      <c r="O54" s="529">
        <v>32887.980000000003</v>
      </c>
      <c r="P54" s="529">
        <v>32887.980000000003</v>
      </c>
      <c r="Q54" s="529">
        <v>0</v>
      </c>
    </row>
    <row r="55" spans="1:17" ht="15.75" customHeight="1" x14ac:dyDescent="0.2">
      <c r="A55" s="529">
        <v>47</v>
      </c>
      <c r="B55" s="529" t="s">
        <v>31</v>
      </c>
      <c r="C55" s="516" t="s">
        <v>62</v>
      </c>
      <c r="D55" s="529"/>
      <c r="E55" s="529" t="s">
        <v>74</v>
      </c>
      <c r="F55" s="529" t="s">
        <v>206</v>
      </c>
      <c r="G55" s="510" t="s">
        <v>85</v>
      </c>
      <c r="H55" s="529">
        <v>70</v>
      </c>
      <c r="I55" s="529">
        <v>60</v>
      </c>
      <c r="J55" s="529">
        <v>73</v>
      </c>
      <c r="K55" s="529">
        <v>130895.83</v>
      </c>
      <c r="L55" s="529">
        <v>130895.83</v>
      </c>
      <c r="M55" s="529">
        <v>0</v>
      </c>
      <c r="N55" s="529">
        <v>23</v>
      </c>
      <c r="O55" s="529">
        <v>90019.199999999997</v>
      </c>
      <c r="P55" s="529">
        <v>90019.199999999997</v>
      </c>
      <c r="Q55" s="529">
        <v>0</v>
      </c>
    </row>
    <row r="56" spans="1:17" ht="15.75" customHeight="1" x14ac:dyDescent="0.2">
      <c r="A56" s="529">
        <v>48</v>
      </c>
      <c r="B56" s="529" t="s">
        <v>631</v>
      </c>
      <c r="C56" s="516" t="s">
        <v>62</v>
      </c>
      <c r="D56" s="529"/>
      <c r="E56" s="529"/>
      <c r="F56" s="529" t="s">
        <v>732</v>
      </c>
      <c r="G56" s="510" t="s">
        <v>85</v>
      </c>
      <c r="H56" s="529">
        <v>16</v>
      </c>
      <c r="I56" s="529">
        <v>5</v>
      </c>
      <c r="J56" s="529">
        <v>5</v>
      </c>
      <c r="K56" s="529">
        <v>589.12</v>
      </c>
      <c r="L56" s="529">
        <v>589.12</v>
      </c>
      <c r="M56" s="529">
        <v>0</v>
      </c>
      <c r="N56" s="529">
        <v>0</v>
      </c>
      <c r="O56" s="529">
        <v>0</v>
      </c>
      <c r="P56" s="529">
        <v>0</v>
      </c>
      <c r="Q56" s="529">
        <v>0</v>
      </c>
    </row>
    <row r="57" spans="1:17" ht="15.75" customHeight="1" x14ac:dyDescent="0.2">
      <c r="A57" s="529">
        <v>49</v>
      </c>
      <c r="B57" s="529" t="s">
        <v>605</v>
      </c>
      <c r="C57" s="516" t="s">
        <v>62</v>
      </c>
      <c r="D57" s="529"/>
      <c r="E57" s="529" t="s">
        <v>108</v>
      </c>
      <c r="F57" s="529" t="s">
        <v>619</v>
      </c>
      <c r="G57" s="510" t="s">
        <v>85</v>
      </c>
      <c r="H57" s="529">
        <v>6</v>
      </c>
      <c r="I57" s="529">
        <v>3</v>
      </c>
      <c r="J57" s="529">
        <v>3</v>
      </c>
      <c r="K57" s="529">
        <v>6868.12</v>
      </c>
      <c r="L57" s="529">
        <v>6868.12</v>
      </c>
      <c r="M57" s="529">
        <v>0</v>
      </c>
      <c r="N57" s="529">
        <v>0</v>
      </c>
      <c r="O57" s="529">
        <v>1200.69</v>
      </c>
      <c r="P57" s="529">
        <v>1200.69</v>
      </c>
      <c r="Q57" s="529">
        <v>0</v>
      </c>
    </row>
    <row r="58" spans="1:17" ht="15.75" customHeight="1" x14ac:dyDescent="0.2">
      <c r="A58" s="529">
        <v>50</v>
      </c>
      <c r="B58" s="529" t="s">
        <v>32</v>
      </c>
      <c r="C58" s="516" t="s">
        <v>62</v>
      </c>
      <c r="D58" s="529"/>
      <c r="E58" s="529" t="s">
        <v>74</v>
      </c>
      <c r="F58" s="529" t="s">
        <v>207</v>
      </c>
      <c r="G58" s="510" t="s">
        <v>85</v>
      </c>
      <c r="H58" s="529">
        <v>64</v>
      </c>
      <c r="I58" s="529">
        <v>54</v>
      </c>
      <c r="J58" s="529">
        <v>60</v>
      </c>
      <c r="K58" s="529">
        <v>44200.84</v>
      </c>
      <c r="L58" s="529">
        <v>44200.84</v>
      </c>
      <c r="M58" s="529">
        <v>0</v>
      </c>
      <c r="N58" s="529">
        <v>42</v>
      </c>
      <c r="O58" s="529">
        <v>138889.93</v>
      </c>
      <c r="P58" s="529">
        <v>138889.93</v>
      </c>
      <c r="Q58" s="529">
        <v>0</v>
      </c>
    </row>
    <row r="59" spans="1:17" ht="15.75" customHeight="1" x14ac:dyDescent="0.2">
      <c r="A59" s="529">
        <v>51</v>
      </c>
      <c r="B59" s="529" t="s">
        <v>91</v>
      </c>
      <c r="C59" s="516" t="s">
        <v>62</v>
      </c>
      <c r="D59" s="529"/>
      <c r="E59" s="529"/>
      <c r="F59" s="529" t="s">
        <v>208</v>
      </c>
      <c r="G59" s="510" t="s">
        <v>85</v>
      </c>
      <c r="H59" s="529">
        <v>24</v>
      </c>
      <c r="I59" s="529">
        <v>15</v>
      </c>
      <c r="J59" s="529">
        <v>16</v>
      </c>
      <c r="K59" s="529">
        <v>11242.36</v>
      </c>
      <c r="L59" s="529">
        <v>11242.36</v>
      </c>
      <c r="M59" s="529">
        <v>0</v>
      </c>
      <c r="N59" s="529">
        <v>3</v>
      </c>
      <c r="O59" s="529">
        <v>17381.23</v>
      </c>
      <c r="P59" s="529">
        <v>17381.23</v>
      </c>
      <c r="Q59" s="529">
        <v>0</v>
      </c>
    </row>
    <row r="60" spans="1:17" ht="15.75" customHeight="1" x14ac:dyDescent="0.2">
      <c r="A60" s="529">
        <v>52</v>
      </c>
      <c r="B60" s="529" t="s">
        <v>33</v>
      </c>
      <c r="C60" s="516" t="s">
        <v>62</v>
      </c>
      <c r="D60" s="529"/>
      <c r="E60" s="529" t="s">
        <v>74</v>
      </c>
      <c r="F60" s="529" t="s">
        <v>209</v>
      </c>
      <c r="G60" s="510" t="s">
        <v>85</v>
      </c>
      <c r="H60" s="529">
        <v>46</v>
      </c>
      <c r="I60" s="529">
        <v>38</v>
      </c>
      <c r="J60" s="529">
        <v>56</v>
      </c>
      <c r="K60" s="529">
        <v>83092.399999999994</v>
      </c>
      <c r="L60" s="529">
        <v>83092.399999999994</v>
      </c>
      <c r="M60" s="529">
        <v>0</v>
      </c>
      <c r="N60" s="529">
        <v>43</v>
      </c>
      <c r="O60" s="529">
        <v>119673.07</v>
      </c>
      <c r="P60" s="529">
        <v>119673.07</v>
      </c>
      <c r="Q60" s="529">
        <v>0</v>
      </c>
    </row>
    <row r="61" spans="1:17" ht="15.75" customHeight="1" x14ac:dyDescent="0.2">
      <c r="A61" s="529">
        <v>53</v>
      </c>
      <c r="B61" s="529" t="s">
        <v>153</v>
      </c>
      <c r="C61" s="516" t="s">
        <v>62</v>
      </c>
      <c r="D61" s="529"/>
      <c r="E61" s="529" t="s">
        <v>74</v>
      </c>
      <c r="F61" s="529" t="s">
        <v>210</v>
      </c>
      <c r="G61" s="510" t="s">
        <v>85</v>
      </c>
      <c r="H61" s="529">
        <v>0</v>
      </c>
      <c r="I61" s="529">
        <v>0</v>
      </c>
      <c r="J61" s="529">
        <v>0</v>
      </c>
      <c r="K61" s="529">
        <v>0</v>
      </c>
      <c r="L61" s="529">
        <v>0</v>
      </c>
      <c r="M61" s="529">
        <v>0</v>
      </c>
      <c r="N61" s="529">
        <v>4</v>
      </c>
      <c r="O61" s="529">
        <v>35991.79</v>
      </c>
      <c r="P61" s="529">
        <v>35991.79</v>
      </c>
      <c r="Q61" s="529">
        <v>0</v>
      </c>
    </row>
    <row r="62" spans="1:17" ht="15.75" customHeight="1" x14ac:dyDescent="0.2">
      <c r="A62" s="529">
        <v>54</v>
      </c>
      <c r="B62" s="529" t="s">
        <v>34</v>
      </c>
      <c r="C62" s="516" t="s">
        <v>62</v>
      </c>
      <c r="D62" s="529"/>
      <c r="E62" s="529" t="s">
        <v>74</v>
      </c>
      <c r="F62" s="529" t="s">
        <v>211</v>
      </c>
      <c r="G62" s="510" t="s">
        <v>85</v>
      </c>
      <c r="H62" s="529">
        <v>26</v>
      </c>
      <c r="I62" s="529">
        <v>19</v>
      </c>
      <c r="J62" s="529">
        <v>22</v>
      </c>
      <c r="K62" s="529">
        <v>23961.09</v>
      </c>
      <c r="L62" s="529">
        <v>23961.09</v>
      </c>
      <c r="M62" s="529">
        <v>0</v>
      </c>
      <c r="N62" s="529">
        <v>26</v>
      </c>
      <c r="O62" s="529">
        <v>115411.46</v>
      </c>
      <c r="P62" s="529">
        <v>115411.46</v>
      </c>
      <c r="Q62" s="529">
        <v>0</v>
      </c>
    </row>
    <row r="63" spans="1:17" ht="15.75" customHeight="1" x14ac:dyDescent="0.2">
      <c r="A63" s="529">
        <v>55</v>
      </c>
      <c r="B63" s="529" t="s">
        <v>154</v>
      </c>
      <c r="C63" s="516" t="s">
        <v>62</v>
      </c>
      <c r="D63" s="529"/>
      <c r="E63" s="529" t="s">
        <v>72</v>
      </c>
      <c r="F63" s="529" t="s">
        <v>212</v>
      </c>
      <c r="G63" s="510" t="s">
        <v>85</v>
      </c>
      <c r="H63" s="529">
        <v>6</v>
      </c>
      <c r="I63" s="529">
        <v>2</v>
      </c>
      <c r="J63" s="529">
        <v>2</v>
      </c>
      <c r="K63" s="529">
        <v>2172.77</v>
      </c>
      <c r="L63" s="529">
        <v>2172.77</v>
      </c>
      <c r="M63" s="529">
        <v>0</v>
      </c>
      <c r="N63" s="529">
        <v>2</v>
      </c>
      <c r="O63" s="529">
        <v>10016.969999999999</v>
      </c>
      <c r="P63" s="529">
        <v>10016.969999999999</v>
      </c>
      <c r="Q63" s="529">
        <v>0</v>
      </c>
    </row>
    <row r="64" spans="1:17" ht="15.75" customHeight="1" x14ac:dyDescent="0.2">
      <c r="A64" s="529">
        <v>56</v>
      </c>
      <c r="B64" s="529" t="s">
        <v>109</v>
      </c>
      <c r="C64" s="516" t="s">
        <v>62</v>
      </c>
      <c r="D64" s="529"/>
      <c r="E64" s="529" t="s">
        <v>74</v>
      </c>
      <c r="F64" s="529" t="s">
        <v>213</v>
      </c>
      <c r="G64" s="510" t="s">
        <v>85</v>
      </c>
      <c r="H64" s="529">
        <v>0</v>
      </c>
      <c r="I64" s="529">
        <v>0</v>
      </c>
      <c r="J64" s="529">
        <v>0</v>
      </c>
      <c r="K64" s="529">
        <v>0</v>
      </c>
      <c r="L64" s="529">
        <v>0</v>
      </c>
      <c r="M64" s="529">
        <v>0</v>
      </c>
      <c r="N64" s="529">
        <v>2</v>
      </c>
      <c r="O64" s="529">
        <v>3812.68</v>
      </c>
      <c r="P64" s="529">
        <v>3812.68</v>
      </c>
      <c r="Q64" s="529">
        <v>0</v>
      </c>
    </row>
    <row r="65" spans="1:17" ht="15.75" customHeight="1" x14ac:dyDescent="0.2">
      <c r="A65" s="529">
        <v>57</v>
      </c>
      <c r="B65" s="529" t="s">
        <v>110</v>
      </c>
      <c r="C65" s="516" t="s">
        <v>62</v>
      </c>
      <c r="D65" s="529"/>
      <c r="E65" s="529" t="s">
        <v>74</v>
      </c>
      <c r="F65" s="529" t="s">
        <v>214</v>
      </c>
      <c r="G65" s="510" t="s">
        <v>85</v>
      </c>
      <c r="H65" s="529">
        <v>0</v>
      </c>
      <c r="I65" s="529">
        <v>0</v>
      </c>
      <c r="J65" s="529">
        <v>0</v>
      </c>
      <c r="K65" s="529">
        <v>0</v>
      </c>
      <c r="L65" s="529">
        <v>0</v>
      </c>
      <c r="M65" s="529">
        <v>0</v>
      </c>
      <c r="N65" s="529">
        <v>0</v>
      </c>
      <c r="O65" s="529">
        <v>12489.14</v>
      </c>
      <c r="P65" s="529">
        <v>12489.14</v>
      </c>
      <c r="Q65" s="529">
        <v>0</v>
      </c>
    </row>
    <row r="66" spans="1:17" ht="15.75" customHeight="1" x14ac:dyDescent="0.2">
      <c r="A66" s="529">
        <v>58</v>
      </c>
      <c r="B66" s="529" t="s">
        <v>92</v>
      </c>
      <c r="C66" s="516" t="s">
        <v>62</v>
      </c>
      <c r="D66" s="529"/>
      <c r="E66" s="529" t="s">
        <v>74</v>
      </c>
      <c r="F66" s="529" t="s">
        <v>215</v>
      </c>
      <c r="G66" s="510" t="s">
        <v>85</v>
      </c>
      <c r="H66" s="529">
        <v>46</v>
      </c>
      <c r="I66" s="529">
        <v>39</v>
      </c>
      <c r="J66" s="529">
        <v>51</v>
      </c>
      <c r="K66" s="529">
        <v>65921.67</v>
      </c>
      <c r="L66" s="529">
        <v>65921.67</v>
      </c>
      <c r="M66" s="529">
        <v>0</v>
      </c>
      <c r="N66" s="529">
        <v>16</v>
      </c>
      <c r="O66" s="529">
        <v>50459.82</v>
      </c>
      <c r="P66" s="529">
        <v>50459.82</v>
      </c>
      <c r="Q66" s="529">
        <v>0</v>
      </c>
    </row>
    <row r="67" spans="1:17" ht="15.75" customHeight="1" x14ac:dyDescent="0.2">
      <c r="A67" s="529">
        <v>59</v>
      </c>
      <c r="B67" s="529" t="s">
        <v>216</v>
      </c>
      <c r="C67" s="516" t="s">
        <v>67</v>
      </c>
      <c r="D67" s="529" t="s">
        <v>436</v>
      </c>
      <c r="E67" s="529" t="s">
        <v>217</v>
      </c>
      <c r="F67" s="529" t="s">
        <v>218</v>
      </c>
      <c r="G67" s="510" t="s">
        <v>85</v>
      </c>
      <c r="H67" s="529">
        <v>22</v>
      </c>
      <c r="I67" s="529">
        <v>16</v>
      </c>
      <c r="J67" s="529">
        <v>16</v>
      </c>
      <c r="K67" s="529">
        <v>20901.580000000002</v>
      </c>
      <c r="L67" s="529">
        <v>20901.580000000002</v>
      </c>
      <c r="M67" s="529">
        <v>0</v>
      </c>
      <c r="N67" s="529">
        <v>0</v>
      </c>
      <c r="O67" s="529">
        <v>0</v>
      </c>
      <c r="P67" s="529">
        <v>0</v>
      </c>
      <c r="Q67" s="529">
        <v>0</v>
      </c>
    </row>
    <row r="68" spans="1:17" ht="15.75" customHeight="1" x14ac:dyDescent="0.2">
      <c r="A68" s="529">
        <v>60</v>
      </c>
      <c r="B68" s="529" t="s">
        <v>35</v>
      </c>
      <c r="C68" s="516" t="s">
        <v>62</v>
      </c>
      <c r="D68" s="529"/>
      <c r="E68" s="529" t="s">
        <v>219</v>
      </c>
      <c r="F68" s="529" t="s">
        <v>220</v>
      </c>
      <c r="G68" s="510" t="s">
        <v>85</v>
      </c>
      <c r="H68" s="529">
        <v>62</v>
      </c>
      <c r="I68" s="529">
        <v>59</v>
      </c>
      <c r="J68" s="529">
        <v>71</v>
      </c>
      <c r="K68" s="529">
        <v>103306.96</v>
      </c>
      <c r="L68" s="529">
        <v>103306.96</v>
      </c>
      <c r="M68" s="529">
        <v>0</v>
      </c>
      <c r="N68" s="529">
        <v>34</v>
      </c>
      <c r="O68" s="529">
        <v>88743.22</v>
      </c>
      <c r="P68" s="529">
        <v>88743.22</v>
      </c>
      <c r="Q68" s="529">
        <v>0</v>
      </c>
    </row>
    <row r="69" spans="1:17" ht="15.75" customHeight="1" x14ac:dyDescent="0.2">
      <c r="A69" s="529">
        <v>61</v>
      </c>
      <c r="B69" s="529" t="s">
        <v>114</v>
      </c>
      <c r="C69" s="516" t="s">
        <v>62</v>
      </c>
      <c r="D69" s="529"/>
      <c r="E69" s="529" t="s">
        <v>115</v>
      </c>
      <c r="F69" s="529" t="s">
        <v>221</v>
      </c>
      <c r="G69" s="510" t="s">
        <v>85</v>
      </c>
      <c r="H69" s="529">
        <v>22</v>
      </c>
      <c r="I69" s="529">
        <v>13</v>
      </c>
      <c r="J69" s="529">
        <v>13</v>
      </c>
      <c r="K69" s="529">
        <v>15228.99</v>
      </c>
      <c r="L69" s="529">
        <v>15228.99</v>
      </c>
      <c r="M69" s="529">
        <v>0</v>
      </c>
      <c r="N69" s="529">
        <v>1</v>
      </c>
      <c r="O69" s="529">
        <v>12547.55</v>
      </c>
      <c r="P69" s="529">
        <v>12547.55</v>
      </c>
      <c r="Q69" s="529">
        <v>0</v>
      </c>
    </row>
    <row r="70" spans="1:17" ht="15.75" customHeight="1" x14ac:dyDescent="0.2">
      <c r="A70" s="529">
        <v>62</v>
      </c>
      <c r="B70" s="529" t="s">
        <v>222</v>
      </c>
      <c r="C70" s="516" t="s">
        <v>64</v>
      </c>
      <c r="D70" s="529" t="s">
        <v>486</v>
      </c>
      <c r="E70" s="529" t="s">
        <v>223</v>
      </c>
      <c r="F70" s="529" t="s">
        <v>224</v>
      </c>
      <c r="G70" s="510" t="s">
        <v>85</v>
      </c>
      <c r="H70" s="529">
        <v>27</v>
      </c>
      <c r="I70" s="529">
        <v>22</v>
      </c>
      <c r="J70" s="529">
        <v>29</v>
      </c>
      <c r="K70" s="529">
        <v>47591.75</v>
      </c>
      <c r="L70" s="529">
        <v>47591.75</v>
      </c>
      <c r="M70" s="529">
        <v>0</v>
      </c>
      <c r="N70" s="529">
        <v>0</v>
      </c>
      <c r="O70" s="529">
        <v>0</v>
      </c>
      <c r="P70" s="529">
        <v>0</v>
      </c>
      <c r="Q70" s="529">
        <v>0</v>
      </c>
    </row>
    <row r="71" spans="1:17" ht="15.75" customHeight="1" x14ac:dyDescent="0.2">
      <c r="A71" s="529">
        <v>63</v>
      </c>
      <c r="B71" s="529" t="s">
        <v>93</v>
      </c>
      <c r="C71" s="516" t="s">
        <v>62</v>
      </c>
      <c r="D71" s="529"/>
      <c r="E71" s="529" t="s">
        <v>74</v>
      </c>
      <c r="F71" s="529" t="s">
        <v>225</v>
      </c>
      <c r="G71" s="510" t="s">
        <v>85</v>
      </c>
      <c r="H71" s="529">
        <v>14</v>
      </c>
      <c r="I71" s="529">
        <v>8</v>
      </c>
      <c r="J71" s="529">
        <v>10</v>
      </c>
      <c r="K71" s="529">
        <v>11798.3</v>
      </c>
      <c r="L71" s="529">
        <v>11798.3</v>
      </c>
      <c r="M71" s="529">
        <v>0</v>
      </c>
      <c r="N71" s="529">
        <v>8</v>
      </c>
      <c r="O71" s="529">
        <v>10672.71</v>
      </c>
      <c r="P71" s="529">
        <v>10672.71</v>
      </c>
      <c r="Q71" s="529">
        <v>0</v>
      </c>
    </row>
    <row r="72" spans="1:17" ht="15.75" customHeight="1" x14ac:dyDescent="0.2">
      <c r="A72" s="529">
        <v>64</v>
      </c>
      <c r="B72" s="529" t="s">
        <v>226</v>
      </c>
      <c r="C72" s="516" t="s">
        <v>62</v>
      </c>
      <c r="D72" s="529"/>
      <c r="E72" s="529" t="s">
        <v>174</v>
      </c>
      <c r="F72" s="529" t="s">
        <v>227</v>
      </c>
      <c r="G72" s="510" t="s">
        <v>85</v>
      </c>
      <c r="H72" s="529">
        <v>47</v>
      </c>
      <c r="I72" s="529">
        <v>17</v>
      </c>
      <c r="J72" s="529">
        <v>20</v>
      </c>
      <c r="K72" s="529">
        <v>59599.24</v>
      </c>
      <c r="L72" s="529">
        <v>59599.24</v>
      </c>
      <c r="M72" s="529">
        <v>0</v>
      </c>
      <c r="N72" s="529">
        <v>0</v>
      </c>
      <c r="O72" s="529">
        <v>0</v>
      </c>
      <c r="P72" s="529">
        <v>0</v>
      </c>
      <c r="Q72" s="529">
        <v>0</v>
      </c>
    </row>
    <row r="73" spans="1:17" ht="15.75" customHeight="1" x14ac:dyDescent="0.2">
      <c r="A73" s="529">
        <v>65</v>
      </c>
      <c r="B73" s="529" t="s">
        <v>228</v>
      </c>
      <c r="C73" s="516" t="s">
        <v>62</v>
      </c>
      <c r="D73" s="529"/>
      <c r="E73" s="529" t="s">
        <v>229</v>
      </c>
      <c r="F73" s="529" t="s">
        <v>230</v>
      </c>
      <c r="G73" s="510" t="s">
        <v>85</v>
      </c>
      <c r="H73" s="529">
        <v>58</v>
      </c>
      <c r="I73" s="529">
        <v>45</v>
      </c>
      <c r="J73" s="529">
        <v>55</v>
      </c>
      <c r="K73" s="529">
        <v>57808.480000000003</v>
      </c>
      <c r="L73" s="529">
        <v>57808.480000000003</v>
      </c>
      <c r="M73" s="529">
        <v>0</v>
      </c>
      <c r="N73" s="529">
        <v>0</v>
      </c>
      <c r="O73" s="529">
        <v>0</v>
      </c>
      <c r="P73" s="529">
        <v>0</v>
      </c>
      <c r="Q73" s="529">
        <v>0</v>
      </c>
    </row>
    <row r="74" spans="1:17" ht="15.75" customHeight="1" x14ac:dyDescent="0.2">
      <c r="A74" s="529">
        <v>66</v>
      </c>
      <c r="B74" s="529" t="s">
        <v>116</v>
      </c>
      <c r="C74" s="516" t="s">
        <v>62</v>
      </c>
      <c r="D74" s="529"/>
      <c r="E74" s="529" t="s">
        <v>74</v>
      </c>
      <c r="F74" s="529" t="s">
        <v>231</v>
      </c>
      <c r="G74" s="510" t="s">
        <v>85</v>
      </c>
      <c r="H74" s="529">
        <v>39</v>
      </c>
      <c r="I74" s="529">
        <v>32</v>
      </c>
      <c r="J74" s="529">
        <v>38</v>
      </c>
      <c r="K74" s="529">
        <v>46227.64</v>
      </c>
      <c r="L74" s="529">
        <v>46227.64</v>
      </c>
      <c r="M74" s="529">
        <v>0</v>
      </c>
      <c r="N74" s="529">
        <v>5</v>
      </c>
      <c r="O74" s="529">
        <v>5058.49</v>
      </c>
      <c r="P74" s="529">
        <v>5058.49</v>
      </c>
      <c r="Q74" s="529">
        <v>0</v>
      </c>
    </row>
    <row r="75" spans="1:17" ht="15.75" customHeight="1" x14ac:dyDescent="0.2">
      <c r="A75" s="529">
        <v>67</v>
      </c>
      <c r="B75" s="529" t="s">
        <v>232</v>
      </c>
      <c r="C75" s="516" t="s">
        <v>62</v>
      </c>
      <c r="D75" s="529"/>
      <c r="E75" s="529" t="s">
        <v>174</v>
      </c>
      <c r="F75" s="529" t="s">
        <v>233</v>
      </c>
      <c r="G75" s="510" t="s">
        <v>85</v>
      </c>
      <c r="H75" s="529">
        <v>21</v>
      </c>
      <c r="I75" s="529">
        <v>17</v>
      </c>
      <c r="J75" s="529">
        <v>23</v>
      </c>
      <c r="K75" s="529">
        <v>23188.92</v>
      </c>
      <c r="L75" s="529">
        <v>23188.92</v>
      </c>
      <c r="M75" s="529">
        <v>0</v>
      </c>
      <c r="N75" s="529">
        <v>0</v>
      </c>
      <c r="O75" s="529">
        <v>0</v>
      </c>
      <c r="P75" s="529">
        <v>0</v>
      </c>
      <c r="Q75" s="529">
        <v>0</v>
      </c>
    </row>
    <row r="76" spans="1:17" ht="15.75" customHeight="1" x14ac:dyDescent="0.2">
      <c r="A76" s="529">
        <v>68</v>
      </c>
      <c r="B76" s="529" t="s">
        <v>487</v>
      </c>
      <c r="C76" s="516" t="s">
        <v>62</v>
      </c>
      <c r="D76" s="529"/>
      <c r="E76" s="529" t="s">
        <v>282</v>
      </c>
      <c r="F76" s="529" t="s">
        <v>488</v>
      </c>
      <c r="G76" s="510" t="s">
        <v>85</v>
      </c>
      <c r="H76" s="529">
        <v>16</v>
      </c>
      <c r="I76" s="529">
        <v>3</v>
      </c>
      <c r="J76" s="529">
        <v>3</v>
      </c>
      <c r="K76" s="529">
        <v>1999.87</v>
      </c>
      <c r="L76" s="529">
        <v>1999.87</v>
      </c>
      <c r="M76" s="529">
        <v>0</v>
      </c>
      <c r="N76" s="529">
        <v>0</v>
      </c>
      <c r="O76" s="529">
        <v>0</v>
      </c>
      <c r="P76" s="529">
        <v>0</v>
      </c>
      <c r="Q76" s="529">
        <v>0</v>
      </c>
    </row>
    <row r="77" spans="1:17" ht="15.75" customHeight="1" x14ac:dyDescent="0.2">
      <c r="A77" s="529">
        <v>69</v>
      </c>
      <c r="B77" s="529" t="s">
        <v>357</v>
      </c>
      <c r="C77" s="516" t="s">
        <v>64</v>
      </c>
      <c r="D77" s="529" t="s">
        <v>585</v>
      </c>
      <c r="E77" s="529" t="s">
        <v>74</v>
      </c>
      <c r="F77" s="529" t="s">
        <v>573</v>
      </c>
      <c r="G77" s="510" t="s">
        <v>85</v>
      </c>
      <c r="H77" s="529">
        <v>6</v>
      </c>
      <c r="I77" s="529">
        <v>1</v>
      </c>
      <c r="J77" s="529">
        <v>1</v>
      </c>
      <c r="K77" s="529">
        <v>5648.95</v>
      </c>
      <c r="L77" s="529">
        <v>5648.95</v>
      </c>
      <c r="M77" s="529">
        <v>0</v>
      </c>
      <c r="N77" s="529">
        <v>1</v>
      </c>
      <c r="O77" s="529">
        <v>6753.85</v>
      </c>
      <c r="P77" s="529">
        <v>6753.85</v>
      </c>
      <c r="Q77" s="529">
        <v>0</v>
      </c>
    </row>
    <row r="78" spans="1:17" ht="15.75" customHeight="1" x14ac:dyDescent="0.2">
      <c r="A78" s="529">
        <v>70</v>
      </c>
      <c r="B78" s="529" t="s">
        <v>36</v>
      </c>
      <c r="C78" s="516" t="s">
        <v>62</v>
      </c>
      <c r="D78" s="529"/>
      <c r="E78" s="529" t="s">
        <v>74</v>
      </c>
      <c r="F78" s="529" t="s">
        <v>465</v>
      </c>
      <c r="G78" s="510" t="s">
        <v>85</v>
      </c>
      <c r="H78" s="529">
        <v>8</v>
      </c>
      <c r="I78" s="529">
        <v>4</v>
      </c>
      <c r="J78" s="529">
        <v>4</v>
      </c>
      <c r="K78" s="529">
        <v>5936.62</v>
      </c>
      <c r="L78" s="529">
        <v>5936.62</v>
      </c>
      <c r="M78" s="529">
        <v>0</v>
      </c>
      <c r="N78" s="529">
        <v>7</v>
      </c>
      <c r="O78" s="529">
        <v>22393.03</v>
      </c>
      <c r="P78" s="529">
        <v>22393.03</v>
      </c>
      <c r="Q78" s="529">
        <v>0</v>
      </c>
    </row>
    <row r="79" spans="1:17" ht="15.75" customHeight="1" x14ac:dyDescent="0.2">
      <c r="A79" s="529">
        <v>71</v>
      </c>
      <c r="B79" s="529" t="s">
        <v>658</v>
      </c>
      <c r="C79" s="516" t="s">
        <v>62</v>
      </c>
      <c r="D79" s="529"/>
      <c r="E79" s="529" t="s">
        <v>223</v>
      </c>
      <c r="F79" s="529" t="s">
        <v>659</v>
      </c>
      <c r="G79" s="510" t="s">
        <v>85</v>
      </c>
      <c r="H79" s="529">
        <v>13</v>
      </c>
      <c r="I79" s="529">
        <v>0</v>
      </c>
      <c r="J79" s="529">
        <v>0</v>
      </c>
      <c r="K79" s="529">
        <v>0</v>
      </c>
      <c r="L79" s="529">
        <v>0</v>
      </c>
      <c r="M79" s="529">
        <v>0</v>
      </c>
      <c r="N79" s="529">
        <v>0</v>
      </c>
      <c r="O79" s="529">
        <v>0</v>
      </c>
      <c r="P79" s="529">
        <v>0</v>
      </c>
      <c r="Q79" s="529">
        <v>0</v>
      </c>
    </row>
    <row r="80" spans="1:17" ht="15.75" customHeight="1" x14ac:dyDescent="0.2">
      <c r="A80" s="529">
        <v>72</v>
      </c>
      <c r="B80" s="529" t="s">
        <v>37</v>
      </c>
      <c r="C80" s="516" t="s">
        <v>62</v>
      </c>
      <c r="D80" s="529"/>
      <c r="E80" s="529" t="s">
        <v>70</v>
      </c>
      <c r="F80" s="529" t="s">
        <v>234</v>
      </c>
      <c r="G80" s="510" t="s">
        <v>85</v>
      </c>
      <c r="H80" s="529">
        <v>19</v>
      </c>
      <c r="I80" s="529">
        <v>10</v>
      </c>
      <c r="J80" s="529">
        <v>11</v>
      </c>
      <c r="K80" s="529">
        <v>14628.39</v>
      </c>
      <c r="L80" s="529">
        <v>14628.39</v>
      </c>
      <c r="M80" s="529">
        <v>0</v>
      </c>
      <c r="N80" s="529">
        <v>4</v>
      </c>
      <c r="O80" s="529">
        <v>23664.87</v>
      </c>
      <c r="P80" s="529">
        <v>23664.87</v>
      </c>
      <c r="Q80" s="529">
        <v>0</v>
      </c>
    </row>
    <row r="81" spans="1:17" ht="15.75" customHeight="1" x14ac:dyDescent="0.2">
      <c r="A81" s="529">
        <v>73</v>
      </c>
      <c r="B81" s="529" t="s">
        <v>235</v>
      </c>
      <c r="C81" s="516" t="s">
        <v>62</v>
      </c>
      <c r="D81" s="529"/>
      <c r="E81" s="529" t="s">
        <v>236</v>
      </c>
      <c r="F81" s="529" t="s">
        <v>237</v>
      </c>
      <c r="G81" s="510" t="s">
        <v>85</v>
      </c>
      <c r="H81" s="529">
        <v>22</v>
      </c>
      <c r="I81" s="529">
        <v>13</v>
      </c>
      <c r="J81" s="529">
        <v>20</v>
      </c>
      <c r="K81" s="529">
        <v>32506.55</v>
      </c>
      <c r="L81" s="529">
        <v>32506.55</v>
      </c>
      <c r="M81" s="529">
        <v>0</v>
      </c>
      <c r="N81" s="529">
        <v>0</v>
      </c>
      <c r="O81" s="529">
        <v>0</v>
      </c>
      <c r="P81" s="529">
        <v>0</v>
      </c>
      <c r="Q81" s="529">
        <v>0</v>
      </c>
    </row>
    <row r="82" spans="1:17" ht="15.75" customHeight="1" x14ac:dyDescent="0.2">
      <c r="A82" s="529">
        <v>74</v>
      </c>
      <c r="B82" s="529" t="s">
        <v>238</v>
      </c>
      <c r="C82" s="516" t="s">
        <v>62</v>
      </c>
      <c r="D82" s="529"/>
      <c r="E82" s="529" t="s">
        <v>239</v>
      </c>
      <c r="F82" s="529" t="s">
        <v>240</v>
      </c>
      <c r="G82" s="510" t="s">
        <v>85</v>
      </c>
      <c r="H82" s="529">
        <v>16</v>
      </c>
      <c r="I82" s="529">
        <v>11</v>
      </c>
      <c r="J82" s="529">
        <v>14</v>
      </c>
      <c r="K82" s="529">
        <v>12158.46</v>
      </c>
      <c r="L82" s="529">
        <v>12158.46</v>
      </c>
      <c r="M82" s="529">
        <v>0</v>
      </c>
      <c r="N82" s="529">
        <v>0</v>
      </c>
      <c r="O82" s="529">
        <v>0</v>
      </c>
      <c r="P82" s="529">
        <v>0</v>
      </c>
      <c r="Q82" s="529">
        <v>0</v>
      </c>
    </row>
    <row r="83" spans="1:17" ht="15.75" customHeight="1" x14ac:dyDescent="0.2">
      <c r="A83" s="529">
        <v>75</v>
      </c>
      <c r="B83" s="529" t="s">
        <v>587</v>
      </c>
      <c r="C83" s="516" t="s">
        <v>62</v>
      </c>
      <c r="D83" s="529"/>
      <c r="E83" s="529"/>
      <c r="F83" s="529" t="s">
        <v>609</v>
      </c>
      <c r="G83" s="510" t="s">
        <v>85</v>
      </c>
      <c r="H83" s="529">
        <v>0</v>
      </c>
      <c r="I83" s="529">
        <v>0</v>
      </c>
      <c r="J83" s="529">
        <v>0</v>
      </c>
      <c r="K83" s="529">
        <v>0</v>
      </c>
      <c r="L83" s="529">
        <v>0</v>
      </c>
      <c r="M83" s="529">
        <v>0</v>
      </c>
      <c r="N83" s="529">
        <v>2</v>
      </c>
      <c r="O83" s="529">
        <v>11240.76</v>
      </c>
      <c r="P83" s="529">
        <v>11240.76</v>
      </c>
      <c r="Q83" s="529">
        <v>0</v>
      </c>
    </row>
    <row r="84" spans="1:17" ht="15.75" customHeight="1" x14ac:dyDescent="0.2">
      <c r="A84" s="529">
        <v>76</v>
      </c>
      <c r="B84" s="529" t="s">
        <v>241</v>
      </c>
      <c r="C84" s="516" t="s">
        <v>62</v>
      </c>
      <c r="D84" s="529"/>
      <c r="E84" s="529" t="s">
        <v>242</v>
      </c>
      <c r="F84" s="529" t="s">
        <v>243</v>
      </c>
      <c r="G84" s="510" t="s">
        <v>85</v>
      </c>
      <c r="H84" s="529">
        <v>12</v>
      </c>
      <c r="I84" s="529">
        <v>9</v>
      </c>
      <c r="J84" s="529">
        <v>14</v>
      </c>
      <c r="K84" s="529">
        <v>27264.29</v>
      </c>
      <c r="L84" s="529">
        <v>27264.29</v>
      </c>
      <c r="M84" s="529">
        <v>0</v>
      </c>
      <c r="N84" s="529">
        <v>0</v>
      </c>
      <c r="O84" s="529">
        <v>0</v>
      </c>
      <c r="P84" s="529">
        <v>0</v>
      </c>
      <c r="Q84" s="529">
        <v>0</v>
      </c>
    </row>
    <row r="85" spans="1:17" ht="15.75" customHeight="1" x14ac:dyDescent="0.2">
      <c r="A85" s="529">
        <v>77</v>
      </c>
      <c r="B85" s="529" t="s">
        <v>38</v>
      </c>
      <c r="C85" s="516" t="s">
        <v>62</v>
      </c>
      <c r="D85" s="529"/>
      <c r="E85" s="529" t="s">
        <v>244</v>
      </c>
      <c r="F85" s="529" t="s">
        <v>245</v>
      </c>
      <c r="G85" s="510" t="s">
        <v>85</v>
      </c>
      <c r="H85" s="529">
        <v>126</v>
      </c>
      <c r="I85" s="529">
        <v>112</v>
      </c>
      <c r="J85" s="529">
        <v>177</v>
      </c>
      <c r="K85" s="529">
        <v>294900.92</v>
      </c>
      <c r="L85" s="529">
        <v>294900.92</v>
      </c>
      <c r="M85" s="529">
        <v>0</v>
      </c>
      <c r="N85" s="529">
        <v>99</v>
      </c>
      <c r="O85" s="529">
        <v>304455.82</v>
      </c>
      <c r="P85" s="529">
        <v>304455.82</v>
      </c>
      <c r="Q85" s="529">
        <v>0</v>
      </c>
    </row>
    <row r="86" spans="1:17" ht="15.75" customHeight="1" x14ac:dyDescent="0.2">
      <c r="A86" s="529">
        <v>78</v>
      </c>
      <c r="B86" s="529" t="s">
        <v>246</v>
      </c>
      <c r="C86" s="516" t="s">
        <v>62</v>
      </c>
      <c r="D86" s="529"/>
      <c r="E86" s="529" t="s">
        <v>247</v>
      </c>
      <c r="F86" s="529" t="s">
        <v>248</v>
      </c>
      <c r="G86" s="510" t="s">
        <v>85</v>
      </c>
      <c r="H86" s="529">
        <v>61</v>
      </c>
      <c r="I86" s="529">
        <v>48</v>
      </c>
      <c r="J86" s="529">
        <v>59</v>
      </c>
      <c r="K86" s="529">
        <v>45613.93</v>
      </c>
      <c r="L86" s="529">
        <v>45613.93</v>
      </c>
      <c r="M86" s="529">
        <v>0</v>
      </c>
      <c r="N86" s="529">
        <v>0</v>
      </c>
      <c r="O86" s="529">
        <v>0</v>
      </c>
      <c r="P86" s="529">
        <v>0</v>
      </c>
      <c r="Q86" s="529">
        <v>0</v>
      </c>
    </row>
    <row r="87" spans="1:17" ht="15.75" customHeight="1" x14ac:dyDescent="0.2">
      <c r="A87" s="529">
        <v>79</v>
      </c>
      <c r="B87" s="529" t="s">
        <v>39</v>
      </c>
      <c r="C87" s="516" t="s">
        <v>62</v>
      </c>
      <c r="D87" s="529"/>
      <c r="E87" s="529" t="s">
        <v>77</v>
      </c>
      <c r="F87" s="529" t="s">
        <v>466</v>
      </c>
      <c r="G87" s="510" t="s">
        <v>85</v>
      </c>
      <c r="H87" s="529">
        <v>141</v>
      </c>
      <c r="I87" s="529">
        <v>113</v>
      </c>
      <c r="J87" s="529">
        <v>121</v>
      </c>
      <c r="K87" s="529">
        <v>71153.27</v>
      </c>
      <c r="L87" s="529">
        <v>71153.27</v>
      </c>
      <c r="M87" s="529">
        <v>0</v>
      </c>
      <c r="N87" s="529">
        <v>12</v>
      </c>
      <c r="O87" s="529">
        <v>23208.35</v>
      </c>
      <c r="P87" s="529">
        <v>23208.35</v>
      </c>
      <c r="Q87" s="529">
        <v>0</v>
      </c>
    </row>
    <row r="88" spans="1:17" ht="15.75" customHeight="1" x14ac:dyDescent="0.2">
      <c r="A88" s="529">
        <v>80</v>
      </c>
      <c r="B88" s="529" t="s">
        <v>40</v>
      </c>
      <c r="C88" s="516" t="s">
        <v>62</v>
      </c>
      <c r="D88" s="529"/>
      <c r="E88" s="529" t="s">
        <v>249</v>
      </c>
      <c r="F88" s="529" t="s">
        <v>250</v>
      </c>
      <c r="G88" s="510" t="s">
        <v>85</v>
      </c>
      <c r="H88" s="529">
        <v>36</v>
      </c>
      <c r="I88" s="529">
        <v>31</v>
      </c>
      <c r="J88" s="529">
        <v>52</v>
      </c>
      <c r="K88" s="529">
        <v>106439.35</v>
      </c>
      <c r="L88" s="529">
        <v>106439.35</v>
      </c>
      <c r="M88" s="529">
        <v>0</v>
      </c>
      <c r="N88" s="529">
        <v>19</v>
      </c>
      <c r="O88" s="529">
        <v>52819.45</v>
      </c>
      <c r="P88" s="529">
        <v>52819.45</v>
      </c>
      <c r="Q88" s="529">
        <v>0</v>
      </c>
    </row>
    <row r="89" spans="1:17" ht="15.75" customHeight="1" x14ac:dyDescent="0.2">
      <c r="A89" s="529">
        <v>81</v>
      </c>
      <c r="B89" s="529" t="s">
        <v>660</v>
      </c>
      <c r="C89" s="516" t="s">
        <v>67</v>
      </c>
      <c r="D89" s="529" t="s">
        <v>661</v>
      </c>
      <c r="E89" s="529" t="s">
        <v>313</v>
      </c>
      <c r="F89" s="529" t="s">
        <v>662</v>
      </c>
      <c r="G89" s="510" t="s">
        <v>85</v>
      </c>
      <c r="H89" s="529">
        <v>9</v>
      </c>
      <c r="I89" s="529">
        <v>5</v>
      </c>
      <c r="J89" s="529">
        <v>5</v>
      </c>
      <c r="K89" s="529">
        <v>4575.68</v>
      </c>
      <c r="L89" s="529">
        <v>4575.68</v>
      </c>
      <c r="M89" s="529">
        <v>0</v>
      </c>
      <c r="N89" s="529">
        <v>0</v>
      </c>
      <c r="O89" s="529">
        <v>0</v>
      </c>
      <c r="P89" s="529">
        <v>0</v>
      </c>
      <c r="Q89" s="529">
        <v>0</v>
      </c>
    </row>
    <row r="90" spans="1:17" ht="15.75" customHeight="1" x14ac:dyDescent="0.2">
      <c r="A90" s="529">
        <v>82</v>
      </c>
      <c r="B90" s="529" t="s">
        <v>251</v>
      </c>
      <c r="C90" s="516" t="s">
        <v>62</v>
      </c>
      <c r="D90" s="529"/>
      <c r="E90" s="529" t="s">
        <v>177</v>
      </c>
      <c r="F90" s="529" t="s">
        <v>252</v>
      </c>
      <c r="G90" s="510" t="s">
        <v>85</v>
      </c>
      <c r="H90" s="529">
        <v>73</v>
      </c>
      <c r="I90" s="529">
        <v>51</v>
      </c>
      <c r="J90" s="529">
        <v>76</v>
      </c>
      <c r="K90" s="529">
        <v>96962.04</v>
      </c>
      <c r="L90" s="529">
        <v>96962.04</v>
      </c>
      <c r="M90" s="529">
        <v>0</v>
      </c>
      <c r="N90" s="529">
        <v>0</v>
      </c>
      <c r="O90" s="529">
        <v>0</v>
      </c>
      <c r="P90" s="529">
        <v>0</v>
      </c>
      <c r="Q90" s="529">
        <v>0</v>
      </c>
    </row>
    <row r="91" spans="1:17" ht="15.75" customHeight="1" x14ac:dyDescent="0.2">
      <c r="A91" s="529">
        <v>83</v>
      </c>
      <c r="B91" s="529" t="s">
        <v>117</v>
      </c>
      <c r="C91" s="516" t="s">
        <v>62</v>
      </c>
      <c r="D91" s="529"/>
      <c r="E91" s="529" t="s">
        <v>74</v>
      </c>
      <c r="F91" s="529" t="s">
        <v>520</v>
      </c>
      <c r="G91" s="510" t="s">
        <v>85</v>
      </c>
      <c r="H91" s="529">
        <v>7</v>
      </c>
      <c r="I91" s="529">
        <v>3</v>
      </c>
      <c r="J91" s="529">
        <v>4</v>
      </c>
      <c r="K91" s="529">
        <v>6249.8</v>
      </c>
      <c r="L91" s="529">
        <v>6249.8</v>
      </c>
      <c r="M91" s="529">
        <v>0</v>
      </c>
      <c r="N91" s="529">
        <v>3</v>
      </c>
      <c r="O91" s="529">
        <v>9677.56</v>
      </c>
      <c r="P91" s="529">
        <v>9677.56</v>
      </c>
      <c r="Q91" s="529">
        <v>0</v>
      </c>
    </row>
    <row r="92" spans="1:17" ht="15.75" customHeight="1" x14ac:dyDescent="0.2">
      <c r="A92" s="529">
        <v>84</v>
      </c>
      <c r="B92" s="529" t="s">
        <v>41</v>
      </c>
      <c r="C92" s="516" t="s">
        <v>64</v>
      </c>
      <c r="D92" s="529" t="s">
        <v>65</v>
      </c>
      <c r="E92" s="529" t="s">
        <v>72</v>
      </c>
      <c r="F92" s="529" t="s">
        <v>253</v>
      </c>
      <c r="G92" s="510" t="s">
        <v>85</v>
      </c>
      <c r="H92" s="529">
        <v>2</v>
      </c>
      <c r="I92" s="529">
        <v>2</v>
      </c>
      <c r="J92" s="529">
        <v>2</v>
      </c>
      <c r="K92" s="529">
        <v>1575.23</v>
      </c>
      <c r="L92" s="529">
        <v>1575.23</v>
      </c>
      <c r="M92" s="529">
        <v>0</v>
      </c>
      <c r="N92" s="529">
        <v>12</v>
      </c>
      <c r="O92" s="529">
        <v>33315.620000000003</v>
      </c>
      <c r="P92" s="529">
        <v>33315.620000000003</v>
      </c>
      <c r="Q92" s="529">
        <v>0</v>
      </c>
    </row>
    <row r="93" spans="1:17" ht="15.75" customHeight="1" x14ac:dyDescent="0.2">
      <c r="A93" s="529">
        <v>85</v>
      </c>
      <c r="B93" s="529" t="s">
        <v>118</v>
      </c>
      <c r="C93" s="516" t="s">
        <v>62</v>
      </c>
      <c r="D93" s="529"/>
      <c r="E93" s="529"/>
      <c r="F93" s="529" t="s">
        <v>467</v>
      </c>
      <c r="G93" s="510" t="s">
        <v>85</v>
      </c>
      <c r="H93" s="529">
        <v>7</v>
      </c>
      <c r="I93" s="529">
        <v>4</v>
      </c>
      <c r="J93" s="529">
        <v>4</v>
      </c>
      <c r="K93" s="529">
        <v>5782.76</v>
      </c>
      <c r="L93" s="529">
        <v>5782.76</v>
      </c>
      <c r="M93" s="529">
        <v>0</v>
      </c>
      <c r="N93" s="529">
        <v>2</v>
      </c>
      <c r="O93" s="529">
        <v>23833.22</v>
      </c>
      <c r="P93" s="529">
        <v>23833.22</v>
      </c>
      <c r="Q93" s="529">
        <v>0</v>
      </c>
    </row>
    <row r="94" spans="1:17" ht="15.75" customHeight="1" x14ac:dyDescent="0.2">
      <c r="A94" s="529">
        <v>86</v>
      </c>
      <c r="B94" s="529" t="s">
        <v>548</v>
      </c>
      <c r="C94" s="516" t="s">
        <v>62</v>
      </c>
      <c r="D94" s="529"/>
      <c r="E94" s="529" t="s">
        <v>549</v>
      </c>
      <c r="F94" s="529" t="s">
        <v>550</v>
      </c>
      <c r="G94" s="510" t="s">
        <v>85</v>
      </c>
      <c r="H94" s="529">
        <v>8</v>
      </c>
      <c r="I94" s="529">
        <v>5</v>
      </c>
      <c r="J94" s="529">
        <v>5</v>
      </c>
      <c r="K94" s="529">
        <v>5615.64</v>
      </c>
      <c r="L94" s="529">
        <v>5615.64</v>
      </c>
      <c r="M94" s="529">
        <v>0</v>
      </c>
      <c r="N94" s="529">
        <v>0</v>
      </c>
      <c r="O94" s="529">
        <v>0</v>
      </c>
      <c r="P94" s="529">
        <v>0</v>
      </c>
      <c r="Q94" s="529">
        <v>0</v>
      </c>
    </row>
    <row r="95" spans="1:17" ht="15.75" customHeight="1" x14ac:dyDescent="0.2">
      <c r="A95" s="529">
        <v>87</v>
      </c>
      <c r="B95" s="529" t="s">
        <v>254</v>
      </c>
      <c r="C95" s="516" t="s">
        <v>62</v>
      </c>
      <c r="D95" s="529"/>
      <c r="E95" s="529" t="s">
        <v>239</v>
      </c>
      <c r="F95" s="529" t="s">
        <v>255</v>
      </c>
      <c r="G95" s="510" t="s">
        <v>85</v>
      </c>
      <c r="H95" s="529">
        <v>11</v>
      </c>
      <c r="I95" s="529">
        <v>9</v>
      </c>
      <c r="J95" s="529">
        <v>12</v>
      </c>
      <c r="K95" s="529">
        <v>14611.86</v>
      </c>
      <c r="L95" s="529">
        <v>14611.86</v>
      </c>
      <c r="M95" s="529">
        <v>0</v>
      </c>
      <c r="N95" s="529">
        <v>0</v>
      </c>
      <c r="O95" s="529">
        <v>0</v>
      </c>
      <c r="P95" s="529">
        <v>0</v>
      </c>
      <c r="Q95" s="529">
        <v>0</v>
      </c>
    </row>
    <row r="96" spans="1:17" ht="15.75" customHeight="1" x14ac:dyDescent="0.2">
      <c r="A96" s="529">
        <v>88</v>
      </c>
      <c r="B96" s="529" t="s">
        <v>256</v>
      </c>
      <c r="C96" s="516" t="s">
        <v>62</v>
      </c>
      <c r="D96" s="529"/>
      <c r="E96" s="529" t="s">
        <v>158</v>
      </c>
      <c r="F96" s="529" t="s">
        <v>257</v>
      </c>
      <c r="G96" s="510" t="s">
        <v>85</v>
      </c>
      <c r="H96" s="529">
        <v>23</v>
      </c>
      <c r="I96" s="529">
        <v>14</v>
      </c>
      <c r="J96" s="529">
        <v>14</v>
      </c>
      <c r="K96" s="529">
        <v>15772.86</v>
      </c>
      <c r="L96" s="529">
        <v>15772.86</v>
      </c>
      <c r="M96" s="529">
        <v>0</v>
      </c>
      <c r="N96" s="529">
        <v>0</v>
      </c>
      <c r="O96" s="529">
        <v>0</v>
      </c>
      <c r="P96" s="529">
        <v>0</v>
      </c>
      <c r="Q96" s="529">
        <v>0</v>
      </c>
    </row>
    <row r="97" spans="1:17" ht="15.75" customHeight="1" x14ac:dyDescent="0.2">
      <c r="A97" s="529">
        <v>89</v>
      </c>
      <c r="B97" s="529" t="s">
        <v>643</v>
      </c>
      <c r="C97" s="516" t="s">
        <v>62</v>
      </c>
      <c r="D97" s="529"/>
      <c r="E97" s="529" t="s">
        <v>313</v>
      </c>
      <c r="F97" s="529" t="s">
        <v>663</v>
      </c>
      <c r="G97" s="510" t="s">
        <v>85</v>
      </c>
      <c r="H97" s="529">
        <v>14</v>
      </c>
      <c r="I97" s="529">
        <v>11</v>
      </c>
      <c r="J97" s="529">
        <v>14</v>
      </c>
      <c r="K97" s="529">
        <v>12395.23</v>
      </c>
      <c r="L97" s="529">
        <v>12395.23</v>
      </c>
      <c r="M97" s="529">
        <v>0</v>
      </c>
      <c r="N97" s="529">
        <v>0</v>
      </c>
      <c r="O97" s="529">
        <v>0</v>
      </c>
      <c r="P97" s="529">
        <v>0</v>
      </c>
      <c r="Q97" s="529">
        <v>0</v>
      </c>
    </row>
    <row r="98" spans="1:17" ht="15.75" customHeight="1" x14ac:dyDescent="0.2">
      <c r="A98" s="529">
        <v>90</v>
      </c>
      <c r="B98" s="529" t="s">
        <v>258</v>
      </c>
      <c r="C98" s="516" t="s">
        <v>62</v>
      </c>
      <c r="D98" s="529"/>
      <c r="E98" s="529" t="s">
        <v>239</v>
      </c>
      <c r="F98" s="529" t="s">
        <v>259</v>
      </c>
      <c r="G98" s="510" t="s">
        <v>85</v>
      </c>
      <c r="H98" s="529">
        <v>49</v>
      </c>
      <c r="I98" s="529">
        <v>41</v>
      </c>
      <c r="J98" s="529">
        <v>51</v>
      </c>
      <c r="K98" s="529">
        <v>58715.09</v>
      </c>
      <c r="L98" s="529">
        <v>58715.09</v>
      </c>
      <c r="M98" s="529">
        <v>0</v>
      </c>
      <c r="N98" s="529">
        <v>0</v>
      </c>
      <c r="O98" s="529">
        <v>0</v>
      </c>
      <c r="P98" s="529">
        <v>0</v>
      </c>
      <c r="Q98" s="529">
        <v>0</v>
      </c>
    </row>
    <row r="99" spans="1:17" ht="15.75" customHeight="1" x14ac:dyDescent="0.2">
      <c r="A99" s="529">
        <v>91</v>
      </c>
      <c r="B99" s="529" t="s">
        <v>42</v>
      </c>
      <c r="C99" s="516" t="s">
        <v>62</v>
      </c>
      <c r="D99" s="529"/>
      <c r="E99" s="529" t="s">
        <v>78</v>
      </c>
      <c r="F99" s="529" t="s">
        <v>260</v>
      </c>
      <c r="G99" s="510" t="s">
        <v>85</v>
      </c>
      <c r="H99" s="529">
        <v>58</v>
      </c>
      <c r="I99" s="529">
        <v>47</v>
      </c>
      <c r="J99" s="529">
        <v>61</v>
      </c>
      <c r="K99" s="529">
        <v>115105.36</v>
      </c>
      <c r="L99" s="529">
        <v>115105.36</v>
      </c>
      <c r="M99" s="529">
        <v>0</v>
      </c>
      <c r="N99" s="529">
        <v>43</v>
      </c>
      <c r="O99" s="529">
        <v>175396.64</v>
      </c>
      <c r="P99" s="529">
        <v>175396.64</v>
      </c>
      <c r="Q99" s="529">
        <v>0</v>
      </c>
    </row>
    <row r="100" spans="1:17" ht="15.75" customHeight="1" x14ac:dyDescent="0.2">
      <c r="A100" s="529">
        <v>92</v>
      </c>
      <c r="B100" s="529" t="s">
        <v>43</v>
      </c>
      <c r="C100" s="516" t="s">
        <v>62</v>
      </c>
      <c r="D100" s="529"/>
      <c r="E100" s="529" t="s">
        <v>72</v>
      </c>
      <c r="F100" s="529" t="s">
        <v>261</v>
      </c>
      <c r="G100" s="510" t="s">
        <v>85</v>
      </c>
      <c r="H100" s="529">
        <v>37</v>
      </c>
      <c r="I100" s="529">
        <v>26</v>
      </c>
      <c r="J100" s="529">
        <v>34</v>
      </c>
      <c r="K100" s="529">
        <v>51452.58</v>
      </c>
      <c r="L100" s="529">
        <v>51452.58</v>
      </c>
      <c r="M100" s="529">
        <v>0</v>
      </c>
      <c r="N100" s="529">
        <v>56</v>
      </c>
      <c r="O100" s="529">
        <v>239754.72</v>
      </c>
      <c r="P100" s="529">
        <v>239754.72</v>
      </c>
      <c r="Q100" s="529">
        <v>0</v>
      </c>
    </row>
    <row r="101" spans="1:17" ht="15.75" customHeight="1" x14ac:dyDescent="0.2">
      <c r="A101" s="529">
        <v>93</v>
      </c>
      <c r="B101" s="529" t="s">
        <v>44</v>
      </c>
      <c r="C101" s="516" t="s">
        <v>62</v>
      </c>
      <c r="D101" s="529"/>
      <c r="E101" s="529" t="s">
        <v>74</v>
      </c>
      <c r="F101" s="529" t="s">
        <v>262</v>
      </c>
      <c r="G101" s="510" t="s">
        <v>85</v>
      </c>
      <c r="H101" s="529">
        <v>63</v>
      </c>
      <c r="I101" s="529">
        <v>41</v>
      </c>
      <c r="J101" s="529">
        <v>47</v>
      </c>
      <c r="K101" s="529">
        <v>50166.32</v>
      </c>
      <c r="L101" s="529">
        <v>50166.32</v>
      </c>
      <c r="M101" s="529">
        <v>0</v>
      </c>
      <c r="N101" s="529">
        <v>44</v>
      </c>
      <c r="O101" s="529">
        <v>180119.04000000001</v>
      </c>
      <c r="P101" s="529">
        <v>180119.04000000001</v>
      </c>
      <c r="Q101" s="529">
        <v>0</v>
      </c>
    </row>
    <row r="102" spans="1:17" ht="15.75" customHeight="1" x14ac:dyDescent="0.2">
      <c r="A102" s="529">
        <v>94</v>
      </c>
      <c r="B102" s="529" t="s">
        <v>45</v>
      </c>
      <c r="C102" s="516" t="s">
        <v>62</v>
      </c>
      <c r="D102" s="529"/>
      <c r="E102" s="529" t="s">
        <v>79</v>
      </c>
      <c r="F102" s="529" t="s">
        <v>263</v>
      </c>
      <c r="G102" s="510" t="s">
        <v>85</v>
      </c>
      <c r="H102" s="529">
        <v>16</v>
      </c>
      <c r="I102" s="529">
        <v>13</v>
      </c>
      <c r="J102" s="529">
        <v>20</v>
      </c>
      <c r="K102" s="529">
        <v>39428.01</v>
      </c>
      <c r="L102" s="529">
        <v>39428.01</v>
      </c>
      <c r="M102" s="529">
        <v>0</v>
      </c>
      <c r="N102" s="529">
        <v>6</v>
      </c>
      <c r="O102" s="529">
        <v>57688.73</v>
      </c>
      <c r="P102" s="529">
        <v>57688.73</v>
      </c>
      <c r="Q102" s="529">
        <v>0</v>
      </c>
    </row>
    <row r="103" spans="1:17" ht="15.75" customHeight="1" x14ac:dyDescent="0.2">
      <c r="A103" s="529">
        <v>95</v>
      </c>
      <c r="B103" s="529" t="s">
        <v>264</v>
      </c>
      <c r="C103" s="516" t="s">
        <v>62</v>
      </c>
      <c r="D103" s="529"/>
      <c r="E103" s="529" t="s">
        <v>74</v>
      </c>
      <c r="F103" s="529" t="s">
        <v>265</v>
      </c>
      <c r="G103" s="510" t="s">
        <v>85</v>
      </c>
      <c r="H103" s="529">
        <v>31</v>
      </c>
      <c r="I103" s="529">
        <v>25</v>
      </c>
      <c r="J103" s="529">
        <v>30</v>
      </c>
      <c r="K103" s="529">
        <v>23611.279999999999</v>
      </c>
      <c r="L103" s="529">
        <v>23611.279999999999</v>
      </c>
      <c r="M103" s="529">
        <v>0</v>
      </c>
      <c r="N103" s="529">
        <v>0</v>
      </c>
      <c r="O103" s="529">
        <v>0</v>
      </c>
      <c r="P103" s="529">
        <v>0</v>
      </c>
      <c r="Q103" s="529">
        <v>0</v>
      </c>
    </row>
    <row r="104" spans="1:17" ht="15.75" customHeight="1" x14ac:dyDescent="0.2">
      <c r="A104" s="529">
        <v>96</v>
      </c>
      <c r="B104" s="529" t="s">
        <v>119</v>
      </c>
      <c r="C104" s="516" t="s">
        <v>62</v>
      </c>
      <c r="D104" s="529"/>
      <c r="E104" s="529" t="s">
        <v>108</v>
      </c>
      <c r="F104" s="529" t="s">
        <v>266</v>
      </c>
      <c r="G104" s="510" t="s">
        <v>85</v>
      </c>
      <c r="H104" s="529">
        <v>25</v>
      </c>
      <c r="I104" s="529">
        <v>20</v>
      </c>
      <c r="J104" s="529">
        <v>23</v>
      </c>
      <c r="K104" s="529">
        <v>25153.63</v>
      </c>
      <c r="L104" s="529">
        <v>25153.63</v>
      </c>
      <c r="M104" s="529">
        <v>0</v>
      </c>
      <c r="N104" s="529">
        <v>6</v>
      </c>
      <c r="O104" s="529">
        <v>11489.49</v>
      </c>
      <c r="P104" s="529">
        <v>11489.49</v>
      </c>
      <c r="Q104" s="529">
        <v>0</v>
      </c>
    </row>
    <row r="105" spans="1:17" ht="15.75" customHeight="1" x14ac:dyDescent="0.2">
      <c r="A105" s="529">
        <v>97</v>
      </c>
      <c r="B105" s="529" t="s">
        <v>46</v>
      </c>
      <c r="C105" s="516" t="s">
        <v>62</v>
      </c>
      <c r="D105" s="529"/>
      <c r="E105" s="529" t="s">
        <v>267</v>
      </c>
      <c r="F105" s="529" t="s">
        <v>268</v>
      </c>
      <c r="G105" s="510" t="s">
        <v>85</v>
      </c>
      <c r="H105" s="529">
        <v>31</v>
      </c>
      <c r="I105" s="529">
        <v>26</v>
      </c>
      <c r="J105" s="529">
        <v>38</v>
      </c>
      <c r="K105" s="529">
        <v>106039.72</v>
      </c>
      <c r="L105" s="529">
        <v>106039.72</v>
      </c>
      <c r="M105" s="529">
        <v>0</v>
      </c>
      <c r="N105" s="529">
        <v>29</v>
      </c>
      <c r="O105" s="529">
        <v>125896.58</v>
      </c>
      <c r="P105" s="529">
        <v>125896.58</v>
      </c>
      <c r="Q105" s="529">
        <v>0</v>
      </c>
    </row>
    <row r="106" spans="1:17" ht="15.75" customHeight="1" x14ac:dyDescent="0.2">
      <c r="A106" s="529">
        <v>98</v>
      </c>
      <c r="B106" s="529" t="s">
        <v>47</v>
      </c>
      <c r="C106" s="516" t="s">
        <v>62</v>
      </c>
      <c r="D106" s="529"/>
      <c r="E106" s="529" t="s">
        <v>80</v>
      </c>
      <c r="F106" s="529" t="s">
        <v>269</v>
      </c>
      <c r="G106" s="510" t="s">
        <v>85</v>
      </c>
      <c r="H106" s="529">
        <v>107</v>
      </c>
      <c r="I106" s="529">
        <v>88</v>
      </c>
      <c r="J106" s="529">
        <v>141</v>
      </c>
      <c r="K106" s="529">
        <v>191322.19</v>
      </c>
      <c r="L106" s="529">
        <v>191322.19</v>
      </c>
      <c r="M106" s="529">
        <v>0</v>
      </c>
      <c r="N106" s="529">
        <v>133</v>
      </c>
      <c r="O106" s="529">
        <v>524795.69999999995</v>
      </c>
      <c r="P106" s="529">
        <v>524795.69999999995</v>
      </c>
      <c r="Q106" s="529">
        <v>0</v>
      </c>
    </row>
    <row r="107" spans="1:17" ht="15.75" customHeight="1" x14ac:dyDescent="0.2">
      <c r="A107" s="529">
        <v>99</v>
      </c>
      <c r="B107" s="529" t="s">
        <v>270</v>
      </c>
      <c r="C107" s="516" t="s">
        <v>62</v>
      </c>
      <c r="D107" s="529"/>
      <c r="E107" s="529" t="s">
        <v>271</v>
      </c>
      <c r="F107" s="529" t="s">
        <v>272</v>
      </c>
      <c r="G107" s="510" t="s">
        <v>85</v>
      </c>
      <c r="H107" s="529">
        <v>19</v>
      </c>
      <c r="I107" s="529">
        <v>13</v>
      </c>
      <c r="J107" s="529">
        <v>19</v>
      </c>
      <c r="K107" s="529">
        <v>28936.48</v>
      </c>
      <c r="L107" s="529">
        <v>28936.48</v>
      </c>
      <c r="M107" s="529">
        <v>0</v>
      </c>
      <c r="N107" s="529">
        <v>0</v>
      </c>
      <c r="O107" s="529">
        <v>0</v>
      </c>
      <c r="P107" s="529">
        <v>0</v>
      </c>
      <c r="Q107" s="529">
        <v>0</v>
      </c>
    </row>
    <row r="108" spans="1:17" ht="15.75" customHeight="1" x14ac:dyDescent="0.2">
      <c r="A108" s="529">
        <v>100</v>
      </c>
      <c r="B108" s="529" t="s">
        <v>621</v>
      </c>
      <c r="C108" s="516" t="s">
        <v>62</v>
      </c>
      <c r="D108" s="529"/>
      <c r="E108" s="529" t="s">
        <v>239</v>
      </c>
      <c r="F108" s="529" t="s">
        <v>664</v>
      </c>
      <c r="G108" s="510" t="s">
        <v>85</v>
      </c>
      <c r="H108" s="529">
        <v>17</v>
      </c>
      <c r="I108" s="529">
        <v>12</v>
      </c>
      <c r="J108" s="529">
        <v>14</v>
      </c>
      <c r="K108" s="529">
        <v>15963.69</v>
      </c>
      <c r="L108" s="529">
        <v>15963.69</v>
      </c>
      <c r="M108" s="529">
        <v>0</v>
      </c>
      <c r="N108" s="529">
        <v>0</v>
      </c>
      <c r="O108" s="529">
        <v>0</v>
      </c>
      <c r="P108" s="529">
        <v>0</v>
      </c>
      <c r="Q108" s="529">
        <v>0</v>
      </c>
    </row>
    <row r="109" spans="1:17" ht="15.75" customHeight="1" x14ac:dyDescent="0.2">
      <c r="A109" s="529">
        <v>101</v>
      </c>
      <c r="B109" s="529" t="s">
        <v>723</v>
      </c>
      <c r="C109" s="516" t="s">
        <v>62</v>
      </c>
      <c r="D109" s="529"/>
      <c r="E109" s="529" t="s">
        <v>242</v>
      </c>
      <c r="F109" s="529" t="s">
        <v>775</v>
      </c>
      <c r="G109" s="510" t="s">
        <v>85</v>
      </c>
      <c r="H109" s="529">
        <v>7</v>
      </c>
      <c r="I109" s="529">
        <v>1</v>
      </c>
      <c r="J109" s="529">
        <v>1</v>
      </c>
      <c r="K109" s="529">
        <v>1472.8</v>
      </c>
      <c r="L109" s="529">
        <v>1472.8</v>
      </c>
      <c r="M109" s="529">
        <v>0</v>
      </c>
      <c r="N109" s="529">
        <v>0</v>
      </c>
      <c r="O109" s="529">
        <v>0</v>
      </c>
      <c r="P109" s="529">
        <v>0</v>
      </c>
      <c r="Q109" s="529">
        <v>0</v>
      </c>
    </row>
    <row r="110" spans="1:17" ht="15.75" customHeight="1" x14ac:dyDescent="0.2">
      <c r="A110" s="529">
        <v>102</v>
      </c>
      <c r="B110" s="529" t="s">
        <v>273</v>
      </c>
      <c r="C110" s="516" t="s">
        <v>62</v>
      </c>
      <c r="D110" s="529"/>
      <c r="E110" s="529" t="s">
        <v>186</v>
      </c>
      <c r="F110" s="529" t="s">
        <v>511</v>
      </c>
      <c r="G110" s="510" t="s">
        <v>85</v>
      </c>
      <c r="H110" s="529">
        <v>12</v>
      </c>
      <c r="I110" s="529">
        <v>0</v>
      </c>
      <c r="J110" s="529">
        <v>0</v>
      </c>
      <c r="K110" s="529">
        <v>0</v>
      </c>
      <c r="L110" s="529">
        <v>0</v>
      </c>
      <c r="M110" s="529">
        <v>0</v>
      </c>
      <c r="N110" s="529">
        <v>0</v>
      </c>
      <c r="O110" s="529">
        <v>0</v>
      </c>
      <c r="P110" s="529">
        <v>0</v>
      </c>
      <c r="Q110" s="529">
        <v>0</v>
      </c>
    </row>
    <row r="111" spans="1:17" ht="15.75" customHeight="1" x14ac:dyDescent="0.2">
      <c r="A111" s="529">
        <v>103</v>
      </c>
      <c r="B111" s="529" t="s">
        <v>490</v>
      </c>
      <c r="C111" s="516" t="s">
        <v>62</v>
      </c>
      <c r="D111" s="529"/>
      <c r="E111" s="529" t="s">
        <v>491</v>
      </c>
      <c r="F111" s="529" t="s">
        <v>492</v>
      </c>
      <c r="G111" s="510" t="s">
        <v>85</v>
      </c>
      <c r="H111" s="529">
        <v>25</v>
      </c>
      <c r="I111" s="529">
        <v>16</v>
      </c>
      <c r="J111" s="529">
        <v>18</v>
      </c>
      <c r="K111" s="529">
        <v>17009.759999999998</v>
      </c>
      <c r="L111" s="529">
        <v>17009.759999999998</v>
      </c>
      <c r="M111" s="529">
        <v>0</v>
      </c>
      <c r="N111" s="529">
        <v>0</v>
      </c>
      <c r="O111" s="529">
        <v>0</v>
      </c>
      <c r="P111" s="529">
        <v>0</v>
      </c>
      <c r="Q111" s="529">
        <v>0</v>
      </c>
    </row>
    <row r="112" spans="1:17" ht="15.75" customHeight="1" x14ac:dyDescent="0.2">
      <c r="A112" s="529">
        <v>104</v>
      </c>
      <c r="B112" s="529" t="s">
        <v>94</v>
      </c>
      <c r="C112" s="516" t="s">
        <v>62</v>
      </c>
      <c r="D112" s="529"/>
      <c r="E112" s="529" t="s">
        <v>74</v>
      </c>
      <c r="F112" s="529" t="s">
        <v>274</v>
      </c>
      <c r="G112" s="510" t="s">
        <v>85</v>
      </c>
      <c r="H112" s="529">
        <v>22</v>
      </c>
      <c r="I112" s="529">
        <v>9</v>
      </c>
      <c r="J112" s="529">
        <v>9</v>
      </c>
      <c r="K112" s="529">
        <v>17060.900000000001</v>
      </c>
      <c r="L112" s="529">
        <v>17060.900000000001</v>
      </c>
      <c r="M112" s="529">
        <v>0</v>
      </c>
      <c r="N112" s="529">
        <v>9</v>
      </c>
      <c r="O112" s="529">
        <v>17149.03</v>
      </c>
      <c r="P112" s="529">
        <v>17149.03</v>
      </c>
      <c r="Q112" s="529">
        <v>0</v>
      </c>
    </row>
    <row r="113" spans="1:17" ht="15.75" customHeight="1" x14ac:dyDescent="0.2">
      <c r="A113" s="529">
        <v>105</v>
      </c>
      <c r="B113" s="529" t="s">
        <v>120</v>
      </c>
      <c r="C113" s="516" t="s">
        <v>67</v>
      </c>
      <c r="D113" s="529" t="s">
        <v>493</v>
      </c>
      <c r="E113" s="529" t="s">
        <v>121</v>
      </c>
      <c r="F113" s="529" t="s">
        <v>468</v>
      </c>
      <c r="G113" s="510" t="s">
        <v>85</v>
      </c>
      <c r="H113" s="529">
        <v>18</v>
      </c>
      <c r="I113" s="529">
        <v>14</v>
      </c>
      <c r="J113" s="529">
        <v>17</v>
      </c>
      <c r="K113" s="529">
        <v>42706.18</v>
      </c>
      <c r="L113" s="529">
        <v>42706.18</v>
      </c>
      <c r="M113" s="529">
        <v>0</v>
      </c>
      <c r="N113" s="529">
        <v>0</v>
      </c>
      <c r="O113" s="529">
        <v>0</v>
      </c>
      <c r="P113" s="529">
        <v>0</v>
      </c>
      <c r="Q113" s="529">
        <v>0</v>
      </c>
    </row>
    <row r="114" spans="1:17" ht="15.75" customHeight="1" x14ac:dyDescent="0.2">
      <c r="A114" s="529">
        <v>106</v>
      </c>
      <c r="B114" s="529" t="s">
        <v>407</v>
      </c>
      <c r="C114" s="516" t="s">
        <v>62</v>
      </c>
      <c r="D114" s="529"/>
      <c r="E114" s="529" t="s">
        <v>186</v>
      </c>
      <c r="F114" s="529" t="s">
        <v>512</v>
      </c>
      <c r="G114" s="510" t="s">
        <v>85</v>
      </c>
      <c r="H114" s="529">
        <v>10</v>
      </c>
      <c r="I114" s="529">
        <v>5</v>
      </c>
      <c r="J114" s="529">
        <v>6</v>
      </c>
      <c r="K114" s="529">
        <v>4577.1000000000004</v>
      </c>
      <c r="L114" s="529">
        <v>4577.1000000000004</v>
      </c>
      <c r="M114" s="529">
        <v>0</v>
      </c>
      <c r="N114" s="529">
        <v>0</v>
      </c>
      <c r="O114" s="529">
        <v>0</v>
      </c>
      <c r="P114" s="529">
        <v>0</v>
      </c>
      <c r="Q114" s="529">
        <v>0</v>
      </c>
    </row>
    <row r="115" spans="1:17" ht="15.75" customHeight="1" x14ac:dyDescent="0.2">
      <c r="A115" s="529">
        <v>107</v>
      </c>
      <c r="B115" s="529" t="s">
        <v>754</v>
      </c>
      <c r="C115" s="516" t="s">
        <v>62</v>
      </c>
      <c r="D115" s="529"/>
      <c r="E115" s="529" t="s">
        <v>121</v>
      </c>
      <c r="F115" s="529" t="s">
        <v>755</v>
      </c>
      <c r="G115" s="510" t="s">
        <v>85</v>
      </c>
      <c r="H115" s="529">
        <v>3</v>
      </c>
      <c r="I115" s="529">
        <v>0</v>
      </c>
      <c r="J115" s="529">
        <v>0</v>
      </c>
      <c r="K115" s="529">
        <v>0</v>
      </c>
      <c r="L115" s="529">
        <v>0</v>
      </c>
      <c r="M115" s="529">
        <v>0</v>
      </c>
      <c r="N115" s="529">
        <v>0</v>
      </c>
      <c r="O115" s="529">
        <v>0</v>
      </c>
      <c r="P115" s="529">
        <v>0</v>
      </c>
      <c r="Q115" s="529">
        <v>0</v>
      </c>
    </row>
    <row r="116" spans="1:17" ht="15.75" customHeight="1" x14ac:dyDescent="0.2">
      <c r="A116" s="529">
        <v>108</v>
      </c>
      <c r="B116" s="529" t="s">
        <v>122</v>
      </c>
      <c r="C116" s="516" t="s">
        <v>62</v>
      </c>
      <c r="D116" s="529"/>
      <c r="E116" s="529" t="s">
        <v>275</v>
      </c>
      <c r="F116" s="529" t="s">
        <v>276</v>
      </c>
      <c r="G116" s="510" t="s">
        <v>85</v>
      </c>
      <c r="H116" s="529">
        <v>18</v>
      </c>
      <c r="I116" s="529">
        <v>15</v>
      </c>
      <c r="J116" s="529">
        <v>23</v>
      </c>
      <c r="K116" s="529">
        <v>31387.33</v>
      </c>
      <c r="L116" s="529">
        <v>31387.33</v>
      </c>
      <c r="M116" s="529">
        <v>0</v>
      </c>
      <c r="N116" s="529">
        <v>5</v>
      </c>
      <c r="O116" s="529">
        <v>9159.1299999999992</v>
      </c>
      <c r="P116" s="529">
        <v>9159.1299999999992</v>
      </c>
      <c r="Q116" s="529">
        <v>0</v>
      </c>
    </row>
    <row r="117" spans="1:17" ht="15.75" customHeight="1" x14ac:dyDescent="0.2">
      <c r="A117" s="529">
        <v>109</v>
      </c>
      <c r="B117" s="529" t="s">
        <v>133</v>
      </c>
      <c r="C117" s="516" t="s">
        <v>67</v>
      </c>
      <c r="D117" s="529" t="s">
        <v>494</v>
      </c>
      <c r="E117" s="529" t="s">
        <v>74</v>
      </c>
      <c r="F117" s="529" t="s">
        <v>577</v>
      </c>
      <c r="G117" s="510" t="s">
        <v>85</v>
      </c>
      <c r="H117" s="529">
        <v>14</v>
      </c>
      <c r="I117" s="529">
        <v>10</v>
      </c>
      <c r="J117" s="529">
        <v>15</v>
      </c>
      <c r="K117" s="529">
        <v>40430.35</v>
      </c>
      <c r="L117" s="529">
        <v>40430.35</v>
      </c>
      <c r="M117" s="529">
        <v>0</v>
      </c>
      <c r="N117" s="529">
        <v>0</v>
      </c>
      <c r="O117" s="529">
        <v>0</v>
      </c>
      <c r="P117" s="529">
        <v>0</v>
      </c>
      <c r="Q117" s="529">
        <v>0</v>
      </c>
    </row>
    <row r="118" spans="1:17" ht="15.75" customHeight="1" x14ac:dyDescent="0.2">
      <c r="A118" s="529">
        <v>110</v>
      </c>
      <c r="B118" s="529" t="s">
        <v>96</v>
      </c>
      <c r="C118" s="516" t="s">
        <v>62</v>
      </c>
      <c r="D118" s="529"/>
      <c r="E118" s="529" t="s">
        <v>98</v>
      </c>
      <c r="F118" s="529" t="s">
        <v>277</v>
      </c>
      <c r="G118" s="510" t="s">
        <v>85</v>
      </c>
      <c r="H118" s="529">
        <v>53</v>
      </c>
      <c r="I118" s="529">
        <v>24</v>
      </c>
      <c r="J118" s="529">
        <v>30</v>
      </c>
      <c r="K118" s="529">
        <v>39127.5</v>
      </c>
      <c r="L118" s="529">
        <v>39127.5</v>
      </c>
      <c r="M118" s="529">
        <v>0</v>
      </c>
      <c r="N118" s="529">
        <v>16</v>
      </c>
      <c r="O118" s="529">
        <v>53644.61</v>
      </c>
      <c r="P118" s="529">
        <v>53644.61</v>
      </c>
      <c r="Q118" s="529">
        <v>0</v>
      </c>
    </row>
    <row r="119" spans="1:17" ht="15.75" customHeight="1" x14ac:dyDescent="0.2">
      <c r="A119" s="529">
        <v>111</v>
      </c>
      <c r="B119" s="529" t="s">
        <v>48</v>
      </c>
      <c r="C119" s="516" t="s">
        <v>62</v>
      </c>
      <c r="D119" s="529"/>
      <c r="E119" s="529" t="s">
        <v>81</v>
      </c>
      <c r="F119" s="529" t="s">
        <v>278</v>
      </c>
      <c r="G119" s="510" t="s">
        <v>85</v>
      </c>
      <c r="H119" s="529">
        <v>65</v>
      </c>
      <c r="I119" s="529">
        <v>49</v>
      </c>
      <c r="J119" s="529">
        <v>80</v>
      </c>
      <c r="K119" s="529">
        <v>103286.59</v>
      </c>
      <c r="L119" s="529">
        <v>103286.59</v>
      </c>
      <c r="M119" s="529">
        <v>0</v>
      </c>
      <c r="N119" s="529">
        <v>21</v>
      </c>
      <c r="O119" s="529">
        <v>93057.67</v>
      </c>
      <c r="P119" s="529">
        <v>93057.67</v>
      </c>
      <c r="Q119" s="529">
        <v>0</v>
      </c>
    </row>
    <row r="120" spans="1:17" ht="15.75" customHeight="1" x14ac:dyDescent="0.2">
      <c r="A120" s="529">
        <v>112</v>
      </c>
      <c r="B120" s="529" t="s">
        <v>49</v>
      </c>
      <c r="C120" s="516" t="s">
        <v>62</v>
      </c>
      <c r="D120" s="529"/>
      <c r="E120" s="529" t="s">
        <v>74</v>
      </c>
      <c r="F120" s="529" t="s">
        <v>279</v>
      </c>
      <c r="G120" s="510" t="s">
        <v>85</v>
      </c>
      <c r="H120" s="529">
        <v>31</v>
      </c>
      <c r="I120" s="529">
        <v>27</v>
      </c>
      <c r="J120" s="529">
        <v>33</v>
      </c>
      <c r="K120" s="529">
        <v>49531.64</v>
      </c>
      <c r="L120" s="529">
        <v>49531.64</v>
      </c>
      <c r="M120" s="529">
        <v>0</v>
      </c>
      <c r="N120" s="529">
        <v>7</v>
      </c>
      <c r="O120" s="529">
        <v>42853.62</v>
      </c>
      <c r="P120" s="529">
        <v>42853.62</v>
      </c>
      <c r="Q120" s="529">
        <v>0</v>
      </c>
    </row>
    <row r="121" spans="1:17" ht="15.75" customHeight="1" x14ac:dyDescent="0.2">
      <c r="A121" s="529">
        <v>113</v>
      </c>
      <c r="B121" s="529" t="s">
        <v>50</v>
      </c>
      <c r="C121" s="516" t="s">
        <v>67</v>
      </c>
      <c r="D121" s="529" t="s">
        <v>123</v>
      </c>
      <c r="E121" s="529" t="s">
        <v>82</v>
      </c>
      <c r="F121" s="529" t="s">
        <v>280</v>
      </c>
      <c r="G121" s="510" t="s">
        <v>85</v>
      </c>
      <c r="H121" s="529">
        <v>8</v>
      </c>
      <c r="I121" s="529">
        <v>5</v>
      </c>
      <c r="J121" s="529">
        <v>5</v>
      </c>
      <c r="K121" s="529">
        <v>12811.52</v>
      </c>
      <c r="L121" s="529">
        <v>12811.52</v>
      </c>
      <c r="M121" s="529">
        <v>0</v>
      </c>
      <c r="N121" s="529">
        <v>5</v>
      </c>
      <c r="O121" s="529">
        <v>21689.57</v>
      </c>
      <c r="P121" s="529">
        <v>21689.57</v>
      </c>
      <c r="Q121" s="529">
        <v>0</v>
      </c>
    </row>
    <row r="122" spans="1:17" ht="15.75" customHeight="1" x14ac:dyDescent="0.2">
      <c r="A122" s="529">
        <v>114</v>
      </c>
      <c r="B122" s="529" t="s">
        <v>281</v>
      </c>
      <c r="C122" s="516" t="s">
        <v>62</v>
      </c>
      <c r="D122" s="529"/>
      <c r="E122" s="529" t="s">
        <v>282</v>
      </c>
      <c r="F122" s="529" t="s">
        <v>283</v>
      </c>
      <c r="G122" s="510" t="s">
        <v>85</v>
      </c>
      <c r="H122" s="529">
        <v>28</v>
      </c>
      <c r="I122" s="529">
        <v>5</v>
      </c>
      <c r="J122" s="529">
        <v>5</v>
      </c>
      <c r="K122" s="529">
        <v>2685.29</v>
      </c>
      <c r="L122" s="529">
        <v>2685.29</v>
      </c>
      <c r="M122" s="529">
        <v>0</v>
      </c>
      <c r="N122" s="529">
        <v>0</v>
      </c>
      <c r="O122" s="529">
        <v>0</v>
      </c>
      <c r="P122" s="529">
        <v>0</v>
      </c>
      <c r="Q122" s="529">
        <v>0</v>
      </c>
    </row>
    <row r="123" spans="1:17" ht="15.75" customHeight="1" x14ac:dyDescent="0.2">
      <c r="A123" s="529">
        <v>115</v>
      </c>
      <c r="B123" s="529" t="s">
        <v>124</v>
      </c>
      <c r="C123" s="516" t="s">
        <v>62</v>
      </c>
      <c r="D123" s="529"/>
      <c r="E123" s="529"/>
      <c r="F123" s="529" t="s">
        <v>284</v>
      </c>
      <c r="G123" s="510" t="s">
        <v>85</v>
      </c>
      <c r="H123" s="529">
        <v>41</v>
      </c>
      <c r="I123" s="529">
        <v>37</v>
      </c>
      <c r="J123" s="529">
        <v>50</v>
      </c>
      <c r="K123" s="529">
        <v>62919.11</v>
      </c>
      <c r="L123" s="529">
        <v>62919.11</v>
      </c>
      <c r="M123" s="529">
        <v>0</v>
      </c>
      <c r="N123" s="529">
        <v>17</v>
      </c>
      <c r="O123" s="529">
        <v>29644.48</v>
      </c>
      <c r="P123" s="529">
        <v>29644.48</v>
      </c>
      <c r="Q123" s="529">
        <v>0</v>
      </c>
    </row>
    <row r="124" spans="1:17" ht="15.75" customHeight="1" x14ac:dyDescent="0.2">
      <c r="A124" s="529">
        <v>116</v>
      </c>
      <c r="B124" s="529" t="s">
        <v>51</v>
      </c>
      <c r="C124" s="516" t="s">
        <v>62</v>
      </c>
      <c r="D124" s="529"/>
      <c r="E124" s="529" t="s">
        <v>74</v>
      </c>
      <c r="F124" s="529" t="s">
        <v>285</v>
      </c>
      <c r="G124" s="510" t="s">
        <v>85</v>
      </c>
      <c r="H124" s="529">
        <v>29</v>
      </c>
      <c r="I124" s="529">
        <v>24</v>
      </c>
      <c r="J124" s="529">
        <v>24</v>
      </c>
      <c r="K124" s="529">
        <v>14895.17</v>
      </c>
      <c r="L124" s="529">
        <v>14895.17</v>
      </c>
      <c r="M124" s="529">
        <v>0</v>
      </c>
      <c r="N124" s="529">
        <v>10</v>
      </c>
      <c r="O124" s="529">
        <v>1797.24</v>
      </c>
      <c r="P124" s="529">
        <v>1797.24</v>
      </c>
      <c r="Q124" s="529">
        <v>0</v>
      </c>
    </row>
    <row r="125" spans="1:17" ht="15.75" customHeight="1" x14ac:dyDescent="0.2">
      <c r="A125" s="529">
        <v>117</v>
      </c>
      <c r="B125" s="529" t="s">
        <v>756</v>
      </c>
      <c r="C125" s="516" t="s">
        <v>62</v>
      </c>
      <c r="D125" s="529"/>
      <c r="E125" s="529" t="s">
        <v>74</v>
      </c>
      <c r="F125" s="529" t="s">
        <v>666</v>
      </c>
      <c r="G125" s="510" t="s">
        <v>85</v>
      </c>
      <c r="H125" s="529">
        <v>0</v>
      </c>
      <c r="I125" s="529">
        <v>0</v>
      </c>
      <c r="J125" s="529">
        <v>0</v>
      </c>
      <c r="K125" s="529">
        <v>0</v>
      </c>
      <c r="L125" s="529">
        <v>0</v>
      </c>
      <c r="M125" s="529">
        <v>0</v>
      </c>
      <c r="N125" s="529">
        <v>1</v>
      </c>
      <c r="O125" s="529">
        <v>1516.12</v>
      </c>
      <c r="P125" s="529">
        <v>1516.12</v>
      </c>
      <c r="Q125" s="529">
        <v>0</v>
      </c>
    </row>
    <row r="126" spans="1:17" ht="15.75" customHeight="1" x14ac:dyDescent="0.2">
      <c r="A126" s="529">
        <v>118</v>
      </c>
      <c r="B126" s="529" t="s">
        <v>286</v>
      </c>
      <c r="C126" s="516" t="s">
        <v>62</v>
      </c>
      <c r="D126" s="529"/>
      <c r="E126" s="529" t="s">
        <v>174</v>
      </c>
      <c r="F126" s="529" t="s">
        <v>287</v>
      </c>
      <c r="G126" s="510" t="s">
        <v>85</v>
      </c>
      <c r="H126" s="529">
        <v>26</v>
      </c>
      <c r="I126" s="529">
        <v>18</v>
      </c>
      <c r="J126" s="529">
        <v>22</v>
      </c>
      <c r="K126" s="529">
        <v>23132.1</v>
      </c>
      <c r="L126" s="529">
        <v>23132.1</v>
      </c>
      <c r="M126" s="529">
        <v>0</v>
      </c>
      <c r="N126" s="529">
        <v>0</v>
      </c>
      <c r="O126" s="529">
        <v>0</v>
      </c>
      <c r="P126" s="529">
        <v>0</v>
      </c>
      <c r="Q126" s="529">
        <v>0</v>
      </c>
    </row>
    <row r="127" spans="1:17" ht="15.75" customHeight="1" x14ac:dyDescent="0.2">
      <c r="A127" s="529">
        <v>119</v>
      </c>
      <c r="B127" s="529" t="s">
        <v>469</v>
      </c>
      <c r="C127" s="516" t="s">
        <v>62</v>
      </c>
      <c r="D127" s="529"/>
      <c r="E127" s="529" t="s">
        <v>74</v>
      </c>
      <c r="F127" s="529" t="s">
        <v>470</v>
      </c>
      <c r="G127" s="510" t="s">
        <v>85</v>
      </c>
      <c r="H127" s="529">
        <v>2</v>
      </c>
      <c r="I127" s="529">
        <v>1</v>
      </c>
      <c r="J127" s="529">
        <v>1</v>
      </c>
      <c r="K127" s="529">
        <v>13215</v>
      </c>
      <c r="L127" s="529">
        <v>13215</v>
      </c>
      <c r="M127" s="529">
        <v>0</v>
      </c>
      <c r="N127" s="529">
        <v>0</v>
      </c>
      <c r="O127" s="529">
        <v>0</v>
      </c>
      <c r="P127" s="529">
        <v>0</v>
      </c>
      <c r="Q127" s="529">
        <v>0</v>
      </c>
    </row>
    <row r="128" spans="1:17" ht="15.75" customHeight="1" x14ac:dyDescent="0.2">
      <c r="A128" s="529">
        <v>120</v>
      </c>
      <c r="B128" s="529" t="s">
        <v>151</v>
      </c>
      <c r="C128" s="516" t="s">
        <v>62</v>
      </c>
      <c r="D128" s="529"/>
      <c r="E128" s="529" t="s">
        <v>74</v>
      </c>
      <c r="F128" s="529" t="s">
        <v>288</v>
      </c>
      <c r="G128" s="510" t="s">
        <v>85</v>
      </c>
      <c r="H128" s="529">
        <v>10</v>
      </c>
      <c r="I128" s="529">
        <v>8</v>
      </c>
      <c r="J128" s="529">
        <v>10</v>
      </c>
      <c r="K128" s="529">
        <v>15560.06</v>
      </c>
      <c r="L128" s="529">
        <v>15560.06</v>
      </c>
      <c r="M128" s="529">
        <v>0</v>
      </c>
      <c r="N128" s="529">
        <v>7</v>
      </c>
      <c r="O128" s="529">
        <v>14253.5</v>
      </c>
      <c r="P128" s="529">
        <v>14253.5</v>
      </c>
      <c r="Q128" s="529">
        <v>0</v>
      </c>
    </row>
    <row r="129" spans="1:17" ht="15.75" customHeight="1" x14ac:dyDescent="0.2">
      <c r="A129" s="529">
        <v>121</v>
      </c>
      <c r="B129" s="529" t="s">
        <v>155</v>
      </c>
      <c r="C129" s="516" t="s">
        <v>62</v>
      </c>
      <c r="D129" s="529"/>
      <c r="E129" s="529" t="s">
        <v>74</v>
      </c>
      <c r="F129" s="529" t="s">
        <v>289</v>
      </c>
      <c r="G129" s="510" t="s">
        <v>85</v>
      </c>
      <c r="H129" s="529">
        <v>18</v>
      </c>
      <c r="I129" s="529">
        <v>12</v>
      </c>
      <c r="J129" s="529">
        <v>18</v>
      </c>
      <c r="K129" s="529">
        <v>41908.03</v>
      </c>
      <c r="L129" s="529">
        <v>41908.03</v>
      </c>
      <c r="M129" s="529">
        <v>0</v>
      </c>
      <c r="N129" s="529">
        <v>4</v>
      </c>
      <c r="O129" s="529">
        <v>36500.199999999997</v>
      </c>
      <c r="P129" s="529">
        <v>36500.199999999997</v>
      </c>
      <c r="Q129" s="529">
        <v>0</v>
      </c>
    </row>
    <row r="130" spans="1:17" ht="15.75" customHeight="1" x14ac:dyDescent="0.2">
      <c r="A130" s="529">
        <v>122</v>
      </c>
      <c r="B130" s="529" t="s">
        <v>290</v>
      </c>
      <c r="C130" s="516" t="s">
        <v>62</v>
      </c>
      <c r="D130" s="529"/>
      <c r="E130" s="529" t="s">
        <v>291</v>
      </c>
      <c r="F130" s="529" t="s">
        <v>292</v>
      </c>
      <c r="G130" s="510" t="s">
        <v>85</v>
      </c>
      <c r="H130" s="529">
        <v>45</v>
      </c>
      <c r="I130" s="529">
        <v>32</v>
      </c>
      <c r="J130" s="529">
        <v>45</v>
      </c>
      <c r="K130" s="529">
        <v>59201.21</v>
      </c>
      <c r="L130" s="529">
        <v>59201.21</v>
      </c>
      <c r="M130" s="529">
        <v>0</v>
      </c>
      <c r="N130" s="529">
        <v>0</v>
      </c>
      <c r="O130" s="529">
        <v>0</v>
      </c>
      <c r="P130" s="529">
        <v>0</v>
      </c>
      <c r="Q130" s="529">
        <v>0</v>
      </c>
    </row>
    <row r="131" spans="1:17" ht="15.75" customHeight="1" x14ac:dyDescent="0.2">
      <c r="A131" s="529">
        <v>123</v>
      </c>
      <c r="B131" s="529" t="s">
        <v>495</v>
      </c>
      <c r="C131" s="516" t="s">
        <v>62</v>
      </c>
      <c r="D131" s="529"/>
      <c r="E131" s="529" t="s">
        <v>313</v>
      </c>
      <c r="F131" s="529" t="s">
        <v>496</v>
      </c>
      <c r="G131" s="510" t="s">
        <v>85</v>
      </c>
      <c r="H131" s="529">
        <v>33</v>
      </c>
      <c r="I131" s="529">
        <v>7</v>
      </c>
      <c r="J131" s="529">
        <v>7</v>
      </c>
      <c r="K131" s="529">
        <v>9234.7099999999991</v>
      </c>
      <c r="L131" s="529">
        <v>9234.7099999999991</v>
      </c>
      <c r="M131" s="529">
        <v>0</v>
      </c>
      <c r="N131" s="529">
        <v>0</v>
      </c>
      <c r="O131" s="529">
        <v>0</v>
      </c>
      <c r="P131" s="529">
        <v>0</v>
      </c>
      <c r="Q131" s="529">
        <v>0</v>
      </c>
    </row>
    <row r="132" spans="1:17" ht="15.75" customHeight="1" x14ac:dyDescent="0.2">
      <c r="A132" s="529">
        <v>124</v>
      </c>
      <c r="B132" s="529" t="s">
        <v>134</v>
      </c>
      <c r="C132" s="516" t="s">
        <v>62</v>
      </c>
      <c r="D132" s="529"/>
      <c r="E132" s="529" t="s">
        <v>74</v>
      </c>
      <c r="F132" s="529" t="s">
        <v>293</v>
      </c>
      <c r="G132" s="510" t="s">
        <v>85</v>
      </c>
      <c r="H132" s="529">
        <v>12</v>
      </c>
      <c r="I132" s="529">
        <v>6</v>
      </c>
      <c r="J132" s="529">
        <v>7</v>
      </c>
      <c r="K132" s="529">
        <v>12344.56</v>
      </c>
      <c r="L132" s="529">
        <v>12344.56</v>
      </c>
      <c r="M132" s="529">
        <v>0</v>
      </c>
      <c r="N132" s="529">
        <v>2</v>
      </c>
      <c r="O132" s="529">
        <v>17668.04</v>
      </c>
      <c r="P132" s="529">
        <v>17668.04</v>
      </c>
      <c r="Q132" s="529">
        <v>0</v>
      </c>
    </row>
    <row r="133" spans="1:17" ht="15.75" customHeight="1" x14ac:dyDescent="0.2">
      <c r="A133" s="529">
        <v>125</v>
      </c>
      <c r="B133" s="529" t="s">
        <v>127</v>
      </c>
      <c r="C133" s="516" t="s">
        <v>62</v>
      </c>
      <c r="D133" s="529"/>
      <c r="E133" s="529" t="s">
        <v>74</v>
      </c>
      <c r="F133" s="529" t="s">
        <v>294</v>
      </c>
      <c r="G133" s="510" t="s">
        <v>85</v>
      </c>
      <c r="H133" s="529">
        <v>10</v>
      </c>
      <c r="I133" s="529">
        <v>8</v>
      </c>
      <c r="J133" s="529">
        <v>9</v>
      </c>
      <c r="K133" s="529">
        <v>7907.84</v>
      </c>
      <c r="L133" s="529">
        <v>7907.84</v>
      </c>
      <c r="M133" s="529">
        <v>0</v>
      </c>
      <c r="N133" s="529">
        <v>2</v>
      </c>
      <c r="O133" s="529">
        <v>3267.6</v>
      </c>
      <c r="P133" s="529">
        <v>3267.6</v>
      </c>
      <c r="Q133" s="529">
        <v>0</v>
      </c>
    </row>
    <row r="134" spans="1:17" ht="15.75" customHeight="1" x14ac:dyDescent="0.2">
      <c r="A134" s="529">
        <v>126</v>
      </c>
      <c r="B134" s="529" t="s">
        <v>55</v>
      </c>
      <c r="C134" s="516" t="s">
        <v>64</v>
      </c>
      <c r="D134" s="529" t="s">
        <v>66</v>
      </c>
      <c r="E134" s="529" t="s">
        <v>80</v>
      </c>
      <c r="F134" s="529" t="s">
        <v>295</v>
      </c>
      <c r="G134" s="510" t="s">
        <v>85</v>
      </c>
      <c r="H134" s="529">
        <v>12</v>
      </c>
      <c r="I134" s="529">
        <v>10</v>
      </c>
      <c r="J134" s="529">
        <v>11</v>
      </c>
      <c r="K134" s="529">
        <v>8890.59</v>
      </c>
      <c r="L134" s="529">
        <v>8890.59</v>
      </c>
      <c r="M134" s="529">
        <v>0</v>
      </c>
      <c r="N134" s="529">
        <v>4</v>
      </c>
      <c r="O134" s="529">
        <v>33552.15</v>
      </c>
      <c r="P134" s="529">
        <v>33552.15</v>
      </c>
      <c r="Q134" s="529">
        <v>0</v>
      </c>
    </row>
    <row r="135" spans="1:17" ht="15.75" customHeight="1" x14ac:dyDescent="0.2">
      <c r="A135" s="529">
        <v>127</v>
      </c>
      <c r="B135" s="529" t="s">
        <v>135</v>
      </c>
      <c r="C135" s="516" t="s">
        <v>62</v>
      </c>
      <c r="D135" s="529"/>
      <c r="E135" s="529"/>
      <c r="F135" s="529" t="s">
        <v>296</v>
      </c>
      <c r="G135" s="510" t="s">
        <v>85</v>
      </c>
      <c r="H135" s="529">
        <v>8</v>
      </c>
      <c r="I135" s="529">
        <v>3</v>
      </c>
      <c r="J135" s="529">
        <v>3</v>
      </c>
      <c r="K135" s="529">
        <v>2353.37</v>
      </c>
      <c r="L135" s="529">
        <v>2353.37</v>
      </c>
      <c r="M135" s="529">
        <v>0</v>
      </c>
      <c r="N135" s="529">
        <v>10</v>
      </c>
      <c r="O135" s="529">
        <v>22072.03</v>
      </c>
      <c r="P135" s="529">
        <v>22072.03</v>
      </c>
      <c r="Q135" s="529">
        <v>0</v>
      </c>
    </row>
    <row r="136" spans="1:17" ht="15.75" customHeight="1" x14ac:dyDescent="0.2">
      <c r="A136" s="529">
        <v>128</v>
      </c>
      <c r="B136" s="529" t="s">
        <v>128</v>
      </c>
      <c r="C136" s="516" t="s">
        <v>62</v>
      </c>
      <c r="D136" s="529"/>
      <c r="E136" s="529" t="s">
        <v>74</v>
      </c>
      <c r="F136" s="529" t="s">
        <v>297</v>
      </c>
      <c r="G136" s="510" t="s">
        <v>85</v>
      </c>
      <c r="H136" s="529">
        <v>2</v>
      </c>
      <c r="I136" s="529">
        <v>2</v>
      </c>
      <c r="J136" s="529">
        <v>2</v>
      </c>
      <c r="K136" s="529">
        <v>1303.8499999999999</v>
      </c>
      <c r="L136" s="529">
        <v>1303.8499999999999</v>
      </c>
      <c r="M136" s="529">
        <v>0</v>
      </c>
      <c r="N136" s="529">
        <v>1</v>
      </c>
      <c r="O136" s="529">
        <v>264.3</v>
      </c>
      <c r="P136" s="529">
        <v>264.3</v>
      </c>
      <c r="Q136" s="529">
        <v>0</v>
      </c>
    </row>
    <row r="137" spans="1:17" ht="15.75" customHeight="1" x14ac:dyDescent="0.2">
      <c r="A137" s="529">
        <v>129</v>
      </c>
      <c r="B137" s="529" t="s">
        <v>508</v>
      </c>
      <c r="C137" s="516" t="s">
        <v>64</v>
      </c>
      <c r="D137" s="529" t="s">
        <v>551</v>
      </c>
      <c r="E137" s="529" t="s">
        <v>313</v>
      </c>
      <c r="F137" s="529" t="s">
        <v>552</v>
      </c>
      <c r="G137" s="510" t="s">
        <v>85</v>
      </c>
      <c r="H137" s="529">
        <v>34</v>
      </c>
      <c r="I137" s="529">
        <v>30</v>
      </c>
      <c r="J137" s="529">
        <v>33</v>
      </c>
      <c r="K137" s="529">
        <v>26757.66</v>
      </c>
      <c r="L137" s="529">
        <v>26757.66</v>
      </c>
      <c r="M137" s="529">
        <v>0</v>
      </c>
      <c r="N137" s="529">
        <v>0</v>
      </c>
      <c r="O137" s="529">
        <v>0</v>
      </c>
      <c r="P137" s="529">
        <v>0</v>
      </c>
      <c r="Q137" s="529">
        <v>0</v>
      </c>
    </row>
    <row r="138" spans="1:17" ht="15.75" customHeight="1" x14ac:dyDescent="0.2">
      <c r="A138" s="529">
        <v>130</v>
      </c>
      <c r="B138" s="529" t="s">
        <v>497</v>
      </c>
      <c r="C138" s="516" t="s">
        <v>62</v>
      </c>
      <c r="D138" s="529"/>
      <c r="E138" s="529" t="s">
        <v>313</v>
      </c>
      <c r="F138" s="529" t="s">
        <v>498</v>
      </c>
      <c r="G138" s="510" t="s">
        <v>85</v>
      </c>
      <c r="H138" s="529">
        <v>81</v>
      </c>
      <c r="I138" s="529">
        <v>54</v>
      </c>
      <c r="J138" s="529">
        <v>57</v>
      </c>
      <c r="K138" s="529">
        <v>52614.41</v>
      </c>
      <c r="L138" s="529">
        <v>52614.41</v>
      </c>
      <c r="M138" s="529">
        <v>0</v>
      </c>
      <c r="N138" s="529">
        <v>0</v>
      </c>
      <c r="O138" s="529">
        <v>0</v>
      </c>
      <c r="P138" s="529">
        <v>0</v>
      </c>
      <c r="Q138" s="529">
        <v>0</v>
      </c>
    </row>
    <row r="139" spans="1:17" ht="15.75" customHeight="1" x14ac:dyDescent="0.2">
      <c r="A139" s="529">
        <v>131</v>
      </c>
      <c r="B139" s="529" t="s">
        <v>646</v>
      </c>
      <c r="C139" s="516" t="s">
        <v>62</v>
      </c>
      <c r="D139" s="529"/>
      <c r="E139" s="529" t="s">
        <v>74</v>
      </c>
      <c r="F139" s="529" t="s">
        <v>647</v>
      </c>
      <c r="G139" s="510" t="s">
        <v>85</v>
      </c>
      <c r="H139" s="529">
        <v>4</v>
      </c>
      <c r="I139" s="529">
        <v>2</v>
      </c>
      <c r="J139" s="529">
        <v>2</v>
      </c>
      <c r="K139" s="529">
        <v>0</v>
      </c>
      <c r="L139" s="529">
        <v>0</v>
      </c>
      <c r="M139" s="529">
        <v>0</v>
      </c>
      <c r="N139" s="529">
        <v>0</v>
      </c>
      <c r="O139" s="529">
        <v>0</v>
      </c>
      <c r="P139" s="529">
        <v>0</v>
      </c>
      <c r="Q139" s="529">
        <v>0</v>
      </c>
    </row>
    <row r="140" spans="1:17" ht="15.75" customHeight="1" x14ac:dyDescent="0.2">
      <c r="A140" s="529">
        <v>132</v>
      </c>
      <c r="B140" s="529" t="s">
        <v>56</v>
      </c>
      <c r="C140" s="516" t="s">
        <v>62</v>
      </c>
      <c r="D140" s="529"/>
      <c r="E140" s="529" t="s">
        <v>83</v>
      </c>
      <c r="F140" s="529" t="s">
        <v>298</v>
      </c>
      <c r="G140" s="510" t="s">
        <v>85</v>
      </c>
      <c r="H140" s="529">
        <v>116</v>
      </c>
      <c r="I140" s="529">
        <v>103</v>
      </c>
      <c r="J140" s="529">
        <v>157</v>
      </c>
      <c r="K140" s="529">
        <v>175299.17</v>
      </c>
      <c r="L140" s="529">
        <v>175299.17</v>
      </c>
      <c r="M140" s="529">
        <v>0</v>
      </c>
      <c r="N140" s="529">
        <v>35</v>
      </c>
      <c r="O140" s="529">
        <v>98930.08</v>
      </c>
      <c r="P140" s="529">
        <v>98930.08</v>
      </c>
      <c r="Q140" s="529">
        <v>0</v>
      </c>
    </row>
    <row r="141" spans="1:17" ht="15.75" customHeight="1" x14ac:dyDescent="0.2">
      <c r="A141" s="529">
        <v>133</v>
      </c>
      <c r="B141" s="529" t="s">
        <v>638</v>
      </c>
      <c r="C141" s="516" t="s">
        <v>67</v>
      </c>
      <c r="D141" s="529" t="s">
        <v>639</v>
      </c>
      <c r="E141" s="529" t="s">
        <v>640</v>
      </c>
      <c r="F141" s="529" t="s">
        <v>641</v>
      </c>
      <c r="G141" s="510" t="s">
        <v>85</v>
      </c>
      <c r="H141" s="529">
        <v>15</v>
      </c>
      <c r="I141" s="529">
        <v>5</v>
      </c>
      <c r="J141" s="529">
        <v>5</v>
      </c>
      <c r="K141" s="529">
        <v>0</v>
      </c>
      <c r="L141" s="529">
        <v>0</v>
      </c>
      <c r="M141" s="529">
        <v>0</v>
      </c>
      <c r="N141" s="529">
        <v>0</v>
      </c>
      <c r="O141" s="529">
        <v>0</v>
      </c>
      <c r="P141" s="529">
        <v>0</v>
      </c>
      <c r="Q141" s="529">
        <v>0</v>
      </c>
    </row>
    <row r="142" spans="1:17" ht="15.75" customHeight="1" x14ac:dyDescent="0.2">
      <c r="A142" s="529">
        <v>134</v>
      </c>
      <c r="B142" s="529" t="s">
        <v>299</v>
      </c>
      <c r="C142" s="516" t="s">
        <v>62</v>
      </c>
      <c r="D142" s="529"/>
      <c r="E142" s="529" t="s">
        <v>174</v>
      </c>
      <c r="F142" s="529" t="s">
        <v>300</v>
      </c>
      <c r="G142" s="510" t="s">
        <v>85</v>
      </c>
      <c r="H142" s="529">
        <v>29</v>
      </c>
      <c r="I142" s="529">
        <v>23</v>
      </c>
      <c r="J142" s="529">
        <v>28</v>
      </c>
      <c r="K142" s="529">
        <v>35955.800000000003</v>
      </c>
      <c r="L142" s="529">
        <v>35955.800000000003</v>
      </c>
      <c r="M142" s="529">
        <v>0</v>
      </c>
      <c r="N142" s="529">
        <v>0</v>
      </c>
      <c r="O142" s="529">
        <v>0</v>
      </c>
      <c r="P142" s="529">
        <v>0</v>
      </c>
      <c r="Q142" s="529">
        <v>0</v>
      </c>
    </row>
    <row r="143" spans="1:17" ht="15.75" customHeight="1" x14ac:dyDescent="0.2">
      <c r="A143" s="529">
        <v>135</v>
      </c>
      <c r="B143" s="529" t="s">
        <v>156</v>
      </c>
      <c r="C143" s="516" t="s">
        <v>67</v>
      </c>
      <c r="D143" s="529" t="s">
        <v>499</v>
      </c>
      <c r="E143" s="529" t="s">
        <v>74</v>
      </c>
      <c r="F143" s="529" t="s">
        <v>301</v>
      </c>
      <c r="G143" s="510" t="s">
        <v>85</v>
      </c>
      <c r="H143" s="529">
        <v>47</v>
      </c>
      <c r="I143" s="529">
        <v>37</v>
      </c>
      <c r="J143" s="529">
        <v>47</v>
      </c>
      <c r="K143" s="529">
        <v>54346.35</v>
      </c>
      <c r="L143" s="529">
        <v>54346.35</v>
      </c>
      <c r="M143" s="529">
        <v>0</v>
      </c>
      <c r="N143" s="529">
        <v>41</v>
      </c>
      <c r="O143" s="529">
        <v>69681.38</v>
      </c>
      <c r="P143" s="529">
        <v>69681.38</v>
      </c>
      <c r="Q143" s="529">
        <v>0</v>
      </c>
    </row>
    <row r="144" spans="1:17" ht="15.75" customHeight="1" x14ac:dyDescent="0.2">
      <c r="A144" s="529">
        <v>136</v>
      </c>
      <c r="B144" s="529" t="s">
        <v>302</v>
      </c>
      <c r="C144" s="516" t="s">
        <v>62</v>
      </c>
      <c r="D144" s="529"/>
      <c r="E144" s="529"/>
      <c r="F144" s="529" t="s">
        <v>303</v>
      </c>
      <c r="G144" s="510" t="s">
        <v>85</v>
      </c>
      <c r="H144" s="529">
        <v>30</v>
      </c>
      <c r="I144" s="529">
        <v>20</v>
      </c>
      <c r="J144" s="529">
        <v>25</v>
      </c>
      <c r="K144" s="529">
        <v>14319.8</v>
      </c>
      <c r="L144" s="529">
        <v>14319.8</v>
      </c>
      <c r="M144" s="529">
        <v>0</v>
      </c>
      <c r="N144" s="529">
        <v>0</v>
      </c>
      <c r="O144" s="529">
        <v>0</v>
      </c>
      <c r="P144" s="529">
        <v>0</v>
      </c>
      <c r="Q144" s="529">
        <v>0</v>
      </c>
    </row>
    <row r="145" spans="1:17" ht="15.75" customHeight="1" x14ac:dyDescent="0.2">
      <c r="A145" s="529">
        <v>137</v>
      </c>
      <c r="B145" s="529" t="s">
        <v>140</v>
      </c>
      <c r="C145" s="516" t="s">
        <v>62</v>
      </c>
      <c r="D145" s="529"/>
      <c r="E145" s="529" t="s">
        <v>74</v>
      </c>
      <c r="F145" s="529" t="s">
        <v>304</v>
      </c>
      <c r="G145" s="510" t="s">
        <v>85</v>
      </c>
      <c r="H145" s="529">
        <v>76</v>
      </c>
      <c r="I145" s="529">
        <v>62</v>
      </c>
      <c r="J145" s="529">
        <v>68</v>
      </c>
      <c r="K145" s="529">
        <v>75196.710000000006</v>
      </c>
      <c r="L145" s="529">
        <v>75196.710000000006</v>
      </c>
      <c r="M145" s="529">
        <v>0</v>
      </c>
      <c r="N145" s="529">
        <v>20</v>
      </c>
      <c r="O145" s="529">
        <v>46297.81</v>
      </c>
      <c r="P145" s="529">
        <v>46297.81</v>
      </c>
      <c r="Q145" s="529">
        <v>0</v>
      </c>
    </row>
    <row r="146" spans="1:17" ht="15.75" customHeight="1" x14ac:dyDescent="0.2">
      <c r="A146" s="529">
        <v>138</v>
      </c>
      <c r="B146" s="529" t="s">
        <v>305</v>
      </c>
      <c r="C146" s="516" t="s">
        <v>62</v>
      </c>
      <c r="D146" s="529"/>
      <c r="E146" s="529" t="s">
        <v>186</v>
      </c>
      <c r="F146" s="529" t="s">
        <v>513</v>
      </c>
      <c r="G146" s="510" t="s">
        <v>85</v>
      </c>
      <c r="H146" s="529">
        <v>17</v>
      </c>
      <c r="I146" s="529">
        <v>14</v>
      </c>
      <c r="J146" s="529">
        <v>18</v>
      </c>
      <c r="K146" s="529">
        <v>9574</v>
      </c>
      <c r="L146" s="529">
        <v>9574</v>
      </c>
      <c r="M146" s="529">
        <v>0</v>
      </c>
      <c r="N146" s="529">
        <v>0</v>
      </c>
      <c r="O146" s="529">
        <v>0</v>
      </c>
      <c r="P146" s="529">
        <v>0</v>
      </c>
      <c r="Q146" s="529">
        <v>0</v>
      </c>
    </row>
    <row r="147" spans="1:17" ht="15.75" customHeight="1" x14ac:dyDescent="0.2">
      <c r="A147" s="529">
        <v>139</v>
      </c>
      <c r="B147" s="529" t="s">
        <v>702</v>
      </c>
      <c r="C147" s="516" t="s">
        <v>62</v>
      </c>
      <c r="D147" s="529"/>
      <c r="E147" s="529" t="s">
        <v>239</v>
      </c>
      <c r="F147" s="529" t="s">
        <v>733</v>
      </c>
      <c r="G147" s="510" t="s">
        <v>85</v>
      </c>
      <c r="H147" s="529">
        <v>13</v>
      </c>
      <c r="I147" s="529">
        <v>8</v>
      </c>
      <c r="J147" s="529">
        <v>10</v>
      </c>
      <c r="K147" s="529">
        <v>3691.09</v>
      </c>
      <c r="L147" s="529">
        <v>3691.09</v>
      </c>
      <c r="M147" s="529">
        <v>0</v>
      </c>
      <c r="N147" s="529">
        <v>0</v>
      </c>
      <c r="O147" s="529">
        <v>0</v>
      </c>
      <c r="P147" s="529">
        <v>0</v>
      </c>
      <c r="Q147" s="529">
        <v>0</v>
      </c>
    </row>
    <row r="148" spans="1:17" ht="15.75" customHeight="1" x14ac:dyDescent="0.2">
      <c r="A148" s="529">
        <v>140</v>
      </c>
      <c r="B148" s="529" t="s">
        <v>471</v>
      </c>
      <c r="C148" s="516" t="s">
        <v>64</v>
      </c>
      <c r="D148" s="529" t="s">
        <v>65</v>
      </c>
      <c r="E148" s="529" t="s">
        <v>74</v>
      </c>
      <c r="F148" s="529" t="s">
        <v>472</v>
      </c>
      <c r="G148" s="510" t="s">
        <v>85</v>
      </c>
      <c r="H148" s="529">
        <v>0</v>
      </c>
      <c r="I148" s="529">
        <v>0</v>
      </c>
      <c r="J148" s="529">
        <v>0</v>
      </c>
      <c r="K148" s="529">
        <v>0</v>
      </c>
      <c r="L148" s="529">
        <v>0</v>
      </c>
      <c r="M148" s="529">
        <v>0</v>
      </c>
      <c r="N148" s="529">
        <v>1</v>
      </c>
      <c r="O148" s="529">
        <v>0</v>
      </c>
      <c r="P148" s="529">
        <v>0</v>
      </c>
      <c r="Q148" s="529">
        <v>0</v>
      </c>
    </row>
    <row r="149" spans="1:17" ht="15.75" customHeight="1" x14ac:dyDescent="0.2">
      <c r="A149" s="529">
        <v>141</v>
      </c>
      <c r="B149" s="529" t="s">
        <v>57</v>
      </c>
      <c r="C149" s="516" t="s">
        <v>62</v>
      </c>
      <c r="D149" s="529"/>
      <c r="E149" s="529" t="s">
        <v>244</v>
      </c>
      <c r="F149" s="529" t="s">
        <v>306</v>
      </c>
      <c r="G149" s="510" t="s">
        <v>85</v>
      </c>
      <c r="H149" s="529">
        <v>46</v>
      </c>
      <c r="I149" s="529">
        <v>30</v>
      </c>
      <c r="J149" s="529">
        <v>38</v>
      </c>
      <c r="K149" s="529">
        <v>30508.02</v>
      </c>
      <c r="L149" s="529">
        <v>30508.02</v>
      </c>
      <c r="M149" s="529">
        <v>0</v>
      </c>
      <c r="N149" s="529">
        <v>23</v>
      </c>
      <c r="O149" s="529">
        <v>129435.68</v>
      </c>
      <c r="P149" s="529">
        <v>129435.68</v>
      </c>
      <c r="Q149" s="529">
        <v>0</v>
      </c>
    </row>
    <row r="150" spans="1:17" ht="15.75" customHeight="1" x14ac:dyDescent="0.2">
      <c r="A150" s="529">
        <v>142</v>
      </c>
      <c r="B150" s="529" t="s">
        <v>648</v>
      </c>
      <c r="C150" s="516" t="s">
        <v>62</v>
      </c>
      <c r="D150" s="529"/>
      <c r="E150" s="529" t="s">
        <v>313</v>
      </c>
      <c r="F150" s="529" t="s">
        <v>650</v>
      </c>
      <c r="G150" s="510" t="s">
        <v>85</v>
      </c>
      <c r="H150" s="529">
        <v>14</v>
      </c>
      <c r="I150" s="529">
        <v>12</v>
      </c>
      <c r="J150" s="529">
        <v>13</v>
      </c>
      <c r="K150" s="529">
        <v>10502.97</v>
      </c>
      <c r="L150" s="529">
        <v>10502.97</v>
      </c>
      <c r="M150" s="529">
        <v>0</v>
      </c>
      <c r="N150" s="529">
        <v>0</v>
      </c>
      <c r="O150" s="529">
        <v>0</v>
      </c>
      <c r="P150" s="529">
        <v>0</v>
      </c>
      <c r="Q150" s="529">
        <v>0</v>
      </c>
    </row>
    <row r="151" spans="1:17" ht="15.75" customHeight="1" x14ac:dyDescent="0.2">
      <c r="A151" s="529">
        <v>143</v>
      </c>
      <c r="B151" s="529" t="s">
        <v>473</v>
      </c>
      <c r="C151" s="516" t="s">
        <v>62</v>
      </c>
      <c r="D151" s="529"/>
      <c r="E151" s="529"/>
      <c r="F151" s="529" t="s">
        <v>500</v>
      </c>
      <c r="G151" s="510" t="s">
        <v>85</v>
      </c>
      <c r="H151" s="529">
        <v>27</v>
      </c>
      <c r="I151" s="529">
        <v>13</v>
      </c>
      <c r="J151" s="529">
        <v>18</v>
      </c>
      <c r="K151" s="529">
        <v>18024.759999999998</v>
      </c>
      <c r="L151" s="529">
        <v>18024.759999999998</v>
      </c>
      <c r="M151" s="529">
        <v>0</v>
      </c>
      <c r="N151" s="529">
        <v>5</v>
      </c>
      <c r="O151" s="529">
        <v>22242.99</v>
      </c>
      <c r="P151" s="529">
        <v>22242.99</v>
      </c>
      <c r="Q151" s="529">
        <v>0</v>
      </c>
    </row>
    <row r="152" spans="1:17" ht="15.75" customHeight="1" x14ac:dyDescent="0.2">
      <c r="A152" s="529">
        <v>144</v>
      </c>
      <c r="B152" s="529" t="s">
        <v>129</v>
      </c>
      <c r="C152" s="516" t="s">
        <v>62</v>
      </c>
      <c r="D152" s="529"/>
      <c r="E152" s="529" t="s">
        <v>74</v>
      </c>
      <c r="F152" s="529" t="s">
        <v>307</v>
      </c>
      <c r="G152" s="510" t="s">
        <v>85</v>
      </c>
      <c r="H152" s="529">
        <v>0</v>
      </c>
      <c r="I152" s="529">
        <v>0</v>
      </c>
      <c r="J152" s="529">
        <v>0</v>
      </c>
      <c r="K152" s="529">
        <v>0</v>
      </c>
      <c r="L152" s="529">
        <v>0</v>
      </c>
      <c r="M152" s="529">
        <v>0</v>
      </c>
      <c r="N152" s="529">
        <v>2</v>
      </c>
      <c r="O152" s="529">
        <v>12997.88</v>
      </c>
      <c r="P152" s="529">
        <v>12997.88</v>
      </c>
      <c r="Q152" s="529">
        <v>0</v>
      </c>
    </row>
    <row r="153" spans="1:17" ht="15.75" customHeight="1" x14ac:dyDescent="0.2">
      <c r="A153" s="529">
        <v>145</v>
      </c>
      <c r="B153" s="529" t="s">
        <v>58</v>
      </c>
      <c r="C153" s="516" t="s">
        <v>62</v>
      </c>
      <c r="D153" s="529"/>
      <c r="E153" s="529" t="s">
        <v>84</v>
      </c>
      <c r="F153" s="529" t="s">
        <v>308</v>
      </c>
      <c r="G153" s="510" t="s">
        <v>85</v>
      </c>
      <c r="H153" s="529">
        <v>264</v>
      </c>
      <c r="I153" s="529">
        <v>255</v>
      </c>
      <c r="J153" s="529">
        <v>289</v>
      </c>
      <c r="K153" s="529">
        <v>304156.32</v>
      </c>
      <c r="L153" s="529">
        <v>304156.32</v>
      </c>
      <c r="M153" s="529">
        <v>0</v>
      </c>
      <c r="N153" s="529">
        <v>70</v>
      </c>
      <c r="O153" s="529">
        <v>217678.14</v>
      </c>
      <c r="P153" s="529">
        <v>217678.14</v>
      </c>
      <c r="Q153" s="529">
        <v>0</v>
      </c>
    </row>
    <row r="154" spans="1:17" ht="15.75" customHeight="1" x14ac:dyDescent="0.2">
      <c r="A154" s="529">
        <v>146</v>
      </c>
      <c r="B154" s="529" t="s">
        <v>59</v>
      </c>
      <c r="C154" s="516" t="s">
        <v>64</v>
      </c>
      <c r="D154" s="529" t="s">
        <v>66</v>
      </c>
      <c r="E154" s="529" t="s">
        <v>80</v>
      </c>
      <c r="F154" s="529" t="s">
        <v>309</v>
      </c>
      <c r="G154" s="510" t="s">
        <v>85</v>
      </c>
      <c r="H154" s="529">
        <v>50</v>
      </c>
      <c r="I154" s="529">
        <v>39</v>
      </c>
      <c r="J154" s="529">
        <v>60</v>
      </c>
      <c r="K154" s="529">
        <v>102706.95</v>
      </c>
      <c r="L154" s="529">
        <v>102706.95</v>
      </c>
      <c r="M154" s="529">
        <v>0</v>
      </c>
      <c r="N154" s="529">
        <v>36</v>
      </c>
      <c r="O154" s="529">
        <v>138650.5</v>
      </c>
      <c r="P154" s="529">
        <v>138650.5</v>
      </c>
      <c r="Q154" s="529">
        <v>0</v>
      </c>
    </row>
    <row r="155" spans="1:17" ht="15.75" customHeight="1" x14ac:dyDescent="0.2">
      <c r="A155" s="529">
        <v>147</v>
      </c>
      <c r="B155" s="529" t="s">
        <v>130</v>
      </c>
      <c r="C155" s="516" t="s">
        <v>62</v>
      </c>
      <c r="D155" s="529"/>
      <c r="E155" s="529" t="s">
        <v>74</v>
      </c>
      <c r="F155" s="529" t="s">
        <v>553</v>
      </c>
      <c r="G155" s="510" t="s">
        <v>85</v>
      </c>
      <c r="H155" s="529">
        <v>7</v>
      </c>
      <c r="I155" s="529">
        <v>2</v>
      </c>
      <c r="J155" s="529">
        <v>2</v>
      </c>
      <c r="K155" s="529">
        <v>1772.34</v>
      </c>
      <c r="L155" s="529">
        <v>1772.34</v>
      </c>
      <c r="M155" s="529">
        <v>0</v>
      </c>
      <c r="N155" s="529">
        <v>4</v>
      </c>
      <c r="O155" s="529">
        <v>36022.559999999998</v>
      </c>
      <c r="P155" s="529">
        <v>36022.559999999998</v>
      </c>
      <c r="Q155" s="529">
        <v>0</v>
      </c>
    </row>
    <row r="156" spans="1:17" ht="15.75" customHeight="1" x14ac:dyDescent="0.2">
      <c r="A156" s="529">
        <v>148</v>
      </c>
      <c r="B156" s="529" t="s">
        <v>97</v>
      </c>
      <c r="C156" s="516" t="s">
        <v>62</v>
      </c>
      <c r="D156" s="529"/>
      <c r="E156" s="529" t="s">
        <v>74</v>
      </c>
      <c r="F156" s="529" t="s">
        <v>310</v>
      </c>
      <c r="G156" s="510" t="s">
        <v>85</v>
      </c>
      <c r="H156" s="529">
        <v>7</v>
      </c>
      <c r="I156" s="529">
        <v>4</v>
      </c>
      <c r="J156" s="529">
        <v>4</v>
      </c>
      <c r="K156" s="529">
        <v>5524.96</v>
      </c>
      <c r="L156" s="529">
        <v>5524.96</v>
      </c>
      <c r="M156" s="529">
        <v>0</v>
      </c>
      <c r="N156" s="529">
        <v>1</v>
      </c>
      <c r="O156" s="529">
        <v>3782.14</v>
      </c>
      <c r="P156" s="529">
        <v>3782.14</v>
      </c>
      <c r="Q156" s="529">
        <v>0</v>
      </c>
    </row>
    <row r="157" spans="1:17" ht="15.75" customHeight="1" x14ac:dyDescent="0.2">
      <c r="A157" s="529">
        <v>149</v>
      </c>
      <c r="B157" s="529" t="s">
        <v>667</v>
      </c>
      <c r="C157" s="516" t="s">
        <v>62</v>
      </c>
      <c r="D157" s="529"/>
      <c r="E157" s="529" t="s">
        <v>174</v>
      </c>
      <c r="F157" s="529" t="s">
        <v>668</v>
      </c>
      <c r="G157" s="510" t="s">
        <v>85</v>
      </c>
      <c r="H157" s="529">
        <v>11</v>
      </c>
      <c r="I157" s="529">
        <v>8</v>
      </c>
      <c r="J157" s="529">
        <v>9</v>
      </c>
      <c r="K157" s="529">
        <v>8690.9500000000007</v>
      </c>
      <c r="L157" s="529">
        <v>8690.9500000000007</v>
      </c>
      <c r="M157" s="529">
        <v>0</v>
      </c>
      <c r="N157" s="529">
        <v>0</v>
      </c>
      <c r="O157" s="529">
        <v>0</v>
      </c>
      <c r="P157" s="529">
        <v>0</v>
      </c>
      <c r="Q157" s="529">
        <v>0</v>
      </c>
    </row>
    <row r="158" spans="1:17" ht="15.75" customHeight="1" x14ac:dyDescent="0.2">
      <c r="A158" s="529">
        <v>150</v>
      </c>
      <c r="B158" s="529" t="s">
        <v>514</v>
      </c>
      <c r="C158" s="516" t="s">
        <v>62</v>
      </c>
      <c r="D158" s="529"/>
      <c r="E158" s="529" t="s">
        <v>223</v>
      </c>
      <c r="F158" s="529" t="s">
        <v>515</v>
      </c>
      <c r="G158" s="510" t="s">
        <v>85</v>
      </c>
      <c r="H158" s="529">
        <v>27</v>
      </c>
      <c r="I158" s="529">
        <v>20</v>
      </c>
      <c r="J158" s="529">
        <v>29</v>
      </c>
      <c r="K158" s="529">
        <v>44206.94</v>
      </c>
      <c r="L158" s="529">
        <v>44206.94</v>
      </c>
      <c r="M158" s="529">
        <v>0</v>
      </c>
      <c r="N158" s="529">
        <v>0</v>
      </c>
      <c r="O158" s="529">
        <v>0</v>
      </c>
      <c r="P158" s="529">
        <v>0</v>
      </c>
      <c r="Q158" s="529">
        <v>0</v>
      </c>
    </row>
    <row r="159" spans="1:17" ht="15.75" customHeight="1" x14ac:dyDescent="0.2">
      <c r="A159" s="529">
        <v>151</v>
      </c>
      <c r="B159" s="529" t="s">
        <v>132</v>
      </c>
      <c r="C159" s="516" t="s">
        <v>62</v>
      </c>
      <c r="D159" s="529"/>
      <c r="E159" s="529" t="s">
        <v>74</v>
      </c>
      <c r="F159" s="529" t="s">
        <v>311</v>
      </c>
      <c r="G159" s="510" t="s">
        <v>85</v>
      </c>
      <c r="H159" s="529">
        <v>21</v>
      </c>
      <c r="I159" s="529">
        <v>9</v>
      </c>
      <c r="J159" s="529">
        <v>10</v>
      </c>
      <c r="K159" s="529">
        <v>7071.18</v>
      </c>
      <c r="L159" s="529">
        <v>7071.18</v>
      </c>
      <c r="M159" s="529">
        <v>0</v>
      </c>
      <c r="N159" s="529">
        <v>12</v>
      </c>
      <c r="O159" s="529">
        <v>8594.5400000000009</v>
      </c>
      <c r="P159" s="529">
        <v>8594.5400000000009</v>
      </c>
      <c r="Q159" s="529">
        <v>0</v>
      </c>
    </row>
    <row r="160" spans="1:17" ht="15.75" customHeight="1" x14ac:dyDescent="0.2">
      <c r="A160" s="529">
        <v>152</v>
      </c>
      <c r="B160" s="529" t="s">
        <v>312</v>
      </c>
      <c r="C160" s="516" t="s">
        <v>62</v>
      </c>
      <c r="D160" s="529"/>
      <c r="E160" s="529" t="s">
        <v>313</v>
      </c>
      <c r="F160" s="529" t="s">
        <v>314</v>
      </c>
      <c r="G160" s="510" t="s">
        <v>85</v>
      </c>
      <c r="H160" s="529">
        <v>67</v>
      </c>
      <c r="I160" s="529">
        <v>1</v>
      </c>
      <c r="J160" s="529">
        <v>1</v>
      </c>
      <c r="K160" s="529">
        <v>0</v>
      </c>
      <c r="L160" s="529">
        <v>0</v>
      </c>
      <c r="M160" s="529">
        <v>0</v>
      </c>
      <c r="N160" s="529">
        <v>0</v>
      </c>
      <c r="O160" s="529">
        <v>0</v>
      </c>
      <c r="P160" s="529">
        <v>0</v>
      </c>
      <c r="Q160" s="529">
        <v>0</v>
      </c>
    </row>
    <row r="161" spans="1:17" ht="15.75" customHeight="1" x14ac:dyDescent="0.2">
      <c r="A161" s="529">
        <v>153</v>
      </c>
      <c r="B161" s="529" t="s">
        <v>505</v>
      </c>
      <c r="C161" s="516" t="s">
        <v>62</v>
      </c>
      <c r="D161" s="529"/>
      <c r="E161" s="529" t="s">
        <v>759</v>
      </c>
      <c r="F161" s="529" t="s">
        <v>704</v>
      </c>
      <c r="G161" s="510" t="s">
        <v>85</v>
      </c>
      <c r="H161" s="529">
        <v>12</v>
      </c>
      <c r="I161" s="529">
        <v>5</v>
      </c>
      <c r="J161" s="529">
        <v>6</v>
      </c>
      <c r="K161" s="529">
        <v>8358.56</v>
      </c>
      <c r="L161" s="529">
        <v>8358.56</v>
      </c>
      <c r="M161" s="529">
        <v>0</v>
      </c>
      <c r="N161" s="529">
        <v>0</v>
      </c>
      <c r="O161" s="529">
        <v>0</v>
      </c>
      <c r="P161" s="529">
        <v>0</v>
      </c>
      <c r="Q161" s="529">
        <v>0</v>
      </c>
    </row>
    <row r="162" spans="1:17" ht="15.75" customHeight="1" x14ac:dyDescent="0.2">
      <c r="A162" s="529">
        <v>154</v>
      </c>
      <c r="B162" s="529" t="s">
        <v>315</v>
      </c>
      <c r="C162" s="516" t="s">
        <v>62</v>
      </c>
      <c r="D162" s="529"/>
      <c r="E162" s="529" t="s">
        <v>74</v>
      </c>
      <c r="F162" s="529" t="s">
        <v>316</v>
      </c>
      <c r="G162" s="510" t="s">
        <v>85</v>
      </c>
      <c r="H162" s="529">
        <v>21</v>
      </c>
      <c r="I162" s="529">
        <v>12</v>
      </c>
      <c r="J162" s="529">
        <v>14</v>
      </c>
      <c r="K162" s="529">
        <v>13716.65</v>
      </c>
      <c r="L162" s="529">
        <v>13716.65</v>
      </c>
      <c r="M162" s="529">
        <v>0</v>
      </c>
      <c r="N162" s="529">
        <v>6</v>
      </c>
      <c r="O162" s="529">
        <v>30809.14</v>
      </c>
      <c r="P162" s="529">
        <v>30809.14</v>
      </c>
      <c r="Q162" s="529">
        <v>0</v>
      </c>
    </row>
    <row r="163" spans="1:17" ht="15.75" customHeight="1" x14ac:dyDescent="0.2">
      <c r="A163" s="529">
        <v>155</v>
      </c>
      <c r="B163" s="529" t="s">
        <v>317</v>
      </c>
      <c r="C163" s="516" t="s">
        <v>62</v>
      </c>
      <c r="D163" s="529"/>
      <c r="E163" s="529" t="s">
        <v>158</v>
      </c>
      <c r="F163" s="529" t="s">
        <v>474</v>
      </c>
      <c r="G163" s="510" t="s">
        <v>85</v>
      </c>
      <c r="H163" s="529">
        <v>15</v>
      </c>
      <c r="I163" s="529">
        <v>11</v>
      </c>
      <c r="J163" s="529">
        <v>12</v>
      </c>
      <c r="K163" s="529">
        <v>9367.18</v>
      </c>
      <c r="L163" s="529">
        <v>9367.18</v>
      </c>
      <c r="M163" s="529">
        <v>0</v>
      </c>
      <c r="N163" s="529">
        <v>0</v>
      </c>
      <c r="O163" s="529">
        <v>0</v>
      </c>
      <c r="P163" s="529">
        <v>0</v>
      </c>
      <c r="Q163" s="529">
        <v>0</v>
      </c>
    </row>
    <row r="164" spans="1:17" ht="15.75" customHeight="1" x14ac:dyDescent="0.2">
      <c r="A164" s="529">
        <v>156</v>
      </c>
      <c r="B164" s="529" t="s">
        <v>318</v>
      </c>
      <c r="C164" s="516" t="s">
        <v>62</v>
      </c>
      <c r="D164" s="529"/>
      <c r="E164" s="529" t="s">
        <v>174</v>
      </c>
      <c r="F164" s="529" t="s">
        <v>319</v>
      </c>
      <c r="G164" s="510" t="s">
        <v>85</v>
      </c>
      <c r="H164" s="529">
        <v>39</v>
      </c>
      <c r="I164" s="529">
        <v>30</v>
      </c>
      <c r="J164" s="529">
        <v>38</v>
      </c>
      <c r="K164" s="529">
        <v>54098.35</v>
      </c>
      <c r="L164" s="529">
        <v>54098.35</v>
      </c>
      <c r="M164" s="529">
        <v>0</v>
      </c>
      <c r="N164" s="529">
        <v>0</v>
      </c>
      <c r="O164" s="529">
        <v>0</v>
      </c>
      <c r="P164" s="529">
        <v>0</v>
      </c>
      <c r="Q164" s="529">
        <v>0</v>
      </c>
    </row>
    <row r="165" spans="1:17" ht="15.75" customHeight="1" x14ac:dyDescent="0.2">
      <c r="A165" s="529">
        <v>157</v>
      </c>
      <c r="B165" s="529" t="s">
        <v>60</v>
      </c>
      <c r="C165" s="516" t="s">
        <v>67</v>
      </c>
      <c r="D165" s="529" t="s">
        <v>68</v>
      </c>
      <c r="E165" s="529" t="s">
        <v>74</v>
      </c>
      <c r="F165" s="529" t="s">
        <v>320</v>
      </c>
      <c r="G165" s="510" t="s">
        <v>85</v>
      </c>
      <c r="H165" s="529">
        <v>86</v>
      </c>
      <c r="I165" s="529">
        <v>73</v>
      </c>
      <c r="J165" s="529">
        <v>108</v>
      </c>
      <c r="K165" s="529">
        <v>218197.83</v>
      </c>
      <c r="L165" s="529">
        <v>218197.83</v>
      </c>
      <c r="M165" s="529">
        <v>0</v>
      </c>
      <c r="N165" s="529">
        <v>49</v>
      </c>
      <c r="O165" s="529">
        <v>145806.42000000001</v>
      </c>
      <c r="P165" s="529">
        <v>145806.42000000001</v>
      </c>
      <c r="Q165" s="529">
        <v>0</v>
      </c>
    </row>
    <row r="166" spans="1:17" ht="15.75" customHeight="1" x14ac:dyDescent="0.2">
      <c r="A166" s="529">
        <v>158</v>
      </c>
      <c r="B166" s="529" t="s">
        <v>61</v>
      </c>
      <c r="C166" s="516" t="s">
        <v>67</v>
      </c>
      <c r="D166" s="529" t="s">
        <v>69</v>
      </c>
      <c r="E166" s="529" t="s">
        <v>74</v>
      </c>
      <c r="F166" s="529" t="s">
        <v>321</v>
      </c>
      <c r="G166" s="510" t="s">
        <v>85</v>
      </c>
      <c r="H166" s="529">
        <v>14</v>
      </c>
      <c r="I166" s="529">
        <v>8</v>
      </c>
      <c r="J166" s="529">
        <v>9</v>
      </c>
      <c r="K166" s="529">
        <v>15152.66</v>
      </c>
      <c r="L166" s="529">
        <v>15152.66</v>
      </c>
      <c r="M166" s="529">
        <v>0</v>
      </c>
      <c r="N166" s="529">
        <v>7</v>
      </c>
      <c r="O166" s="529">
        <v>7602.26</v>
      </c>
      <c r="P166" s="529">
        <v>7602.26</v>
      </c>
      <c r="Q166" s="529">
        <v>0</v>
      </c>
    </row>
    <row r="167" spans="1:17" ht="15.75" customHeight="1" x14ac:dyDescent="0.2">
      <c r="A167" s="526">
        <v>159</v>
      </c>
      <c r="B167" s="532" t="s">
        <v>21</v>
      </c>
      <c r="C167" s="533" t="s">
        <v>62</v>
      </c>
      <c r="D167" s="534"/>
      <c r="E167" s="532" t="s">
        <v>674</v>
      </c>
      <c r="F167" s="532" t="s">
        <v>734</v>
      </c>
      <c r="G167" s="532" t="s">
        <v>735</v>
      </c>
      <c r="H167" s="625">
        <v>1</v>
      </c>
      <c r="I167" s="625">
        <v>0</v>
      </c>
      <c r="J167" s="625">
        <v>0</v>
      </c>
      <c r="K167" s="626">
        <v>0</v>
      </c>
      <c r="L167" s="626">
        <v>0</v>
      </c>
      <c r="M167" s="626">
        <v>0</v>
      </c>
      <c r="N167" s="625">
        <v>3</v>
      </c>
      <c r="O167" s="626">
        <v>18538.8</v>
      </c>
      <c r="P167" s="626">
        <v>18538.8</v>
      </c>
      <c r="Q167" s="626">
        <v>0</v>
      </c>
    </row>
    <row r="168" spans="1:17" ht="15.75" customHeight="1" x14ac:dyDescent="0.2">
      <c r="A168" s="526">
        <v>160</v>
      </c>
      <c r="B168" s="532" t="s">
        <v>147</v>
      </c>
      <c r="C168" s="533" t="s">
        <v>62</v>
      </c>
      <c r="D168" s="534"/>
      <c r="E168" s="486" t="s">
        <v>158</v>
      </c>
      <c r="F168" s="532" t="s">
        <v>736</v>
      </c>
      <c r="G168" s="532" t="s">
        <v>706</v>
      </c>
      <c r="H168" s="625">
        <v>1</v>
      </c>
      <c r="I168" s="625">
        <v>1</v>
      </c>
      <c r="J168" s="625">
        <v>1</v>
      </c>
      <c r="K168" s="626">
        <v>1762</v>
      </c>
      <c r="L168" s="626">
        <v>1762</v>
      </c>
      <c r="M168" s="626">
        <v>0</v>
      </c>
      <c r="N168" s="625">
        <v>5</v>
      </c>
      <c r="O168" s="626">
        <v>29258.84</v>
      </c>
      <c r="P168" s="626">
        <v>29258.84</v>
      </c>
      <c r="Q168" s="626">
        <v>0</v>
      </c>
    </row>
    <row r="169" spans="1:17" ht="15.75" customHeight="1" x14ac:dyDescent="0.2">
      <c r="A169" s="526">
        <v>161</v>
      </c>
      <c r="B169" s="532" t="s">
        <v>526</v>
      </c>
      <c r="C169" s="533" t="s">
        <v>62</v>
      </c>
      <c r="D169" s="534"/>
      <c r="E169" s="532" t="s">
        <v>760</v>
      </c>
      <c r="F169" s="532" t="s">
        <v>738</v>
      </c>
      <c r="G169" s="532" t="s">
        <v>706</v>
      </c>
      <c r="H169" s="625">
        <v>0</v>
      </c>
      <c r="I169" s="625">
        <v>0</v>
      </c>
      <c r="J169" s="625">
        <v>0</v>
      </c>
      <c r="K169" s="626">
        <v>0</v>
      </c>
      <c r="L169" s="626">
        <v>0</v>
      </c>
      <c r="M169" s="626">
        <v>0</v>
      </c>
      <c r="N169" s="625">
        <v>0</v>
      </c>
      <c r="O169" s="627">
        <v>0</v>
      </c>
      <c r="P169" s="626">
        <v>0</v>
      </c>
      <c r="Q169" s="626">
        <v>0</v>
      </c>
    </row>
    <row r="170" spans="1:17" ht="15.75" customHeight="1" x14ac:dyDescent="0.2">
      <c r="A170" s="526">
        <v>162</v>
      </c>
      <c r="B170" s="532" t="s">
        <v>305</v>
      </c>
      <c r="C170" s="533" t="s">
        <v>62</v>
      </c>
      <c r="D170" s="534"/>
      <c r="E170" s="532" t="s">
        <v>674</v>
      </c>
      <c r="F170" s="532" t="s">
        <v>739</v>
      </c>
      <c r="G170" s="532" t="s">
        <v>706</v>
      </c>
      <c r="H170" s="625">
        <v>4</v>
      </c>
      <c r="I170" s="625">
        <v>4</v>
      </c>
      <c r="J170" s="625">
        <v>5</v>
      </c>
      <c r="K170" s="626">
        <v>14963.4</v>
      </c>
      <c r="L170" s="626">
        <v>14963.4</v>
      </c>
      <c r="M170" s="626">
        <v>0</v>
      </c>
      <c r="N170" s="625">
        <v>0</v>
      </c>
      <c r="O170" s="626">
        <v>0</v>
      </c>
      <c r="P170" s="626">
        <v>0</v>
      </c>
      <c r="Q170" s="626">
        <v>0</v>
      </c>
    </row>
    <row r="171" spans="1:17" ht="15.75" customHeight="1" x14ac:dyDescent="0.2">
      <c r="A171" s="526">
        <v>163</v>
      </c>
      <c r="B171" s="532" t="s">
        <v>407</v>
      </c>
      <c r="C171" s="533" t="s">
        <v>62</v>
      </c>
      <c r="D171" s="534"/>
      <c r="E171" s="532" t="s">
        <v>674</v>
      </c>
      <c r="F171" s="532" t="s">
        <v>740</v>
      </c>
      <c r="G171" s="532" t="s">
        <v>706</v>
      </c>
      <c r="H171" s="625">
        <v>5</v>
      </c>
      <c r="I171" s="625">
        <v>1</v>
      </c>
      <c r="J171" s="625">
        <v>1</v>
      </c>
      <c r="K171" s="626">
        <v>3866.1</v>
      </c>
      <c r="L171" s="626">
        <v>3866.1</v>
      </c>
      <c r="M171" s="626">
        <v>0</v>
      </c>
      <c r="N171" s="625">
        <v>0</v>
      </c>
      <c r="O171" s="626">
        <v>0</v>
      </c>
      <c r="P171" s="626">
        <v>0</v>
      </c>
      <c r="Q171" s="626">
        <v>0</v>
      </c>
    </row>
    <row r="172" spans="1:17" ht="15.75" customHeight="1" x14ac:dyDescent="0.2">
      <c r="A172" s="526">
        <v>164</v>
      </c>
      <c r="B172" s="532" t="s">
        <v>185</v>
      </c>
      <c r="C172" s="533" t="s">
        <v>62</v>
      </c>
      <c r="D172" s="534"/>
      <c r="E172" s="532" t="s">
        <v>674</v>
      </c>
      <c r="F172" s="532" t="s">
        <v>741</v>
      </c>
      <c r="G172" s="532" t="s">
        <v>706</v>
      </c>
      <c r="H172" s="625">
        <v>4</v>
      </c>
      <c r="I172" s="625">
        <v>4</v>
      </c>
      <c r="J172" s="625">
        <v>5</v>
      </c>
      <c r="K172" s="626">
        <v>18336.240000000002</v>
      </c>
      <c r="L172" s="626">
        <v>18336.240000000002</v>
      </c>
      <c r="M172" s="626">
        <v>0</v>
      </c>
      <c r="N172" s="625">
        <v>0</v>
      </c>
      <c r="O172" s="626">
        <v>0</v>
      </c>
      <c r="P172" s="626">
        <v>0</v>
      </c>
      <c r="Q172" s="626">
        <v>0</v>
      </c>
    </row>
    <row r="173" spans="1:17" ht="15.75" customHeight="1" x14ac:dyDescent="0.2">
      <c r="A173" s="526">
        <v>165</v>
      </c>
      <c r="B173" s="532" t="s">
        <v>534</v>
      </c>
      <c r="C173" s="533" t="s">
        <v>62</v>
      </c>
      <c r="D173" s="534"/>
      <c r="E173" s="532" t="s">
        <v>674</v>
      </c>
      <c r="F173" s="532" t="s">
        <v>774</v>
      </c>
      <c r="G173" s="532" t="s">
        <v>706</v>
      </c>
      <c r="H173" s="625">
        <v>1</v>
      </c>
      <c r="I173" s="625">
        <v>0</v>
      </c>
      <c r="J173" s="625">
        <v>0</v>
      </c>
      <c r="K173" s="626">
        <v>0</v>
      </c>
      <c r="L173" s="626">
        <v>0</v>
      </c>
      <c r="M173" s="626">
        <v>0</v>
      </c>
      <c r="N173" s="625">
        <v>0</v>
      </c>
      <c r="O173" s="626">
        <v>0</v>
      </c>
      <c r="P173" s="626">
        <v>0</v>
      </c>
      <c r="Q173" s="626">
        <v>0</v>
      </c>
    </row>
    <row r="174" spans="1:17" ht="15.75" customHeight="1" x14ac:dyDescent="0.2">
      <c r="A174" s="526">
        <v>166</v>
      </c>
      <c r="B174" s="532" t="s">
        <v>104</v>
      </c>
      <c r="C174" s="533" t="s">
        <v>62</v>
      </c>
      <c r="D174" s="534"/>
      <c r="E174" s="490" t="s">
        <v>730</v>
      </c>
      <c r="F174" s="532" t="s">
        <v>743</v>
      </c>
      <c r="G174" s="532" t="s">
        <v>706</v>
      </c>
      <c r="H174" s="625">
        <v>0</v>
      </c>
      <c r="I174" s="625">
        <v>0</v>
      </c>
      <c r="J174" s="625">
        <v>0</v>
      </c>
      <c r="K174" s="626">
        <v>0</v>
      </c>
      <c r="L174" s="626">
        <v>0</v>
      </c>
      <c r="M174" s="626">
        <v>0</v>
      </c>
      <c r="N174" s="625">
        <v>2</v>
      </c>
      <c r="O174" s="626">
        <v>3764.19</v>
      </c>
      <c r="P174" s="626">
        <v>3764.19</v>
      </c>
      <c r="Q174" s="626">
        <v>0</v>
      </c>
    </row>
    <row r="175" spans="1:17" ht="15.75" customHeight="1" x14ac:dyDescent="0.2">
      <c r="A175" s="526">
        <v>167</v>
      </c>
      <c r="B175" s="532" t="s">
        <v>621</v>
      </c>
      <c r="C175" s="533" t="s">
        <v>62</v>
      </c>
      <c r="D175" s="534"/>
      <c r="E175" s="486" t="s">
        <v>158</v>
      </c>
      <c r="F175" s="532" t="s">
        <v>744</v>
      </c>
      <c r="G175" s="532" t="s">
        <v>706</v>
      </c>
      <c r="H175" s="625">
        <v>0</v>
      </c>
      <c r="I175" s="625">
        <v>0</v>
      </c>
      <c r="J175" s="625">
        <v>0</v>
      </c>
      <c r="K175" s="626">
        <v>0</v>
      </c>
      <c r="L175" s="626">
        <v>0</v>
      </c>
      <c r="M175" s="626">
        <v>0</v>
      </c>
      <c r="N175" s="625">
        <v>0</v>
      </c>
      <c r="O175" s="626">
        <v>0</v>
      </c>
      <c r="P175" s="626">
        <v>0</v>
      </c>
      <c r="Q175" s="626">
        <v>0</v>
      </c>
    </row>
    <row r="176" spans="1:17" ht="15.75" customHeight="1" x14ac:dyDescent="0.2">
      <c r="A176" s="526">
        <v>168</v>
      </c>
      <c r="B176" s="484" t="s">
        <v>47</v>
      </c>
      <c r="C176" s="516" t="s">
        <v>62</v>
      </c>
      <c r="D176" s="484"/>
      <c r="E176" s="486" t="s">
        <v>761</v>
      </c>
      <c r="F176" s="486" t="s">
        <v>448</v>
      </c>
      <c r="G176" s="510" t="s">
        <v>142</v>
      </c>
      <c r="H176" s="484">
        <v>8</v>
      </c>
      <c r="I176" s="484">
        <v>6</v>
      </c>
      <c r="J176" s="484">
        <v>6</v>
      </c>
      <c r="K176" s="482">
        <v>11911.2</v>
      </c>
      <c r="L176" s="482">
        <v>11911.2</v>
      </c>
      <c r="M176" s="482">
        <v>0</v>
      </c>
      <c r="N176" s="484">
        <v>26</v>
      </c>
      <c r="O176" s="482">
        <v>47624.72</v>
      </c>
      <c r="P176" s="482">
        <v>47624.72</v>
      </c>
      <c r="Q176" s="482">
        <v>0</v>
      </c>
    </row>
    <row r="177" spans="1:17" ht="15.75" customHeight="1" x14ac:dyDescent="0.2">
      <c r="A177" s="526">
        <v>169</v>
      </c>
      <c r="B177" s="484" t="s">
        <v>55</v>
      </c>
      <c r="C177" s="516" t="s">
        <v>62</v>
      </c>
      <c r="D177" s="484"/>
      <c r="E177" s="486" t="s">
        <v>762</v>
      </c>
      <c r="F177" s="486" t="s">
        <v>449</v>
      </c>
      <c r="G177" s="510" t="s">
        <v>142</v>
      </c>
      <c r="H177" s="484">
        <v>9</v>
      </c>
      <c r="I177" s="484">
        <v>5</v>
      </c>
      <c r="J177" s="484">
        <v>5</v>
      </c>
      <c r="K177" s="482">
        <v>10623.4</v>
      </c>
      <c r="L177" s="482">
        <v>10623.4</v>
      </c>
      <c r="M177" s="482">
        <v>0</v>
      </c>
      <c r="N177" s="484">
        <v>14</v>
      </c>
      <c r="O177" s="482">
        <v>29300.9</v>
      </c>
      <c r="P177" s="482">
        <v>29300.9</v>
      </c>
      <c r="Q177" s="482">
        <v>0</v>
      </c>
    </row>
    <row r="178" spans="1:17" ht="15.75" customHeight="1" x14ac:dyDescent="0.2">
      <c r="A178" s="526">
        <v>170</v>
      </c>
      <c r="B178" s="484" t="s">
        <v>122</v>
      </c>
      <c r="C178" s="516" t="s">
        <v>62</v>
      </c>
      <c r="D178" s="484"/>
      <c r="E178" s="486" t="s">
        <v>763</v>
      </c>
      <c r="F178" s="486" t="s">
        <v>450</v>
      </c>
      <c r="G178" s="510" t="s">
        <v>142</v>
      </c>
      <c r="H178" s="484">
        <v>5</v>
      </c>
      <c r="I178" s="484">
        <v>3</v>
      </c>
      <c r="J178" s="484">
        <v>3</v>
      </c>
      <c r="K178" s="482">
        <v>2877.55</v>
      </c>
      <c r="L178" s="482">
        <v>2877.55</v>
      </c>
      <c r="M178" s="482">
        <v>0</v>
      </c>
      <c r="N178" s="484">
        <v>9</v>
      </c>
      <c r="O178" s="482">
        <v>17988.490000000002</v>
      </c>
      <c r="P178" s="482">
        <v>17988.490000000002</v>
      </c>
      <c r="Q178" s="482">
        <v>0</v>
      </c>
    </row>
    <row r="179" spans="1:17" ht="15.75" customHeight="1" x14ac:dyDescent="0.2">
      <c r="A179" s="526">
        <v>171</v>
      </c>
      <c r="B179" s="484" t="s">
        <v>144</v>
      </c>
      <c r="C179" s="516" t="s">
        <v>62</v>
      </c>
      <c r="D179" s="484"/>
      <c r="E179" s="486" t="s">
        <v>761</v>
      </c>
      <c r="F179" s="486" t="s">
        <v>451</v>
      </c>
      <c r="G179" s="510" t="s">
        <v>142</v>
      </c>
      <c r="H179" s="484">
        <v>8</v>
      </c>
      <c r="I179" s="484">
        <v>7</v>
      </c>
      <c r="J179" s="484">
        <v>7</v>
      </c>
      <c r="K179" s="482">
        <v>8121.62</v>
      </c>
      <c r="L179" s="482">
        <v>8121.62</v>
      </c>
      <c r="M179" s="482">
        <v>0</v>
      </c>
      <c r="N179" s="484">
        <v>5</v>
      </c>
      <c r="O179" s="482">
        <v>9056.42</v>
      </c>
      <c r="P179" s="482">
        <v>9056.42</v>
      </c>
      <c r="Q179" s="482">
        <v>0</v>
      </c>
    </row>
    <row r="180" spans="1:17" ht="15.75" customHeight="1" x14ac:dyDescent="0.2">
      <c r="A180" s="526">
        <v>172</v>
      </c>
      <c r="B180" s="484" t="s">
        <v>46</v>
      </c>
      <c r="C180" s="516" t="s">
        <v>62</v>
      </c>
      <c r="D180" s="484"/>
      <c r="E180" s="486" t="s">
        <v>764</v>
      </c>
      <c r="F180" s="486" t="s">
        <v>453</v>
      </c>
      <c r="G180" s="510" t="s">
        <v>142</v>
      </c>
      <c r="H180" s="484">
        <v>0</v>
      </c>
      <c r="I180" s="484">
        <v>0</v>
      </c>
      <c r="J180" s="484">
        <v>0</v>
      </c>
      <c r="K180" s="482">
        <v>0</v>
      </c>
      <c r="L180" s="482">
        <v>0</v>
      </c>
      <c r="M180" s="482">
        <v>0</v>
      </c>
      <c r="N180" s="484">
        <v>0</v>
      </c>
      <c r="O180" s="482">
        <v>0</v>
      </c>
      <c r="P180" s="482">
        <v>0</v>
      </c>
      <c r="Q180" s="482">
        <v>0</v>
      </c>
    </row>
    <row r="181" spans="1:17" ht="15.75" customHeight="1" x14ac:dyDescent="0.2">
      <c r="A181" s="526">
        <v>173</v>
      </c>
      <c r="B181" s="484" t="s">
        <v>133</v>
      </c>
      <c r="C181" s="516" t="s">
        <v>67</v>
      </c>
      <c r="D181" s="484" t="s">
        <v>397</v>
      </c>
      <c r="E181" s="486" t="s">
        <v>74</v>
      </c>
      <c r="F181" s="486" t="s">
        <v>593</v>
      </c>
      <c r="G181" s="510" t="s">
        <v>142</v>
      </c>
      <c r="H181" s="484">
        <v>0</v>
      </c>
      <c r="I181" s="484">
        <v>0</v>
      </c>
      <c r="J181" s="484">
        <v>0</v>
      </c>
      <c r="K181" s="482">
        <v>0</v>
      </c>
      <c r="L181" s="482">
        <v>0</v>
      </c>
      <c r="M181" s="482">
        <v>0</v>
      </c>
      <c r="N181" s="484">
        <v>0</v>
      </c>
      <c r="O181" s="482">
        <v>0</v>
      </c>
      <c r="P181" s="482">
        <v>0</v>
      </c>
      <c r="Q181" s="482">
        <v>0</v>
      </c>
    </row>
    <row r="182" spans="1:17" ht="15.75" customHeight="1" x14ac:dyDescent="0.2">
      <c r="A182" s="526">
        <v>174</v>
      </c>
      <c r="B182" s="484" t="s">
        <v>176</v>
      </c>
      <c r="C182" s="516" t="s">
        <v>62</v>
      </c>
      <c r="D182" s="484"/>
      <c r="E182" s="486" t="s">
        <v>765</v>
      </c>
      <c r="F182" s="486" t="s">
        <v>455</v>
      </c>
      <c r="G182" s="510" t="s">
        <v>142</v>
      </c>
      <c r="H182" s="484">
        <v>12</v>
      </c>
      <c r="I182" s="484">
        <v>10</v>
      </c>
      <c r="J182" s="484">
        <v>10</v>
      </c>
      <c r="K182" s="482">
        <v>11360.06</v>
      </c>
      <c r="L182" s="482">
        <v>11360.06</v>
      </c>
      <c r="M182" s="482">
        <v>0</v>
      </c>
      <c r="N182" s="484">
        <v>0</v>
      </c>
      <c r="O182" s="482">
        <v>0</v>
      </c>
      <c r="P182" s="482">
        <v>0</v>
      </c>
      <c r="Q182" s="482">
        <v>0</v>
      </c>
    </row>
    <row r="183" spans="1:17" ht="15.75" customHeight="1" x14ac:dyDescent="0.2">
      <c r="A183" s="526">
        <v>175</v>
      </c>
      <c r="B183" s="484" t="s">
        <v>235</v>
      </c>
      <c r="C183" s="516" t="s">
        <v>62</v>
      </c>
      <c r="D183" s="484"/>
      <c r="E183" s="486" t="s">
        <v>766</v>
      </c>
      <c r="F183" s="486" t="s">
        <v>457</v>
      </c>
      <c r="G183" s="510" t="s">
        <v>142</v>
      </c>
      <c r="H183" s="484">
        <v>4</v>
      </c>
      <c r="I183" s="484">
        <v>3</v>
      </c>
      <c r="J183" s="484">
        <v>3</v>
      </c>
      <c r="K183" s="482">
        <v>2269.65</v>
      </c>
      <c r="L183" s="482">
        <v>2269.65</v>
      </c>
      <c r="M183" s="482">
        <v>0</v>
      </c>
      <c r="N183" s="484">
        <v>0</v>
      </c>
      <c r="O183" s="482">
        <v>0</v>
      </c>
      <c r="P183" s="482">
        <v>0</v>
      </c>
      <c r="Q183" s="482">
        <v>0</v>
      </c>
    </row>
    <row r="184" spans="1:17" ht="15.75" customHeight="1" x14ac:dyDescent="0.2">
      <c r="A184" s="526">
        <v>176</v>
      </c>
      <c r="B184" s="484" t="s">
        <v>251</v>
      </c>
      <c r="C184" s="516" t="s">
        <v>62</v>
      </c>
      <c r="D184" s="484"/>
      <c r="E184" s="486" t="s">
        <v>761</v>
      </c>
      <c r="F184" s="486" t="s">
        <v>458</v>
      </c>
      <c r="G184" s="510" t="s">
        <v>142</v>
      </c>
      <c r="H184" s="484">
        <v>6</v>
      </c>
      <c r="I184" s="484">
        <v>3</v>
      </c>
      <c r="J184" s="484">
        <v>3</v>
      </c>
      <c r="K184" s="482">
        <v>3434.7</v>
      </c>
      <c r="L184" s="482">
        <v>3434.7</v>
      </c>
      <c r="M184" s="482">
        <v>0</v>
      </c>
      <c r="N184" s="484">
        <v>0</v>
      </c>
      <c r="O184" s="482">
        <v>0</v>
      </c>
      <c r="P184" s="482">
        <v>0</v>
      </c>
      <c r="Q184" s="482">
        <v>0</v>
      </c>
    </row>
    <row r="185" spans="1:17" ht="15.75" customHeight="1" x14ac:dyDescent="0.2">
      <c r="A185" s="526">
        <v>177</v>
      </c>
      <c r="B185" s="484" t="s">
        <v>30</v>
      </c>
      <c r="C185" s="516" t="s">
        <v>62</v>
      </c>
      <c r="D185" s="484"/>
      <c r="E185" s="486" t="s">
        <v>767</v>
      </c>
      <c r="F185" s="486" t="s">
        <v>460</v>
      </c>
      <c r="G185" s="510" t="s">
        <v>142</v>
      </c>
      <c r="H185" s="484">
        <v>1</v>
      </c>
      <c r="I185" s="484">
        <v>0</v>
      </c>
      <c r="J185" s="484">
        <v>0</v>
      </c>
      <c r="K185" s="482">
        <v>0</v>
      </c>
      <c r="L185" s="482">
        <v>0</v>
      </c>
      <c r="M185" s="482">
        <v>0</v>
      </c>
      <c r="N185" s="484">
        <v>0</v>
      </c>
      <c r="O185" s="482">
        <v>0</v>
      </c>
      <c r="P185" s="482">
        <v>0</v>
      </c>
      <c r="Q185" s="482">
        <v>0</v>
      </c>
    </row>
    <row r="186" spans="1:17" ht="15.75" customHeight="1" x14ac:dyDescent="0.2">
      <c r="A186" s="526">
        <v>178</v>
      </c>
      <c r="B186" s="484" t="s">
        <v>35</v>
      </c>
      <c r="C186" s="516" t="s">
        <v>62</v>
      </c>
      <c r="D186" s="484"/>
      <c r="E186" s="486" t="s">
        <v>768</v>
      </c>
      <c r="F186" s="486" t="s">
        <v>462</v>
      </c>
      <c r="G186" s="510" t="s">
        <v>142</v>
      </c>
      <c r="H186" s="484">
        <v>1</v>
      </c>
      <c r="I186" s="484">
        <v>0</v>
      </c>
      <c r="J186" s="484">
        <v>0</v>
      </c>
      <c r="K186" s="482">
        <v>0</v>
      </c>
      <c r="L186" s="482">
        <v>0</v>
      </c>
      <c r="M186" s="482">
        <v>0</v>
      </c>
      <c r="N186" s="484">
        <v>0</v>
      </c>
      <c r="O186" s="482">
        <v>0</v>
      </c>
      <c r="P186" s="482">
        <v>0</v>
      </c>
      <c r="Q186" s="482">
        <v>0</v>
      </c>
    </row>
    <row r="187" spans="1:17" ht="15.75" customHeight="1" x14ac:dyDescent="0.2">
      <c r="A187" s="526">
        <v>179</v>
      </c>
      <c r="B187" s="484" t="s">
        <v>769</v>
      </c>
      <c r="C187" s="516" t="s">
        <v>62</v>
      </c>
      <c r="D187" s="484"/>
      <c r="E187" s="486" t="s">
        <v>770</v>
      </c>
      <c r="F187" s="486" t="s">
        <v>771</v>
      </c>
      <c r="G187" s="510" t="s">
        <v>142</v>
      </c>
      <c r="H187" s="484">
        <v>1</v>
      </c>
      <c r="I187" s="484">
        <v>0</v>
      </c>
      <c r="J187" s="484">
        <v>0</v>
      </c>
      <c r="K187" s="482">
        <v>0</v>
      </c>
      <c r="L187" s="482">
        <v>0</v>
      </c>
      <c r="M187" s="482">
        <v>0</v>
      </c>
      <c r="N187" s="484">
        <v>0</v>
      </c>
      <c r="O187" s="482">
        <v>0</v>
      </c>
      <c r="P187" s="482">
        <v>0</v>
      </c>
      <c r="Q187" s="482">
        <v>0</v>
      </c>
    </row>
    <row r="188" spans="1:17" ht="15.75" customHeight="1" x14ac:dyDescent="0.2">
      <c r="A188" s="526">
        <v>180</v>
      </c>
      <c r="B188" s="556" t="s">
        <v>134</v>
      </c>
      <c r="C188" s="557" t="s">
        <v>62</v>
      </c>
      <c r="D188" s="558"/>
      <c r="E188" s="486" t="s">
        <v>158</v>
      </c>
      <c r="F188" s="556" t="s">
        <v>408</v>
      </c>
      <c r="G188" s="556" t="s">
        <v>409</v>
      </c>
      <c r="H188" s="550">
        <v>28</v>
      </c>
      <c r="I188" s="550">
        <v>12</v>
      </c>
      <c r="J188" s="550">
        <v>12</v>
      </c>
      <c r="K188" s="551">
        <v>12725.11</v>
      </c>
      <c r="L188" s="551">
        <v>12725.11</v>
      </c>
      <c r="M188" s="482">
        <v>0</v>
      </c>
      <c r="N188" s="550">
        <v>10</v>
      </c>
      <c r="O188" s="551">
        <v>24976.5</v>
      </c>
      <c r="P188" s="551">
        <v>24976.5</v>
      </c>
      <c r="Q188" s="482">
        <v>0</v>
      </c>
    </row>
    <row r="189" spans="1:17" ht="15.75" customHeight="1" x14ac:dyDescent="0.2">
      <c r="A189" s="526">
        <v>181</v>
      </c>
      <c r="B189" s="556" t="s">
        <v>335</v>
      </c>
      <c r="C189" s="557" t="s">
        <v>62</v>
      </c>
      <c r="D189" s="558"/>
      <c r="E189" s="486" t="s">
        <v>158</v>
      </c>
      <c r="F189" s="556" t="s">
        <v>410</v>
      </c>
      <c r="G189" s="556" t="s">
        <v>409</v>
      </c>
      <c r="H189" s="550">
        <v>20</v>
      </c>
      <c r="I189" s="550">
        <v>9</v>
      </c>
      <c r="J189" s="550">
        <v>9</v>
      </c>
      <c r="K189" s="551">
        <v>12284.59</v>
      </c>
      <c r="L189" s="551">
        <v>12284.59</v>
      </c>
      <c r="M189" s="482">
        <v>0</v>
      </c>
      <c r="N189" s="550">
        <v>13</v>
      </c>
      <c r="O189" s="551">
        <v>20140.7</v>
      </c>
      <c r="P189" s="551">
        <v>20140.7</v>
      </c>
      <c r="Q189" s="482">
        <v>0</v>
      </c>
    </row>
    <row r="190" spans="1:17" ht="15.75" customHeight="1" x14ac:dyDescent="0.2">
      <c r="A190" s="526">
        <v>182</v>
      </c>
      <c r="B190" s="556" t="s">
        <v>46</v>
      </c>
      <c r="C190" s="557" t="s">
        <v>62</v>
      </c>
      <c r="D190" s="558"/>
      <c r="E190" s="486" t="s">
        <v>678</v>
      </c>
      <c r="F190" s="556" t="s">
        <v>411</v>
      </c>
      <c r="G190" s="556" t="s">
        <v>409</v>
      </c>
      <c r="H190" s="550">
        <v>41</v>
      </c>
      <c r="I190" s="550">
        <v>33</v>
      </c>
      <c r="J190" s="550">
        <v>33</v>
      </c>
      <c r="K190" s="551">
        <v>62355.5</v>
      </c>
      <c r="L190" s="551">
        <v>62355.5</v>
      </c>
      <c r="M190" s="482">
        <v>0</v>
      </c>
      <c r="N190" s="550">
        <v>22</v>
      </c>
      <c r="O190" s="551">
        <v>36901.160000000003</v>
      </c>
      <c r="P190" s="551">
        <v>36901.160000000003</v>
      </c>
      <c r="Q190" s="482">
        <v>0</v>
      </c>
    </row>
    <row r="191" spans="1:17" ht="15.75" customHeight="1" x14ac:dyDescent="0.2">
      <c r="A191" s="526">
        <v>183</v>
      </c>
      <c r="B191" s="556" t="s">
        <v>36</v>
      </c>
      <c r="C191" s="557" t="s">
        <v>62</v>
      </c>
      <c r="D191" s="558"/>
      <c r="E191" s="486" t="s">
        <v>158</v>
      </c>
      <c r="F191" s="556" t="s">
        <v>412</v>
      </c>
      <c r="G191" s="556" t="s">
        <v>409</v>
      </c>
      <c r="H191" s="550">
        <v>29</v>
      </c>
      <c r="I191" s="550">
        <v>22</v>
      </c>
      <c r="J191" s="550">
        <v>24</v>
      </c>
      <c r="K191" s="551">
        <v>40795.58</v>
      </c>
      <c r="L191" s="551">
        <v>40795.58</v>
      </c>
      <c r="M191" s="482">
        <v>0</v>
      </c>
      <c r="N191" s="550">
        <v>26</v>
      </c>
      <c r="O191" s="551">
        <v>75365.119999999995</v>
      </c>
      <c r="P191" s="551">
        <v>75365.119999999995</v>
      </c>
      <c r="Q191" s="482">
        <v>0</v>
      </c>
    </row>
    <row r="192" spans="1:17" ht="15.75" customHeight="1" x14ac:dyDescent="0.2">
      <c r="A192" s="526">
        <v>184</v>
      </c>
      <c r="B192" s="556" t="s">
        <v>27</v>
      </c>
      <c r="C192" s="557" t="s">
        <v>62</v>
      </c>
      <c r="D192" s="558"/>
      <c r="E192" s="486" t="s">
        <v>158</v>
      </c>
      <c r="F192" s="556" t="s">
        <v>413</v>
      </c>
      <c r="G192" s="556" t="s">
        <v>409</v>
      </c>
      <c r="H192" s="550">
        <v>13</v>
      </c>
      <c r="I192" s="550">
        <v>8</v>
      </c>
      <c r="J192" s="550">
        <v>10</v>
      </c>
      <c r="K192" s="551">
        <v>17107.84</v>
      </c>
      <c r="L192" s="551">
        <v>17107.84</v>
      </c>
      <c r="M192" s="482">
        <v>0</v>
      </c>
      <c r="N192" s="550">
        <v>10</v>
      </c>
      <c r="O192" s="551">
        <v>19563.2</v>
      </c>
      <c r="P192" s="551">
        <v>19563.2</v>
      </c>
      <c r="Q192" s="482">
        <v>0</v>
      </c>
    </row>
    <row r="193" spans="1:17" ht="15.75" customHeight="1" x14ac:dyDescent="0.2">
      <c r="A193" s="526">
        <v>185</v>
      </c>
      <c r="B193" s="556" t="s">
        <v>28</v>
      </c>
      <c r="C193" s="557" t="s">
        <v>62</v>
      </c>
      <c r="D193" s="558"/>
      <c r="E193" s="486" t="s">
        <v>158</v>
      </c>
      <c r="F193" s="556" t="s">
        <v>414</v>
      </c>
      <c r="G193" s="556" t="s">
        <v>409</v>
      </c>
      <c r="H193" s="550">
        <v>31</v>
      </c>
      <c r="I193" s="550">
        <v>24</v>
      </c>
      <c r="J193" s="550">
        <v>25</v>
      </c>
      <c r="K193" s="551">
        <v>39774.769999999997</v>
      </c>
      <c r="L193" s="551">
        <v>39774.769999999997</v>
      </c>
      <c r="M193" s="482">
        <v>0</v>
      </c>
      <c r="N193" s="550">
        <v>14</v>
      </c>
      <c r="O193" s="551">
        <v>27680.9</v>
      </c>
      <c r="P193" s="551">
        <v>27680.9</v>
      </c>
      <c r="Q193" s="482">
        <v>0</v>
      </c>
    </row>
    <row r="194" spans="1:17" ht="15.75" customHeight="1" x14ac:dyDescent="0.2">
      <c r="A194" s="526">
        <v>186</v>
      </c>
      <c r="B194" s="532" t="s">
        <v>246</v>
      </c>
      <c r="C194" s="533" t="s">
        <v>62</v>
      </c>
      <c r="D194" s="534"/>
      <c r="E194" s="486" t="s">
        <v>158</v>
      </c>
      <c r="F194" s="532" t="s">
        <v>415</v>
      </c>
      <c r="G194" s="556" t="s">
        <v>409</v>
      </c>
      <c r="H194" s="550">
        <v>27</v>
      </c>
      <c r="I194" s="550">
        <v>9</v>
      </c>
      <c r="J194" s="550">
        <v>9</v>
      </c>
      <c r="K194" s="551">
        <v>10189.24</v>
      </c>
      <c r="L194" s="551">
        <v>10189.24</v>
      </c>
      <c r="M194" s="482">
        <v>0</v>
      </c>
      <c r="N194" s="550">
        <v>0</v>
      </c>
      <c r="O194" s="551">
        <v>0</v>
      </c>
      <c r="P194" s="551">
        <v>0</v>
      </c>
      <c r="Q194" s="482">
        <v>0</v>
      </c>
    </row>
    <row r="195" spans="1:17" ht="15.75" customHeight="1" x14ac:dyDescent="0.2">
      <c r="A195" s="526">
        <v>187</v>
      </c>
      <c r="B195" s="556" t="s">
        <v>330</v>
      </c>
      <c r="C195" s="533" t="s">
        <v>62</v>
      </c>
      <c r="D195" s="534"/>
      <c r="E195" s="486" t="s">
        <v>158</v>
      </c>
      <c r="F195" s="532" t="s">
        <v>416</v>
      </c>
      <c r="G195" s="556" t="s">
        <v>409</v>
      </c>
      <c r="H195" s="550">
        <v>10</v>
      </c>
      <c r="I195" s="550">
        <v>2</v>
      </c>
      <c r="J195" s="550">
        <v>2</v>
      </c>
      <c r="K195" s="551">
        <v>4050.2</v>
      </c>
      <c r="L195" s="551">
        <v>4050.2</v>
      </c>
      <c r="M195" s="482">
        <v>0</v>
      </c>
      <c r="N195" s="550">
        <v>0</v>
      </c>
      <c r="O195" s="551">
        <v>0</v>
      </c>
      <c r="P195" s="551">
        <v>0</v>
      </c>
      <c r="Q195" s="482">
        <v>0</v>
      </c>
    </row>
    <row r="196" spans="1:17" ht="15.75" customHeight="1" x14ac:dyDescent="0.2">
      <c r="A196" s="526">
        <v>188</v>
      </c>
      <c r="B196" s="556" t="s">
        <v>402</v>
      </c>
      <c r="C196" s="533" t="s">
        <v>62</v>
      </c>
      <c r="D196" s="534"/>
      <c r="E196" s="486" t="s">
        <v>158</v>
      </c>
      <c r="F196" s="532" t="s">
        <v>417</v>
      </c>
      <c r="G196" s="556" t="s">
        <v>409</v>
      </c>
      <c r="H196" s="550">
        <v>24</v>
      </c>
      <c r="I196" s="550">
        <v>16</v>
      </c>
      <c r="J196" s="550">
        <v>16</v>
      </c>
      <c r="K196" s="551">
        <v>34364.54</v>
      </c>
      <c r="L196" s="551">
        <v>34364.54</v>
      </c>
      <c r="M196" s="482">
        <v>0</v>
      </c>
      <c r="N196" s="550">
        <v>0</v>
      </c>
      <c r="O196" s="551">
        <v>0</v>
      </c>
      <c r="P196" s="551">
        <v>0</v>
      </c>
      <c r="Q196" s="482">
        <v>0</v>
      </c>
    </row>
    <row r="197" spans="1:17" ht="15.75" customHeight="1" x14ac:dyDescent="0.2">
      <c r="A197" s="526">
        <v>189</v>
      </c>
      <c r="B197" s="556" t="s">
        <v>154</v>
      </c>
      <c r="C197" s="533" t="s">
        <v>62</v>
      </c>
      <c r="D197" s="534"/>
      <c r="E197" s="556" t="s">
        <v>158</v>
      </c>
      <c r="F197" s="532" t="s">
        <v>418</v>
      </c>
      <c r="G197" s="556" t="s">
        <v>409</v>
      </c>
      <c r="H197" s="550">
        <v>13</v>
      </c>
      <c r="I197" s="550">
        <v>5</v>
      </c>
      <c r="J197" s="550">
        <v>6</v>
      </c>
      <c r="K197" s="551">
        <v>10590.3</v>
      </c>
      <c r="L197" s="551">
        <v>10590.3</v>
      </c>
      <c r="M197" s="482">
        <v>0</v>
      </c>
      <c r="N197" s="550">
        <v>9</v>
      </c>
      <c r="O197" s="551">
        <v>14857.9</v>
      </c>
      <c r="P197" s="551">
        <v>14857.9</v>
      </c>
      <c r="Q197" s="482">
        <v>0</v>
      </c>
    </row>
    <row r="198" spans="1:17" ht="15.75" customHeight="1" x14ac:dyDescent="0.2">
      <c r="A198" s="526">
        <v>190</v>
      </c>
      <c r="B198" s="556" t="s">
        <v>153</v>
      </c>
      <c r="C198" s="533" t="s">
        <v>62</v>
      </c>
      <c r="D198" s="534"/>
      <c r="E198" s="486" t="s">
        <v>158</v>
      </c>
      <c r="F198" s="532" t="s">
        <v>419</v>
      </c>
      <c r="G198" s="556" t="s">
        <v>409</v>
      </c>
      <c r="H198" s="550">
        <v>4</v>
      </c>
      <c r="I198" s="550">
        <v>1</v>
      </c>
      <c r="J198" s="550">
        <v>1</v>
      </c>
      <c r="K198" s="551">
        <v>1635.8</v>
      </c>
      <c r="L198" s="551">
        <v>1635.8</v>
      </c>
      <c r="M198" s="482">
        <v>0</v>
      </c>
      <c r="N198" s="550">
        <v>18</v>
      </c>
      <c r="O198" s="551">
        <v>63052.81</v>
      </c>
      <c r="P198" s="551">
        <v>63052.81</v>
      </c>
      <c r="Q198" s="482">
        <v>0</v>
      </c>
    </row>
    <row r="199" spans="1:17" ht="15.75" customHeight="1" x14ac:dyDescent="0.2">
      <c r="A199" s="526">
        <v>191</v>
      </c>
      <c r="B199" s="556" t="s">
        <v>89</v>
      </c>
      <c r="C199" s="533" t="s">
        <v>62</v>
      </c>
      <c r="D199" s="534"/>
      <c r="E199" s="486" t="s">
        <v>158</v>
      </c>
      <c r="F199" s="532" t="s">
        <v>420</v>
      </c>
      <c r="G199" s="556" t="s">
        <v>409</v>
      </c>
      <c r="H199" s="550">
        <v>14</v>
      </c>
      <c r="I199" s="550">
        <v>7</v>
      </c>
      <c r="J199" s="550">
        <v>9</v>
      </c>
      <c r="K199" s="551">
        <v>14579.1</v>
      </c>
      <c r="L199" s="551">
        <v>14579.1</v>
      </c>
      <c r="M199" s="482">
        <v>0</v>
      </c>
      <c r="N199" s="550">
        <v>5</v>
      </c>
      <c r="O199" s="551">
        <v>15221.9</v>
      </c>
      <c r="P199" s="551">
        <v>15221.9</v>
      </c>
      <c r="Q199" s="482">
        <v>0</v>
      </c>
    </row>
    <row r="200" spans="1:17" ht="15.75" customHeight="1" x14ac:dyDescent="0.2">
      <c r="A200" s="526">
        <v>192</v>
      </c>
      <c r="B200" s="556" t="s">
        <v>379</v>
      </c>
      <c r="C200" s="533" t="s">
        <v>62</v>
      </c>
      <c r="D200" s="534"/>
      <c r="E200" s="486" t="s">
        <v>158</v>
      </c>
      <c r="F200" s="532" t="s">
        <v>421</v>
      </c>
      <c r="G200" s="556" t="s">
        <v>409</v>
      </c>
      <c r="H200" s="550">
        <v>10</v>
      </c>
      <c r="I200" s="550">
        <v>8</v>
      </c>
      <c r="J200" s="550">
        <v>8</v>
      </c>
      <c r="K200" s="551">
        <v>10554.55</v>
      </c>
      <c r="L200" s="551">
        <v>10554.55</v>
      </c>
      <c r="M200" s="482">
        <v>0</v>
      </c>
      <c r="N200" s="550">
        <v>0</v>
      </c>
      <c r="O200" s="551">
        <v>0</v>
      </c>
      <c r="P200" s="551">
        <v>0</v>
      </c>
      <c r="Q200" s="482">
        <v>0</v>
      </c>
    </row>
    <row r="201" spans="1:17" ht="15.75" customHeight="1" x14ac:dyDescent="0.2">
      <c r="A201" s="526">
        <v>193</v>
      </c>
      <c r="B201" s="556" t="s">
        <v>264</v>
      </c>
      <c r="C201" s="533" t="s">
        <v>62</v>
      </c>
      <c r="D201" s="534"/>
      <c r="E201" s="486" t="s">
        <v>158</v>
      </c>
      <c r="F201" s="532" t="s">
        <v>422</v>
      </c>
      <c r="G201" s="556" t="s">
        <v>409</v>
      </c>
      <c r="H201" s="550">
        <v>3</v>
      </c>
      <c r="I201" s="550">
        <v>0</v>
      </c>
      <c r="J201" s="550">
        <v>0</v>
      </c>
      <c r="K201" s="551">
        <v>0</v>
      </c>
      <c r="L201" s="551">
        <v>0</v>
      </c>
      <c r="M201" s="482">
        <v>0</v>
      </c>
      <c r="N201" s="550">
        <v>0</v>
      </c>
      <c r="O201" s="551">
        <v>0</v>
      </c>
      <c r="P201" s="551">
        <v>0</v>
      </c>
      <c r="Q201" s="482">
        <v>0</v>
      </c>
    </row>
    <row r="202" spans="1:17" ht="15.75" customHeight="1" x14ac:dyDescent="0.2">
      <c r="A202" s="526">
        <v>194</v>
      </c>
      <c r="B202" s="556" t="s">
        <v>475</v>
      </c>
      <c r="C202" s="533" t="s">
        <v>67</v>
      </c>
      <c r="D202" s="558" t="s">
        <v>123</v>
      </c>
      <c r="E202" s="556" t="s">
        <v>158</v>
      </c>
      <c r="F202" s="532" t="s">
        <v>423</v>
      </c>
      <c r="G202" s="556" t="s">
        <v>409</v>
      </c>
      <c r="H202" s="550">
        <v>3</v>
      </c>
      <c r="I202" s="550">
        <v>1</v>
      </c>
      <c r="J202" s="550">
        <v>1</v>
      </c>
      <c r="K202" s="551">
        <v>552.29999999999995</v>
      </c>
      <c r="L202" s="551">
        <v>552.29999999999995</v>
      </c>
      <c r="M202" s="482">
        <v>0</v>
      </c>
      <c r="N202" s="550">
        <v>0</v>
      </c>
      <c r="O202" s="551">
        <v>0</v>
      </c>
      <c r="P202" s="551">
        <v>0</v>
      </c>
      <c r="Q202" s="482">
        <v>0</v>
      </c>
    </row>
    <row r="203" spans="1:17" ht="15.75" customHeight="1" x14ac:dyDescent="0.2">
      <c r="A203" s="526">
        <v>195</v>
      </c>
      <c r="B203" s="556" t="s">
        <v>137</v>
      </c>
      <c r="C203" s="533" t="s">
        <v>62</v>
      </c>
      <c r="D203" s="534"/>
      <c r="E203" s="556" t="s">
        <v>158</v>
      </c>
      <c r="F203" s="532" t="s">
        <v>424</v>
      </c>
      <c r="G203" s="556" t="s">
        <v>409</v>
      </c>
      <c r="H203" s="550">
        <v>6</v>
      </c>
      <c r="I203" s="550">
        <v>2</v>
      </c>
      <c r="J203" s="550">
        <v>2</v>
      </c>
      <c r="K203" s="551">
        <v>2243.8200000000002</v>
      </c>
      <c r="L203" s="551">
        <v>2243.8200000000002</v>
      </c>
      <c r="M203" s="482">
        <v>0</v>
      </c>
      <c r="N203" s="550">
        <v>1</v>
      </c>
      <c r="O203" s="551">
        <v>2393.3000000000002</v>
      </c>
      <c r="P203" s="551">
        <v>2393.3000000000002</v>
      </c>
      <c r="Q203" s="482">
        <v>0</v>
      </c>
    </row>
    <row r="204" spans="1:17" ht="15.75" customHeight="1" x14ac:dyDescent="0.2">
      <c r="A204" s="526">
        <v>196</v>
      </c>
      <c r="B204" s="556" t="s">
        <v>173</v>
      </c>
      <c r="C204" s="533" t="s">
        <v>67</v>
      </c>
      <c r="D204" s="484" t="s">
        <v>478</v>
      </c>
      <c r="E204" s="486" t="s">
        <v>158</v>
      </c>
      <c r="F204" s="532" t="s">
        <v>426</v>
      </c>
      <c r="G204" s="556" t="s">
        <v>409</v>
      </c>
      <c r="H204" s="550">
        <v>14</v>
      </c>
      <c r="I204" s="550">
        <v>11</v>
      </c>
      <c r="J204" s="550">
        <v>11</v>
      </c>
      <c r="K204" s="551">
        <v>22569.77</v>
      </c>
      <c r="L204" s="551">
        <v>22569.77</v>
      </c>
      <c r="M204" s="482">
        <v>0</v>
      </c>
      <c r="N204" s="550">
        <v>0</v>
      </c>
      <c r="O204" s="551">
        <v>0</v>
      </c>
      <c r="P204" s="551">
        <v>0</v>
      </c>
      <c r="Q204" s="482">
        <v>0</v>
      </c>
    </row>
    <row r="205" spans="1:17" ht="15.75" customHeight="1" x14ac:dyDescent="0.2">
      <c r="A205" s="526">
        <v>197</v>
      </c>
      <c r="B205" s="556" t="s">
        <v>135</v>
      </c>
      <c r="C205" s="533" t="s">
        <v>62</v>
      </c>
      <c r="D205" s="534"/>
      <c r="E205" s="486" t="s">
        <v>158</v>
      </c>
      <c r="F205" s="532" t="s">
        <v>427</v>
      </c>
      <c r="G205" s="556" t="s">
        <v>409</v>
      </c>
      <c r="H205" s="550">
        <v>7</v>
      </c>
      <c r="I205" s="550">
        <v>5</v>
      </c>
      <c r="J205" s="550">
        <v>5</v>
      </c>
      <c r="K205" s="551">
        <v>6042.68</v>
      </c>
      <c r="L205" s="551">
        <v>6042.68</v>
      </c>
      <c r="M205" s="482">
        <v>0</v>
      </c>
      <c r="N205" s="550">
        <v>13</v>
      </c>
      <c r="O205" s="551">
        <v>29153.119999999999</v>
      </c>
      <c r="P205" s="551">
        <v>29153.119999999999</v>
      </c>
      <c r="Q205" s="482">
        <v>0</v>
      </c>
    </row>
    <row r="206" spans="1:17" ht="15.75" customHeight="1" x14ac:dyDescent="0.2">
      <c r="A206" s="526">
        <v>198</v>
      </c>
      <c r="B206" s="556" t="s">
        <v>148</v>
      </c>
      <c r="C206" s="533" t="s">
        <v>62</v>
      </c>
      <c r="D206" s="534"/>
      <c r="E206" s="556" t="s">
        <v>719</v>
      </c>
      <c r="F206" s="532" t="s">
        <v>375</v>
      </c>
      <c r="G206" s="556" t="s">
        <v>409</v>
      </c>
      <c r="H206" s="550">
        <v>26</v>
      </c>
      <c r="I206" s="550">
        <v>18</v>
      </c>
      <c r="J206" s="550">
        <v>23</v>
      </c>
      <c r="K206" s="551">
        <v>67547.17</v>
      </c>
      <c r="L206" s="551">
        <v>67547.17</v>
      </c>
      <c r="M206" s="482">
        <v>0</v>
      </c>
      <c r="N206" s="550">
        <v>38</v>
      </c>
      <c r="O206" s="551">
        <v>123977.34</v>
      </c>
      <c r="P206" s="551">
        <v>123977.34</v>
      </c>
      <c r="Q206" s="482">
        <v>0</v>
      </c>
    </row>
    <row r="207" spans="1:17" ht="15.75" customHeight="1" x14ac:dyDescent="0.2">
      <c r="A207" s="526">
        <v>199</v>
      </c>
      <c r="B207" s="556" t="s">
        <v>147</v>
      </c>
      <c r="C207" s="533" t="s">
        <v>62</v>
      </c>
      <c r="D207" s="534"/>
      <c r="E207" s="486" t="s">
        <v>158</v>
      </c>
      <c r="F207" s="532" t="s">
        <v>331</v>
      </c>
      <c r="G207" s="556" t="s">
        <v>409</v>
      </c>
      <c r="H207" s="550">
        <v>10</v>
      </c>
      <c r="I207" s="550">
        <v>4</v>
      </c>
      <c r="J207" s="550">
        <v>4</v>
      </c>
      <c r="K207" s="551">
        <v>9333.7999999999993</v>
      </c>
      <c r="L207" s="551">
        <v>9333.7999999999993</v>
      </c>
      <c r="M207" s="482">
        <v>0</v>
      </c>
      <c r="N207" s="550">
        <v>10</v>
      </c>
      <c r="O207" s="551">
        <v>22395.4</v>
      </c>
      <c r="P207" s="551">
        <v>22395.4</v>
      </c>
      <c r="Q207" s="482">
        <v>0</v>
      </c>
    </row>
    <row r="208" spans="1:17" ht="15.75" customHeight="1" x14ac:dyDescent="0.2">
      <c r="A208" s="526">
        <v>200</v>
      </c>
      <c r="B208" s="556" t="s">
        <v>124</v>
      </c>
      <c r="C208" s="533" t="s">
        <v>62</v>
      </c>
      <c r="D208" s="534"/>
      <c r="E208" s="556" t="s">
        <v>720</v>
      </c>
      <c r="F208" s="532" t="s">
        <v>329</v>
      </c>
      <c r="G208" s="556" t="s">
        <v>409</v>
      </c>
      <c r="H208" s="550">
        <v>17</v>
      </c>
      <c r="I208" s="550">
        <v>14</v>
      </c>
      <c r="J208" s="550">
        <v>14</v>
      </c>
      <c r="K208" s="551">
        <v>22048.86</v>
      </c>
      <c r="L208" s="551">
        <v>22048.86</v>
      </c>
      <c r="M208" s="482">
        <v>0</v>
      </c>
      <c r="N208" s="550">
        <v>30</v>
      </c>
      <c r="O208" s="551">
        <v>45034.45</v>
      </c>
      <c r="P208" s="551">
        <v>45034.45</v>
      </c>
      <c r="Q208" s="482">
        <v>0</v>
      </c>
    </row>
    <row r="209" spans="1:17" ht="15.75" customHeight="1" x14ac:dyDescent="0.2">
      <c r="A209" s="526">
        <v>201</v>
      </c>
      <c r="B209" s="556" t="s">
        <v>168</v>
      </c>
      <c r="C209" s="533" t="s">
        <v>62</v>
      </c>
      <c r="D209" s="534"/>
      <c r="E209" s="532" t="s">
        <v>371</v>
      </c>
      <c r="F209" s="532" t="s">
        <v>353</v>
      </c>
      <c r="G209" s="556" t="s">
        <v>409</v>
      </c>
      <c r="H209" s="550">
        <v>11</v>
      </c>
      <c r="I209" s="550">
        <v>1</v>
      </c>
      <c r="J209" s="550">
        <v>1</v>
      </c>
      <c r="K209" s="551">
        <v>1409.6</v>
      </c>
      <c r="L209" s="551">
        <v>1409.6</v>
      </c>
      <c r="M209" s="482">
        <v>0</v>
      </c>
      <c r="N209" s="550">
        <v>0</v>
      </c>
      <c r="O209" s="551">
        <v>0</v>
      </c>
      <c r="P209" s="551">
        <v>0</v>
      </c>
      <c r="Q209" s="482">
        <v>0</v>
      </c>
    </row>
    <row r="210" spans="1:17" ht="15.75" customHeight="1" x14ac:dyDescent="0.2">
      <c r="A210" s="526">
        <v>202</v>
      </c>
      <c r="B210" s="556" t="s">
        <v>429</v>
      </c>
      <c r="C210" s="533" t="s">
        <v>62</v>
      </c>
      <c r="D210" s="534"/>
      <c r="E210" s="486" t="s">
        <v>158</v>
      </c>
      <c r="F210" s="532" t="s">
        <v>430</v>
      </c>
      <c r="G210" s="556" t="s">
        <v>409</v>
      </c>
      <c r="H210" s="550">
        <v>10</v>
      </c>
      <c r="I210" s="550">
        <v>3</v>
      </c>
      <c r="J210" s="550">
        <v>3</v>
      </c>
      <c r="K210" s="551">
        <v>5178.84</v>
      </c>
      <c r="L210" s="551">
        <v>5178.84</v>
      </c>
      <c r="M210" s="482">
        <v>0</v>
      </c>
      <c r="N210" s="550">
        <v>7</v>
      </c>
      <c r="O210" s="551">
        <v>6995.76</v>
      </c>
      <c r="P210" s="551">
        <v>6995.76</v>
      </c>
      <c r="Q210" s="482">
        <v>0</v>
      </c>
    </row>
    <row r="211" spans="1:17" ht="15.75" customHeight="1" x14ac:dyDescent="0.2">
      <c r="A211" s="526">
        <v>203</v>
      </c>
      <c r="B211" s="556" t="s">
        <v>130</v>
      </c>
      <c r="C211" s="533" t="s">
        <v>62</v>
      </c>
      <c r="D211" s="534"/>
      <c r="E211" s="486" t="s">
        <v>158</v>
      </c>
      <c r="F211" s="532" t="s">
        <v>431</v>
      </c>
      <c r="G211" s="556" t="s">
        <v>409</v>
      </c>
      <c r="H211" s="550">
        <v>7</v>
      </c>
      <c r="I211" s="550">
        <v>5</v>
      </c>
      <c r="J211" s="550">
        <v>5</v>
      </c>
      <c r="K211" s="551">
        <v>6769.13</v>
      </c>
      <c r="L211" s="551">
        <v>6769.13</v>
      </c>
      <c r="M211" s="482">
        <v>0</v>
      </c>
      <c r="N211" s="550">
        <v>5</v>
      </c>
      <c r="O211" s="551">
        <v>10391.459999999999</v>
      </c>
      <c r="P211" s="551">
        <v>10391.459999999999</v>
      </c>
      <c r="Q211" s="482">
        <v>0</v>
      </c>
    </row>
    <row r="212" spans="1:17" ht="15.75" customHeight="1" x14ac:dyDescent="0.2">
      <c r="A212" s="526">
        <v>204</v>
      </c>
      <c r="B212" s="556" t="s">
        <v>32</v>
      </c>
      <c r="C212" s="533" t="s">
        <v>62</v>
      </c>
      <c r="D212" s="534"/>
      <c r="E212" s="486" t="s">
        <v>158</v>
      </c>
      <c r="F212" s="532" t="s">
        <v>432</v>
      </c>
      <c r="G212" s="556" t="s">
        <v>409</v>
      </c>
      <c r="H212" s="550">
        <v>15</v>
      </c>
      <c r="I212" s="550">
        <v>11</v>
      </c>
      <c r="J212" s="550">
        <v>11</v>
      </c>
      <c r="K212" s="551">
        <v>17838.32</v>
      </c>
      <c r="L212" s="551">
        <v>17838.32</v>
      </c>
      <c r="M212" s="482">
        <v>0</v>
      </c>
      <c r="N212" s="550">
        <v>9</v>
      </c>
      <c r="O212" s="551">
        <v>18778.12</v>
      </c>
      <c r="P212" s="551">
        <v>18778.12</v>
      </c>
      <c r="Q212" s="482">
        <v>0</v>
      </c>
    </row>
    <row r="213" spans="1:17" ht="15.75" customHeight="1" x14ac:dyDescent="0.2">
      <c r="A213" s="526">
        <v>205</v>
      </c>
      <c r="B213" s="556" t="s">
        <v>343</v>
      </c>
      <c r="C213" s="533" t="s">
        <v>62</v>
      </c>
      <c r="D213" s="534"/>
      <c r="E213" s="486" t="s">
        <v>158</v>
      </c>
      <c r="F213" s="532" t="s">
        <v>433</v>
      </c>
      <c r="G213" s="556" t="s">
        <v>409</v>
      </c>
      <c r="H213" s="550">
        <v>16</v>
      </c>
      <c r="I213" s="550">
        <v>11</v>
      </c>
      <c r="J213" s="550">
        <v>13</v>
      </c>
      <c r="K213" s="551">
        <v>22456</v>
      </c>
      <c r="L213" s="551">
        <v>22456</v>
      </c>
      <c r="M213" s="482">
        <v>0</v>
      </c>
      <c r="N213" s="550">
        <v>0</v>
      </c>
      <c r="O213" s="551">
        <v>0</v>
      </c>
      <c r="P213" s="551">
        <v>0</v>
      </c>
      <c r="Q213" s="482">
        <v>0</v>
      </c>
    </row>
    <row r="214" spans="1:17" ht="15.75" customHeight="1" x14ac:dyDescent="0.2">
      <c r="A214" s="526">
        <v>206</v>
      </c>
      <c r="B214" s="556" t="s">
        <v>290</v>
      </c>
      <c r="C214" s="533" t="s">
        <v>62</v>
      </c>
      <c r="D214" s="534"/>
      <c r="E214" s="532" t="s">
        <v>371</v>
      </c>
      <c r="F214" s="532" t="s">
        <v>434</v>
      </c>
      <c r="G214" s="556" t="s">
        <v>409</v>
      </c>
      <c r="H214" s="550">
        <v>6</v>
      </c>
      <c r="I214" s="550">
        <v>1</v>
      </c>
      <c r="J214" s="550">
        <v>1</v>
      </c>
      <c r="K214" s="551">
        <v>1585.8</v>
      </c>
      <c r="L214" s="551">
        <v>1585.8</v>
      </c>
      <c r="M214" s="482">
        <v>0</v>
      </c>
      <c r="N214" s="550">
        <v>0</v>
      </c>
      <c r="O214" s="551">
        <v>0</v>
      </c>
      <c r="P214" s="551">
        <v>0</v>
      </c>
      <c r="Q214" s="482">
        <v>0</v>
      </c>
    </row>
    <row r="215" spans="1:17" ht="15.75" customHeight="1" x14ac:dyDescent="0.2">
      <c r="A215" s="526">
        <v>207</v>
      </c>
      <c r="B215" s="556" t="s">
        <v>315</v>
      </c>
      <c r="C215" s="533" t="s">
        <v>62</v>
      </c>
      <c r="D215" s="534"/>
      <c r="E215" s="486" t="s">
        <v>158</v>
      </c>
      <c r="F215" s="532" t="s">
        <v>435</v>
      </c>
      <c r="G215" s="556" t="s">
        <v>409</v>
      </c>
      <c r="H215" s="550">
        <v>21</v>
      </c>
      <c r="I215" s="550">
        <v>8</v>
      </c>
      <c r="J215" s="550">
        <v>8</v>
      </c>
      <c r="K215" s="551">
        <v>18180.3</v>
      </c>
      <c r="L215" s="551">
        <v>18180.3</v>
      </c>
      <c r="M215" s="482">
        <v>0</v>
      </c>
      <c r="N215" s="550">
        <v>6</v>
      </c>
      <c r="O215" s="551">
        <v>14019.72</v>
      </c>
      <c r="P215" s="551">
        <v>14019.72</v>
      </c>
      <c r="Q215" s="482">
        <v>0</v>
      </c>
    </row>
    <row r="216" spans="1:17" ht="15.75" customHeight="1" x14ac:dyDescent="0.2">
      <c r="A216" s="526">
        <v>208</v>
      </c>
      <c r="B216" s="556" t="s">
        <v>216</v>
      </c>
      <c r="C216" s="533" t="s">
        <v>67</v>
      </c>
      <c r="D216" s="534" t="s">
        <v>436</v>
      </c>
      <c r="E216" s="486" t="s">
        <v>158</v>
      </c>
      <c r="F216" s="532" t="s">
        <v>437</v>
      </c>
      <c r="G216" s="556" t="s">
        <v>409</v>
      </c>
      <c r="H216" s="550">
        <v>20</v>
      </c>
      <c r="I216" s="550">
        <v>10</v>
      </c>
      <c r="J216" s="550">
        <v>10</v>
      </c>
      <c r="K216" s="551">
        <v>21215.96</v>
      </c>
      <c r="L216" s="551">
        <v>21215.96</v>
      </c>
      <c r="M216" s="482">
        <v>0</v>
      </c>
      <c r="N216" s="550">
        <v>0</v>
      </c>
      <c r="O216" s="551">
        <v>0</v>
      </c>
      <c r="P216" s="551">
        <v>0</v>
      </c>
      <c r="Q216" s="482">
        <v>0</v>
      </c>
    </row>
    <row r="217" spans="1:17" ht="15.75" customHeight="1" x14ac:dyDescent="0.2">
      <c r="A217" s="526">
        <v>209</v>
      </c>
      <c r="B217" s="556" t="s">
        <v>438</v>
      </c>
      <c r="C217" s="533" t="s">
        <v>62</v>
      </c>
      <c r="D217" s="534"/>
      <c r="E217" s="486" t="s">
        <v>158</v>
      </c>
      <c r="F217" s="532" t="s">
        <v>439</v>
      </c>
      <c r="G217" s="556" t="s">
        <v>409</v>
      </c>
      <c r="H217" s="550">
        <v>9</v>
      </c>
      <c r="I217" s="550">
        <v>1</v>
      </c>
      <c r="J217" s="550">
        <v>1</v>
      </c>
      <c r="K217" s="551">
        <v>3497.9</v>
      </c>
      <c r="L217" s="551">
        <v>3497.9</v>
      </c>
      <c r="M217" s="482">
        <v>0</v>
      </c>
      <c r="N217" s="550">
        <v>0</v>
      </c>
      <c r="O217" s="551">
        <v>0</v>
      </c>
      <c r="P217" s="551">
        <v>0</v>
      </c>
      <c r="Q217" s="482">
        <v>0</v>
      </c>
    </row>
    <row r="218" spans="1:17" ht="15.75" customHeight="1" x14ac:dyDescent="0.2">
      <c r="A218" s="526">
        <v>210</v>
      </c>
      <c r="B218" s="556" t="s">
        <v>440</v>
      </c>
      <c r="C218" s="533" t="s">
        <v>62</v>
      </c>
      <c r="D218" s="534"/>
      <c r="E218" s="486" t="s">
        <v>158</v>
      </c>
      <c r="F218" s="532" t="s">
        <v>441</v>
      </c>
      <c r="G218" s="556" t="s">
        <v>409</v>
      </c>
      <c r="H218" s="550">
        <v>8</v>
      </c>
      <c r="I218" s="550">
        <v>3</v>
      </c>
      <c r="J218" s="550">
        <v>3</v>
      </c>
      <c r="K218" s="551">
        <v>3171.6</v>
      </c>
      <c r="L218" s="551">
        <v>3171.6</v>
      </c>
      <c r="M218" s="482">
        <v>0</v>
      </c>
      <c r="N218" s="550">
        <v>0</v>
      </c>
      <c r="O218" s="551">
        <v>0</v>
      </c>
      <c r="P218" s="551">
        <v>0</v>
      </c>
      <c r="Q218" s="482">
        <v>0</v>
      </c>
    </row>
    <row r="219" spans="1:17" ht="15.75" customHeight="1" x14ac:dyDescent="0.2">
      <c r="A219" s="526">
        <v>211</v>
      </c>
      <c r="B219" s="556" t="s">
        <v>222</v>
      </c>
      <c r="C219" s="533" t="s">
        <v>64</v>
      </c>
      <c r="D219" s="484" t="s">
        <v>486</v>
      </c>
      <c r="E219" s="486" t="s">
        <v>158</v>
      </c>
      <c r="F219" s="532" t="s">
        <v>443</v>
      </c>
      <c r="G219" s="556" t="s">
        <v>409</v>
      </c>
      <c r="H219" s="550">
        <v>1</v>
      </c>
      <c r="I219" s="550">
        <v>0</v>
      </c>
      <c r="J219" s="550">
        <v>0</v>
      </c>
      <c r="K219" s="551">
        <v>0</v>
      </c>
      <c r="L219" s="551">
        <v>0</v>
      </c>
      <c r="M219" s="482">
        <v>0</v>
      </c>
      <c r="N219" s="550">
        <v>0</v>
      </c>
      <c r="O219" s="551">
        <v>0</v>
      </c>
      <c r="P219" s="551">
        <v>0</v>
      </c>
      <c r="Q219" s="482">
        <v>0</v>
      </c>
    </row>
    <row r="220" spans="1:17" ht="15.75" customHeight="1" x14ac:dyDescent="0.2">
      <c r="A220" s="526">
        <v>212</v>
      </c>
      <c r="B220" s="556" t="s">
        <v>444</v>
      </c>
      <c r="C220" s="533" t="s">
        <v>62</v>
      </c>
      <c r="D220" s="534"/>
      <c r="E220" s="486" t="s">
        <v>158</v>
      </c>
      <c r="F220" s="532" t="s">
        <v>445</v>
      </c>
      <c r="G220" s="556" t="s">
        <v>409</v>
      </c>
      <c r="H220" s="550">
        <v>5</v>
      </c>
      <c r="I220" s="550">
        <v>5</v>
      </c>
      <c r="J220" s="550">
        <v>5</v>
      </c>
      <c r="K220" s="551">
        <v>3802.9</v>
      </c>
      <c r="L220" s="551">
        <v>3802.9</v>
      </c>
      <c r="M220" s="482">
        <v>0</v>
      </c>
      <c r="N220" s="550">
        <v>0</v>
      </c>
      <c r="O220" s="551">
        <v>0</v>
      </c>
      <c r="P220" s="551">
        <v>0</v>
      </c>
      <c r="Q220" s="482">
        <v>0</v>
      </c>
    </row>
    <row r="221" spans="1:17" ht="15.75" customHeight="1" x14ac:dyDescent="0.2">
      <c r="A221" s="526">
        <v>213</v>
      </c>
      <c r="B221" s="556" t="s">
        <v>129</v>
      </c>
      <c r="C221" s="533" t="s">
        <v>62</v>
      </c>
      <c r="D221" s="534"/>
      <c r="E221" s="486" t="s">
        <v>158</v>
      </c>
      <c r="F221" s="532" t="s">
        <v>446</v>
      </c>
      <c r="G221" s="556" t="s">
        <v>409</v>
      </c>
      <c r="H221" s="550">
        <v>12</v>
      </c>
      <c r="I221" s="550">
        <v>6</v>
      </c>
      <c r="J221" s="550">
        <v>6</v>
      </c>
      <c r="K221" s="551">
        <v>8100.41</v>
      </c>
      <c r="L221" s="551">
        <v>8100.41</v>
      </c>
      <c r="M221" s="482">
        <v>0</v>
      </c>
      <c r="N221" s="550">
        <v>12</v>
      </c>
      <c r="O221" s="551">
        <v>25189.3</v>
      </c>
      <c r="P221" s="551">
        <v>25189.3</v>
      </c>
      <c r="Q221" s="482">
        <v>0</v>
      </c>
    </row>
    <row r="222" spans="1:17" ht="15.75" customHeight="1" x14ac:dyDescent="0.2">
      <c r="A222" s="526">
        <v>214</v>
      </c>
      <c r="B222" s="532" t="s">
        <v>104</v>
      </c>
      <c r="C222" s="533" t="s">
        <v>62</v>
      </c>
      <c r="D222" s="534"/>
      <c r="E222" s="490" t="s">
        <v>730</v>
      </c>
      <c r="F222" s="532" t="s">
        <v>447</v>
      </c>
      <c r="G222" s="556" t="s">
        <v>409</v>
      </c>
      <c r="H222" s="550">
        <v>0</v>
      </c>
      <c r="I222" s="550">
        <v>0</v>
      </c>
      <c r="J222" s="550">
        <v>0</v>
      </c>
      <c r="K222" s="551">
        <v>0</v>
      </c>
      <c r="L222" s="551">
        <v>0</v>
      </c>
      <c r="M222" s="482">
        <v>0</v>
      </c>
      <c r="N222" s="550">
        <v>7</v>
      </c>
      <c r="O222" s="551">
        <v>5726.5</v>
      </c>
      <c r="P222" s="551">
        <v>5726.5</v>
      </c>
      <c r="Q222" s="482">
        <v>0</v>
      </c>
    </row>
    <row r="223" spans="1:17" ht="15.75" customHeight="1" x14ac:dyDescent="0.2">
      <c r="A223" s="526">
        <v>215</v>
      </c>
      <c r="B223" s="532" t="s">
        <v>156</v>
      </c>
      <c r="C223" s="533" t="s">
        <v>67</v>
      </c>
      <c r="D223" s="534" t="s">
        <v>745</v>
      </c>
      <c r="E223" s="486" t="s">
        <v>158</v>
      </c>
      <c r="F223" s="532" t="s">
        <v>502</v>
      </c>
      <c r="G223" s="556" t="s">
        <v>409</v>
      </c>
      <c r="H223" s="550">
        <v>4</v>
      </c>
      <c r="I223" s="550">
        <v>2</v>
      </c>
      <c r="J223" s="550">
        <v>2</v>
      </c>
      <c r="K223" s="551">
        <v>3497.9</v>
      </c>
      <c r="L223" s="551">
        <v>3497.9</v>
      </c>
      <c r="M223" s="482">
        <v>0</v>
      </c>
      <c r="N223" s="550">
        <v>7</v>
      </c>
      <c r="O223" s="551">
        <v>9441.6</v>
      </c>
      <c r="P223" s="551">
        <v>9441.6</v>
      </c>
      <c r="Q223" s="482">
        <v>0</v>
      </c>
    </row>
    <row r="224" spans="1:17" ht="15.75" customHeight="1" x14ac:dyDescent="0.2">
      <c r="A224" s="526">
        <v>216</v>
      </c>
      <c r="B224" s="532" t="s">
        <v>133</v>
      </c>
      <c r="C224" s="533" t="s">
        <v>67</v>
      </c>
      <c r="D224" s="484" t="s">
        <v>494</v>
      </c>
      <c r="E224" s="486" t="s">
        <v>158</v>
      </c>
      <c r="F224" s="532" t="s">
        <v>503</v>
      </c>
      <c r="G224" s="556" t="s">
        <v>409</v>
      </c>
      <c r="H224" s="550">
        <v>12</v>
      </c>
      <c r="I224" s="550">
        <v>5</v>
      </c>
      <c r="J224" s="550">
        <v>5</v>
      </c>
      <c r="K224" s="551">
        <v>13731.4</v>
      </c>
      <c r="L224" s="551">
        <v>13731.4</v>
      </c>
      <c r="M224" s="482">
        <v>0</v>
      </c>
      <c r="N224" s="550">
        <v>20</v>
      </c>
      <c r="O224" s="551">
        <v>59662.57</v>
      </c>
      <c r="P224" s="551">
        <v>59662.57</v>
      </c>
      <c r="Q224" s="482">
        <v>0</v>
      </c>
    </row>
    <row r="225" spans="1:17" ht="15.75" customHeight="1" x14ac:dyDescent="0.2">
      <c r="A225" s="526">
        <v>217</v>
      </c>
      <c r="B225" s="532" t="s">
        <v>114</v>
      </c>
      <c r="C225" s="533" t="s">
        <v>62</v>
      </c>
      <c r="D225" s="534"/>
      <c r="E225" s="486" t="s">
        <v>691</v>
      </c>
      <c r="F225" s="532" t="s">
        <v>504</v>
      </c>
      <c r="G225" s="556" t="s">
        <v>409</v>
      </c>
      <c r="H225" s="550">
        <v>4</v>
      </c>
      <c r="I225" s="550">
        <v>1</v>
      </c>
      <c r="J225" s="550">
        <v>1</v>
      </c>
      <c r="K225" s="551">
        <v>1012.55</v>
      </c>
      <c r="L225" s="551">
        <v>1012.55</v>
      </c>
      <c r="M225" s="482">
        <v>0</v>
      </c>
      <c r="N225" s="550">
        <v>4</v>
      </c>
      <c r="O225" s="551">
        <v>3524</v>
      </c>
      <c r="P225" s="551">
        <v>3524</v>
      </c>
      <c r="Q225" s="482">
        <v>0</v>
      </c>
    </row>
    <row r="226" spans="1:17" ht="15.75" customHeight="1" x14ac:dyDescent="0.2">
      <c r="A226" s="526">
        <v>218</v>
      </c>
      <c r="B226" s="532" t="s">
        <v>505</v>
      </c>
      <c r="C226" s="533" t="s">
        <v>62</v>
      </c>
      <c r="D226" s="534"/>
      <c r="E226" s="486" t="s">
        <v>158</v>
      </c>
      <c r="F226" s="532" t="s">
        <v>506</v>
      </c>
      <c r="G226" s="556" t="s">
        <v>409</v>
      </c>
      <c r="H226" s="550">
        <v>5</v>
      </c>
      <c r="I226" s="550">
        <v>2</v>
      </c>
      <c r="J226" s="550">
        <v>2</v>
      </c>
      <c r="K226" s="551">
        <v>2025.1</v>
      </c>
      <c r="L226" s="551">
        <v>2025.1</v>
      </c>
      <c r="M226" s="482">
        <v>0</v>
      </c>
      <c r="N226" s="550">
        <v>0</v>
      </c>
      <c r="O226" s="551">
        <v>0</v>
      </c>
      <c r="P226" s="551">
        <v>0</v>
      </c>
      <c r="Q226" s="482">
        <v>0</v>
      </c>
    </row>
    <row r="227" spans="1:17" ht="15.75" customHeight="1" x14ac:dyDescent="0.2">
      <c r="A227" s="526">
        <v>219</v>
      </c>
      <c r="B227" s="532" t="s">
        <v>473</v>
      </c>
      <c r="C227" s="533" t="s">
        <v>62</v>
      </c>
      <c r="D227" s="534"/>
      <c r="E227" s="486" t="s">
        <v>158</v>
      </c>
      <c r="F227" s="532" t="s">
        <v>558</v>
      </c>
      <c r="G227" s="556" t="s">
        <v>409</v>
      </c>
      <c r="H227" s="550">
        <v>4</v>
      </c>
      <c r="I227" s="550">
        <v>0</v>
      </c>
      <c r="J227" s="550">
        <v>0</v>
      </c>
      <c r="K227" s="551">
        <v>0</v>
      </c>
      <c r="L227" s="551">
        <v>0</v>
      </c>
      <c r="M227" s="482">
        <v>0</v>
      </c>
      <c r="N227" s="550">
        <v>0</v>
      </c>
      <c r="O227" s="551">
        <v>0</v>
      </c>
      <c r="P227" s="551">
        <v>0</v>
      </c>
      <c r="Q227" s="482">
        <v>0</v>
      </c>
    </row>
    <row r="228" spans="1:17" ht="15.75" customHeight="1" x14ac:dyDescent="0.2">
      <c r="A228" s="526">
        <v>220</v>
      </c>
      <c r="B228" s="532" t="s">
        <v>376</v>
      </c>
      <c r="C228" s="533" t="s">
        <v>62</v>
      </c>
      <c r="D228" s="534"/>
      <c r="E228" s="486" t="s">
        <v>158</v>
      </c>
      <c r="F228" s="532" t="s">
        <v>559</v>
      </c>
      <c r="G228" s="556" t="s">
        <v>409</v>
      </c>
      <c r="H228" s="550">
        <v>3</v>
      </c>
      <c r="I228" s="550">
        <v>0</v>
      </c>
      <c r="J228" s="550">
        <v>0</v>
      </c>
      <c r="K228" s="551">
        <v>0</v>
      </c>
      <c r="L228" s="551">
        <v>0</v>
      </c>
      <c r="M228" s="482">
        <v>0</v>
      </c>
      <c r="N228" s="550">
        <v>0</v>
      </c>
      <c r="O228" s="551">
        <v>0</v>
      </c>
      <c r="P228" s="551">
        <v>0</v>
      </c>
      <c r="Q228" s="482">
        <v>0</v>
      </c>
    </row>
    <row r="229" spans="1:17" ht="15.75" customHeight="1" x14ac:dyDescent="0.2">
      <c r="A229" s="526">
        <v>221</v>
      </c>
      <c r="B229" s="532" t="s">
        <v>119</v>
      </c>
      <c r="C229" s="533" t="s">
        <v>62</v>
      </c>
      <c r="D229" s="534"/>
      <c r="E229" s="486" t="s">
        <v>158</v>
      </c>
      <c r="F229" s="532" t="s">
        <v>560</v>
      </c>
      <c r="G229" s="556" t="s">
        <v>409</v>
      </c>
      <c r="H229" s="550">
        <v>10</v>
      </c>
      <c r="I229" s="550">
        <v>3</v>
      </c>
      <c r="J229" s="550">
        <v>3</v>
      </c>
      <c r="K229" s="551">
        <v>3716.62</v>
      </c>
      <c r="L229" s="551">
        <v>3716.62</v>
      </c>
      <c r="M229" s="482">
        <v>0</v>
      </c>
      <c r="N229" s="550">
        <v>13</v>
      </c>
      <c r="O229" s="551">
        <v>20900.7</v>
      </c>
      <c r="P229" s="551">
        <v>20900.7</v>
      </c>
      <c r="Q229" s="482">
        <v>0</v>
      </c>
    </row>
    <row r="230" spans="1:17" ht="15.75" customHeight="1" x14ac:dyDescent="0.2">
      <c r="A230" s="526">
        <v>222</v>
      </c>
      <c r="B230" s="532" t="s">
        <v>47</v>
      </c>
      <c r="C230" s="533" t="s">
        <v>62</v>
      </c>
      <c r="D230" s="534"/>
      <c r="E230" s="486" t="s">
        <v>677</v>
      </c>
      <c r="F230" s="532" t="s">
        <v>589</v>
      </c>
      <c r="G230" s="556" t="s">
        <v>409</v>
      </c>
      <c r="H230" s="550">
        <v>0</v>
      </c>
      <c r="I230" s="550">
        <v>0</v>
      </c>
      <c r="J230" s="550">
        <v>0</v>
      </c>
      <c r="K230" s="551">
        <v>0</v>
      </c>
      <c r="L230" s="551">
        <v>0</v>
      </c>
      <c r="M230" s="482">
        <v>0</v>
      </c>
      <c r="N230" s="550">
        <v>2</v>
      </c>
      <c r="O230" s="551">
        <v>12491.87</v>
      </c>
      <c r="P230" s="551">
        <v>12491.87</v>
      </c>
      <c r="Q230" s="482">
        <v>0</v>
      </c>
    </row>
    <row r="231" spans="1:17" ht="15.75" customHeight="1" x14ac:dyDescent="0.2">
      <c r="A231" s="526">
        <v>223</v>
      </c>
      <c r="B231" s="532" t="s">
        <v>37</v>
      </c>
      <c r="C231" s="533" t="s">
        <v>62</v>
      </c>
      <c r="D231" s="534"/>
      <c r="E231" s="486" t="s">
        <v>158</v>
      </c>
      <c r="F231" s="532" t="s">
        <v>590</v>
      </c>
      <c r="G231" s="556" t="s">
        <v>409</v>
      </c>
      <c r="H231" s="550">
        <v>6</v>
      </c>
      <c r="I231" s="550">
        <v>2</v>
      </c>
      <c r="J231" s="550">
        <v>2</v>
      </c>
      <c r="K231" s="551">
        <v>2025.1</v>
      </c>
      <c r="L231" s="551">
        <v>2025.1</v>
      </c>
      <c r="M231" s="482">
        <v>0</v>
      </c>
      <c r="N231" s="550">
        <v>1</v>
      </c>
      <c r="O231" s="551">
        <v>4440.24</v>
      </c>
      <c r="P231" s="551">
        <v>4440.24</v>
      </c>
      <c r="Q231" s="482">
        <v>0</v>
      </c>
    </row>
    <row r="232" spans="1:17" ht="15.75" customHeight="1" x14ac:dyDescent="0.2">
      <c r="A232" s="526">
        <v>224</v>
      </c>
      <c r="B232" s="532" t="s">
        <v>97</v>
      </c>
      <c r="C232" s="533" t="s">
        <v>62</v>
      </c>
      <c r="D232" s="534"/>
      <c r="E232" s="486" t="s">
        <v>158</v>
      </c>
      <c r="F232" s="532" t="s">
        <v>591</v>
      </c>
      <c r="G232" s="556" t="s">
        <v>409</v>
      </c>
      <c r="H232" s="550">
        <v>4</v>
      </c>
      <c r="I232" s="550">
        <v>2</v>
      </c>
      <c r="J232" s="550">
        <v>2</v>
      </c>
      <c r="K232" s="551">
        <v>3626.7</v>
      </c>
      <c r="L232" s="551">
        <v>3626.7</v>
      </c>
      <c r="M232" s="482">
        <v>0</v>
      </c>
      <c r="N232" s="550">
        <v>3</v>
      </c>
      <c r="O232" s="551">
        <v>4570.8999999999996</v>
      </c>
      <c r="P232" s="551">
        <v>4570.8999999999996</v>
      </c>
      <c r="Q232" s="482">
        <v>0</v>
      </c>
    </row>
    <row r="233" spans="1:17" ht="15.75" customHeight="1" x14ac:dyDescent="0.2">
      <c r="A233" s="526">
        <v>225</v>
      </c>
      <c r="B233" s="532" t="s">
        <v>613</v>
      </c>
      <c r="C233" s="533" t="s">
        <v>62</v>
      </c>
      <c r="D233" s="534"/>
      <c r="E233" s="486" t="s">
        <v>158</v>
      </c>
      <c r="F233" s="532" t="s">
        <v>614</v>
      </c>
      <c r="G233" s="556" t="s">
        <v>409</v>
      </c>
      <c r="H233" s="550">
        <v>8</v>
      </c>
      <c r="I233" s="550">
        <v>2</v>
      </c>
      <c r="J233" s="550">
        <v>2</v>
      </c>
      <c r="K233" s="551">
        <v>1585.8</v>
      </c>
      <c r="L233" s="551">
        <v>1585.8</v>
      </c>
      <c r="M233" s="482">
        <v>0</v>
      </c>
      <c r="N233" s="550">
        <v>3</v>
      </c>
      <c r="O233" s="551">
        <v>616.70000000000005</v>
      </c>
      <c r="P233" s="551">
        <v>616.70000000000005</v>
      </c>
      <c r="Q233" s="482">
        <v>0</v>
      </c>
    </row>
    <row r="234" spans="1:17" ht="15.75" customHeight="1" x14ac:dyDescent="0.2">
      <c r="A234" s="526">
        <v>226</v>
      </c>
      <c r="B234" s="532" t="s">
        <v>615</v>
      </c>
      <c r="C234" s="533" t="s">
        <v>62</v>
      </c>
      <c r="D234" s="534"/>
      <c r="E234" s="486" t="s">
        <v>158</v>
      </c>
      <c r="F234" s="532" t="s">
        <v>616</v>
      </c>
      <c r="G234" s="556" t="s">
        <v>409</v>
      </c>
      <c r="H234" s="550">
        <v>6</v>
      </c>
      <c r="I234" s="550">
        <v>0</v>
      </c>
      <c r="J234" s="550">
        <v>0</v>
      </c>
      <c r="K234" s="551">
        <v>0</v>
      </c>
      <c r="L234" s="551">
        <v>0</v>
      </c>
      <c r="M234" s="482">
        <v>0</v>
      </c>
      <c r="N234" s="550">
        <v>0</v>
      </c>
      <c r="O234" s="551">
        <v>0</v>
      </c>
      <c r="P234" s="551">
        <v>0</v>
      </c>
      <c r="Q234" s="482">
        <v>0</v>
      </c>
    </row>
    <row r="235" spans="1:17" ht="15.75" customHeight="1" x14ac:dyDescent="0.2">
      <c r="A235" s="526">
        <v>227</v>
      </c>
      <c r="B235" s="532" t="s">
        <v>357</v>
      </c>
      <c r="C235" s="516" t="s">
        <v>64</v>
      </c>
      <c r="D235" s="534" t="s">
        <v>585</v>
      </c>
      <c r="E235" s="486" t="s">
        <v>158</v>
      </c>
      <c r="F235" s="532" t="s">
        <v>618</v>
      </c>
      <c r="G235" s="556" t="s">
        <v>409</v>
      </c>
      <c r="H235" s="550">
        <v>7</v>
      </c>
      <c r="I235" s="550">
        <v>1</v>
      </c>
      <c r="J235" s="550">
        <v>1</v>
      </c>
      <c r="K235" s="551">
        <v>1057.2</v>
      </c>
      <c r="L235" s="551">
        <v>1057.2</v>
      </c>
      <c r="M235" s="482">
        <v>0</v>
      </c>
      <c r="N235" s="550">
        <v>4</v>
      </c>
      <c r="O235" s="551">
        <v>12728.1</v>
      </c>
      <c r="P235" s="551">
        <v>12728.1</v>
      </c>
      <c r="Q235" s="482">
        <v>0</v>
      </c>
    </row>
    <row r="236" spans="1:17" ht="15.75" customHeight="1" x14ac:dyDescent="0.2">
      <c r="A236" s="526">
        <v>228</v>
      </c>
      <c r="B236" s="532" t="s">
        <v>621</v>
      </c>
      <c r="C236" s="533" t="s">
        <v>62</v>
      </c>
      <c r="D236" s="534"/>
      <c r="E236" s="486" t="s">
        <v>158</v>
      </c>
      <c r="F236" s="532" t="s">
        <v>625</v>
      </c>
      <c r="G236" s="556" t="s">
        <v>409</v>
      </c>
      <c r="H236" s="550">
        <v>13</v>
      </c>
      <c r="I236" s="550">
        <v>6</v>
      </c>
      <c r="J236" s="550">
        <v>6</v>
      </c>
      <c r="K236" s="551">
        <v>8528.5499999999993</v>
      </c>
      <c r="L236" s="551">
        <v>8528.5499999999993</v>
      </c>
      <c r="M236" s="482">
        <v>0</v>
      </c>
      <c r="N236" s="550">
        <v>0</v>
      </c>
      <c r="O236" s="551">
        <v>0</v>
      </c>
      <c r="P236" s="551">
        <v>0</v>
      </c>
      <c r="Q236" s="482">
        <v>0</v>
      </c>
    </row>
    <row r="237" spans="1:17" ht="15.75" customHeight="1" x14ac:dyDescent="0.2">
      <c r="A237" s="526">
        <v>229</v>
      </c>
      <c r="B237" s="484" t="s">
        <v>146</v>
      </c>
      <c r="C237" s="516" t="s">
        <v>62</v>
      </c>
      <c r="D237" s="484"/>
      <c r="E237" s="486" t="s">
        <v>74</v>
      </c>
      <c r="F237" s="486" t="s">
        <v>325</v>
      </c>
      <c r="G237" s="510" t="s">
        <v>326</v>
      </c>
      <c r="H237" s="484">
        <v>15</v>
      </c>
      <c r="I237" s="484">
        <v>7</v>
      </c>
      <c r="J237" s="484">
        <v>7</v>
      </c>
      <c r="K237" s="482">
        <v>8953.4</v>
      </c>
      <c r="L237" s="482">
        <v>8953.4</v>
      </c>
      <c r="M237" s="482">
        <v>0</v>
      </c>
      <c r="N237" s="484">
        <v>6</v>
      </c>
      <c r="O237" s="482">
        <v>5374.1</v>
      </c>
      <c r="P237" s="482">
        <v>5374.1</v>
      </c>
      <c r="Q237" s="482">
        <v>0</v>
      </c>
    </row>
    <row r="238" spans="1:17" ht="15.75" customHeight="1" x14ac:dyDescent="0.2">
      <c r="A238" s="526">
        <v>230</v>
      </c>
      <c r="B238" s="484" t="s">
        <v>166</v>
      </c>
      <c r="C238" s="516" t="s">
        <v>62</v>
      </c>
      <c r="D238" s="484"/>
      <c r="E238" s="486" t="s">
        <v>158</v>
      </c>
      <c r="F238" s="486" t="s">
        <v>327</v>
      </c>
      <c r="G238" s="510" t="s">
        <v>326</v>
      </c>
      <c r="H238" s="484">
        <v>5</v>
      </c>
      <c r="I238" s="484">
        <v>4</v>
      </c>
      <c r="J238" s="484">
        <v>4</v>
      </c>
      <c r="K238" s="482">
        <v>7763.45</v>
      </c>
      <c r="L238" s="482">
        <v>7763.45</v>
      </c>
      <c r="M238" s="482">
        <v>0</v>
      </c>
      <c r="N238" s="484">
        <v>0</v>
      </c>
      <c r="O238" s="482">
        <v>0</v>
      </c>
      <c r="P238" s="482">
        <v>0</v>
      </c>
      <c r="Q238" s="482">
        <v>0</v>
      </c>
    </row>
    <row r="239" spans="1:17" ht="15.75" customHeight="1" x14ac:dyDescent="0.2">
      <c r="A239" s="526">
        <v>231</v>
      </c>
      <c r="B239" s="484" t="s">
        <v>173</v>
      </c>
      <c r="C239" s="516" t="s">
        <v>67</v>
      </c>
      <c r="D239" s="484" t="s">
        <v>328</v>
      </c>
      <c r="E239" s="486" t="s">
        <v>158</v>
      </c>
      <c r="F239" s="486" t="s">
        <v>329</v>
      </c>
      <c r="G239" s="510" t="s">
        <v>326</v>
      </c>
      <c r="H239" s="484">
        <v>9</v>
      </c>
      <c r="I239" s="484">
        <v>5</v>
      </c>
      <c r="J239" s="484">
        <v>5</v>
      </c>
      <c r="K239" s="482">
        <v>10645.26</v>
      </c>
      <c r="L239" s="482">
        <v>10645.26</v>
      </c>
      <c r="M239" s="482">
        <v>0</v>
      </c>
      <c r="N239" s="484">
        <v>0</v>
      </c>
      <c r="O239" s="482">
        <v>0</v>
      </c>
      <c r="P239" s="482">
        <v>0</v>
      </c>
      <c r="Q239" s="482">
        <v>0</v>
      </c>
    </row>
    <row r="240" spans="1:17" ht="15.75" customHeight="1" x14ac:dyDescent="0.2">
      <c r="A240" s="526">
        <v>232</v>
      </c>
      <c r="B240" s="484" t="s">
        <v>330</v>
      </c>
      <c r="C240" s="516" t="s">
        <v>62</v>
      </c>
      <c r="D240" s="484"/>
      <c r="E240" s="486" t="s">
        <v>158</v>
      </c>
      <c r="F240" s="486" t="s">
        <v>331</v>
      </c>
      <c r="G240" s="510" t="s">
        <v>326</v>
      </c>
      <c r="H240" s="484">
        <v>16</v>
      </c>
      <c r="I240" s="484">
        <v>10</v>
      </c>
      <c r="J240" s="484">
        <v>10</v>
      </c>
      <c r="K240" s="482">
        <v>12533.9</v>
      </c>
      <c r="L240" s="482">
        <v>12533.9</v>
      </c>
      <c r="M240" s="482">
        <v>0</v>
      </c>
      <c r="N240" s="484">
        <v>0</v>
      </c>
      <c r="O240" s="482">
        <v>0</v>
      </c>
      <c r="P240" s="482">
        <v>0</v>
      </c>
      <c r="Q240" s="482">
        <v>0</v>
      </c>
    </row>
    <row r="241" spans="1:17" ht="15.75" customHeight="1" x14ac:dyDescent="0.2">
      <c r="A241" s="526">
        <v>233</v>
      </c>
      <c r="B241" s="484" t="s">
        <v>147</v>
      </c>
      <c r="C241" s="516" t="s">
        <v>62</v>
      </c>
      <c r="D241" s="484"/>
      <c r="E241" s="486" t="s">
        <v>74</v>
      </c>
      <c r="F241" s="486" t="s">
        <v>332</v>
      </c>
      <c r="G241" s="510" t="s">
        <v>326</v>
      </c>
      <c r="H241" s="484">
        <v>15</v>
      </c>
      <c r="I241" s="484">
        <v>9</v>
      </c>
      <c r="J241" s="484">
        <v>9</v>
      </c>
      <c r="K241" s="482">
        <v>17473.349999999999</v>
      </c>
      <c r="L241" s="482">
        <v>17473.349999999999</v>
      </c>
      <c r="M241" s="482">
        <v>0</v>
      </c>
      <c r="N241" s="484">
        <v>6</v>
      </c>
      <c r="O241" s="482">
        <v>15803.4</v>
      </c>
      <c r="P241" s="482">
        <v>15803.4</v>
      </c>
      <c r="Q241" s="482">
        <v>0</v>
      </c>
    </row>
    <row r="242" spans="1:17" ht="15.75" customHeight="1" x14ac:dyDescent="0.2">
      <c r="A242" s="526">
        <v>234</v>
      </c>
      <c r="B242" s="484" t="s">
        <v>554</v>
      </c>
      <c r="C242" s="516" t="s">
        <v>67</v>
      </c>
      <c r="D242" s="484" t="s">
        <v>555</v>
      </c>
      <c r="E242" s="486" t="s">
        <v>74</v>
      </c>
      <c r="F242" s="486" t="s">
        <v>556</v>
      </c>
      <c r="G242" s="510" t="s">
        <v>326</v>
      </c>
      <c r="H242" s="484">
        <v>2</v>
      </c>
      <c r="I242" s="484">
        <v>0</v>
      </c>
      <c r="J242" s="484">
        <v>0</v>
      </c>
      <c r="K242" s="482">
        <v>0</v>
      </c>
      <c r="L242" s="482">
        <v>0</v>
      </c>
      <c r="M242" s="482">
        <v>0</v>
      </c>
      <c r="N242" s="484">
        <v>0</v>
      </c>
      <c r="O242" s="482">
        <v>0</v>
      </c>
      <c r="P242" s="482">
        <v>0</v>
      </c>
      <c r="Q242" s="482">
        <v>0</v>
      </c>
    </row>
    <row r="243" spans="1:17" ht="15.75" customHeight="1" x14ac:dyDescent="0.2">
      <c r="A243" s="526">
        <v>235</v>
      </c>
      <c r="B243" s="484" t="s">
        <v>88</v>
      </c>
      <c r="C243" s="516" t="s">
        <v>62</v>
      </c>
      <c r="D243" s="484"/>
      <c r="E243" s="486" t="s">
        <v>74</v>
      </c>
      <c r="F243" s="486" t="s">
        <v>333</v>
      </c>
      <c r="G243" s="510" t="s">
        <v>326</v>
      </c>
      <c r="H243" s="484">
        <v>2</v>
      </c>
      <c r="I243" s="484">
        <v>2</v>
      </c>
      <c r="J243" s="484">
        <v>2</v>
      </c>
      <c r="K243" s="482">
        <v>2290.6</v>
      </c>
      <c r="L243" s="482">
        <v>2290.6</v>
      </c>
      <c r="M243" s="482">
        <v>0</v>
      </c>
      <c r="N243" s="484">
        <v>1</v>
      </c>
      <c r="O243" s="482">
        <v>1145.3</v>
      </c>
      <c r="P243" s="482">
        <v>1145.3</v>
      </c>
      <c r="Q243" s="482">
        <v>0</v>
      </c>
    </row>
    <row r="244" spans="1:17" ht="15.75" customHeight="1" x14ac:dyDescent="0.2">
      <c r="A244" s="526">
        <v>236</v>
      </c>
      <c r="B244" s="484" t="s">
        <v>182</v>
      </c>
      <c r="C244" s="516" t="s">
        <v>62</v>
      </c>
      <c r="D244" s="484"/>
      <c r="E244" s="486" t="s">
        <v>158</v>
      </c>
      <c r="F244" s="486" t="s">
        <v>334</v>
      </c>
      <c r="G244" s="510" t="s">
        <v>326</v>
      </c>
      <c r="H244" s="484">
        <v>5</v>
      </c>
      <c r="I244" s="484">
        <v>1</v>
      </c>
      <c r="J244" s="484">
        <v>1</v>
      </c>
      <c r="K244" s="482">
        <v>1233.4000000000001</v>
      </c>
      <c r="L244" s="482">
        <v>1233.4000000000001</v>
      </c>
      <c r="M244" s="482">
        <v>0</v>
      </c>
      <c r="N244" s="484">
        <v>0</v>
      </c>
      <c r="O244" s="482">
        <v>0</v>
      </c>
      <c r="P244" s="482">
        <v>0</v>
      </c>
      <c r="Q244" s="482">
        <v>0</v>
      </c>
    </row>
    <row r="245" spans="1:17" ht="15.75" customHeight="1" x14ac:dyDescent="0.2">
      <c r="A245" s="526">
        <v>237</v>
      </c>
      <c r="B245" s="484" t="s">
        <v>335</v>
      </c>
      <c r="C245" s="516" t="s">
        <v>62</v>
      </c>
      <c r="D245" s="484"/>
      <c r="E245" s="486" t="s">
        <v>74</v>
      </c>
      <c r="F245" s="486" t="s">
        <v>336</v>
      </c>
      <c r="G245" s="510" t="s">
        <v>326</v>
      </c>
      <c r="H245" s="484">
        <v>15</v>
      </c>
      <c r="I245" s="484">
        <v>8</v>
      </c>
      <c r="J245" s="484">
        <v>8</v>
      </c>
      <c r="K245" s="482">
        <v>12008.05</v>
      </c>
      <c r="L245" s="482">
        <v>12008.05</v>
      </c>
      <c r="M245" s="482">
        <v>0</v>
      </c>
      <c r="N245" s="484">
        <v>9</v>
      </c>
      <c r="O245" s="482">
        <v>10605.75</v>
      </c>
      <c r="P245" s="482">
        <v>10605.75</v>
      </c>
      <c r="Q245" s="482">
        <v>0</v>
      </c>
    </row>
    <row r="246" spans="1:17" ht="15.75" customHeight="1" x14ac:dyDescent="0.2">
      <c r="A246" s="526">
        <v>238</v>
      </c>
      <c r="B246" s="484" t="s">
        <v>27</v>
      </c>
      <c r="C246" s="516" t="s">
        <v>62</v>
      </c>
      <c r="D246" s="484"/>
      <c r="E246" s="486" t="s">
        <v>158</v>
      </c>
      <c r="F246" s="486" t="s">
        <v>337</v>
      </c>
      <c r="G246" s="510" t="s">
        <v>326</v>
      </c>
      <c r="H246" s="484">
        <v>13</v>
      </c>
      <c r="I246" s="484">
        <v>12</v>
      </c>
      <c r="J246" s="484">
        <v>12</v>
      </c>
      <c r="K246" s="482">
        <v>12823.4</v>
      </c>
      <c r="L246" s="482">
        <v>12823.4</v>
      </c>
      <c r="M246" s="482">
        <v>0</v>
      </c>
      <c r="N246" s="484">
        <v>0</v>
      </c>
      <c r="O246" s="482">
        <v>0</v>
      </c>
      <c r="P246" s="482">
        <v>0</v>
      </c>
      <c r="Q246" s="482">
        <v>0</v>
      </c>
    </row>
    <row r="247" spans="1:17" ht="15.75" customHeight="1" x14ac:dyDescent="0.2">
      <c r="A247" s="526">
        <v>239</v>
      </c>
      <c r="B247" s="484" t="s">
        <v>190</v>
      </c>
      <c r="C247" s="516" t="s">
        <v>62</v>
      </c>
      <c r="D247" s="484"/>
      <c r="E247" s="486" t="s">
        <v>675</v>
      </c>
      <c r="F247" s="486" t="s">
        <v>339</v>
      </c>
      <c r="G247" s="510" t="s">
        <v>326</v>
      </c>
      <c r="H247" s="484">
        <v>24</v>
      </c>
      <c r="I247" s="484">
        <v>14</v>
      </c>
      <c r="J247" s="484">
        <v>14</v>
      </c>
      <c r="K247" s="482">
        <v>29770.6</v>
      </c>
      <c r="L247" s="482">
        <v>29770.6</v>
      </c>
      <c r="M247" s="482">
        <v>0</v>
      </c>
      <c r="N247" s="484">
        <v>0</v>
      </c>
      <c r="O247" s="482">
        <v>0</v>
      </c>
      <c r="P247" s="482">
        <v>0</v>
      </c>
      <c r="Q247" s="482">
        <v>0</v>
      </c>
    </row>
    <row r="248" spans="1:17" ht="15.75" customHeight="1" x14ac:dyDescent="0.2">
      <c r="A248" s="526">
        <v>240</v>
      </c>
      <c r="B248" s="484" t="s">
        <v>89</v>
      </c>
      <c r="C248" s="516" t="s">
        <v>62</v>
      </c>
      <c r="D248" s="484"/>
      <c r="E248" s="486" t="s">
        <v>74</v>
      </c>
      <c r="F248" s="486" t="s">
        <v>340</v>
      </c>
      <c r="G248" s="510" t="s">
        <v>326</v>
      </c>
      <c r="H248" s="484">
        <v>7</v>
      </c>
      <c r="I248" s="484">
        <v>6</v>
      </c>
      <c r="J248" s="484">
        <v>6</v>
      </c>
      <c r="K248" s="482">
        <v>8633.7999999999993</v>
      </c>
      <c r="L248" s="482">
        <v>8633.7999999999993</v>
      </c>
      <c r="M248" s="482">
        <v>0</v>
      </c>
      <c r="N248" s="484">
        <v>4</v>
      </c>
      <c r="O248" s="482">
        <v>9250.5</v>
      </c>
      <c r="P248" s="482">
        <v>9250.5</v>
      </c>
      <c r="Q248" s="482">
        <v>0</v>
      </c>
    </row>
    <row r="249" spans="1:17" ht="15.75" customHeight="1" x14ac:dyDescent="0.2">
      <c r="A249" s="526">
        <v>241</v>
      </c>
      <c r="B249" s="484" t="s">
        <v>196</v>
      </c>
      <c r="C249" s="516" t="s">
        <v>62</v>
      </c>
      <c r="D249" s="484"/>
      <c r="E249" s="486" t="s">
        <v>683</v>
      </c>
      <c r="F249" s="486" t="s">
        <v>342</v>
      </c>
      <c r="G249" s="510" t="s">
        <v>326</v>
      </c>
      <c r="H249" s="484">
        <v>7</v>
      </c>
      <c r="I249" s="484">
        <v>5</v>
      </c>
      <c r="J249" s="484">
        <v>5</v>
      </c>
      <c r="K249" s="482">
        <v>4933.6000000000004</v>
      </c>
      <c r="L249" s="482">
        <v>4933.6000000000004</v>
      </c>
      <c r="M249" s="482">
        <v>0</v>
      </c>
      <c r="N249" s="484">
        <v>0</v>
      </c>
      <c r="O249" s="482">
        <v>0</v>
      </c>
      <c r="P249" s="482">
        <v>0</v>
      </c>
      <c r="Q249" s="482">
        <v>0</v>
      </c>
    </row>
    <row r="250" spans="1:17" ht="15.75" customHeight="1" x14ac:dyDescent="0.2">
      <c r="A250" s="526">
        <v>242</v>
      </c>
      <c r="B250" s="484" t="s">
        <v>631</v>
      </c>
      <c r="C250" s="516" t="s">
        <v>62</v>
      </c>
      <c r="D250" s="484"/>
      <c r="E250" s="486" t="s">
        <v>74</v>
      </c>
      <c r="F250" s="486" t="s">
        <v>642</v>
      </c>
      <c r="G250" s="510" t="s">
        <v>326</v>
      </c>
      <c r="H250" s="484">
        <v>3</v>
      </c>
      <c r="I250" s="484">
        <v>0</v>
      </c>
      <c r="J250" s="484">
        <v>0</v>
      </c>
      <c r="K250" s="482">
        <v>0</v>
      </c>
      <c r="L250" s="482">
        <v>0</v>
      </c>
      <c r="M250" s="482">
        <v>0</v>
      </c>
      <c r="N250" s="484">
        <v>0</v>
      </c>
      <c r="O250" s="482">
        <v>0</v>
      </c>
      <c r="P250" s="482">
        <v>0</v>
      </c>
      <c r="Q250" s="482">
        <v>0</v>
      </c>
    </row>
    <row r="251" spans="1:17" ht="15.75" customHeight="1" x14ac:dyDescent="0.2">
      <c r="A251" s="526">
        <v>243</v>
      </c>
      <c r="B251" s="484" t="s">
        <v>343</v>
      </c>
      <c r="C251" s="516" t="s">
        <v>62</v>
      </c>
      <c r="D251" s="484"/>
      <c r="E251" s="486" t="s">
        <v>74</v>
      </c>
      <c r="F251" s="486" t="s">
        <v>344</v>
      </c>
      <c r="G251" s="510" t="s">
        <v>326</v>
      </c>
      <c r="H251" s="484">
        <v>11</v>
      </c>
      <c r="I251" s="484">
        <v>3</v>
      </c>
      <c r="J251" s="484">
        <v>3</v>
      </c>
      <c r="K251" s="482">
        <v>3019.1</v>
      </c>
      <c r="L251" s="482">
        <v>3019.1</v>
      </c>
      <c r="M251" s="482">
        <v>0</v>
      </c>
      <c r="N251" s="484">
        <v>0</v>
      </c>
      <c r="O251" s="482">
        <v>0</v>
      </c>
      <c r="P251" s="482">
        <v>0</v>
      </c>
      <c r="Q251" s="482">
        <v>0</v>
      </c>
    </row>
    <row r="252" spans="1:17" ht="15.75" customHeight="1" x14ac:dyDescent="0.2">
      <c r="A252" s="526">
        <v>244</v>
      </c>
      <c r="B252" s="484" t="s">
        <v>154</v>
      </c>
      <c r="C252" s="516" t="s">
        <v>62</v>
      </c>
      <c r="D252" s="484"/>
      <c r="E252" s="486" t="s">
        <v>74</v>
      </c>
      <c r="F252" s="486" t="s">
        <v>345</v>
      </c>
      <c r="G252" s="510" t="s">
        <v>326</v>
      </c>
      <c r="H252" s="484">
        <v>7</v>
      </c>
      <c r="I252" s="484">
        <v>7</v>
      </c>
      <c r="J252" s="484">
        <v>7</v>
      </c>
      <c r="K252" s="482">
        <v>9690.15</v>
      </c>
      <c r="L252" s="482">
        <v>9690.15</v>
      </c>
      <c r="M252" s="482">
        <v>0</v>
      </c>
      <c r="N252" s="484">
        <v>7</v>
      </c>
      <c r="O252" s="482">
        <v>9770</v>
      </c>
      <c r="P252" s="482">
        <v>9770</v>
      </c>
      <c r="Q252" s="482">
        <v>0</v>
      </c>
    </row>
    <row r="253" spans="1:17" ht="15.75" customHeight="1" x14ac:dyDescent="0.2">
      <c r="A253" s="526">
        <v>245</v>
      </c>
      <c r="B253" s="484" t="s">
        <v>346</v>
      </c>
      <c r="C253" s="516" t="s">
        <v>62</v>
      </c>
      <c r="D253" s="484"/>
      <c r="E253" s="486" t="s">
        <v>158</v>
      </c>
      <c r="F253" s="486" t="s">
        <v>347</v>
      </c>
      <c r="G253" s="510" t="s">
        <v>326</v>
      </c>
      <c r="H253" s="484">
        <v>4</v>
      </c>
      <c r="I253" s="484">
        <v>0</v>
      </c>
      <c r="J253" s="484">
        <v>0</v>
      </c>
      <c r="K253" s="482">
        <v>0</v>
      </c>
      <c r="L253" s="482">
        <v>0</v>
      </c>
      <c r="M253" s="482">
        <v>0</v>
      </c>
      <c r="N253" s="484">
        <v>0</v>
      </c>
      <c r="O253" s="482">
        <v>0</v>
      </c>
      <c r="P253" s="482">
        <v>0</v>
      </c>
      <c r="Q253" s="482">
        <v>0</v>
      </c>
    </row>
    <row r="254" spans="1:17" ht="15.75" customHeight="1" x14ac:dyDescent="0.2">
      <c r="A254" s="526">
        <v>246</v>
      </c>
      <c r="B254" s="484" t="s">
        <v>348</v>
      </c>
      <c r="C254" s="516" t="s">
        <v>62</v>
      </c>
      <c r="D254" s="484"/>
      <c r="E254" s="486" t="s">
        <v>158</v>
      </c>
      <c r="F254" s="486" t="s">
        <v>349</v>
      </c>
      <c r="G254" s="510" t="s">
        <v>326</v>
      </c>
      <c r="H254" s="484">
        <v>6</v>
      </c>
      <c r="I254" s="484">
        <v>0</v>
      </c>
      <c r="J254" s="484">
        <v>0</v>
      </c>
      <c r="K254" s="482">
        <v>0</v>
      </c>
      <c r="L254" s="482">
        <v>0</v>
      </c>
      <c r="M254" s="482">
        <v>0</v>
      </c>
      <c r="N254" s="484">
        <v>0</v>
      </c>
      <c r="O254" s="482">
        <v>0</v>
      </c>
      <c r="P254" s="482">
        <v>0</v>
      </c>
      <c r="Q254" s="482">
        <v>0</v>
      </c>
    </row>
    <row r="255" spans="1:17" ht="15.75" customHeight="1" x14ac:dyDescent="0.2">
      <c r="A255" s="526">
        <v>247</v>
      </c>
      <c r="B255" s="484" t="s">
        <v>350</v>
      </c>
      <c r="C255" s="516" t="s">
        <v>62</v>
      </c>
      <c r="D255" s="484"/>
      <c r="E255" s="486" t="s">
        <v>74</v>
      </c>
      <c r="F255" s="486" t="s">
        <v>351</v>
      </c>
      <c r="G255" s="510" t="s">
        <v>326</v>
      </c>
      <c r="H255" s="484">
        <v>1</v>
      </c>
      <c r="I255" s="484">
        <v>1</v>
      </c>
      <c r="J255" s="484">
        <v>1</v>
      </c>
      <c r="K255" s="482">
        <v>528.6</v>
      </c>
      <c r="L255" s="482">
        <v>528.6</v>
      </c>
      <c r="M255" s="482">
        <v>0</v>
      </c>
      <c r="N255" s="484">
        <v>4</v>
      </c>
      <c r="O255" s="482">
        <v>5065.75</v>
      </c>
      <c r="P255" s="482">
        <v>5065.75</v>
      </c>
      <c r="Q255" s="482">
        <v>0</v>
      </c>
    </row>
    <row r="256" spans="1:17" ht="15.75" customHeight="1" x14ac:dyDescent="0.2">
      <c r="A256" s="526">
        <v>248</v>
      </c>
      <c r="B256" s="484" t="s">
        <v>222</v>
      </c>
      <c r="C256" s="516" t="s">
        <v>64</v>
      </c>
      <c r="D256" s="484" t="s">
        <v>352</v>
      </c>
      <c r="E256" s="486" t="s">
        <v>158</v>
      </c>
      <c r="F256" s="486" t="s">
        <v>353</v>
      </c>
      <c r="G256" s="510" t="s">
        <v>326</v>
      </c>
      <c r="H256" s="484">
        <v>6</v>
      </c>
      <c r="I256" s="484">
        <v>2</v>
      </c>
      <c r="J256" s="484">
        <v>2</v>
      </c>
      <c r="K256" s="482">
        <v>3524</v>
      </c>
      <c r="L256" s="482">
        <v>3524</v>
      </c>
      <c r="M256" s="482">
        <v>0</v>
      </c>
      <c r="N256" s="484">
        <v>0</v>
      </c>
      <c r="O256" s="482">
        <v>0</v>
      </c>
      <c r="P256" s="482">
        <v>0</v>
      </c>
      <c r="Q256" s="482">
        <v>0</v>
      </c>
    </row>
    <row r="257" spans="1:17" ht="15.75" customHeight="1" x14ac:dyDescent="0.2">
      <c r="A257" s="526">
        <v>249</v>
      </c>
      <c r="B257" s="484" t="s">
        <v>232</v>
      </c>
      <c r="C257" s="516" t="s">
        <v>62</v>
      </c>
      <c r="D257" s="484"/>
      <c r="E257" s="486" t="s">
        <v>74</v>
      </c>
      <c r="F257" s="486" t="s">
        <v>722</v>
      </c>
      <c r="G257" s="510" t="s">
        <v>326</v>
      </c>
      <c r="H257" s="484">
        <v>2</v>
      </c>
      <c r="I257" s="484">
        <v>1</v>
      </c>
      <c r="J257" s="484">
        <v>1</v>
      </c>
      <c r="K257" s="482">
        <v>1012.55</v>
      </c>
      <c r="L257" s="482">
        <v>1012.55</v>
      </c>
      <c r="M257" s="482">
        <v>0</v>
      </c>
      <c r="N257" s="484">
        <v>0</v>
      </c>
      <c r="O257" s="482">
        <v>0</v>
      </c>
      <c r="P257" s="482">
        <v>0</v>
      </c>
      <c r="Q257" s="482">
        <v>0</v>
      </c>
    </row>
    <row r="258" spans="1:17" ht="15.75" customHeight="1" x14ac:dyDescent="0.2">
      <c r="A258" s="526">
        <v>250</v>
      </c>
      <c r="B258" s="484" t="s">
        <v>238</v>
      </c>
      <c r="C258" s="516" t="s">
        <v>62</v>
      </c>
      <c r="D258" s="484"/>
      <c r="E258" s="486" t="s">
        <v>158</v>
      </c>
      <c r="F258" s="486" t="s">
        <v>354</v>
      </c>
      <c r="G258" s="510" t="s">
        <v>326</v>
      </c>
      <c r="H258" s="484">
        <v>9</v>
      </c>
      <c r="I258" s="484">
        <v>7</v>
      </c>
      <c r="J258" s="484">
        <v>7</v>
      </c>
      <c r="K258" s="482">
        <v>9349.25</v>
      </c>
      <c r="L258" s="482">
        <v>9349.25</v>
      </c>
      <c r="M258" s="482">
        <v>0</v>
      </c>
      <c r="N258" s="484">
        <v>0</v>
      </c>
      <c r="O258" s="482">
        <v>0</v>
      </c>
      <c r="P258" s="482">
        <v>0</v>
      </c>
      <c r="Q258" s="482">
        <v>0</v>
      </c>
    </row>
    <row r="259" spans="1:17" ht="15.75" customHeight="1" x14ac:dyDescent="0.2">
      <c r="A259" s="526">
        <v>251</v>
      </c>
      <c r="B259" s="484" t="s">
        <v>355</v>
      </c>
      <c r="C259" s="516" t="s">
        <v>62</v>
      </c>
      <c r="D259" s="484"/>
      <c r="E259" s="486" t="s">
        <v>158</v>
      </c>
      <c r="F259" s="486" t="s">
        <v>356</v>
      </c>
      <c r="G259" s="510" t="s">
        <v>326</v>
      </c>
      <c r="H259" s="484">
        <v>7</v>
      </c>
      <c r="I259" s="484">
        <v>4</v>
      </c>
      <c r="J259" s="484">
        <v>4</v>
      </c>
      <c r="K259" s="482">
        <v>6276.4</v>
      </c>
      <c r="L259" s="482">
        <v>6276.4</v>
      </c>
      <c r="M259" s="482">
        <v>0</v>
      </c>
      <c r="N259" s="484">
        <v>0</v>
      </c>
      <c r="O259" s="482">
        <v>0</v>
      </c>
      <c r="P259" s="482">
        <v>0</v>
      </c>
      <c r="Q259" s="482">
        <v>0</v>
      </c>
    </row>
    <row r="260" spans="1:17" ht="15.75" customHeight="1" x14ac:dyDescent="0.2">
      <c r="A260" s="526">
        <v>252</v>
      </c>
      <c r="B260" s="484" t="s">
        <v>357</v>
      </c>
      <c r="C260" s="516" t="s">
        <v>64</v>
      </c>
      <c r="D260" s="534" t="s">
        <v>358</v>
      </c>
      <c r="E260" s="486" t="s">
        <v>158</v>
      </c>
      <c r="F260" s="486" t="s">
        <v>507</v>
      </c>
      <c r="G260" s="510" t="s">
        <v>326</v>
      </c>
      <c r="H260" s="484">
        <v>3</v>
      </c>
      <c r="I260" s="484">
        <v>2</v>
      </c>
      <c r="J260" s="484">
        <v>2</v>
      </c>
      <c r="K260" s="482">
        <v>3129.7</v>
      </c>
      <c r="L260" s="482">
        <v>3129.7</v>
      </c>
      <c r="M260" s="482">
        <v>0</v>
      </c>
      <c r="N260" s="484">
        <v>0</v>
      </c>
      <c r="O260" s="482">
        <v>0</v>
      </c>
      <c r="P260" s="482">
        <v>0</v>
      </c>
      <c r="Q260" s="482">
        <v>0</v>
      </c>
    </row>
    <row r="261" spans="1:17" ht="15.75" customHeight="1" x14ac:dyDescent="0.2">
      <c r="A261" s="526">
        <v>253</v>
      </c>
      <c r="B261" s="484" t="s">
        <v>36</v>
      </c>
      <c r="C261" s="516" t="s">
        <v>62</v>
      </c>
      <c r="D261" s="484"/>
      <c r="E261" s="486" t="s">
        <v>74</v>
      </c>
      <c r="F261" s="486" t="s">
        <v>630</v>
      </c>
      <c r="G261" s="510" t="s">
        <v>326</v>
      </c>
      <c r="H261" s="484">
        <v>2</v>
      </c>
      <c r="I261" s="484">
        <v>1</v>
      </c>
      <c r="J261" s="484">
        <v>1</v>
      </c>
      <c r="K261" s="482">
        <v>552.29999999999995</v>
      </c>
      <c r="L261" s="482">
        <v>552.29999999999995</v>
      </c>
      <c r="M261" s="482">
        <v>0</v>
      </c>
      <c r="N261" s="484">
        <v>0</v>
      </c>
      <c r="O261" s="482">
        <v>0</v>
      </c>
      <c r="P261" s="482">
        <v>0</v>
      </c>
      <c r="Q261" s="482">
        <v>0</v>
      </c>
    </row>
    <row r="262" spans="1:17" ht="15.75" customHeight="1" x14ac:dyDescent="0.2">
      <c r="A262" s="526">
        <v>254</v>
      </c>
      <c r="B262" s="484" t="s">
        <v>359</v>
      </c>
      <c r="C262" s="516" t="s">
        <v>62</v>
      </c>
      <c r="D262" s="484"/>
      <c r="E262" s="486" t="s">
        <v>158</v>
      </c>
      <c r="F262" s="486" t="s">
        <v>360</v>
      </c>
      <c r="G262" s="510" t="s">
        <v>326</v>
      </c>
      <c r="H262" s="484">
        <v>5</v>
      </c>
      <c r="I262" s="484">
        <v>5</v>
      </c>
      <c r="J262" s="484">
        <v>5</v>
      </c>
      <c r="K262" s="482">
        <v>4933.6000000000004</v>
      </c>
      <c r="L262" s="482">
        <v>4933.6000000000004</v>
      </c>
      <c r="M262" s="482">
        <v>0</v>
      </c>
      <c r="N262" s="484">
        <v>0</v>
      </c>
      <c r="O262" s="482">
        <v>0</v>
      </c>
      <c r="P262" s="482">
        <v>0</v>
      </c>
      <c r="Q262" s="482">
        <v>0</v>
      </c>
    </row>
    <row r="263" spans="1:17" ht="15.75" customHeight="1" x14ac:dyDescent="0.2">
      <c r="A263" s="526">
        <v>255</v>
      </c>
      <c r="B263" s="484" t="s">
        <v>118</v>
      </c>
      <c r="C263" s="516" t="s">
        <v>62</v>
      </c>
      <c r="D263" s="484"/>
      <c r="E263" s="486" t="s">
        <v>675</v>
      </c>
      <c r="F263" s="486" t="s">
        <v>361</v>
      </c>
      <c r="G263" s="510" t="s">
        <v>326</v>
      </c>
      <c r="H263" s="484">
        <v>1</v>
      </c>
      <c r="I263" s="484">
        <v>1</v>
      </c>
      <c r="J263" s="484">
        <v>1</v>
      </c>
      <c r="K263" s="482">
        <v>1012.55</v>
      </c>
      <c r="L263" s="482">
        <v>1012.55</v>
      </c>
      <c r="M263" s="482">
        <v>0</v>
      </c>
      <c r="N263" s="484">
        <v>0</v>
      </c>
      <c r="O263" s="482">
        <v>0</v>
      </c>
      <c r="P263" s="482">
        <v>0</v>
      </c>
      <c r="Q263" s="482">
        <v>0</v>
      </c>
    </row>
    <row r="264" spans="1:17" ht="15.75" customHeight="1" x14ac:dyDescent="0.2">
      <c r="A264" s="526">
        <v>256</v>
      </c>
      <c r="B264" s="484" t="s">
        <v>246</v>
      </c>
      <c r="C264" s="516" t="s">
        <v>62</v>
      </c>
      <c r="D264" s="484"/>
      <c r="E264" s="486" t="s">
        <v>158</v>
      </c>
      <c r="F264" s="486" t="s">
        <v>362</v>
      </c>
      <c r="G264" s="510" t="s">
        <v>326</v>
      </c>
      <c r="H264" s="484">
        <v>5</v>
      </c>
      <c r="I264" s="484">
        <v>3</v>
      </c>
      <c r="J264" s="484">
        <v>3</v>
      </c>
      <c r="K264" s="482">
        <v>4271.05</v>
      </c>
      <c r="L264" s="482">
        <v>4271.05</v>
      </c>
      <c r="M264" s="482">
        <v>0</v>
      </c>
      <c r="N264" s="484">
        <v>0</v>
      </c>
      <c r="O264" s="482">
        <v>0</v>
      </c>
      <c r="P264" s="482">
        <v>0</v>
      </c>
      <c r="Q264" s="482">
        <v>0</v>
      </c>
    </row>
    <row r="265" spans="1:17" ht="15.75" customHeight="1" x14ac:dyDescent="0.2">
      <c r="A265" s="526">
        <v>257</v>
      </c>
      <c r="B265" s="484" t="s">
        <v>643</v>
      </c>
      <c r="C265" s="516" t="s">
        <v>62</v>
      </c>
      <c r="D265" s="484"/>
      <c r="E265" s="486" t="s">
        <v>74</v>
      </c>
      <c r="F265" s="486" t="s">
        <v>644</v>
      </c>
      <c r="G265" s="510" t="s">
        <v>326</v>
      </c>
      <c r="H265" s="484">
        <v>2</v>
      </c>
      <c r="I265" s="484">
        <v>0</v>
      </c>
      <c r="J265" s="484">
        <v>0</v>
      </c>
      <c r="K265" s="482">
        <v>0</v>
      </c>
      <c r="L265" s="482">
        <v>0</v>
      </c>
      <c r="M265" s="482">
        <v>0</v>
      </c>
      <c r="N265" s="484">
        <v>0</v>
      </c>
      <c r="O265" s="482">
        <v>0</v>
      </c>
      <c r="P265" s="482">
        <v>0</v>
      </c>
      <c r="Q265" s="482">
        <v>0</v>
      </c>
    </row>
    <row r="266" spans="1:17" ht="15.75" customHeight="1" x14ac:dyDescent="0.2">
      <c r="A266" s="526">
        <v>258</v>
      </c>
      <c r="B266" s="484" t="s">
        <v>43</v>
      </c>
      <c r="C266" s="516" t="s">
        <v>62</v>
      </c>
      <c r="D266" s="484"/>
      <c r="E266" s="486" t="s">
        <v>74</v>
      </c>
      <c r="F266" s="486" t="s">
        <v>363</v>
      </c>
      <c r="G266" s="510" t="s">
        <v>326</v>
      </c>
      <c r="H266" s="484">
        <v>4</v>
      </c>
      <c r="I266" s="484">
        <v>3</v>
      </c>
      <c r="J266" s="484">
        <v>3</v>
      </c>
      <c r="K266" s="482">
        <v>4771.74</v>
      </c>
      <c r="L266" s="482">
        <v>4771.74</v>
      </c>
      <c r="M266" s="482">
        <v>0</v>
      </c>
      <c r="N266" s="484">
        <v>2</v>
      </c>
      <c r="O266" s="482">
        <v>0</v>
      </c>
      <c r="P266" s="482">
        <v>0</v>
      </c>
      <c r="Q266" s="482">
        <v>0</v>
      </c>
    </row>
    <row r="267" spans="1:17" ht="15.75" customHeight="1" x14ac:dyDescent="0.2">
      <c r="A267" s="526">
        <v>259</v>
      </c>
      <c r="B267" s="484" t="s">
        <v>364</v>
      </c>
      <c r="C267" s="516" t="s">
        <v>62</v>
      </c>
      <c r="D267" s="484"/>
      <c r="E267" s="486" t="s">
        <v>74</v>
      </c>
      <c r="F267" s="486" t="s">
        <v>365</v>
      </c>
      <c r="G267" s="510" t="s">
        <v>326</v>
      </c>
      <c r="H267" s="484">
        <v>9</v>
      </c>
      <c r="I267" s="484">
        <v>3</v>
      </c>
      <c r="J267" s="484">
        <v>3</v>
      </c>
      <c r="K267" s="482">
        <v>7069.3</v>
      </c>
      <c r="L267" s="482">
        <v>7069.3</v>
      </c>
      <c r="M267" s="482">
        <v>0</v>
      </c>
      <c r="N267" s="484">
        <v>4</v>
      </c>
      <c r="O267" s="482">
        <v>16224.36</v>
      </c>
      <c r="P267" s="482">
        <v>16224.36</v>
      </c>
      <c r="Q267" s="482">
        <v>0</v>
      </c>
    </row>
    <row r="268" spans="1:17" ht="15.75" customHeight="1" x14ac:dyDescent="0.2">
      <c r="A268" s="526">
        <v>260</v>
      </c>
      <c r="B268" s="484" t="s">
        <v>46</v>
      </c>
      <c r="C268" s="516" t="s">
        <v>62</v>
      </c>
      <c r="D268" s="484"/>
      <c r="E268" s="486" t="s">
        <v>678</v>
      </c>
      <c r="F268" s="486" t="s">
        <v>367</v>
      </c>
      <c r="G268" s="510" t="s">
        <v>326</v>
      </c>
      <c r="H268" s="484">
        <v>0</v>
      </c>
      <c r="I268" s="484">
        <v>0</v>
      </c>
      <c r="J268" s="484">
        <v>0</v>
      </c>
      <c r="K268" s="482">
        <v>0</v>
      </c>
      <c r="L268" s="482">
        <v>0</v>
      </c>
      <c r="M268" s="482">
        <v>0</v>
      </c>
      <c r="N268" s="484">
        <v>2</v>
      </c>
      <c r="O268" s="482">
        <v>4669.3</v>
      </c>
      <c r="P268" s="482">
        <v>4669.3</v>
      </c>
      <c r="Q268" s="482">
        <v>0</v>
      </c>
    </row>
    <row r="269" spans="1:17" ht="15.75" customHeight="1" x14ac:dyDescent="0.2">
      <c r="A269" s="526">
        <v>261</v>
      </c>
      <c r="B269" s="484" t="s">
        <v>270</v>
      </c>
      <c r="C269" s="516" t="s">
        <v>62</v>
      </c>
      <c r="D269" s="484"/>
      <c r="E269" s="486" t="s">
        <v>74</v>
      </c>
      <c r="F269" s="486" t="s">
        <v>539</v>
      </c>
      <c r="G269" s="510" t="s">
        <v>326</v>
      </c>
      <c r="H269" s="484">
        <v>3</v>
      </c>
      <c r="I269" s="484">
        <v>2</v>
      </c>
      <c r="J269" s="484">
        <v>2</v>
      </c>
      <c r="K269" s="482">
        <v>2117.15</v>
      </c>
      <c r="L269" s="482">
        <v>2117.15</v>
      </c>
      <c r="M269" s="482">
        <v>0</v>
      </c>
      <c r="N269" s="484">
        <v>0</v>
      </c>
      <c r="O269" s="482">
        <v>0</v>
      </c>
      <c r="P269" s="482">
        <v>0</v>
      </c>
      <c r="Q269" s="482">
        <v>0</v>
      </c>
    </row>
    <row r="270" spans="1:17" ht="15.75" customHeight="1" x14ac:dyDescent="0.2">
      <c r="A270" s="526">
        <v>262</v>
      </c>
      <c r="B270" s="484" t="s">
        <v>621</v>
      </c>
      <c r="C270" s="516" t="s">
        <v>62</v>
      </c>
      <c r="D270" s="484"/>
      <c r="E270" s="486" t="s">
        <v>74</v>
      </c>
      <c r="F270" s="486" t="s">
        <v>622</v>
      </c>
      <c r="G270" s="510" t="s">
        <v>326</v>
      </c>
      <c r="H270" s="484">
        <v>5</v>
      </c>
      <c r="I270" s="484">
        <v>3</v>
      </c>
      <c r="J270" s="484">
        <v>3</v>
      </c>
      <c r="K270" s="482">
        <v>3317.75</v>
      </c>
      <c r="L270" s="482">
        <v>3317.75</v>
      </c>
      <c r="M270" s="482">
        <v>0</v>
      </c>
      <c r="N270" s="484">
        <v>0</v>
      </c>
      <c r="O270" s="482">
        <v>0</v>
      </c>
      <c r="P270" s="482">
        <v>0</v>
      </c>
      <c r="Q270" s="482">
        <v>0</v>
      </c>
    </row>
    <row r="271" spans="1:17" ht="15.75" customHeight="1" x14ac:dyDescent="0.2">
      <c r="A271" s="526">
        <v>263</v>
      </c>
      <c r="B271" s="484" t="s">
        <v>723</v>
      </c>
      <c r="C271" s="516" t="s">
        <v>62</v>
      </c>
      <c r="D271" s="484"/>
      <c r="E271" s="486" t="s">
        <v>74</v>
      </c>
      <c r="F271" s="486" t="s">
        <v>724</v>
      </c>
      <c r="G271" s="510" t="s">
        <v>326</v>
      </c>
      <c r="H271" s="484">
        <v>2</v>
      </c>
      <c r="I271" s="484">
        <v>0</v>
      </c>
      <c r="J271" s="484">
        <v>0</v>
      </c>
      <c r="K271" s="482">
        <v>0</v>
      </c>
      <c r="L271" s="482">
        <v>0</v>
      </c>
      <c r="M271" s="482">
        <v>0</v>
      </c>
      <c r="N271" s="484">
        <v>0</v>
      </c>
      <c r="O271" s="482">
        <v>0</v>
      </c>
      <c r="P271" s="482">
        <v>0</v>
      </c>
      <c r="Q271" s="482">
        <v>0</v>
      </c>
    </row>
    <row r="272" spans="1:17" ht="15.75" customHeight="1" x14ac:dyDescent="0.2">
      <c r="A272" s="526">
        <v>264</v>
      </c>
      <c r="B272" s="484" t="s">
        <v>96</v>
      </c>
      <c r="C272" s="516" t="s">
        <v>62</v>
      </c>
      <c r="D272" s="484"/>
      <c r="E272" s="486" t="s">
        <v>772</v>
      </c>
      <c r="F272" s="486" t="s">
        <v>540</v>
      </c>
      <c r="G272" s="510" t="s">
        <v>326</v>
      </c>
      <c r="H272" s="484">
        <v>1</v>
      </c>
      <c r="I272" s="484">
        <v>0</v>
      </c>
      <c r="J272" s="484">
        <v>0</v>
      </c>
      <c r="K272" s="482">
        <v>0</v>
      </c>
      <c r="L272" s="482">
        <v>0</v>
      </c>
      <c r="M272" s="482">
        <v>0</v>
      </c>
      <c r="N272" s="484">
        <v>1</v>
      </c>
      <c r="O272" s="482">
        <v>0</v>
      </c>
      <c r="P272" s="482">
        <v>0</v>
      </c>
      <c r="Q272" s="482">
        <v>0</v>
      </c>
    </row>
    <row r="273" spans="1:17" ht="15.75" customHeight="1" x14ac:dyDescent="0.2">
      <c r="A273" s="526">
        <v>265</v>
      </c>
      <c r="B273" s="484" t="s">
        <v>124</v>
      </c>
      <c r="C273" s="516" t="s">
        <v>62</v>
      </c>
      <c r="D273" s="484"/>
      <c r="E273" s="486" t="s">
        <v>773</v>
      </c>
      <c r="F273" s="486" t="s">
        <v>368</v>
      </c>
      <c r="G273" s="510" t="s">
        <v>326</v>
      </c>
      <c r="H273" s="484">
        <v>27</v>
      </c>
      <c r="I273" s="484">
        <v>20</v>
      </c>
      <c r="J273" s="484">
        <v>20</v>
      </c>
      <c r="K273" s="482">
        <v>28575.31</v>
      </c>
      <c r="L273" s="482">
        <v>28575.31</v>
      </c>
      <c r="M273" s="482">
        <v>0</v>
      </c>
      <c r="N273" s="484">
        <v>8</v>
      </c>
      <c r="O273" s="482">
        <v>4753.3999999999996</v>
      </c>
      <c r="P273" s="482">
        <v>4753.3999999999996</v>
      </c>
      <c r="Q273" s="482">
        <v>0</v>
      </c>
    </row>
    <row r="274" spans="1:17" ht="15.75" customHeight="1" x14ac:dyDescent="0.2">
      <c r="A274" s="526">
        <v>266</v>
      </c>
      <c r="B274" s="484" t="s">
        <v>51</v>
      </c>
      <c r="C274" s="516" t="s">
        <v>62</v>
      </c>
      <c r="D274" s="484"/>
      <c r="E274" s="486" t="s">
        <v>74</v>
      </c>
      <c r="F274" s="486" t="s">
        <v>369</v>
      </c>
      <c r="G274" s="510" t="s">
        <v>326</v>
      </c>
      <c r="H274" s="484">
        <v>0</v>
      </c>
      <c r="I274" s="484">
        <v>0</v>
      </c>
      <c r="J274" s="484">
        <v>0</v>
      </c>
      <c r="K274" s="482">
        <v>0</v>
      </c>
      <c r="L274" s="482">
        <v>0</v>
      </c>
      <c r="M274" s="482">
        <v>0</v>
      </c>
      <c r="N274" s="484">
        <v>1</v>
      </c>
      <c r="O274" s="482">
        <v>2290.6</v>
      </c>
      <c r="P274" s="482">
        <v>2290.6</v>
      </c>
      <c r="Q274" s="482">
        <v>0</v>
      </c>
    </row>
    <row r="275" spans="1:17" ht="15.75" customHeight="1" x14ac:dyDescent="0.2">
      <c r="A275" s="526">
        <v>267</v>
      </c>
      <c r="B275" s="484" t="s">
        <v>286</v>
      </c>
      <c r="C275" s="516" t="s">
        <v>62</v>
      </c>
      <c r="D275" s="484"/>
      <c r="E275" s="486" t="s">
        <v>74</v>
      </c>
      <c r="F275" s="486" t="s">
        <v>476</v>
      </c>
      <c r="G275" s="510" t="s">
        <v>326</v>
      </c>
      <c r="H275" s="484">
        <v>8</v>
      </c>
      <c r="I275" s="484">
        <v>4</v>
      </c>
      <c r="J275" s="484">
        <v>4</v>
      </c>
      <c r="K275" s="482">
        <v>3195.3</v>
      </c>
      <c r="L275" s="482">
        <v>3195.3</v>
      </c>
      <c r="M275" s="482">
        <v>0</v>
      </c>
      <c r="N275" s="484">
        <v>0</v>
      </c>
      <c r="O275" s="482">
        <v>0</v>
      </c>
      <c r="P275" s="482">
        <v>0</v>
      </c>
      <c r="Q275" s="482">
        <v>0</v>
      </c>
    </row>
    <row r="276" spans="1:17" ht="15.75" customHeight="1" x14ac:dyDescent="0.2">
      <c r="A276" s="526">
        <v>268</v>
      </c>
      <c r="B276" s="484" t="s">
        <v>290</v>
      </c>
      <c r="C276" s="516" t="s">
        <v>62</v>
      </c>
      <c r="D276" s="484"/>
      <c r="E276" s="486" t="s">
        <v>74</v>
      </c>
      <c r="F276" s="486" t="s">
        <v>372</v>
      </c>
      <c r="G276" s="510" t="s">
        <v>326</v>
      </c>
      <c r="H276" s="484">
        <v>9</v>
      </c>
      <c r="I276" s="484">
        <v>8</v>
      </c>
      <c r="J276" s="484">
        <v>8</v>
      </c>
      <c r="K276" s="482">
        <v>6532.8</v>
      </c>
      <c r="L276" s="482">
        <v>6532.8</v>
      </c>
      <c r="M276" s="482">
        <v>0</v>
      </c>
      <c r="N276" s="484">
        <v>0</v>
      </c>
      <c r="O276" s="482">
        <v>0</v>
      </c>
      <c r="P276" s="482">
        <v>0</v>
      </c>
      <c r="Q276" s="482">
        <v>0</v>
      </c>
    </row>
    <row r="277" spans="1:17" ht="15.75" customHeight="1" x14ac:dyDescent="0.2">
      <c r="A277" s="526">
        <v>269</v>
      </c>
      <c r="B277" s="484" t="s">
        <v>134</v>
      </c>
      <c r="C277" s="516" t="s">
        <v>62</v>
      </c>
      <c r="D277" s="484"/>
      <c r="E277" s="486" t="s">
        <v>74</v>
      </c>
      <c r="F277" s="486" t="s">
        <v>373</v>
      </c>
      <c r="G277" s="510" t="s">
        <v>326</v>
      </c>
      <c r="H277" s="484">
        <v>3</v>
      </c>
      <c r="I277" s="484">
        <v>1</v>
      </c>
      <c r="J277" s="484">
        <v>1</v>
      </c>
      <c r="K277" s="482">
        <v>1938.2</v>
      </c>
      <c r="L277" s="482">
        <v>1938.2</v>
      </c>
      <c r="M277" s="482">
        <v>0</v>
      </c>
      <c r="N277" s="484">
        <v>3</v>
      </c>
      <c r="O277" s="482">
        <v>6693.2</v>
      </c>
      <c r="P277" s="482">
        <v>6693.2</v>
      </c>
      <c r="Q277" s="482">
        <v>0</v>
      </c>
    </row>
    <row r="278" spans="1:17" ht="15.75" customHeight="1" x14ac:dyDescent="0.2">
      <c r="A278" s="526">
        <v>270</v>
      </c>
      <c r="B278" s="484" t="s">
        <v>135</v>
      </c>
      <c r="C278" s="516" t="s">
        <v>62</v>
      </c>
      <c r="D278" s="484"/>
      <c r="E278" s="486" t="s">
        <v>74</v>
      </c>
      <c r="F278" s="486" t="s">
        <v>374</v>
      </c>
      <c r="G278" s="510" t="s">
        <v>326</v>
      </c>
      <c r="H278" s="484">
        <v>21</v>
      </c>
      <c r="I278" s="484">
        <v>7</v>
      </c>
      <c r="J278" s="484">
        <v>7</v>
      </c>
      <c r="K278" s="482">
        <v>13053.6</v>
      </c>
      <c r="L278" s="482">
        <v>13053.6</v>
      </c>
      <c r="M278" s="482">
        <v>0</v>
      </c>
      <c r="N278" s="484">
        <v>94</v>
      </c>
      <c r="O278" s="482">
        <v>48904.95</v>
      </c>
      <c r="P278" s="482">
        <v>48904.95</v>
      </c>
      <c r="Q278" s="482">
        <v>0</v>
      </c>
    </row>
    <row r="279" spans="1:17" ht="15.75" customHeight="1" x14ac:dyDescent="0.2">
      <c r="A279" s="526">
        <v>271</v>
      </c>
      <c r="B279" s="484" t="s">
        <v>508</v>
      </c>
      <c r="C279" s="516" t="s">
        <v>64</v>
      </c>
      <c r="D279" s="484" t="s">
        <v>509</v>
      </c>
      <c r="E279" s="486" t="s">
        <v>74</v>
      </c>
      <c r="F279" s="486" t="s">
        <v>510</v>
      </c>
      <c r="G279" s="510" t="s">
        <v>326</v>
      </c>
      <c r="H279" s="484">
        <v>3</v>
      </c>
      <c r="I279" s="484">
        <v>2</v>
      </c>
      <c r="J279" s="484">
        <v>2</v>
      </c>
      <c r="K279" s="482">
        <v>4418.3999999999996</v>
      </c>
      <c r="L279" s="482">
        <v>4418.3999999999996</v>
      </c>
      <c r="M279" s="482">
        <v>0</v>
      </c>
      <c r="N279" s="484">
        <v>0</v>
      </c>
      <c r="O279" s="482">
        <v>0</v>
      </c>
      <c r="P279" s="482">
        <v>0</v>
      </c>
      <c r="Q279" s="482">
        <v>0</v>
      </c>
    </row>
    <row r="280" spans="1:17" ht="15.75" customHeight="1" x14ac:dyDescent="0.2">
      <c r="A280" s="526">
        <v>272</v>
      </c>
      <c r="B280" s="484" t="s">
        <v>299</v>
      </c>
      <c r="C280" s="516" t="s">
        <v>62</v>
      </c>
      <c r="D280" s="484"/>
      <c r="E280" s="486" t="s">
        <v>158</v>
      </c>
      <c r="F280" s="486" t="s">
        <v>375</v>
      </c>
      <c r="G280" s="510" t="s">
        <v>326</v>
      </c>
      <c r="H280" s="484">
        <v>3</v>
      </c>
      <c r="I280" s="484">
        <v>1</v>
      </c>
      <c r="J280" s="484">
        <v>1</v>
      </c>
      <c r="K280" s="482">
        <v>704.8</v>
      </c>
      <c r="L280" s="482">
        <v>704.8</v>
      </c>
      <c r="M280" s="482">
        <v>0</v>
      </c>
      <c r="N280" s="484">
        <v>0</v>
      </c>
      <c r="O280" s="482">
        <v>0</v>
      </c>
      <c r="P280" s="482">
        <v>0</v>
      </c>
      <c r="Q280" s="482">
        <v>0</v>
      </c>
    </row>
    <row r="281" spans="1:17" ht="15.75" customHeight="1" x14ac:dyDescent="0.2">
      <c r="A281" s="526">
        <v>273</v>
      </c>
      <c r="B281" s="484" t="s">
        <v>302</v>
      </c>
      <c r="C281" s="516" t="s">
        <v>62</v>
      </c>
      <c r="D281" s="484"/>
      <c r="E281" s="486" t="s">
        <v>74</v>
      </c>
      <c r="F281" s="486" t="s">
        <v>725</v>
      </c>
      <c r="G281" s="510" t="s">
        <v>326</v>
      </c>
      <c r="H281" s="484">
        <v>1</v>
      </c>
      <c r="I281" s="484">
        <v>0</v>
      </c>
      <c r="J281" s="484">
        <v>0</v>
      </c>
      <c r="K281" s="482">
        <v>0</v>
      </c>
      <c r="L281" s="482">
        <v>0</v>
      </c>
      <c r="M281" s="482">
        <v>0</v>
      </c>
      <c r="N281" s="484">
        <v>0</v>
      </c>
      <c r="O281" s="482">
        <v>0</v>
      </c>
      <c r="P281" s="482">
        <v>0</v>
      </c>
      <c r="Q281" s="482">
        <v>0</v>
      </c>
    </row>
    <row r="282" spans="1:17" ht="15.75" customHeight="1" x14ac:dyDescent="0.2">
      <c r="A282" s="526">
        <v>274</v>
      </c>
      <c r="B282" s="484" t="s">
        <v>702</v>
      </c>
      <c r="C282" s="516" t="s">
        <v>62</v>
      </c>
      <c r="D282" s="484"/>
      <c r="E282" s="486" t="s">
        <v>74</v>
      </c>
      <c r="F282" s="486" t="s">
        <v>726</v>
      </c>
      <c r="G282" s="510" t="s">
        <v>326</v>
      </c>
      <c r="H282" s="484">
        <v>1</v>
      </c>
      <c r="I282" s="484">
        <v>1</v>
      </c>
      <c r="J282" s="484">
        <v>1</v>
      </c>
      <c r="K282" s="482">
        <v>552.29999999999995</v>
      </c>
      <c r="L282" s="482">
        <v>552.29999999999995</v>
      </c>
      <c r="M282" s="482">
        <v>0</v>
      </c>
      <c r="N282" s="484">
        <v>0</v>
      </c>
      <c r="O282" s="482">
        <v>0</v>
      </c>
      <c r="P282" s="482">
        <v>0</v>
      </c>
      <c r="Q282" s="482">
        <v>0</v>
      </c>
    </row>
    <row r="283" spans="1:17" ht="15.75" customHeight="1" x14ac:dyDescent="0.2">
      <c r="A283" s="526">
        <v>275</v>
      </c>
      <c r="B283" s="484" t="s">
        <v>376</v>
      </c>
      <c r="C283" s="516" t="s">
        <v>62</v>
      </c>
      <c r="D283" s="484"/>
      <c r="E283" s="486" t="s">
        <v>74</v>
      </c>
      <c r="F283" s="486" t="s">
        <v>377</v>
      </c>
      <c r="G283" s="510" t="s">
        <v>326</v>
      </c>
      <c r="H283" s="484">
        <v>11</v>
      </c>
      <c r="I283" s="484">
        <v>6</v>
      </c>
      <c r="J283" s="484">
        <v>6</v>
      </c>
      <c r="K283" s="482">
        <v>6722.05</v>
      </c>
      <c r="L283" s="482">
        <v>6722.05</v>
      </c>
      <c r="M283" s="482">
        <v>0</v>
      </c>
      <c r="N283" s="484">
        <v>0</v>
      </c>
      <c r="O283" s="482">
        <v>0</v>
      </c>
      <c r="P283" s="482">
        <v>0</v>
      </c>
      <c r="Q283" s="482">
        <v>0</v>
      </c>
    </row>
    <row r="284" spans="1:17" ht="15.75" customHeight="1" x14ac:dyDescent="0.2">
      <c r="A284" s="526">
        <v>276</v>
      </c>
      <c r="B284" s="484" t="s">
        <v>129</v>
      </c>
      <c r="C284" s="516" t="s">
        <v>62</v>
      </c>
      <c r="D284" s="484"/>
      <c r="E284" s="486" t="s">
        <v>74</v>
      </c>
      <c r="F284" s="486" t="s">
        <v>378</v>
      </c>
      <c r="G284" s="510" t="s">
        <v>326</v>
      </c>
      <c r="H284" s="484">
        <v>58</v>
      </c>
      <c r="I284" s="484">
        <v>47</v>
      </c>
      <c r="J284" s="484">
        <v>47</v>
      </c>
      <c r="K284" s="482">
        <v>80009.36</v>
      </c>
      <c r="L284" s="482">
        <v>80009.36</v>
      </c>
      <c r="M284" s="482">
        <v>0</v>
      </c>
      <c r="N284" s="484">
        <v>41</v>
      </c>
      <c r="O284" s="482">
        <v>75401.06</v>
      </c>
      <c r="P284" s="482">
        <v>75401.06</v>
      </c>
      <c r="Q284" s="482">
        <v>0</v>
      </c>
    </row>
    <row r="285" spans="1:17" ht="15.75" customHeight="1" x14ac:dyDescent="0.2">
      <c r="A285" s="526">
        <v>277</v>
      </c>
      <c r="B285" s="484" t="s">
        <v>379</v>
      </c>
      <c r="C285" s="516" t="s">
        <v>62</v>
      </c>
      <c r="D285" s="484"/>
      <c r="E285" s="486" t="s">
        <v>158</v>
      </c>
      <c r="F285" s="486" t="s">
        <v>380</v>
      </c>
      <c r="G285" s="510" t="s">
        <v>326</v>
      </c>
      <c r="H285" s="484">
        <v>6</v>
      </c>
      <c r="I285" s="484">
        <v>4</v>
      </c>
      <c r="J285" s="484">
        <v>4</v>
      </c>
      <c r="K285" s="482">
        <v>4131.6499999999996</v>
      </c>
      <c r="L285" s="482">
        <v>4131.6499999999996</v>
      </c>
      <c r="M285" s="482">
        <v>0</v>
      </c>
      <c r="N285" s="484">
        <v>0</v>
      </c>
      <c r="O285" s="482">
        <v>0</v>
      </c>
      <c r="P285" s="482">
        <v>0</v>
      </c>
      <c r="Q285" s="482">
        <v>0</v>
      </c>
    </row>
    <row r="286" spans="1:17" ht="15.75" customHeight="1" x14ac:dyDescent="0.2">
      <c r="A286" s="526">
        <v>278</v>
      </c>
      <c r="B286" s="484" t="s">
        <v>130</v>
      </c>
      <c r="C286" s="516" t="s">
        <v>62</v>
      </c>
      <c r="D286" s="484"/>
      <c r="E286" s="486" t="s">
        <v>74</v>
      </c>
      <c r="F286" s="486" t="s">
        <v>557</v>
      </c>
      <c r="G286" s="510" t="s">
        <v>326</v>
      </c>
      <c r="H286" s="484">
        <v>2</v>
      </c>
      <c r="I286" s="484">
        <v>1</v>
      </c>
      <c r="J286" s="484">
        <v>1</v>
      </c>
      <c r="K286" s="482">
        <v>1104.5999999999999</v>
      </c>
      <c r="L286" s="482">
        <v>1104.5999999999999</v>
      </c>
      <c r="M286" s="482">
        <v>0</v>
      </c>
      <c r="N286" s="484">
        <v>7</v>
      </c>
      <c r="O286" s="482">
        <v>11044.15</v>
      </c>
      <c r="P286" s="482">
        <v>11044.15</v>
      </c>
      <c r="Q286" s="482">
        <v>0</v>
      </c>
    </row>
    <row r="287" spans="1:17" ht="15.75" customHeight="1" x14ac:dyDescent="0.2">
      <c r="A287" s="526">
        <v>279</v>
      </c>
      <c r="B287" s="484" t="s">
        <v>382</v>
      </c>
      <c r="C287" s="516" t="s">
        <v>62</v>
      </c>
      <c r="D287" s="484"/>
      <c r="E287" s="486" t="s">
        <v>703</v>
      </c>
      <c r="F287" s="486" t="s">
        <v>384</v>
      </c>
      <c r="G287" s="510" t="s">
        <v>326</v>
      </c>
      <c r="H287" s="484">
        <v>1</v>
      </c>
      <c r="I287" s="484">
        <v>1</v>
      </c>
      <c r="J287" s="484">
        <v>1</v>
      </c>
      <c r="K287" s="482">
        <v>704.8</v>
      </c>
      <c r="L287" s="482">
        <v>704.8</v>
      </c>
      <c r="M287" s="482">
        <v>0</v>
      </c>
      <c r="N287" s="484">
        <v>0</v>
      </c>
      <c r="O287" s="482">
        <v>0</v>
      </c>
      <c r="P287" s="482">
        <v>0</v>
      </c>
      <c r="Q287" s="482">
        <v>0</v>
      </c>
    </row>
    <row r="288" spans="1:17" ht="15.75" customHeight="1" x14ac:dyDescent="0.2">
      <c r="A288" s="526">
        <v>280</v>
      </c>
      <c r="B288" s="484" t="s">
        <v>385</v>
      </c>
      <c r="C288" s="516" t="s">
        <v>62</v>
      </c>
      <c r="D288" s="484"/>
      <c r="E288" s="486" t="s">
        <v>675</v>
      </c>
      <c r="F288" s="486" t="s">
        <v>386</v>
      </c>
      <c r="G288" s="510" t="s">
        <v>326</v>
      </c>
      <c r="H288" s="484">
        <v>15</v>
      </c>
      <c r="I288" s="484">
        <v>10</v>
      </c>
      <c r="J288" s="484">
        <v>10</v>
      </c>
      <c r="K288" s="482">
        <v>9903.75</v>
      </c>
      <c r="L288" s="482">
        <v>9903.75</v>
      </c>
      <c r="M288" s="482">
        <v>0</v>
      </c>
      <c r="N288" s="484">
        <v>18</v>
      </c>
      <c r="O288" s="482">
        <v>9602.9</v>
      </c>
      <c r="P288" s="482">
        <v>9602.9</v>
      </c>
      <c r="Q288" s="482">
        <v>0</v>
      </c>
    </row>
    <row r="289" spans="1:17" ht="15.75" customHeight="1" x14ac:dyDescent="0.2">
      <c r="A289" s="526">
        <v>281</v>
      </c>
      <c r="B289" s="628" t="s">
        <v>19</v>
      </c>
      <c r="C289" s="629" t="s">
        <v>62</v>
      </c>
      <c r="D289" s="289"/>
      <c r="E289" s="490" t="s">
        <v>671</v>
      </c>
      <c r="F289" s="630" t="s">
        <v>394</v>
      </c>
      <c r="G289" s="289" t="s">
        <v>395</v>
      </c>
      <c r="H289" s="289">
        <v>1</v>
      </c>
      <c r="I289" s="289">
        <v>0</v>
      </c>
      <c r="J289" s="491">
        <v>0</v>
      </c>
      <c r="K289" s="631">
        <v>0</v>
      </c>
      <c r="L289" s="631">
        <v>0</v>
      </c>
      <c r="M289" s="482">
        <v>0</v>
      </c>
      <c r="N289" s="371">
        <v>0</v>
      </c>
      <c r="O289" s="492">
        <v>0</v>
      </c>
      <c r="P289" s="492">
        <v>0</v>
      </c>
      <c r="Q289" s="482">
        <v>0</v>
      </c>
    </row>
    <row r="290" spans="1:17" ht="15.75" customHeight="1" x14ac:dyDescent="0.2">
      <c r="A290" s="526">
        <v>282</v>
      </c>
      <c r="B290" s="628" t="s">
        <v>90</v>
      </c>
      <c r="C290" s="629" t="s">
        <v>62</v>
      </c>
      <c r="D290" s="628"/>
      <c r="E290" s="490" t="s">
        <v>689</v>
      </c>
      <c r="F290" s="630" t="s">
        <v>396</v>
      </c>
      <c r="G290" s="289" t="s">
        <v>395</v>
      </c>
      <c r="H290" s="628">
        <v>9</v>
      </c>
      <c r="I290" s="628">
        <v>9</v>
      </c>
      <c r="J290" s="628">
        <v>9</v>
      </c>
      <c r="K290" s="631">
        <v>11276.8</v>
      </c>
      <c r="L290" s="631">
        <v>11276.8</v>
      </c>
      <c r="M290" s="482">
        <v>0</v>
      </c>
      <c r="N290" s="628">
        <v>20</v>
      </c>
      <c r="O290" s="631">
        <v>28791.88</v>
      </c>
      <c r="P290" s="631">
        <v>28791.88</v>
      </c>
      <c r="Q290" s="482">
        <v>0</v>
      </c>
    </row>
    <row r="291" spans="1:17" ht="15.75" customHeight="1" x14ac:dyDescent="0.2">
      <c r="A291" s="526">
        <v>283</v>
      </c>
      <c r="B291" s="289" t="s">
        <v>133</v>
      </c>
      <c r="C291" s="493" t="s">
        <v>67</v>
      </c>
      <c r="D291" s="484" t="s">
        <v>494</v>
      </c>
      <c r="E291" s="486" t="s">
        <v>158</v>
      </c>
      <c r="F291" s="630" t="s">
        <v>398</v>
      </c>
      <c r="G291" s="289" t="s">
        <v>395</v>
      </c>
      <c r="H291" s="628">
        <v>12</v>
      </c>
      <c r="I291" s="628">
        <v>5</v>
      </c>
      <c r="J291" s="628">
        <v>5</v>
      </c>
      <c r="K291" s="631">
        <v>7688.8</v>
      </c>
      <c r="L291" s="631">
        <v>7688.8</v>
      </c>
      <c r="M291" s="482">
        <v>0</v>
      </c>
      <c r="N291" s="628">
        <v>9</v>
      </c>
      <c r="O291" s="631">
        <v>12473.03</v>
      </c>
      <c r="P291" s="631">
        <v>12473.03</v>
      </c>
      <c r="Q291" s="482">
        <v>0</v>
      </c>
    </row>
    <row r="292" spans="1:17" ht="15.75" customHeight="1" x14ac:dyDescent="0.2">
      <c r="A292" s="526">
        <v>284</v>
      </c>
      <c r="B292" s="628" t="s">
        <v>399</v>
      </c>
      <c r="C292" s="629" t="s">
        <v>62</v>
      </c>
      <c r="D292" s="628"/>
      <c r="E292" s="490" t="s">
        <v>694</v>
      </c>
      <c r="F292" s="630" t="s">
        <v>401</v>
      </c>
      <c r="G292" s="289" t="s">
        <v>395</v>
      </c>
      <c r="H292" s="628">
        <v>31</v>
      </c>
      <c r="I292" s="628">
        <v>16</v>
      </c>
      <c r="J292" s="628">
        <v>16</v>
      </c>
      <c r="K292" s="631">
        <v>19682.849999999999</v>
      </c>
      <c r="L292" s="631">
        <v>19682.849999999999</v>
      </c>
      <c r="M292" s="482">
        <v>0</v>
      </c>
      <c r="N292" s="628">
        <v>0</v>
      </c>
      <c r="O292" s="631">
        <v>0</v>
      </c>
      <c r="P292" s="631">
        <v>0</v>
      </c>
      <c r="Q292" s="482">
        <v>0</v>
      </c>
    </row>
    <row r="293" spans="1:17" ht="15.75" customHeight="1" x14ac:dyDescent="0.2">
      <c r="A293" s="526">
        <v>285</v>
      </c>
      <c r="B293" s="628" t="s">
        <v>402</v>
      </c>
      <c r="C293" s="629" t="s">
        <v>62</v>
      </c>
      <c r="D293" s="628"/>
      <c r="E293" s="486" t="s">
        <v>158</v>
      </c>
      <c r="F293" s="630" t="s">
        <v>403</v>
      </c>
      <c r="G293" s="289" t="s">
        <v>395</v>
      </c>
      <c r="H293" s="628">
        <v>2</v>
      </c>
      <c r="I293" s="628">
        <v>2</v>
      </c>
      <c r="J293" s="628">
        <v>2</v>
      </c>
      <c r="K293" s="631">
        <v>3815.95</v>
      </c>
      <c r="L293" s="631">
        <v>3815.95</v>
      </c>
      <c r="M293" s="482">
        <v>0</v>
      </c>
      <c r="N293" s="628">
        <v>0</v>
      </c>
      <c r="O293" s="631">
        <v>0</v>
      </c>
      <c r="P293" s="631">
        <v>0</v>
      </c>
      <c r="Q293" s="482">
        <v>0</v>
      </c>
    </row>
    <row r="294" spans="1:17" ht="15.75" customHeight="1" x14ac:dyDescent="0.2">
      <c r="A294" s="526">
        <v>286</v>
      </c>
      <c r="B294" s="628" t="s">
        <v>48</v>
      </c>
      <c r="C294" s="629" t="s">
        <v>62</v>
      </c>
      <c r="D294" s="628"/>
      <c r="E294" s="490" t="s">
        <v>671</v>
      </c>
      <c r="F294" s="630" t="s">
        <v>404</v>
      </c>
      <c r="G294" s="289" t="s">
        <v>395</v>
      </c>
      <c r="H294" s="628">
        <v>17</v>
      </c>
      <c r="I294" s="628">
        <v>13</v>
      </c>
      <c r="J294" s="628">
        <v>13</v>
      </c>
      <c r="K294" s="631">
        <v>19861.5</v>
      </c>
      <c r="L294" s="631">
        <v>19861.5</v>
      </c>
      <c r="M294" s="482">
        <v>0</v>
      </c>
      <c r="N294" s="628">
        <v>22</v>
      </c>
      <c r="O294" s="631">
        <v>58443.62</v>
      </c>
      <c r="P294" s="631">
        <v>58443.62</v>
      </c>
      <c r="Q294" s="482">
        <v>0</v>
      </c>
    </row>
    <row r="295" spans="1:17" ht="15.75" customHeight="1" x14ac:dyDescent="0.2">
      <c r="A295" s="526">
        <v>287</v>
      </c>
      <c r="B295" s="628" t="s">
        <v>39</v>
      </c>
      <c r="C295" s="629" t="s">
        <v>62</v>
      </c>
      <c r="D295" s="628"/>
      <c r="E295" s="490" t="s">
        <v>694</v>
      </c>
      <c r="F295" s="630" t="s">
        <v>405</v>
      </c>
      <c r="G295" s="289" t="s">
        <v>395</v>
      </c>
      <c r="H295" s="628">
        <v>33</v>
      </c>
      <c r="I295" s="628">
        <v>6</v>
      </c>
      <c r="J295" s="628">
        <v>6</v>
      </c>
      <c r="K295" s="631">
        <v>12097.84</v>
      </c>
      <c r="L295" s="631">
        <v>12097.84</v>
      </c>
      <c r="M295" s="482">
        <v>0</v>
      </c>
      <c r="N295" s="628">
        <v>15</v>
      </c>
      <c r="O295" s="631">
        <v>25433.599999999999</v>
      </c>
      <c r="P295" s="631">
        <v>25433.599999999999</v>
      </c>
      <c r="Q295" s="482">
        <v>0</v>
      </c>
    </row>
    <row r="296" spans="1:17" ht="15.75" customHeight="1" x14ac:dyDescent="0.2">
      <c r="A296" s="526">
        <v>288</v>
      </c>
      <c r="B296" s="628" t="s">
        <v>127</v>
      </c>
      <c r="C296" s="629" t="s">
        <v>62</v>
      </c>
      <c r="D296" s="628"/>
      <c r="E296" s="486" t="s">
        <v>158</v>
      </c>
      <c r="F296" s="630" t="s">
        <v>406</v>
      </c>
      <c r="G296" s="289" t="s">
        <v>395</v>
      </c>
      <c r="H296" s="628">
        <v>0</v>
      </c>
      <c r="I296" s="628">
        <v>0</v>
      </c>
      <c r="J296" s="628">
        <v>0</v>
      </c>
      <c r="K296" s="631">
        <v>0</v>
      </c>
      <c r="L296" s="631">
        <v>0</v>
      </c>
      <c r="M296" s="482">
        <v>0</v>
      </c>
      <c r="N296" s="628">
        <v>1</v>
      </c>
      <c r="O296" s="631">
        <v>264.3</v>
      </c>
      <c r="P296" s="631">
        <v>264.3</v>
      </c>
      <c r="Q296" s="482">
        <v>0</v>
      </c>
    </row>
    <row r="297" spans="1:17" ht="15.75" customHeight="1" x14ac:dyDescent="0.2">
      <c r="A297" s="526">
        <v>289</v>
      </c>
      <c r="B297" s="628" t="s">
        <v>561</v>
      </c>
      <c r="C297" s="629" t="s">
        <v>62</v>
      </c>
      <c r="D297" s="628"/>
      <c r="E297" s="490" t="s">
        <v>671</v>
      </c>
      <c r="F297" s="630" t="s">
        <v>562</v>
      </c>
      <c r="G297" s="289" t="s">
        <v>395</v>
      </c>
      <c r="H297" s="628">
        <v>31</v>
      </c>
      <c r="I297" s="628">
        <v>0</v>
      </c>
      <c r="J297" s="628">
        <v>0</v>
      </c>
      <c r="K297" s="631">
        <v>0</v>
      </c>
      <c r="L297" s="631">
        <v>0</v>
      </c>
      <c r="M297" s="482">
        <v>0</v>
      </c>
      <c r="N297" s="628">
        <v>0</v>
      </c>
      <c r="O297" s="631">
        <v>0</v>
      </c>
      <c r="P297" s="631">
        <v>0</v>
      </c>
      <c r="Q297" s="482">
        <v>0</v>
      </c>
    </row>
    <row r="298" spans="1:17" ht="15.75" customHeight="1" x14ac:dyDescent="0.2">
      <c r="A298" s="526">
        <v>290</v>
      </c>
      <c r="B298" s="628" t="s">
        <v>563</v>
      </c>
      <c r="C298" s="629" t="s">
        <v>62</v>
      </c>
      <c r="D298" s="628"/>
      <c r="E298" s="490" t="s">
        <v>671</v>
      </c>
      <c r="F298" s="630" t="s">
        <v>564</v>
      </c>
      <c r="G298" s="289" t="s">
        <v>395</v>
      </c>
      <c r="H298" s="628">
        <v>36</v>
      </c>
      <c r="I298" s="628">
        <v>6</v>
      </c>
      <c r="J298" s="628">
        <v>5</v>
      </c>
      <c r="K298" s="631">
        <v>7061.4</v>
      </c>
      <c r="L298" s="631">
        <v>7061.4</v>
      </c>
      <c r="M298" s="482">
        <v>0</v>
      </c>
      <c r="N298" s="628">
        <v>2</v>
      </c>
      <c r="O298" s="631">
        <v>1150.6300000000001</v>
      </c>
      <c r="P298" s="631">
        <v>1150.6300000000001</v>
      </c>
      <c r="Q298" s="482">
        <v>0</v>
      </c>
    </row>
    <row r="299" spans="1:17" ht="15.75" customHeight="1" x14ac:dyDescent="0.2">
      <c r="A299" s="526">
        <v>291</v>
      </c>
      <c r="B299" s="628" t="s">
        <v>53</v>
      </c>
      <c r="C299" s="629" t="s">
        <v>62</v>
      </c>
      <c r="D299" s="628"/>
      <c r="E299" s="486" t="s">
        <v>158</v>
      </c>
      <c r="F299" s="630" t="s">
        <v>634</v>
      </c>
      <c r="G299" s="289" t="s">
        <v>395</v>
      </c>
      <c r="H299" s="628">
        <v>17</v>
      </c>
      <c r="I299" s="628">
        <v>1</v>
      </c>
      <c r="J299" s="628">
        <v>1</v>
      </c>
      <c r="K299" s="631">
        <v>920.5</v>
      </c>
      <c r="L299" s="631">
        <v>920.5</v>
      </c>
      <c r="M299" s="482">
        <v>0</v>
      </c>
      <c r="N299" s="371">
        <v>0</v>
      </c>
      <c r="O299" s="492">
        <v>0</v>
      </c>
      <c r="P299" s="492">
        <v>0</v>
      </c>
      <c r="Q299" s="482">
        <v>0</v>
      </c>
    </row>
  </sheetData>
  <autoFilter ref="A8:IV299"/>
  <pageMargins left="0.75" right="0.75" top="1" bottom="1" header="0.5" footer="0.5"/>
  <pageSetup paperSize="9" orientation="portrait" verticalDpi="300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R300"/>
  <sheetViews>
    <sheetView topLeftCell="A280" workbookViewId="0">
      <selection activeCell="A289" sqref="A289:A300"/>
    </sheetView>
  </sheetViews>
  <sheetFormatPr defaultRowHeight="12.75" x14ac:dyDescent="0.2"/>
  <cols>
    <col min="1" max="1" width="10.140625" style="511" customWidth="1"/>
    <col min="2" max="2" width="43" style="511" customWidth="1"/>
    <col min="3" max="3" width="10.140625" style="511" customWidth="1"/>
    <col min="4" max="4" width="45" style="511" customWidth="1"/>
    <col min="5" max="5" width="34.5703125" style="511" customWidth="1"/>
    <col min="6" max="6" width="20.42578125" style="511" customWidth="1"/>
    <col min="7" max="7" width="36" style="511" customWidth="1"/>
    <col min="8" max="10" width="9.140625" style="511"/>
    <col min="11" max="12" width="9.5703125" style="511" customWidth="1"/>
    <col min="13" max="13" width="9.42578125" style="511" customWidth="1"/>
    <col min="14" max="14" width="9.140625" style="511"/>
    <col min="15" max="16" width="10.5703125" style="511" customWidth="1"/>
    <col min="17" max="17" width="9.42578125" style="511" customWidth="1"/>
    <col min="18" max="16384" width="9.140625" style="511"/>
  </cols>
  <sheetData>
    <row r="1" spans="1:252" ht="127.5" x14ac:dyDescent="0.2">
      <c r="A1" s="494"/>
      <c r="B1" s="495"/>
      <c r="C1" s="495"/>
      <c r="D1" s="495"/>
      <c r="E1" s="495"/>
      <c r="F1" s="495"/>
      <c r="G1" s="495"/>
      <c r="H1" s="495"/>
      <c r="I1" s="495"/>
      <c r="J1" s="495"/>
      <c r="K1" s="496"/>
      <c r="L1" s="496"/>
      <c r="M1" s="496"/>
      <c r="N1" s="495"/>
      <c r="O1" s="523" t="s">
        <v>15</v>
      </c>
      <c r="P1" s="523"/>
      <c r="Q1" s="523"/>
      <c r="R1" s="522"/>
      <c r="S1" s="522"/>
      <c r="T1" s="522"/>
      <c r="U1" s="522"/>
      <c r="V1" s="522"/>
      <c r="W1" s="522"/>
      <c r="X1" s="522"/>
      <c r="Y1" s="522"/>
      <c r="Z1" s="522"/>
      <c r="AA1" s="522"/>
      <c r="AB1" s="522"/>
      <c r="AC1" s="522"/>
      <c r="AD1" s="522"/>
      <c r="AE1" s="522"/>
      <c r="AF1" s="522"/>
      <c r="AG1" s="522"/>
      <c r="AH1" s="522"/>
      <c r="AI1" s="522"/>
      <c r="AJ1" s="522"/>
      <c r="AK1" s="522"/>
      <c r="AL1" s="522"/>
      <c r="AM1" s="522"/>
      <c r="AN1" s="522"/>
      <c r="AO1" s="522"/>
      <c r="AP1" s="522"/>
      <c r="AQ1" s="522"/>
      <c r="AR1" s="522"/>
      <c r="AS1" s="522"/>
      <c r="AT1" s="522"/>
      <c r="AU1" s="522"/>
      <c r="AV1" s="522"/>
      <c r="AW1" s="522"/>
      <c r="AX1" s="522"/>
      <c r="AY1" s="522"/>
      <c r="AZ1" s="522"/>
      <c r="BA1" s="522"/>
      <c r="BB1" s="522"/>
      <c r="BC1" s="522"/>
      <c r="BD1" s="522"/>
      <c r="BE1" s="522"/>
      <c r="BF1" s="522"/>
      <c r="BG1" s="522"/>
      <c r="BH1" s="522"/>
      <c r="BI1" s="522"/>
      <c r="BJ1" s="522"/>
      <c r="BK1" s="522"/>
      <c r="BL1" s="522"/>
      <c r="BM1" s="522"/>
      <c r="BN1" s="522"/>
      <c r="BO1" s="522"/>
      <c r="BP1" s="522"/>
      <c r="BQ1" s="522"/>
      <c r="BR1" s="522"/>
      <c r="BS1" s="522"/>
      <c r="BT1" s="522"/>
      <c r="BU1" s="522"/>
      <c r="BV1" s="522"/>
      <c r="BW1" s="522"/>
      <c r="BX1" s="522"/>
      <c r="BY1" s="522"/>
      <c r="BZ1" s="522"/>
      <c r="CA1" s="522"/>
      <c r="CB1" s="522"/>
      <c r="CC1" s="522"/>
      <c r="CD1" s="522"/>
      <c r="CE1" s="522"/>
      <c r="CF1" s="522"/>
      <c r="CG1" s="522"/>
      <c r="CH1" s="522"/>
      <c r="CI1" s="522"/>
      <c r="CJ1" s="522"/>
      <c r="CK1" s="522"/>
      <c r="CL1" s="522"/>
      <c r="CM1" s="522"/>
      <c r="CN1" s="522"/>
      <c r="CO1" s="522"/>
      <c r="CP1" s="522"/>
      <c r="CQ1" s="522"/>
      <c r="CR1" s="522"/>
      <c r="CS1" s="522"/>
      <c r="CT1" s="522"/>
      <c r="CU1" s="522"/>
      <c r="CV1" s="522"/>
      <c r="CW1" s="522"/>
      <c r="CX1" s="522"/>
      <c r="CY1" s="522"/>
      <c r="CZ1" s="522"/>
      <c r="DA1" s="522"/>
      <c r="DB1" s="522"/>
      <c r="DC1" s="522"/>
      <c r="DD1" s="522"/>
      <c r="DE1" s="522"/>
      <c r="DF1" s="522"/>
      <c r="DG1" s="522"/>
      <c r="DH1" s="522"/>
      <c r="DI1" s="522"/>
      <c r="DJ1" s="522"/>
      <c r="DK1" s="522"/>
      <c r="DL1" s="522"/>
      <c r="DM1" s="522"/>
      <c r="DN1" s="522"/>
      <c r="DO1" s="522"/>
      <c r="DP1" s="522"/>
      <c r="DQ1" s="522"/>
      <c r="DR1" s="522"/>
      <c r="DS1" s="522"/>
      <c r="DT1" s="522"/>
      <c r="DU1" s="522"/>
      <c r="DV1" s="522"/>
      <c r="DW1" s="522"/>
      <c r="DX1" s="522"/>
      <c r="DY1" s="522"/>
      <c r="DZ1" s="522"/>
      <c r="EA1" s="522"/>
      <c r="EB1" s="522"/>
      <c r="EC1" s="522"/>
      <c r="ED1" s="522"/>
      <c r="EE1" s="522"/>
      <c r="EF1" s="522"/>
      <c r="EG1" s="522"/>
      <c r="EH1" s="522"/>
      <c r="EI1" s="522"/>
      <c r="EJ1" s="522"/>
      <c r="EK1" s="522"/>
      <c r="EL1" s="522"/>
      <c r="EM1" s="522"/>
      <c r="EN1" s="522"/>
      <c r="EO1" s="522"/>
      <c r="EP1" s="522"/>
      <c r="EQ1" s="522"/>
      <c r="ER1" s="522"/>
      <c r="ES1" s="522"/>
      <c r="ET1" s="522"/>
      <c r="EU1" s="522"/>
      <c r="EV1" s="522"/>
      <c r="EW1" s="522"/>
      <c r="EX1" s="522"/>
      <c r="EY1" s="522"/>
      <c r="EZ1" s="522"/>
      <c r="FA1" s="522"/>
      <c r="FB1" s="522"/>
      <c r="FC1" s="522"/>
      <c r="FD1" s="522"/>
      <c r="FE1" s="522"/>
      <c r="FF1" s="522"/>
      <c r="FG1" s="522"/>
      <c r="FH1" s="522"/>
      <c r="FI1" s="522"/>
      <c r="FJ1" s="522"/>
      <c r="FK1" s="522"/>
      <c r="FL1" s="522"/>
      <c r="FM1" s="522"/>
      <c r="FN1" s="522"/>
      <c r="FO1" s="522"/>
      <c r="FP1" s="522"/>
      <c r="FQ1" s="522"/>
      <c r="FR1" s="522"/>
      <c r="FS1" s="522"/>
      <c r="FT1" s="522"/>
      <c r="FU1" s="522"/>
      <c r="FV1" s="522"/>
      <c r="FW1" s="522"/>
      <c r="FX1" s="522"/>
      <c r="FY1" s="522"/>
      <c r="FZ1" s="522"/>
      <c r="GA1" s="522"/>
      <c r="GB1" s="522"/>
      <c r="GC1" s="522"/>
      <c r="GD1" s="522"/>
      <c r="GE1" s="522"/>
      <c r="GF1" s="522"/>
      <c r="GG1" s="522"/>
      <c r="GH1" s="522"/>
      <c r="GI1" s="522"/>
      <c r="GJ1" s="522"/>
      <c r="GK1" s="522"/>
      <c r="GL1" s="522"/>
      <c r="GM1" s="522"/>
      <c r="GN1" s="522"/>
      <c r="GO1" s="522"/>
      <c r="GP1" s="522"/>
      <c r="GQ1" s="522"/>
      <c r="GR1" s="522"/>
      <c r="GS1" s="522"/>
      <c r="GT1" s="522"/>
      <c r="GU1" s="522"/>
      <c r="GV1" s="522"/>
      <c r="GW1" s="522"/>
      <c r="GX1" s="522"/>
      <c r="GY1" s="522"/>
      <c r="GZ1" s="522"/>
      <c r="HA1" s="522"/>
      <c r="HB1" s="522"/>
      <c r="HC1" s="522"/>
      <c r="HD1" s="522"/>
      <c r="HE1" s="522"/>
      <c r="HF1" s="522"/>
      <c r="HG1" s="522"/>
      <c r="HH1" s="522"/>
      <c r="HI1" s="522"/>
      <c r="HJ1" s="522"/>
      <c r="HK1" s="522"/>
      <c r="HL1" s="522"/>
      <c r="HM1" s="522"/>
      <c r="HN1" s="522"/>
      <c r="HO1" s="522"/>
      <c r="HP1" s="522"/>
      <c r="HQ1" s="522"/>
      <c r="HR1" s="522"/>
      <c r="HS1" s="522"/>
      <c r="HT1" s="522"/>
      <c r="HU1" s="522"/>
      <c r="HV1" s="522"/>
      <c r="HW1" s="522"/>
      <c r="HX1" s="522"/>
      <c r="HY1" s="522"/>
      <c r="HZ1" s="522"/>
      <c r="IA1" s="522"/>
      <c r="IB1" s="522"/>
      <c r="IC1" s="522"/>
      <c r="ID1" s="522"/>
      <c r="IE1" s="522"/>
      <c r="IF1" s="522"/>
      <c r="IG1" s="522"/>
      <c r="IH1" s="522"/>
      <c r="II1" s="522"/>
      <c r="IJ1" s="522"/>
      <c r="IK1" s="522"/>
      <c r="IL1" s="522"/>
      <c r="IM1" s="522"/>
      <c r="IN1" s="522"/>
      <c r="IO1" s="522"/>
      <c r="IP1" s="522"/>
      <c r="IQ1" s="522"/>
      <c r="IR1" s="522"/>
    </row>
    <row r="2" spans="1:252" x14ac:dyDescent="0.2">
      <c r="A2" s="494"/>
      <c r="B2" s="495"/>
      <c r="C2" s="495"/>
      <c r="D2" s="495"/>
      <c r="E2" s="495"/>
      <c r="F2" s="495"/>
      <c r="G2" s="495"/>
      <c r="H2" s="495"/>
      <c r="I2" s="495"/>
      <c r="J2" s="495"/>
      <c r="K2" s="496"/>
      <c r="L2" s="496"/>
      <c r="M2" s="496"/>
      <c r="N2" s="495"/>
      <c r="O2" s="496"/>
      <c r="P2" s="496"/>
      <c r="Q2" s="496"/>
      <c r="R2" s="522"/>
      <c r="S2" s="522"/>
      <c r="T2" s="522"/>
      <c r="U2" s="522"/>
      <c r="V2" s="522"/>
      <c r="W2" s="522"/>
      <c r="X2" s="522"/>
      <c r="Y2" s="522"/>
      <c r="Z2" s="522"/>
      <c r="AA2" s="522"/>
      <c r="AB2" s="522"/>
      <c r="AC2" s="522"/>
      <c r="AD2" s="522"/>
      <c r="AE2" s="522"/>
      <c r="AF2" s="522"/>
      <c r="AG2" s="522"/>
      <c r="AH2" s="522"/>
      <c r="AI2" s="522"/>
      <c r="AJ2" s="522"/>
      <c r="AK2" s="522"/>
      <c r="AL2" s="522"/>
      <c r="AM2" s="522"/>
      <c r="AN2" s="522"/>
      <c r="AO2" s="522"/>
      <c r="AP2" s="522"/>
      <c r="AQ2" s="522"/>
      <c r="AR2" s="522"/>
      <c r="AS2" s="522"/>
      <c r="AT2" s="522"/>
      <c r="AU2" s="522"/>
      <c r="AV2" s="522"/>
      <c r="AW2" s="522"/>
      <c r="AX2" s="522"/>
      <c r="AY2" s="522"/>
      <c r="AZ2" s="522"/>
      <c r="BA2" s="522"/>
      <c r="BB2" s="522"/>
      <c r="BC2" s="522"/>
      <c r="BD2" s="522"/>
      <c r="BE2" s="522"/>
      <c r="BF2" s="522"/>
      <c r="BG2" s="522"/>
      <c r="BH2" s="522"/>
      <c r="BI2" s="522"/>
      <c r="BJ2" s="522"/>
      <c r="BK2" s="522"/>
      <c r="BL2" s="522"/>
      <c r="BM2" s="522"/>
      <c r="BN2" s="522"/>
      <c r="BO2" s="522"/>
      <c r="BP2" s="522"/>
      <c r="BQ2" s="522"/>
      <c r="BR2" s="522"/>
      <c r="BS2" s="522"/>
      <c r="BT2" s="522"/>
      <c r="BU2" s="522"/>
      <c r="BV2" s="522"/>
      <c r="BW2" s="522"/>
      <c r="BX2" s="522"/>
      <c r="BY2" s="522"/>
      <c r="BZ2" s="522"/>
      <c r="CA2" s="522"/>
      <c r="CB2" s="522"/>
      <c r="CC2" s="522"/>
      <c r="CD2" s="522"/>
      <c r="CE2" s="522"/>
      <c r="CF2" s="522"/>
      <c r="CG2" s="522"/>
      <c r="CH2" s="522"/>
      <c r="CI2" s="522"/>
      <c r="CJ2" s="522"/>
      <c r="CK2" s="522"/>
      <c r="CL2" s="522"/>
      <c r="CM2" s="522"/>
      <c r="CN2" s="522"/>
      <c r="CO2" s="522"/>
      <c r="CP2" s="522"/>
      <c r="CQ2" s="522"/>
      <c r="CR2" s="522"/>
      <c r="CS2" s="522"/>
      <c r="CT2" s="522"/>
      <c r="CU2" s="522"/>
      <c r="CV2" s="522"/>
      <c r="CW2" s="522"/>
      <c r="CX2" s="522"/>
      <c r="CY2" s="522"/>
      <c r="CZ2" s="522"/>
      <c r="DA2" s="522"/>
      <c r="DB2" s="522"/>
      <c r="DC2" s="522"/>
      <c r="DD2" s="522"/>
      <c r="DE2" s="522"/>
      <c r="DF2" s="522"/>
      <c r="DG2" s="522"/>
      <c r="DH2" s="522"/>
      <c r="DI2" s="522"/>
      <c r="DJ2" s="522"/>
      <c r="DK2" s="522"/>
      <c r="DL2" s="522"/>
      <c r="DM2" s="522"/>
      <c r="DN2" s="522"/>
      <c r="DO2" s="522"/>
      <c r="DP2" s="522"/>
      <c r="DQ2" s="522"/>
      <c r="DR2" s="522"/>
      <c r="DS2" s="522"/>
      <c r="DT2" s="522"/>
      <c r="DU2" s="522"/>
      <c r="DV2" s="522"/>
      <c r="DW2" s="522"/>
      <c r="DX2" s="522"/>
      <c r="DY2" s="522"/>
      <c r="DZ2" s="522"/>
      <c r="EA2" s="522"/>
      <c r="EB2" s="522"/>
      <c r="EC2" s="522"/>
      <c r="ED2" s="522"/>
      <c r="EE2" s="522"/>
      <c r="EF2" s="522"/>
      <c r="EG2" s="522"/>
      <c r="EH2" s="522"/>
      <c r="EI2" s="522"/>
      <c r="EJ2" s="522"/>
      <c r="EK2" s="522"/>
      <c r="EL2" s="522"/>
      <c r="EM2" s="522"/>
      <c r="EN2" s="522"/>
      <c r="EO2" s="522"/>
      <c r="EP2" s="522"/>
      <c r="EQ2" s="522"/>
      <c r="ER2" s="522"/>
      <c r="ES2" s="522"/>
      <c r="ET2" s="522"/>
      <c r="EU2" s="522"/>
      <c r="EV2" s="522"/>
      <c r="EW2" s="522"/>
      <c r="EX2" s="522"/>
      <c r="EY2" s="522"/>
      <c r="EZ2" s="522"/>
      <c r="FA2" s="522"/>
      <c r="FB2" s="522"/>
      <c r="FC2" s="522"/>
      <c r="FD2" s="522"/>
      <c r="FE2" s="522"/>
      <c r="FF2" s="522"/>
      <c r="FG2" s="522"/>
      <c r="FH2" s="522"/>
      <c r="FI2" s="522"/>
      <c r="FJ2" s="522"/>
      <c r="FK2" s="522"/>
      <c r="FL2" s="522"/>
      <c r="FM2" s="522"/>
      <c r="FN2" s="522"/>
      <c r="FO2" s="522"/>
      <c r="FP2" s="522"/>
      <c r="FQ2" s="522"/>
      <c r="FR2" s="522"/>
      <c r="FS2" s="522"/>
      <c r="FT2" s="522"/>
      <c r="FU2" s="522"/>
      <c r="FV2" s="522"/>
      <c r="FW2" s="522"/>
      <c r="FX2" s="522"/>
      <c r="FY2" s="522"/>
      <c r="FZ2" s="522"/>
      <c r="GA2" s="522"/>
      <c r="GB2" s="522"/>
      <c r="GC2" s="522"/>
      <c r="GD2" s="522"/>
      <c r="GE2" s="522"/>
      <c r="GF2" s="522"/>
      <c r="GG2" s="522"/>
      <c r="GH2" s="522"/>
      <c r="GI2" s="522"/>
      <c r="GJ2" s="522"/>
      <c r="GK2" s="522"/>
      <c r="GL2" s="522"/>
      <c r="GM2" s="522"/>
      <c r="GN2" s="522"/>
      <c r="GO2" s="522"/>
      <c r="GP2" s="522"/>
      <c r="GQ2" s="522"/>
      <c r="GR2" s="522"/>
      <c r="GS2" s="522"/>
      <c r="GT2" s="522"/>
      <c r="GU2" s="522"/>
      <c r="GV2" s="522"/>
      <c r="GW2" s="522"/>
      <c r="GX2" s="522"/>
      <c r="GY2" s="522"/>
      <c r="GZ2" s="522"/>
      <c r="HA2" s="522"/>
      <c r="HB2" s="522"/>
      <c r="HC2" s="522"/>
      <c r="HD2" s="522"/>
      <c r="HE2" s="522"/>
      <c r="HF2" s="522"/>
      <c r="HG2" s="522"/>
      <c r="HH2" s="522"/>
      <c r="HI2" s="522"/>
      <c r="HJ2" s="522"/>
      <c r="HK2" s="522"/>
      <c r="HL2" s="522"/>
      <c r="HM2" s="522"/>
      <c r="HN2" s="522"/>
      <c r="HO2" s="522"/>
      <c r="HP2" s="522"/>
      <c r="HQ2" s="522"/>
      <c r="HR2" s="522"/>
      <c r="HS2" s="522"/>
      <c r="HT2" s="522"/>
      <c r="HU2" s="522"/>
      <c r="HV2" s="522"/>
      <c r="HW2" s="522"/>
      <c r="HX2" s="522"/>
      <c r="HY2" s="522"/>
      <c r="HZ2" s="522"/>
      <c r="IA2" s="522"/>
      <c r="IB2" s="522"/>
      <c r="IC2" s="522"/>
      <c r="ID2" s="522"/>
      <c r="IE2" s="522"/>
      <c r="IF2" s="522"/>
      <c r="IG2" s="522"/>
      <c r="IH2" s="522"/>
      <c r="II2" s="522"/>
      <c r="IJ2" s="522"/>
      <c r="IK2" s="522"/>
      <c r="IL2" s="522"/>
      <c r="IM2" s="522"/>
      <c r="IN2" s="522"/>
      <c r="IO2" s="522"/>
      <c r="IP2" s="522"/>
      <c r="IQ2" s="522"/>
      <c r="IR2" s="522"/>
    </row>
    <row r="3" spans="1:252" ht="15" x14ac:dyDescent="0.2">
      <c r="A3" s="497" t="s">
        <v>669</v>
      </c>
      <c r="B3" s="497"/>
      <c r="C3" s="497"/>
      <c r="D3" s="497"/>
      <c r="E3" s="497"/>
      <c r="F3" s="497"/>
      <c r="G3" s="497"/>
      <c r="H3" s="497"/>
      <c r="I3" s="497"/>
      <c r="J3" s="497"/>
      <c r="K3" s="497"/>
      <c r="L3" s="497"/>
      <c r="M3" s="497"/>
      <c r="N3" s="497"/>
      <c r="O3" s="497"/>
      <c r="P3" s="497"/>
      <c r="Q3" s="497"/>
      <c r="R3" s="522"/>
      <c r="S3" s="522"/>
      <c r="T3" s="522"/>
      <c r="U3" s="522"/>
      <c r="V3" s="522"/>
      <c r="W3" s="522"/>
      <c r="X3" s="522"/>
      <c r="Y3" s="522"/>
      <c r="Z3" s="522"/>
      <c r="AA3" s="522"/>
      <c r="AB3" s="522"/>
      <c r="AC3" s="522"/>
      <c r="AD3" s="522"/>
      <c r="AE3" s="522"/>
      <c r="AF3" s="522"/>
      <c r="AG3" s="522"/>
      <c r="AH3" s="522"/>
      <c r="AI3" s="522"/>
      <c r="AJ3" s="522"/>
      <c r="AK3" s="522"/>
      <c r="AL3" s="522"/>
      <c r="AM3" s="522"/>
      <c r="AN3" s="522"/>
      <c r="AO3" s="522"/>
      <c r="AP3" s="522"/>
      <c r="AQ3" s="522"/>
      <c r="AR3" s="522"/>
      <c r="AS3" s="522"/>
      <c r="AT3" s="522"/>
      <c r="AU3" s="522"/>
      <c r="AV3" s="522"/>
      <c r="AW3" s="522"/>
      <c r="AX3" s="522"/>
      <c r="AY3" s="522"/>
      <c r="AZ3" s="522"/>
      <c r="BA3" s="522"/>
      <c r="BB3" s="522"/>
      <c r="BC3" s="522"/>
      <c r="BD3" s="522"/>
      <c r="BE3" s="522"/>
      <c r="BF3" s="522"/>
      <c r="BG3" s="522"/>
      <c r="BH3" s="522"/>
      <c r="BI3" s="522"/>
      <c r="BJ3" s="522"/>
      <c r="BK3" s="522"/>
      <c r="BL3" s="522"/>
      <c r="BM3" s="522"/>
      <c r="BN3" s="522"/>
      <c r="BO3" s="522"/>
      <c r="BP3" s="522"/>
      <c r="BQ3" s="522"/>
      <c r="BR3" s="522"/>
      <c r="BS3" s="522"/>
      <c r="BT3" s="522"/>
      <c r="BU3" s="522"/>
      <c r="BV3" s="522"/>
      <c r="BW3" s="522"/>
      <c r="BX3" s="522"/>
      <c r="BY3" s="522"/>
      <c r="BZ3" s="522"/>
      <c r="CA3" s="522"/>
      <c r="CB3" s="522"/>
      <c r="CC3" s="522"/>
      <c r="CD3" s="522"/>
      <c r="CE3" s="522"/>
      <c r="CF3" s="522"/>
      <c r="CG3" s="522"/>
      <c r="CH3" s="522"/>
      <c r="CI3" s="522"/>
      <c r="CJ3" s="522"/>
      <c r="CK3" s="522"/>
      <c r="CL3" s="522"/>
      <c r="CM3" s="522"/>
      <c r="CN3" s="522"/>
      <c r="CO3" s="522"/>
      <c r="CP3" s="522"/>
      <c r="CQ3" s="522"/>
      <c r="CR3" s="522"/>
      <c r="CS3" s="522"/>
      <c r="CT3" s="522"/>
      <c r="CU3" s="522"/>
      <c r="CV3" s="522"/>
      <c r="CW3" s="522"/>
      <c r="CX3" s="522"/>
      <c r="CY3" s="522"/>
      <c r="CZ3" s="522"/>
      <c r="DA3" s="522"/>
      <c r="DB3" s="522"/>
      <c r="DC3" s="522"/>
      <c r="DD3" s="522"/>
      <c r="DE3" s="522"/>
      <c r="DF3" s="522"/>
      <c r="DG3" s="522"/>
      <c r="DH3" s="522"/>
      <c r="DI3" s="522"/>
      <c r="DJ3" s="522"/>
      <c r="DK3" s="522"/>
      <c r="DL3" s="522"/>
      <c r="DM3" s="522"/>
      <c r="DN3" s="522"/>
      <c r="DO3" s="522"/>
      <c r="DP3" s="522"/>
      <c r="DQ3" s="522"/>
      <c r="DR3" s="522"/>
      <c r="DS3" s="522"/>
      <c r="DT3" s="522"/>
      <c r="DU3" s="522"/>
      <c r="DV3" s="522"/>
      <c r="DW3" s="522"/>
      <c r="DX3" s="522"/>
      <c r="DY3" s="522"/>
      <c r="DZ3" s="522"/>
      <c r="EA3" s="522"/>
      <c r="EB3" s="522"/>
      <c r="EC3" s="522"/>
      <c r="ED3" s="522"/>
      <c r="EE3" s="522"/>
      <c r="EF3" s="522"/>
      <c r="EG3" s="522"/>
      <c r="EH3" s="522"/>
      <c r="EI3" s="522"/>
      <c r="EJ3" s="522"/>
      <c r="EK3" s="522"/>
      <c r="EL3" s="522"/>
      <c r="EM3" s="522"/>
      <c r="EN3" s="522"/>
      <c r="EO3" s="522"/>
      <c r="EP3" s="522"/>
      <c r="EQ3" s="522"/>
      <c r="ER3" s="522"/>
      <c r="ES3" s="522"/>
      <c r="ET3" s="522"/>
      <c r="EU3" s="522"/>
      <c r="EV3" s="522"/>
      <c r="EW3" s="522"/>
      <c r="EX3" s="522"/>
      <c r="EY3" s="522"/>
      <c r="EZ3" s="522"/>
      <c r="FA3" s="522"/>
      <c r="FB3" s="522"/>
      <c r="FC3" s="522"/>
      <c r="FD3" s="522"/>
      <c r="FE3" s="522"/>
      <c r="FF3" s="522"/>
      <c r="FG3" s="522"/>
      <c r="FH3" s="522"/>
      <c r="FI3" s="522"/>
      <c r="FJ3" s="522"/>
      <c r="FK3" s="522"/>
      <c r="FL3" s="522"/>
      <c r="FM3" s="522"/>
      <c r="FN3" s="522"/>
      <c r="FO3" s="522"/>
      <c r="FP3" s="522"/>
      <c r="FQ3" s="522"/>
      <c r="FR3" s="522"/>
      <c r="FS3" s="522"/>
      <c r="FT3" s="522"/>
      <c r="FU3" s="522"/>
      <c r="FV3" s="522"/>
      <c r="FW3" s="522"/>
      <c r="FX3" s="522"/>
      <c r="FY3" s="522"/>
      <c r="FZ3" s="522"/>
      <c r="GA3" s="522"/>
      <c r="GB3" s="522"/>
      <c r="GC3" s="522"/>
      <c r="GD3" s="522"/>
      <c r="GE3" s="522"/>
      <c r="GF3" s="522"/>
      <c r="GG3" s="522"/>
      <c r="GH3" s="522"/>
      <c r="GI3" s="522"/>
      <c r="GJ3" s="522"/>
      <c r="GK3" s="522"/>
      <c r="GL3" s="522"/>
      <c r="GM3" s="522"/>
      <c r="GN3" s="522"/>
      <c r="GO3" s="522"/>
      <c r="GP3" s="522"/>
      <c r="GQ3" s="522"/>
      <c r="GR3" s="522"/>
      <c r="GS3" s="522"/>
      <c r="GT3" s="522"/>
      <c r="GU3" s="522"/>
      <c r="GV3" s="522"/>
      <c r="GW3" s="522"/>
      <c r="GX3" s="522"/>
      <c r="GY3" s="522"/>
      <c r="GZ3" s="522"/>
      <c r="HA3" s="522"/>
      <c r="HB3" s="522"/>
      <c r="HC3" s="522"/>
      <c r="HD3" s="522"/>
      <c r="HE3" s="522"/>
      <c r="HF3" s="522"/>
      <c r="HG3" s="522"/>
      <c r="HH3" s="522"/>
      <c r="HI3" s="522"/>
      <c r="HJ3" s="522"/>
      <c r="HK3" s="522"/>
      <c r="HL3" s="522"/>
      <c r="HM3" s="522"/>
      <c r="HN3" s="522"/>
      <c r="HO3" s="522"/>
      <c r="HP3" s="522"/>
      <c r="HQ3" s="522"/>
      <c r="HR3" s="522"/>
      <c r="HS3" s="522"/>
      <c r="HT3" s="522"/>
      <c r="HU3" s="522"/>
      <c r="HV3" s="522"/>
      <c r="HW3" s="522"/>
      <c r="HX3" s="522"/>
      <c r="HY3" s="522"/>
      <c r="HZ3" s="522"/>
      <c r="IA3" s="522"/>
      <c r="IB3" s="522"/>
      <c r="IC3" s="522"/>
      <c r="ID3" s="522"/>
      <c r="IE3" s="522"/>
      <c r="IF3" s="522"/>
      <c r="IG3" s="522"/>
      <c r="IH3" s="522"/>
      <c r="II3" s="522"/>
      <c r="IJ3" s="522"/>
      <c r="IK3" s="522"/>
      <c r="IL3" s="522"/>
      <c r="IM3" s="522"/>
      <c r="IN3" s="522"/>
      <c r="IO3" s="522"/>
      <c r="IP3" s="522"/>
      <c r="IQ3" s="522"/>
      <c r="IR3" s="522"/>
    </row>
    <row r="4" spans="1:252" ht="18.75" x14ac:dyDescent="0.2">
      <c r="A4" s="498" t="s">
        <v>16</v>
      </c>
      <c r="B4" s="498"/>
      <c r="C4" s="498"/>
      <c r="D4" s="498"/>
      <c r="E4" s="498"/>
      <c r="F4" s="498"/>
      <c r="G4" s="498"/>
      <c r="H4" s="498"/>
      <c r="I4" s="498"/>
      <c r="J4" s="498"/>
      <c r="K4" s="498"/>
      <c r="L4" s="498"/>
      <c r="M4" s="498"/>
      <c r="N4" s="498"/>
      <c r="O4" s="498"/>
      <c r="P4" s="498"/>
      <c r="Q4" s="498"/>
      <c r="R4" s="522"/>
      <c r="S4" s="522"/>
      <c r="T4" s="522"/>
      <c r="U4" s="522"/>
      <c r="V4" s="522"/>
      <c r="W4" s="522"/>
      <c r="X4" s="522"/>
      <c r="Y4" s="522"/>
      <c r="Z4" s="522"/>
      <c r="AA4" s="522"/>
      <c r="AB4" s="522"/>
      <c r="AC4" s="522"/>
      <c r="AD4" s="522"/>
      <c r="AE4" s="522"/>
      <c r="AF4" s="522"/>
      <c r="AG4" s="522"/>
      <c r="AH4" s="522"/>
      <c r="AI4" s="522"/>
      <c r="AJ4" s="522"/>
      <c r="AK4" s="522"/>
      <c r="AL4" s="522"/>
      <c r="AM4" s="522"/>
      <c r="AN4" s="522"/>
      <c r="AO4" s="522"/>
      <c r="AP4" s="522"/>
      <c r="AQ4" s="522"/>
      <c r="AR4" s="522"/>
      <c r="AS4" s="522"/>
      <c r="AT4" s="522"/>
      <c r="AU4" s="522"/>
      <c r="AV4" s="522"/>
      <c r="AW4" s="522"/>
      <c r="AX4" s="522"/>
      <c r="AY4" s="522"/>
      <c r="AZ4" s="522"/>
      <c r="BA4" s="522"/>
      <c r="BB4" s="522"/>
      <c r="BC4" s="522"/>
      <c r="BD4" s="522"/>
      <c r="BE4" s="522"/>
      <c r="BF4" s="522"/>
      <c r="BG4" s="522"/>
      <c r="BH4" s="522"/>
      <c r="BI4" s="522"/>
      <c r="BJ4" s="522"/>
      <c r="BK4" s="522"/>
      <c r="BL4" s="522"/>
      <c r="BM4" s="522"/>
      <c r="BN4" s="522"/>
      <c r="BO4" s="522"/>
      <c r="BP4" s="522"/>
      <c r="BQ4" s="522"/>
      <c r="BR4" s="522"/>
      <c r="BS4" s="522"/>
      <c r="BT4" s="522"/>
      <c r="BU4" s="522"/>
      <c r="BV4" s="522"/>
      <c r="BW4" s="522"/>
      <c r="BX4" s="522"/>
      <c r="BY4" s="522"/>
      <c r="BZ4" s="522"/>
      <c r="CA4" s="522"/>
      <c r="CB4" s="522"/>
      <c r="CC4" s="522"/>
      <c r="CD4" s="522"/>
      <c r="CE4" s="522"/>
      <c r="CF4" s="522"/>
      <c r="CG4" s="522"/>
      <c r="CH4" s="522"/>
      <c r="CI4" s="522"/>
      <c r="CJ4" s="522"/>
      <c r="CK4" s="522"/>
      <c r="CL4" s="522"/>
      <c r="CM4" s="522"/>
      <c r="CN4" s="522"/>
      <c r="CO4" s="522"/>
      <c r="CP4" s="522"/>
      <c r="CQ4" s="522"/>
      <c r="CR4" s="522"/>
      <c r="CS4" s="522"/>
      <c r="CT4" s="522"/>
      <c r="CU4" s="522"/>
      <c r="CV4" s="522"/>
      <c r="CW4" s="522"/>
      <c r="CX4" s="522"/>
      <c r="CY4" s="522"/>
      <c r="CZ4" s="522"/>
      <c r="DA4" s="522"/>
      <c r="DB4" s="522"/>
      <c r="DC4" s="522"/>
      <c r="DD4" s="522"/>
      <c r="DE4" s="522"/>
      <c r="DF4" s="522"/>
      <c r="DG4" s="522"/>
      <c r="DH4" s="522"/>
      <c r="DI4" s="522"/>
      <c r="DJ4" s="522"/>
      <c r="DK4" s="522"/>
      <c r="DL4" s="522"/>
      <c r="DM4" s="522"/>
      <c r="DN4" s="522"/>
      <c r="DO4" s="522"/>
      <c r="DP4" s="522"/>
      <c r="DQ4" s="522"/>
      <c r="DR4" s="522"/>
      <c r="DS4" s="522"/>
      <c r="DT4" s="522"/>
      <c r="DU4" s="522"/>
      <c r="DV4" s="522"/>
      <c r="DW4" s="522"/>
      <c r="DX4" s="522"/>
      <c r="DY4" s="522"/>
      <c r="DZ4" s="522"/>
      <c r="EA4" s="522"/>
      <c r="EB4" s="522"/>
      <c r="EC4" s="522"/>
      <c r="ED4" s="522"/>
      <c r="EE4" s="522"/>
      <c r="EF4" s="522"/>
      <c r="EG4" s="522"/>
      <c r="EH4" s="522"/>
      <c r="EI4" s="522"/>
      <c r="EJ4" s="522"/>
      <c r="EK4" s="522"/>
      <c r="EL4" s="522"/>
      <c r="EM4" s="522"/>
      <c r="EN4" s="522"/>
      <c r="EO4" s="522"/>
      <c r="EP4" s="522"/>
      <c r="EQ4" s="522"/>
      <c r="ER4" s="522"/>
      <c r="ES4" s="522"/>
      <c r="ET4" s="522"/>
      <c r="EU4" s="522"/>
      <c r="EV4" s="522"/>
      <c r="EW4" s="522"/>
      <c r="EX4" s="522"/>
      <c r="EY4" s="522"/>
      <c r="EZ4" s="522"/>
      <c r="FA4" s="522"/>
      <c r="FB4" s="522"/>
      <c r="FC4" s="522"/>
      <c r="FD4" s="522"/>
      <c r="FE4" s="522"/>
      <c r="FF4" s="522"/>
      <c r="FG4" s="522"/>
      <c r="FH4" s="522"/>
      <c r="FI4" s="522"/>
      <c r="FJ4" s="522"/>
      <c r="FK4" s="522"/>
      <c r="FL4" s="522"/>
      <c r="FM4" s="522"/>
      <c r="FN4" s="522"/>
      <c r="FO4" s="522"/>
      <c r="FP4" s="522"/>
      <c r="FQ4" s="522"/>
      <c r="FR4" s="522"/>
      <c r="FS4" s="522"/>
      <c r="FT4" s="522"/>
      <c r="FU4" s="522"/>
      <c r="FV4" s="522"/>
      <c r="FW4" s="522"/>
      <c r="FX4" s="522"/>
      <c r="FY4" s="522"/>
      <c r="FZ4" s="522"/>
      <c r="GA4" s="522"/>
      <c r="GB4" s="522"/>
      <c r="GC4" s="522"/>
      <c r="GD4" s="522"/>
      <c r="GE4" s="522"/>
      <c r="GF4" s="522"/>
      <c r="GG4" s="522"/>
      <c r="GH4" s="522"/>
      <c r="GI4" s="522"/>
      <c r="GJ4" s="522"/>
      <c r="GK4" s="522"/>
      <c r="GL4" s="522"/>
      <c r="GM4" s="522"/>
      <c r="GN4" s="522"/>
      <c r="GO4" s="522"/>
      <c r="GP4" s="522"/>
      <c r="GQ4" s="522"/>
      <c r="GR4" s="522"/>
      <c r="GS4" s="522"/>
      <c r="GT4" s="522"/>
      <c r="GU4" s="522"/>
      <c r="GV4" s="522"/>
      <c r="GW4" s="522"/>
      <c r="GX4" s="522"/>
      <c r="GY4" s="522"/>
      <c r="GZ4" s="522"/>
      <c r="HA4" s="522"/>
      <c r="HB4" s="522"/>
      <c r="HC4" s="522"/>
      <c r="HD4" s="522"/>
      <c r="HE4" s="522"/>
      <c r="HF4" s="522"/>
      <c r="HG4" s="522"/>
      <c r="HH4" s="522"/>
      <c r="HI4" s="522"/>
      <c r="HJ4" s="522"/>
      <c r="HK4" s="522"/>
      <c r="HL4" s="522"/>
      <c r="HM4" s="522"/>
      <c r="HN4" s="522"/>
      <c r="HO4" s="522"/>
      <c r="HP4" s="522"/>
      <c r="HQ4" s="522"/>
      <c r="HR4" s="522"/>
      <c r="HS4" s="522"/>
      <c r="HT4" s="522"/>
      <c r="HU4" s="522"/>
      <c r="HV4" s="522"/>
      <c r="HW4" s="522"/>
      <c r="HX4" s="522"/>
      <c r="HY4" s="522"/>
      <c r="HZ4" s="522"/>
      <c r="IA4" s="522"/>
      <c r="IB4" s="522"/>
      <c r="IC4" s="522"/>
      <c r="ID4" s="522"/>
      <c r="IE4" s="522"/>
      <c r="IF4" s="522"/>
      <c r="IG4" s="522"/>
      <c r="IH4" s="522"/>
      <c r="II4" s="522"/>
      <c r="IJ4" s="522"/>
      <c r="IK4" s="522"/>
      <c r="IL4" s="522"/>
      <c r="IM4" s="522"/>
      <c r="IN4" s="522"/>
      <c r="IO4" s="522"/>
      <c r="IP4" s="522"/>
      <c r="IQ4" s="522"/>
      <c r="IR4" s="522"/>
    </row>
    <row r="5" spans="1:252" x14ac:dyDescent="0.2">
      <c r="A5" s="499" t="s">
        <v>14</v>
      </c>
      <c r="B5" s="499"/>
      <c r="C5" s="499"/>
      <c r="D5" s="499"/>
      <c r="E5" s="499"/>
      <c r="F5" s="499"/>
      <c r="G5" s="499"/>
      <c r="H5" s="499"/>
      <c r="I5" s="499"/>
      <c r="J5" s="499"/>
      <c r="K5" s="499"/>
      <c r="L5" s="499"/>
      <c r="M5" s="499"/>
      <c r="N5" s="499"/>
      <c r="O5" s="499"/>
      <c r="P5" s="499"/>
      <c r="Q5" s="499"/>
      <c r="R5" s="522"/>
      <c r="S5" s="522"/>
      <c r="T5" s="522"/>
      <c r="U5" s="522"/>
      <c r="V5" s="522"/>
      <c r="W5" s="522"/>
      <c r="X5" s="522"/>
      <c r="Y5" s="522"/>
      <c r="Z5" s="522"/>
      <c r="AA5" s="522"/>
      <c r="AB5" s="522"/>
      <c r="AC5" s="522"/>
      <c r="AD5" s="522"/>
      <c r="AE5" s="522"/>
      <c r="AF5" s="522"/>
      <c r="AG5" s="522"/>
      <c r="AH5" s="522"/>
      <c r="AI5" s="522"/>
      <c r="AJ5" s="522"/>
      <c r="AK5" s="522"/>
      <c r="AL5" s="522"/>
      <c r="AM5" s="522"/>
      <c r="AN5" s="522"/>
      <c r="AO5" s="522"/>
      <c r="AP5" s="522"/>
      <c r="AQ5" s="522"/>
      <c r="AR5" s="522"/>
      <c r="AS5" s="522"/>
      <c r="AT5" s="522"/>
      <c r="AU5" s="522"/>
      <c r="AV5" s="522"/>
      <c r="AW5" s="522"/>
      <c r="AX5" s="522"/>
      <c r="AY5" s="522"/>
      <c r="AZ5" s="522"/>
      <c r="BA5" s="522"/>
      <c r="BB5" s="522"/>
      <c r="BC5" s="522"/>
      <c r="BD5" s="522"/>
      <c r="BE5" s="522"/>
      <c r="BF5" s="522"/>
      <c r="BG5" s="522"/>
      <c r="BH5" s="522"/>
      <c r="BI5" s="522"/>
      <c r="BJ5" s="522"/>
      <c r="BK5" s="522"/>
      <c r="BL5" s="522"/>
      <c r="BM5" s="522"/>
      <c r="BN5" s="522"/>
      <c r="BO5" s="522"/>
      <c r="BP5" s="522"/>
      <c r="BQ5" s="522"/>
      <c r="BR5" s="522"/>
      <c r="BS5" s="522"/>
      <c r="BT5" s="522"/>
      <c r="BU5" s="522"/>
      <c r="BV5" s="522"/>
      <c r="BW5" s="522"/>
      <c r="BX5" s="522"/>
      <c r="BY5" s="522"/>
      <c r="BZ5" s="522"/>
      <c r="CA5" s="522"/>
      <c r="CB5" s="522"/>
      <c r="CC5" s="522"/>
      <c r="CD5" s="522"/>
      <c r="CE5" s="522"/>
      <c r="CF5" s="522"/>
      <c r="CG5" s="522"/>
      <c r="CH5" s="522"/>
      <c r="CI5" s="522"/>
      <c r="CJ5" s="522"/>
      <c r="CK5" s="522"/>
      <c r="CL5" s="522"/>
      <c r="CM5" s="522"/>
      <c r="CN5" s="522"/>
      <c r="CO5" s="522"/>
      <c r="CP5" s="522"/>
      <c r="CQ5" s="522"/>
      <c r="CR5" s="522"/>
      <c r="CS5" s="522"/>
      <c r="CT5" s="522"/>
      <c r="CU5" s="522"/>
      <c r="CV5" s="522"/>
      <c r="CW5" s="522"/>
      <c r="CX5" s="522"/>
      <c r="CY5" s="522"/>
      <c r="CZ5" s="522"/>
      <c r="DA5" s="522"/>
      <c r="DB5" s="522"/>
      <c r="DC5" s="522"/>
      <c r="DD5" s="522"/>
      <c r="DE5" s="522"/>
      <c r="DF5" s="522"/>
      <c r="DG5" s="522"/>
      <c r="DH5" s="522"/>
      <c r="DI5" s="522"/>
      <c r="DJ5" s="522"/>
      <c r="DK5" s="522"/>
      <c r="DL5" s="522"/>
      <c r="DM5" s="522"/>
      <c r="DN5" s="522"/>
      <c r="DO5" s="522"/>
      <c r="DP5" s="522"/>
      <c r="DQ5" s="522"/>
      <c r="DR5" s="522"/>
      <c r="DS5" s="522"/>
      <c r="DT5" s="522"/>
      <c r="DU5" s="522"/>
      <c r="DV5" s="522"/>
      <c r="DW5" s="522"/>
      <c r="DX5" s="522"/>
      <c r="DY5" s="522"/>
      <c r="DZ5" s="522"/>
      <c r="EA5" s="522"/>
      <c r="EB5" s="522"/>
      <c r="EC5" s="522"/>
      <c r="ED5" s="522"/>
      <c r="EE5" s="522"/>
      <c r="EF5" s="522"/>
      <c r="EG5" s="522"/>
      <c r="EH5" s="522"/>
      <c r="EI5" s="522"/>
      <c r="EJ5" s="522"/>
      <c r="EK5" s="522"/>
      <c r="EL5" s="522"/>
      <c r="EM5" s="522"/>
      <c r="EN5" s="522"/>
      <c r="EO5" s="522"/>
      <c r="EP5" s="522"/>
      <c r="EQ5" s="522"/>
      <c r="ER5" s="522"/>
      <c r="ES5" s="522"/>
      <c r="ET5" s="522"/>
      <c r="EU5" s="522"/>
      <c r="EV5" s="522"/>
      <c r="EW5" s="522"/>
      <c r="EX5" s="522"/>
      <c r="EY5" s="522"/>
      <c r="EZ5" s="522"/>
      <c r="FA5" s="522"/>
      <c r="FB5" s="522"/>
      <c r="FC5" s="522"/>
      <c r="FD5" s="522"/>
      <c r="FE5" s="522"/>
      <c r="FF5" s="522"/>
      <c r="FG5" s="522"/>
      <c r="FH5" s="522"/>
      <c r="FI5" s="522"/>
      <c r="FJ5" s="522"/>
      <c r="FK5" s="522"/>
      <c r="FL5" s="522"/>
      <c r="FM5" s="522"/>
      <c r="FN5" s="522"/>
      <c r="FO5" s="522"/>
      <c r="FP5" s="522"/>
      <c r="FQ5" s="522"/>
      <c r="FR5" s="522"/>
      <c r="FS5" s="522"/>
      <c r="FT5" s="522"/>
      <c r="FU5" s="522"/>
      <c r="FV5" s="522"/>
      <c r="FW5" s="522"/>
      <c r="FX5" s="522"/>
      <c r="FY5" s="522"/>
      <c r="FZ5" s="522"/>
      <c r="GA5" s="522"/>
      <c r="GB5" s="522"/>
      <c r="GC5" s="522"/>
      <c r="GD5" s="522"/>
      <c r="GE5" s="522"/>
      <c r="GF5" s="522"/>
      <c r="GG5" s="522"/>
      <c r="GH5" s="522"/>
      <c r="GI5" s="522"/>
      <c r="GJ5" s="522"/>
      <c r="GK5" s="522"/>
      <c r="GL5" s="522"/>
      <c r="GM5" s="522"/>
      <c r="GN5" s="522"/>
      <c r="GO5" s="522"/>
      <c r="GP5" s="522"/>
      <c r="GQ5" s="522"/>
      <c r="GR5" s="522"/>
      <c r="GS5" s="522"/>
      <c r="GT5" s="522"/>
      <c r="GU5" s="522"/>
      <c r="GV5" s="522"/>
      <c r="GW5" s="522"/>
      <c r="GX5" s="522"/>
      <c r="GY5" s="522"/>
      <c r="GZ5" s="522"/>
      <c r="HA5" s="522"/>
      <c r="HB5" s="522"/>
      <c r="HC5" s="522"/>
      <c r="HD5" s="522"/>
      <c r="HE5" s="522"/>
      <c r="HF5" s="522"/>
      <c r="HG5" s="522"/>
      <c r="HH5" s="522"/>
      <c r="HI5" s="522"/>
      <c r="HJ5" s="522"/>
      <c r="HK5" s="522"/>
      <c r="HL5" s="522"/>
      <c r="HM5" s="522"/>
      <c r="HN5" s="522"/>
      <c r="HO5" s="522"/>
      <c r="HP5" s="522"/>
      <c r="HQ5" s="522"/>
      <c r="HR5" s="522"/>
      <c r="HS5" s="522"/>
      <c r="HT5" s="522"/>
      <c r="HU5" s="522"/>
      <c r="HV5" s="522"/>
      <c r="HW5" s="522"/>
      <c r="HX5" s="522"/>
      <c r="HY5" s="522"/>
      <c r="HZ5" s="522"/>
      <c r="IA5" s="522"/>
      <c r="IB5" s="522"/>
      <c r="IC5" s="522"/>
      <c r="ID5" s="522"/>
      <c r="IE5" s="522"/>
      <c r="IF5" s="522"/>
      <c r="IG5" s="522"/>
      <c r="IH5" s="522"/>
      <c r="II5" s="522"/>
      <c r="IJ5" s="522"/>
      <c r="IK5" s="522"/>
      <c r="IL5" s="522"/>
      <c r="IM5" s="522"/>
      <c r="IN5" s="522"/>
      <c r="IO5" s="522"/>
      <c r="IP5" s="522"/>
      <c r="IQ5" s="522"/>
      <c r="IR5" s="522"/>
    </row>
    <row r="6" spans="1:252" ht="21" x14ac:dyDescent="0.2">
      <c r="A6" s="500" t="s">
        <v>17</v>
      </c>
      <c r="B6" s="500"/>
      <c r="C6" s="500"/>
      <c r="D6" s="500"/>
      <c r="E6" s="500"/>
      <c r="F6" s="500"/>
      <c r="G6" s="500"/>
      <c r="H6" s="500"/>
      <c r="I6" s="500"/>
      <c r="J6" s="500"/>
      <c r="K6" s="500"/>
      <c r="L6" s="500"/>
      <c r="M6" s="500"/>
      <c r="N6" s="500"/>
      <c r="O6" s="500"/>
      <c r="P6" s="500"/>
      <c r="Q6" s="500"/>
      <c r="R6" s="522"/>
      <c r="S6" s="522"/>
      <c r="T6" s="522"/>
      <c r="U6" s="522"/>
      <c r="V6" s="522"/>
      <c r="W6" s="522"/>
      <c r="X6" s="522"/>
      <c r="Y6" s="522"/>
      <c r="Z6" s="522"/>
      <c r="AA6" s="522"/>
      <c r="AB6" s="522"/>
      <c r="AC6" s="522"/>
      <c r="AD6" s="522"/>
      <c r="AE6" s="522"/>
      <c r="AF6" s="522"/>
      <c r="AG6" s="522"/>
      <c r="AH6" s="522"/>
      <c r="AI6" s="522"/>
      <c r="AJ6" s="522"/>
      <c r="AK6" s="522"/>
      <c r="AL6" s="522"/>
      <c r="AM6" s="522"/>
      <c r="AN6" s="522"/>
      <c r="AO6" s="522"/>
      <c r="AP6" s="522"/>
      <c r="AQ6" s="522"/>
      <c r="AR6" s="522"/>
      <c r="AS6" s="522"/>
      <c r="AT6" s="522"/>
      <c r="AU6" s="522"/>
      <c r="AV6" s="522"/>
      <c r="AW6" s="522"/>
      <c r="AX6" s="522"/>
      <c r="AY6" s="522"/>
      <c r="AZ6" s="522"/>
      <c r="BA6" s="522"/>
      <c r="BB6" s="522"/>
      <c r="BC6" s="522"/>
      <c r="BD6" s="522"/>
      <c r="BE6" s="522"/>
      <c r="BF6" s="522"/>
      <c r="BG6" s="522"/>
      <c r="BH6" s="522"/>
      <c r="BI6" s="522"/>
      <c r="BJ6" s="522"/>
      <c r="BK6" s="522"/>
      <c r="BL6" s="522"/>
      <c r="BM6" s="522"/>
      <c r="BN6" s="522"/>
      <c r="BO6" s="522"/>
      <c r="BP6" s="522"/>
      <c r="BQ6" s="522"/>
      <c r="BR6" s="522"/>
      <c r="BS6" s="522"/>
      <c r="BT6" s="522"/>
      <c r="BU6" s="522"/>
      <c r="BV6" s="522"/>
      <c r="BW6" s="522"/>
      <c r="BX6" s="522"/>
      <c r="BY6" s="522"/>
      <c r="BZ6" s="522"/>
      <c r="CA6" s="522"/>
      <c r="CB6" s="522"/>
      <c r="CC6" s="522"/>
      <c r="CD6" s="522"/>
      <c r="CE6" s="522"/>
      <c r="CF6" s="522"/>
      <c r="CG6" s="522"/>
      <c r="CH6" s="522"/>
      <c r="CI6" s="522"/>
      <c r="CJ6" s="522"/>
      <c r="CK6" s="522"/>
      <c r="CL6" s="522"/>
      <c r="CM6" s="522"/>
      <c r="CN6" s="522"/>
      <c r="CO6" s="522"/>
      <c r="CP6" s="522"/>
      <c r="CQ6" s="522"/>
      <c r="CR6" s="522"/>
      <c r="CS6" s="522"/>
      <c r="CT6" s="522"/>
      <c r="CU6" s="522"/>
      <c r="CV6" s="522"/>
      <c r="CW6" s="522"/>
      <c r="CX6" s="522"/>
      <c r="CY6" s="522"/>
      <c r="CZ6" s="522"/>
      <c r="DA6" s="522"/>
      <c r="DB6" s="522"/>
      <c r="DC6" s="522"/>
      <c r="DD6" s="522"/>
      <c r="DE6" s="522"/>
      <c r="DF6" s="522"/>
      <c r="DG6" s="522"/>
      <c r="DH6" s="522"/>
      <c r="DI6" s="522"/>
      <c r="DJ6" s="522"/>
      <c r="DK6" s="522"/>
      <c r="DL6" s="522"/>
      <c r="DM6" s="522"/>
      <c r="DN6" s="522"/>
      <c r="DO6" s="522"/>
      <c r="DP6" s="522"/>
      <c r="DQ6" s="522"/>
      <c r="DR6" s="522"/>
      <c r="DS6" s="522"/>
      <c r="DT6" s="522"/>
      <c r="DU6" s="522"/>
      <c r="DV6" s="522"/>
      <c r="DW6" s="522"/>
      <c r="DX6" s="522"/>
      <c r="DY6" s="522"/>
      <c r="DZ6" s="522"/>
      <c r="EA6" s="522"/>
      <c r="EB6" s="522"/>
      <c r="EC6" s="522"/>
      <c r="ED6" s="522"/>
      <c r="EE6" s="522"/>
      <c r="EF6" s="522"/>
      <c r="EG6" s="522"/>
      <c r="EH6" s="522"/>
      <c r="EI6" s="522"/>
      <c r="EJ6" s="522"/>
      <c r="EK6" s="522"/>
      <c r="EL6" s="522"/>
      <c r="EM6" s="522"/>
      <c r="EN6" s="522"/>
      <c r="EO6" s="522"/>
      <c r="EP6" s="522"/>
      <c r="EQ6" s="522"/>
      <c r="ER6" s="522"/>
      <c r="ES6" s="522"/>
      <c r="ET6" s="522"/>
      <c r="EU6" s="522"/>
      <c r="EV6" s="522"/>
      <c r="EW6" s="522"/>
      <c r="EX6" s="522"/>
      <c r="EY6" s="522"/>
      <c r="EZ6" s="522"/>
      <c r="FA6" s="522"/>
      <c r="FB6" s="522"/>
      <c r="FC6" s="522"/>
      <c r="FD6" s="522"/>
      <c r="FE6" s="522"/>
      <c r="FF6" s="522"/>
      <c r="FG6" s="522"/>
      <c r="FH6" s="522"/>
      <c r="FI6" s="522"/>
      <c r="FJ6" s="522"/>
      <c r="FK6" s="522"/>
      <c r="FL6" s="522"/>
      <c r="FM6" s="522"/>
      <c r="FN6" s="522"/>
      <c r="FO6" s="522"/>
      <c r="FP6" s="522"/>
      <c r="FQ6" s="522"/>
      <c r="FR6" s="522"/>
      <c r="FS6" s="522"/>
      <c r="FT6" s="522"/>
      <c r="FU6" s="522"/>
      <c r="FV6" s="522"/>
      <c r="FW6" s="522"/>
      <c r="FX6" s="522"/>
      <c r="FY6" s="522"/>
      <c r="FZ6" s="522"/>
      <c r="GA6" s="522"/>
      <c r="GB6" s="522"/>
      <c r="GC6" s="522"/>
      <c r="GD6" s="522"/>
      <c r="GE6" s="522"/>
      <c r="GF6" s="522"/>
      <c r="GG6" s="522"/>
      <c r="GH6" s="522"/>
      <c r="GI6" s="522"/>
      <c r="GJ6" s="522"/>
      <c r="GK6" s="522"/>
      <c r="GL6" s="522"/>
      <c r="GM6" s="522"/>
      <c r="GN6" s="522"/>
      <c r="GO6" s="522"/>
      <c r="GP6" s="522"/>
      <c r="GQ6" s="522"/>
      <c r="GR6" s="522"/>
      <c r="GS6" s="522"/>
      <c r="GT6" s="522"/>
      <c r="GU6" s="522"/>
      <c r="GV6" s="522"/>
      <c r="GW6" s="522"/>
      <c r="GX6" s="522"/>
      <c r="GY6" s="522"/>
      <c r="GZ6" s="522"/>
      <c r="HA6" s="522"/>
      <c r="HB6" s="522"/>
      <c r="HC6" s="522"/>
      <c r="HD6" s="522"/>
      <c r="HE6" s="522"/>
      <c r="HF6" s="522"/>
      <c r="HG6" s="522"/>
      <c r="HH6" s="522"/>
      <c r="HI6" s="522"/>
      <c r="HJ6" s="522"/>
      <c r="HK6" s="522"/>
      <c r="HL6" s="522"/>
      <c r="HM6" s="522"/>
      <c r="HN6" s="522"/>
      <c r="HO6" s="522"/>
      <c r="HP6" s="522"/>
      <c r="HQ6" s="522"/>
      <c r="HR6" s="522"/>
      <c r="HS6" s="522"/>
      <c r="HT6" s="522"/>
      <c r="HU6" s="522"/>
      <c r="HV6" s="522"/>
      <c r="HW6" s="522"/>
      <c r="HX6" s="522"/>
      <c r="HY6" s="522"/>
      <c r="HZ6" s="522"/>
      <c r="IA6" s="522"/>
      <c r="IB6" s="522"/>
      <c r="IC6" s="522"/>
      <c r="ID6" s="522"/>
      <c r="IE6" s="522"/>
      <c r="IF6" s="522"/>
      <c r="IG6" s="522"/>
      <c r="IH6" s="522"/>
      <c r="II6" s="522"/>
      <c r="IJ6" s="522"/>
      <c r="IK6" s="522"/>
      <c r="IL6" s="522"/>
      <c r="IM6" s="522"/>
      <c r="IN6" s="522"/>
      <c r="IO6" s="522"/>
      <c r="IP6" s="522"/>
      <c r="IQ6" s="522"/>
      <c r="IR6" s="522"/>
    </row>
    <row r="7" spans="1:252" ht="51" x14ac:dyDescent="0.2">
      <c r="A7" s="501" t="s">
        <v>0</v>
      </c>
      <c r="B7" s="502" t="s">
        <v>10</v>
      </c>
      <c r="C7" s="503"/>
      <c r="D7" s="503"/>
      <c r="E7" s="503"/>
      <c r="F7" s="503"/>
      <c r="G7" s="504"/>
      <c r="H7" s="502" t="s">
        <v>322</v>
      </c>
      <c r="I7" s="503"/>
      <c r="J7" s="503"/>
      <c r="K7" s="503"/>
      <c r="L7" s="503"/>
      <c r="M7" s="503"/>
      <c r="N7" s="502" t="s">
        <v>324</v>
      </c>
      <c r="O7" s="503"/>
      <c r="P7" s="503"/>
      <c r="Q7" s="504"/>
      <c r="R7" s="522"/>
      <c r="S7" s="522"/>
      <c r="T7" s="522"/>
      <c r="U7" s="522"/>
      <c r="V7" s="522"/>
      <c r="W7" s="522"/>
      <c r="X7" s="522"/>
      <c r="Y7" s="522"/>
      <c r="Z7" s="522"/>
      <c r="AA7" s="522"/>
      <c r="AB7" s="522"/>
      <c r="AC7" s="522"/>
      <c r="AD7" s="522"/>
      <c r="AE7" s="522"/>
      <c r="AF7" s="522"/>
      <c r="AG7" s="522"/>
      <c r="AH7" s="522"/>
      <c r="AI7" s="522"/>
      <c r="AJ7" s="522"/>
      <c r="AK7" s="522"/>
      <c r="AL7" s="522"/>
      <c r="AM7" s="522"/>
      <c r="AN7" s="522"/>
      <c r="AO7" s="522"/>
      <c r="AP7" s="522"/>
      <c r="AQ7" s="522"/>
      <c r="AR7" s="522"/>
      <c r="AS7" s="522"/>
      <c r="AT7" s="522"/>
      <c r="AU7" s="522"/>
      <c r="AV7" s="522"/>
      <c r="AW7" s="522"/>
      <c r="AX7" s="522"/>
      <c r="AY7" s="522"/>
      <c r="AZ7" s="522"/>
      <c r="BA7" s="522"/>
      <c r="BB7" s="522"/>
      <c r="BC7" s="522"/>
      <c r="BD7" s="522"/>
      <c r="BE7" s="522"/>
      <c r="BF7" s="522"/>
      <c r="BG7" s="522"/>
      <c r="BH7" s="522"/>
      <c r="BI7" s="522"/>
      <c r="BJ7" s="522"/>
      <c r="BK7" s="522"/>
      <c r="BL7" s="522"/>
      <c r="BM7" s="522"/>
      <c r="BN7" s="522"/>
      <c r="BO7" s="522"/>
      <c r="BP7" s="522"/>
      <c r="BQ7" s="522"/>
      <c r="BR7" s="522"/>
      <c r="BS7" s="522"/>
      <c r="BT7" s="522"/>
      <c r="BU7" s="522"/>
      <c r="BV7" s="522"/>
      <c r="BW7" s="522"/>
      <c r="BX7" s="522"/>
      <c r="BY7" s="522"/>
      <c r="BZ7" s="522"/>
      <c r="CA7" s="522"/>
      <c r="CB7" s="522"/>
      <c r="CC7" s="522"/>
      <c r="CD7" s="522"/>
      <c r="CE7" s="522"/>
      <c r="CF7" s="522"/>
      <c r="CG7" s="522"/>
      <c r="CH7" s="522"/>
      <c r="CI7" s="522"/>
      <c r="CJ7" s="522"/>
      <c r="CK7" s="522"/>
      <c r="CL7" s="522"/>
      <c r="CM7" s="522"/>
      <c r="CN7" s="522"/>
      <c r="CO7" s="522"/>
      <c r="CP7" s="522"/>
      <c r="CQ7" s="522"/>
      <c r="CR7" s="522"/>
      <c r="CS7" s="522"/>
      <c r="CT7" s="522"/>
      <c r="CU7" s="522"/>
      <c r="CV7" s="522"/>
      <c r="CW7" s="522"/>
      <c r="CX7" s="522"/>
      <c r="CY7" s="522"/>
      <c r="CZ7" s="522"/>
      <c r="DA7" s="522"/>
      <c r="DB7" s="522"/>
      <c r="DC7" s="522"/>
      <c r="DD7" s="522"/>
      <c r="DE7" s="522"/>
      <c r="DF7" s="522"/>
      <c r="DG7" s="522"/>
      <c r="DH7" s="522"/>
      <c r="DI7" s="522"/>
      <c r="DJ7" s="522"/>
      <c r="DK7" s="522"/>
      <c r="DL7" s="522"/>
      <c r="DM7" s="522"/>
      <c r="DN7" s="522"/>
      <c r="DO7" s="522"/>
      <c r="DP7" s="522"/>
      <c r="DQ7" s="522"/>
      <c r="DR7" s="522"/>
      <c r="DS7" s="522"/>
      <c r="DT7" s="522"/>
      <c r="DU7" s="522"/>
      <c r="DV7" s="522"/>
      <c r="DW7" s="522"/>
      <c r="DX7" s="522"/>
      <c r="DY7" s="522"/>
      <c r="DZ7" s="522"/>
      <c r="EA7" s="522"/>
      <c r="EB7" s="522"/>
      <c r="EC7" s="522"/>
      <c r="ED7" s="522"/>
      <c r="EE7" s="522"/>
      <c r="EF7" s="522"/>
      <c r="EG7" s="522"/>
      <c r="EH7" s="522"/>
      <c r="EI7" s="522"/>
      <c r="EJ7" s="522"/>
      <c r="EK7" s="522"/>
      <c r="EL7" s="522"/>
      <c r="EM7" s="522"/>
      <c r="EN7" s="522"/>
      <c r="EO7" s="522"/>
      <c r="EP7" s="522"/>
      <c r="EQ7" s="522"/>
      <c r="ER7" s="522"/>
      <c r="ES7" s="522"/>
      <c r="ET7" s="522"/>
      <c r="EU7" s="522"/>
      <c r="EV7" s="522"/>
      <c r="EW7" s="522"/>
      <c r="EX7" s="522"/>
      <c r="EY7" s="522"/>
      <c r="EZ7" s="522"/>
      <c r="FA7" s="522"/>
      <c r="FB7" s="522"/>
      <c r="FC7" s="522"/>
      <c r="FD7" s="522"/>
      <c r="FE7" s="522"/>
      <c r="FF7" s="522"/>
      <c r="FG7" s="522"/>
      <c r="FH7" s="522"/>
      <c r="FI7" s="522"/>
      <c r="FJ7" s="522"/>
      <c r="FK7" s="522"/>
      <c r="FL7" s="522"/>
      <c r="FM7" s="522"/>
      <c r="FN7" s="522"/>
      <c r="FO7" s="522"/>
      <c r="FP7" s="522"/>
      <c r="FQ7" s="522"/>
      <c r="FR7" s="522"/>
      <c r="FS7" s="522"/>
      <c r="FT7" s="522"/>
      <c r="FU7" s="522"/>
      <c r="FV7" s="522"/>
      <c r="FW7" s="522"/>
      <c r="FX7" s="522"/>
      <c r="FY7" s="522"/>
      <c r="FZ7" s="522"/>
      <c r="GA7" s="522"/>
      <c r="GB7" s="522"/>
      <c r="GC7" s="522"/>
      <c r="GD7" s="522"/>
      <c r="GE7" s="522"/>
      <c r="GF7" s="522"/>
      <c r="GG7" s="522"/>
      <c r="GH7" s="522"/>
      <c r="GI7" s="522"/>
      <c r="GJ7" s="522"/>
      <c r="GK7" s="522"/>
      <c r="GL7" s="522"/>
      <c r="GM7" s="522"/>
      <c r="GN7" s="522"/>
      <c r="GO7" s="522"/>
      <c r="GP7" s="522"/>
      <c r="GQ7" s="522"/>
      <c r="GR7" s="522"/>
      <c r="GS7" s="522"/>
      <c r="GT7" s="522"/>
      <c r="GU7" s="522"/>
      <c r="GV7" s="522"/>
      <c r="GW7" s="522"/>
      <c r="GX7" s="522"/>
      <c r="GY7" s="522"/>
      <c r="GZ7" s="522"/>
      <c r="HA7" s="522"/>
      <c r="HB7" s="522"/>
      <c r="HC7" s="522"/>
      <c r="HD7" s="522"/>
      <c r="HE7" s="522"/>
      <c r="HF7" s="522"/>
      <c r="HG7" s="522"/>
      <c r="HH7" s="522"/>
      <c r="HI7" s="522"/>
      <c r="HJ7" s="522"/>
      <c r="HK7" s="522"/>
      <c r="HL7" s="522"/>
      <c r="HM7" s="522"/>
      <c r="HN7" s="522"/>
      <c r="HO7" s="522"/>
      <c r="HP7" s="522"/>
      <c r="HQ7" s="522"/>
      <c r="HR7" s="522"/>
      <c r="HS7" s="522"/>
      <c r="HT7" s="522"/>
      <c r="HU7" s="522"/>
      <c r="HV7" s="522"/>
      <c r="HW7" s="522"/>
      <c r="HX7" s="522"/>
      <c r="HY7" s="522"/>
      <c r="HZ7" s="522"/>
      <c r="IA7" s="522"/>
      <c r="IB7" s="522"/>
      <c r="IC7" s="522"/>
      <c r="ID7" s="522"/>
      <c r="IE7" s="522"/>
      <c r="IF7" s="522"/>
      <c r="IG7" s="522"/>
      <c r="IH7" s="522"/>
      <c r="II7" s="522"/>
      <c r="IJ7" s="522"/>
      <c r="IK7" s="522"/>
      <c r="IL7" s="522"/>
      <c r="IM7" s="522"/>
      <c r="IN7" s="522"/>
      <c r="IO7" s="522"/>
      <c r="IP7" s="522"/>
      <c r="IQ7" s="522"/>
      <c r="IR7" s="522"/>
    </row>
    <row r="8" spans="1:252" ht="204" x14ac:dyDescent="0.2">
      <c r="A8" s="505"/>
      <c r="B8" s="506" t="s">
        <v>4</v>
      </c>
      <c r="C8" s="506" t="s">
        <v>1</v>
      </c>
      <c r="D8" s="506" t="s">
        <v>3</v>
      </c>
      <c r="E8" s="506" t="s">
        <v>2</v>
      </c>
      <c r="F8" s="506" t="s">
        <v>6</v>
      </c>
      <c r="G8" s="506" t="s">
        <v>5</v>
      </c>
      <c r="H8" s="506" t="s">
        <v>7</v>
      </c>
      <c r="I8" s="507" t="s">
        <v>8</v>
      </c>
      <c r="J8" s="507" t="s">
        <v>9</v>
      </c>
      <c r="K8" s="508" t="s">
        <v>11</v>
      </c>
      <c r="L8" s="508" t="s">
        <v>12</v>
      </c>
      <c r="M8" s="508" t="s">
        <v>13</v>
      </c>
      <c r="N8" s="507" t="s">
        <v>9</v>
      </c>
      <c r="O8" s="508" t="s">
        <v>11</v>
      </c>
      <c r="P8" s="508" t="s">
        <v>12</v>
      </c>
      <c r="Q8" s="509" t="s">
        <v>13</v>
      </c>
      <c r="R8" s="522"/>
      <c r="S8" s="522"/>
      <c r="T8" s="522"/>
      <c r="U8" s="522"/>
      <c r="V8" s="522"/>
      <c r="W8" s="522"/>
      <c r="X8" s="522"/>
      <c r="Y8" s="522"/>
      <c r="Z8" s="522"/>
      <c r="AA8" s="522"/>
      <c r="AB8" s="522"/>
      <c r="AC8" s="522"/>
      <c r="AD8" s="522"/>
      <c r="AE8" s="522"/>
      <c r="AF8" s="522"/>
      <c r="AG8" s="522"/>
      <c r="AH8" s="522"/>
      <c r="AI8" s="522"/>
      <c r="AJ8" s="522"/>
      <c r="AK8" s="522"/>
      <c r="AL8" s="522"/>
      <c r="AM8" s="522"/>
      <c r="AN8" s="522"/>
      <c r="AO8" s="522"/>
      <c r="AP8" s="522"/>
      <c r="AQ8" s="522"/>
      <c r="AR8" s="522"/>
      <c r="AS8" s="522"/>
      <c r="AT8" s="522"/>
      <c r="AU8" s="522"/>
      <c r="AV8" s="522"/>
      <c r="AW8" s="522"/>
      <c r="AX8" s="522"/>
      <c r="AY8" s="522"/>
      <c r="AZ8" s="522"/>
      <c r="BA8" s="522"/>
      <c r="BB8" s="522"/>
      <c r="BC8" s="522"/>
      <c r="BD8" s="522"/>
      <c r="BE8" s="522"/>
      <c r="BF8" s="522"/>
      <c r="BG8" s="522"/>
      <c r="BH8" s="522"/>
      <c r="BI8" s="522"/>
      <c r="BJ8" s="522"/>
      <c r="BK8" s="522"/>
      <c r="BL8" s="522"/>
      <c r="BM8" s="522"/>
      <c r="BN8" s="522"/>
      <c r="BO8" s="522"/>
      <c r="BP8" s="522"/>
      <c r="BQ8" s="522"/>
      <c r="BR8" s="522"/>
      <c r="BS8" s="522"/>
      <c r="BT8" s="522"/>
      <c r="BU8" s="522"/>
      <c r="BV8" s="522"/>
      <c r="BW8" s="522"/>
      <c r="BX8" s="522"/>
      <c r="BY8" s="522"/>
      <c r="BZ8" s="522"/>
      <c r="CA8" s="522"/>
      <c r="CB8" s="522"/>
      <c r="CC8" s="522"/>
      <c r="CD8" s="522"/>
      <c r="CE8" s="522"/>
      <c r="CF8" s="522"/>
      <c r="CG8" s="522"/>
      <c r="CH8" s="522"/>
      <c r="CI8" s="522"/>
      <c r="CJ8" s="522"/>
      <c r="CK8" s="522"/>
      <c r="CL8" s="522"/>
      <c r="CM8" s="522"/>
      <c r="CN8" s="522"/>
      <c r="CO8" s="522"/>
      <c r="CP8" s="522"/>
      <c r="CQ8" s="522"/>
      <c r="CR8" s="522"/>
      <c r="CS8" s="522"/>
      <c r="CT8" s="522"/>
      <c r="CU8" s="522"/>
      <c r="CV8" s="522"/>
      <c r="CW8" s="522"/>
      <c r="CX8" s="522"/>
      <c r="CY8" s="522"/>
      <c r="CZ8" s="522"/>
      <c r="DA8" s="522"/>
      <c r="DB8" s="522"/>
      <c r="DC8" s="522"/>
      <c r="DD8" s="522"/>
      <c r="DE8" s="522"/>
      <c r="DF8" s="522"/>
      <c r="DG8" s="522"/>
      <c r="DH8" s="522"/>
      <c r="DI8" s="522"/>
      <c r="DJ8" s="522"/>
      <c r="DK8" s="522"/>
      <c r="DL8" s="522"/>
      <c r="DM8" s="522"/>
      <c r="DN8" s="522"/>
      <c r="DO8" s="522"/>
      <c r="DP8" s="522"/>
      <c r="DQ8" s="522"/>
      <c r="DR8" s="522"/>
      <c r="DS8" s="522"/>
      <c r="DT8" s="522"/>
      <c r="DU8" s="522"/>
      <c r="DV8" s="522"/>
      <c r="DW8" s="522"/>
      <c r="DX8" s="522"/>
      <c r="DY8" s="522"/>
      <c r="DZ8" s="522"/>
      <c r="EA8" s="522"/>
      <c r="EB8" s="522"/>
      <c r="EC8" s="522"/>
      <c r="ED8" s="522"/>
      <c r="EE8" s="522"/>
      <c r="EF8" s="522"/>
      <c r="EG8" s="522"/>
      <c r="EH8" s="522"/>
      <c r="EI8" s="522"/>
      <c r="EJ8" s="522"/>
      <c r="EK8" s="522"/>
      <c r="EL8" s="522"/>
      <c r="EM8" s="522"/>
      <c r="EN8" s="522"/>
      <c r="EO8" s="522"/>
      <c r="EP8" s="522"/>
      <c r="EQ8" s="522"/>
      <c r="ER8" s="522"/>
      <c r="ES8" s="522"/>
      <c r="ET8" s="522"/>
      <c r="EU8" s="522"/>
      <c r="EV8" s="522"/>
      <c r="EW8" s="522"/>
      <c r="EX8" s="522"/>
      <c r="EY8" s="522"/>
      <c r="EZ8" s="522"/>
      <c r="FA8" s="522"/>
      <c r="FB8" s="522"/>
      <c r="FC8" s="522"/>
      <c r="FD8" s="522"/>
      <c r="FE8" s="522"/>
      <c r="FF8" s="522"/>
      <c r="FG8" s="522"/>
      <c r="FH8" s="522"/>
      <c r="FI8" s="522"/>
      <c r="FJ8" s="522"/>
      <c r="FK8" s="522"/>
      <c r="FL8" s="522"/>
      <c r="FM8" s="522"/>
      <c r="FN8" s="522"/>
      <c r="FO8" s="522"/>
      <c r="FP8" s="522"/>
      <c r="FQ8" s="522"/>
      <c r="FR8" s="522"/>
      <c r="FS8" s="522"/>
      <c r="FT8" s="522"/>
      <c r="FU8" s="522"/>
      <c r="FV8" s="522"/>
      <c r="FW8" s="522"/>
      <c r="FX8" s="522"/>
      <c r="FY8" s="522"/>
      <c r="FZ8" s="522"/>
      <c r="GA8" s="522"/>
      <c r="GB8" s="522"/>
      <c r="GC8" s="522"/>
      <c r="GD8" s="522"/>
      <c r="GE8" s="522"/>
      <c r="GF8" s="522"/>
      <c r="GG8" s="522"/>
      <c r="GH8" s="522"/>
      <c r="GI8" s="522"/>
      <c r="GJ8" s="522"/>
      <c r="GK8" s="522"/>
      <c r="GL8" s="522"/>
      <c r="GM8" s="522"/>
      <c r="GN8" s="522"/>
      <c r="GO8" s="522"/>
      <c r="GP8" s="522"/>
      <c r="GQ8" s="522"/>
      <c r="GR8" s="522"/>
      <c r="GS8" s="522"/>
      <c r="GT8" s="522"/>
      <c r="GU8" s="522"/>
      <c r="GV8" s="522"/>
      <c r="GW8" s="522"/>
      <c r="GX8" s="522"/>
      <c r="GY8" s="522"/>
      <c r="GZ8" s="522"/>
      <c r="HA8" s="522"/>
      <c r="HB8" s="522"/>
      <c r="HC8" s="522"/>
      <c r="HD8" s="522"/>
      <c r="HE8" s="522"/>
      <c r="HF8" s="522"/>
      <c r="HG8" s="522"/>
      <c r="HH8" s="522"/>
      <c r="HI8" s="522"/>
      <c r="HJ8" s="522"/>
      <c r="HK8" s="522"/>
      <c r="HL8" s="522"/>
      <c r="HM8" s="522"/>
      <c r="HN8" s="522"/>
      <c r="HO8" s="522"/>
      <c r="HP8" s="522"/>
      <c r="HQ8" s="522"/>
      <c r="HR8" s="522"/>
      <c r="HS8" s="522"/>
      <c r="HT8" s="522"/>
      <c r="HU8" s="522"/>
      <c r="HV8" s="522"/>
      <c r="HW8" s="522"/>
      <c r="HX8" s="522"/>
      <c r="HY8" s="522"/>
      <c r="HZ8" s="522"/>
      <c r="IA8" s="522"/>
      <c r="IB8" s="522"/>
      <c r="IC8" s="522"/>
      <c r="ID8" s="522"/>
      <c r="IE8" s="522"/>
      <c r="IF8" s="522"/>
      <c r="IG8" s="522"/>
      <c r="IH8" s="522"/>
      <c r="II8" s="522"/>
      <c r="IJ8" s="522"/>
      <c r="IK8" s="522"/>
      <c r="IL8" s="522"/>
      <c r="IM8" s="522"/>
      <c r="IN8" s="522"/>
      <c r="IO8" s="522"/>
      <c r="IP8" s="522"/>
      <c r="IQ8" s="522"/>
      <c r="IR8" s="522"/>
    </row>
    <row r="9" spans="1:252" s="459" customFormat="1" ht="15.75" customHeight="1" x14ac:dyDescent="0.2">
      <c r="A9" s="484">
        <v>1</v>
      </c>
      <c r="B9" s="484" t="s">
        <v>159</v>
      </c>
      <c r="C9" s="516" t="s">
        <v>62</v>
      </c>
      <c r="D9" s="484" t="s">
        <v>63</v>
      </c>
      <c r="E9" s="486" t="s">
        <v>158</v>
      </c>
      <c r="F9" s="486" t="s">
        <v>160</v>
      </c>
      <c r="G9" s="510" t="s">
        <v>670</v>
      </c>
      <c r="H9" s="484">
        <v>3</v>
      </c>
      <c r="I9" s="484">
        <v>3</v>
      </c>
      <c r="J9" s="484">
        <v>3</v>
      </c>
      <c r="K9" s="482">
        <v>1493.3</v>
      </c>
      <c r="L9" s="482">
        <v>1493.3</v>
      </c>
      <c r="M9" s="482">
        <f t="shared" ref="M9:M40" si="0">K9-L9</f>
        <v>0</v>
      </c>
      <c r="N9" s="484">
        <v>8</v>
      </c>
      <c r="O9" s="482">
        <v>26421.62</v>
      </c>
      <c r="P9" s="482">
        <v>26421.62</v>
      </c>
      <c r="Q9" s="482">
        <f t="shared" ref="Q9:Q40" si="1">O9-P9</f>
        <v>0</v>
      </c>
    </row>
    <row r="10" spans="1:252" s="459" customFormat="1" ht="15.75" customHeight="1" x14ac:dyDescent="0.2">
      <c r="A10" s="484">
        <f t="shared" ref="A10:A73" si="2">A9+1</f>
        <v>2</v>
      </c>
      <c r="B10" s="484" t="s">
        <v>581</v>
      </c>
      <c r="C10" s="516" t="s">
        <v>62</v>
      </c>
      <c r="D10" s="484" t="s">
        <v>63</v>
      </c>
      <c r="E10" s="486" t="s">
        <v>158</v>
      </c>
      <c r="F10" s="486" t="s">
        <v>582</v>
      </c>
      <c r="G10" s="510" t="s">
        <v>670</v>
      </c>
      <c r="H10" s="484">
        <v>0</v>
      </c>
      <c r="I10" s="484">
        <v>0</v>
      </c>
      <c r="J10" s="484">
        <v>0</v>
      </c>
      <c r="K10" s="482">
        <v>0</v>
      </c>
      <c r="L10" s="482">
        <v>0</v>
      </c>
      <c r="M10" s="482">
        <f t="shared" si="0"/>
        <v>0</v>
      </c>
      <c r="N10" s="484">
        <v>2</v>
      </c>
      <c r="O10" s="482">
        <v>0</v>
      </c>
      <c r="P10" s="482">
        <v>0</v>
      </c>
      <c r="Q10" s="482">
        <f t="shared" si="1"/>
        <v>0</v>
      </c>
    </row>
    <row r="11" spans="1:252" s="459" customFormat="1" ht="15.75" customHeight="1" x14ac:dyDescent="0.2">
      <c r="A11" s="484">
        <f t="shared" si="2"/>
        <v>3</v>
      </c>
      <c r="B11" s="484" t="s">
        <v>95</v>
      </c>
      <c r="C11" s="516" t="s">
        <v>62</v>
      </c>
      <c r="D11" s="484" t="s">
        <v>63</v>
      </c>
      <c r="E11" s="486" t="s">
        <v>158</v>
      </c>
      <c r="F11" s="486" t="s">
        <v>161</v>
      </c>
      <c r="G11" s="510" t="s">
        <v>670</v>
      </c>
      <c r="H11" s="484">
        <v>54</v>
      </c>
      <c r="I11" s="484">
        <v>44</v>
      </c>
      <c r="J11" s="484">
        <v>58</v>
      </c>
      <c r="K11" s="482">
        <v>77731.58</v>
      </c>
      <c r="L11" s="482">
        <f>70400.34+3873.83</f>
        <v>74274.17</v>
      </c>
      <c r="M11" s="482">
        <f t="shared" si="0"/>
        <v>3457.4100000000035</v>
      </c>
      <c r="N11" s="484">
        <v>30</v>
      </c>
      <c r="O11" s="482">
        <v>98356.77</v>
      </c>
      <c r="P11" s="482">
        <v>90695.42</v>
      </c>
      <c r="Q11" s="482">
        <f t="shared" si="1"/>
        <v>7661.3500000000058</v>
      </c>
    </row>
    <row r="12" spans="1:252" s="459" customFormat="1" ht="15.75" customHeight="1" x14ac:dyDescent="0.2">
      <c r="A12" s="484">
        <f t="shared" si="2"/>
        <v>4</v>
      </c>
      <c r="B12" s="484" t="s">
        <v>684</v>
      </c>
      <c r="C12" s="516" t="s">
        <v>62</v>
      </c>
      <c r="D12" s="484"/>
      <c r="E12" s="486" t="s">
        <v>158</v>
      </c>
      <c r="F12" s="486" t="s">
        <v>685</v>
      </c>
      <c r="G12" s="510" t="s">
        <v>670</v>
      </c>
      <c r="H12" s="484">
        <v>8</v>
      </c>
      <c r="I12" s="484">
        <v>3</v>
      </c>
      <c r="J12" s="484">
        <v>3</v>
      </c>
      <c r="K12" s="482">
        <v>0</v>
      </c>
      <c r="L12" s="482">
        <v>0</v>
      </c>
      <c r="M12" s="482">
        <f t="shared" si="0"/>
        <v>0</v>
      </c>
      <c r="N12" s="484">
        <v>0</v>
      </c>
      <c r="O12" s="482">
        <v>0</v>
      </c>
      <c r="P12" s="482">
        <v>0</v>
      </c>
      <c r="Q12" s="482">
        <f t="shared" si="1"/>
        <v>0</v>
      </c>
    </row>
    <row r="13" spans="1:252" s="459" customFormat="1" ht="15.75" customHeight="1" x14ac:dyDescent="0.2">
      <c r="A13" s="484">
        <f t="shared" si="2"/>
        <v>5</v>
      </c>
      <c r="B13" s="484" t="s">
        <v>541</v>
      </c>
      <c r="C13" s="516" t="s">
        <v>62</v>
      </c>
      <c r="D13" s="484"/>
      <c r="E13" s="486" t="s">
        <v>677</v>
      </c>
      <c r="F13" s="486" t="s">
        <v>542</v>
      </c>
      <c r="G13" s="510" t="s">
        <v>670</v>
      </c>
      <c r="H13" s="484">
        <v>29</v>
      </c>
      <c r="I13" s="484">
        <v>22</v>
      </c>
      <c r="J13" s="484">
        <v>30</v>
      </c>
      <c r="K13" s="482">
        <v>16190.58</v>
      </c>
      <c r="L13" s="482">
        <v>16190.58</v>
      </c>
      <c r="M13" s="482">
        <f t="shared" si="0"/>
        <v>0</v>
      </c>
      <c r="N13" s="484">
        <v>0</v>
      </c>
      <c r="O13" s="482">
        <v>0</v>
      </c>
      <c r="P13" s="482">
        <v>0</v>
      </c>
      <c r="Q13" s="482">
        <f t="shared" si="1"/>
        <v>0</v>
      </c>
    </row>
    <row r="14" spans="1:252" s="459" customFormat="1" ht="15.75" customHeight="1" x14ac:dyDescent="0.2">
      <c r="A14" s="484">
        <f t="shared" si="2"/>
        <v>6</v>
      </c>
      <c r="B14" s="484" t="s">
        <v>628</v>
      </c>
      <c r="C14" s="516" t="s">
        <v>62</v>
      </c>
      <c r="D14" s="484"/>
      <c r="E14" s="486" t="s">
        <v>158</v>
      </c>
      <c r="F14" s="486" t="s">
        <v>653</v>
      </c>
      <c r="G14" s="510" t="s">
        <v>670</v>
      </c>
      <c r="H14" s="484">
        <v>9</v>
      </c>
      <c r="I14" s="484">
        <v>6</v>
      </c>
      <c r="J14" s="484">
        <v>6</v>
      </c>
      <c r="K14" s="482">
        <v>0</v>
      </c>
      <c r="L14" s="482">
        <v>0</v>
      </c>
      <c r="M14" s="482">
        <f t="shared" si="0"/>
        <v>0</v>
      </c>
      <c r="N14" s="484">
        <v>0</v>
      </c>
      <c r="O14" s="482">
        <v>0</v>
      </c>
      <c r="P14" s="482">
        <v>0</v>
      </c>
      <c r="Q14" s="482">
        <f t="shared" si="1"/>
        <v>0</v>
      </c>
    </row>
    <row r="15" spans="1:252" s="459" customFormat="1" ht="15.75" customHeight="1" x14ac:dyDescent="0.2">
      <c r="A15" s="484">
        <f t="shared" si="2"/>
        <v>7</v>
      </c>
      <c r="B15" s="484" t="s">
        <v>18</v>
      </c>
      <c r="C15" s="516" t="s">
        <v>62</v>
      </c>
      <c r="D15" s="484" t="s">
        <v>63</v>
      </c>
      <c r="E15" s="486" t="s">
        <v>158</v>
      </c>
      <c r="F15" s="486" t="s">
        <v>565</v>
      </c>
      <c r="G15" s="510" t="s">
        <v>670</v>
      </c>
      <c r="H15" s="484">
        <v>5</v>
      </c>
      <c r="I15" s="484">
        <v>1</v>
      </c>
      <c r="J15" s="484">
        <v>1</v>
      </c>
      <c r="K15" s="482">
        <v>3936.79</v>
      </c>
      <c r="L15" s="482">
        <v>3936.79</v>
      </c>
      <c r="M15" s="482">
        <f t="shared" si="0"/>
        <v>0</v>
      </c>
      <c r="N15" s="484">
        <v>2</v>
      </c>
      <c r="O15" s="482">
        <v>3205.88</v>
      </c>
      <c r="P15" s="482">
        <v>3205.88</v>
      </c>
      <c r="Q15" s="482">
        <f t="shared" si="1"/>
        <v>0</v>
      </c>
    </row>
    <row r="16" spans="1:252" s="459" customFormat="1" ht="15.75" customHeight="1" x14ac:dyDescent="0.2">
      <c r="A16" s="484">
        <f t="shared" si="2"/>
        <v>8</v>
      </c>
      <c r="B16" s="484" t="s">
        <v>19</v>
      </c>
      <c r="C16" s="516" t="s">
        <v>62</v>
      </c>
      <c r="D16" s="484" t="s">
        <v>63</v>
      </c>
      <c r="E16" s="486" t="s">
        <v>671</v>
      </c>
      <c r="F16" s="486" t="s">
        <v>162</v>
      </c>
      <c r="G16" s="510" t="s">
        <v>670</v>
      </c>
      <c r="H16" s="484">
        <v>116</v>
      </c>
      <c r="I16" s="484">
        <v>104</v>
      </c>
      <c r="J16" s="484">
        <v>137</v>
      </c>
      <c r="K16" s="482">
        <v>121382.82</v>
      </c>
      <c r="L16" s="482">
        <v>98370.9</v>
      </c>
      <c r="M16" s="482">
        <f t="shared" si="0"/>
        <v>23011.920000000013</v>
      </c>
      <c r="N16" s="484">
        <v>27</v>
      </c>
      <c r="O16" s="482">
        <v>87506.880000000005</v>
      </c>
      <c r="P16" s="482">
        <v>85049.71</v>
      </c>
      <c r="Q16" s="482">
        <f t="shared" si="1"/>
        <v>2457.1699999999983</v>
      </c>
    </row>
    <row r="17" spans="1:17" s="459" customFormat="1" ht="15.75" customHeight="1" x14ac:dyDescent="0.2">
      <c r="A17" s="484">
        <f t="shared" si="2"/>
        <v>9</v>
      </c>
      <c r="B17" s="484" t="s">
        <v>672</v>
      </c>
      <c r="C17" s="516" t="s">
        <v>62</v>
      </c>
      <c r="D17" s="484"/>
      <c r="E17" s="486" t="s">
        <v>158</v>
      </c>
      <c r="F17" s="486" t="s">
        <v>673</v>
      </c>
      <c r="G17" s="510" t="s">
        <v>670</v>
      </c>
      <c r="H17" s="484">
        <v>0</v>
      </c>
      <c r="I17" s="484">
        <v>0</v>
      </c>
      <c r="J17" s="484">
        <v>0</v>
      </c>
      <c r="K17" s="482">
        <v>0</v>
      </c>
      <c r="L17" s="482">
        <v>0</v>
      </c>
      <c r="M17" s="482">
        <f t="shared" si="0"/>
        <v>0</v>
      </c>
      <c r="N17" s="484">
        <v>1</v>
      </c>
      <c r="O17" s="482">
        <v>5462.2</v>
      </c>
      <c r="P17" s="482">
        <v>5462.2</v>
      </c>
      <c r="Q17" s="482">
        <f t="shared" si="1"/>
        <v>0</v>
      </c>
    </row>
    <row r="18" spans="1:17" s="459" customFormat="1" ht="15.75" customHeight="1" x14ac:dyDescent="0.2">
      <c r="A18" s="484">
        <f t="shared" si="2"/>
        <v>10</v>
      </c>
      <c r="B18" s="484" t="s">
        <v>20</v>
      </c>
      <c r="C18" s="516" t="s">
        <v>62</v>
      </c>
      <c r="D18" s="484" t="s">
        <v>63</v>
      </c>
      <c r="E18" s="486" t="s">
        <v>158</v>
      </c>
      <c r="F18" s="486" t="s">
        <v>163</v>
      </c>
      <c r="G18" s="510" t="s">
        <v>670</v>
      </c>
      <c r="H18" s="484">
        <v>0</v>
      </c>
      <c r="I18" s="484">
        <v>0</v>
      </c>
      <c r="J18" s="484">
        <v>0</v>
      </c>
      <c r="K18" s="482">
        <v>0</v>
      </c>
      <c r="L18" s="482">
        <v>0</v>
      </c>
      <c r="M18" s="482">
        <f t="shared" si="0"/>
        <v>0</v>
      </c>
      <c r="N18" s="484">
        <v>1</v>
      </c>
      <c r="O18" s="482">
        <v>6138.73</v>
      </c>
      <c r="P18" s="482">
        <v>6138.73</v>
      </c>
      <c r="Q18" s="482">
        <f t="shared" si="1"/>
        <v>0</v>
      </c>
    </row>
    <row r="19" spans="1:17" s="459" customFormat="1" ht="15.75" customHeight="1" x14ac:dyDescent="0.2">
      <c r="A19" s="484">
        <f t="shared" si="2"/>
        <v>11</v>
      </c>
      <c r="B19" s="484" t="s">
        <v>100</v>
      </c>
      <c r="C19" s="516" t="s">
        <v>62</v>
      </c>
      <c r="D19" s="484" t="s">
        <v>63</v>
      </c>
      <c r="E19" s="486" t="s">
        <v>675</v>
      </c>
      <c r="F19" s="486" t="s">
        <v>164</v>
      </c>
      <c r="G19" s="510" t="s">
        <v>670</v>
      </c>
      <c r="H19" s="484">
        <v>17</v>
      </c>
      <c r="I19" s="484">
        <v>14</v>
      </c>
      <c r="J19" s="484">
        <v>18</v>
      </c>
      <c r="K19" s="482">
        <f>28244.77-6.51</f>
        <v>28238.260000000002</v>
      </c>
      <c r="L19" s="482">
        <f>28244.77-6.51</f>
        <v>28238.260000000002</v>
      </c>
      <c r="M19" s="482">
        <f t="shared" si="0"/>
        <v>0</v>
      </c>
      <c r="N19" s="484">
        <v>13</v>
      </c>
      <c r="O19" s="482">
        <v>40299.47</v>
      </c>
      <c r="P19" s="482">
        <v>40299.47</v>
      </c>
      <c r="Q19" s="482">
        <f t="shared" si="1"/>
        <v>0</v>
      </c>
    </row>
    <row r="20" spans="1:17" s="459" customFormat="1" ht="15.75" customHeight="1" x14ac:dyDescent="0.2">
      <c r="A20" s="484">
        <f t="shared" si="2"/>
        <v>12</v>
      </c>
      <c r="B20" s="484" t="s">
        <v>86</v>
      </c>
      <c r="C20" s="516" t="s">
        <v>62</v>
      </c>
      <c r="D20" s="484" t="s">
        <v>63</v>
      </c>
      <c r="E20" s="486" t="s">
        <v>158</v>
      </c>
      <c r="F20" s="486" t="s">
        <v>165</v>
      </c>
      <c r="G20" s="510" t="s">
        <v>670</v>
      </c>
      <c r="H20" s="484">
        <v>51</v>
      </c>
      <c r="I20" s="484">
        <v>31</v>
      </c>
      <c r="J20" s="484">
        <v>33</v>
      </c>
      <c r="K20" s="482">
        <v>26897.93</v>
      </c>
      <c r="L20" s="482">
        <v>26897.93</v>
      </c>
      <c r="M20" s="482">
        <f t="shared" si="0"/>
        <v>0</v>
      </c>
      <c r="N20" s="484">
        <v>20</v>
      </c>
      <c r="O20" s="482">
        <f>58106.78+607.89</f>
        <v>58714.67</v>
      </c>
      <c r="P20" s="482">
        <f>58106.78+607.89</f>
        <v>58714.67</v>
      </c>
      <c r="Q20" s="482">
        <f t="shared" si="1"/>
        <v>0</v>
      </c>
    </row>
    <row r="21" spans="1:17" s="459" customFormat="1" ht="15.75" customHeight="1" x14ac:dyDescent="0.2">
      <c r="A21" s="484">
        <f t="shared" si="2"/>
        <v>13</v>
      </c>
      <c r="B21" s="484" t="s">
        <v>166</v>
      </c>
      <c r="C21" s="516" t="s">
        <v>62</v>
      </c>
      <c r="D21" s="484"/>
      <c r="E21" s="486" t="s">
        <v>158</v>
      </c>
      <c r="F21" s="486" t="s">
        <v>167</v>
      </c>
      <c r="G21" s="510" t="s">
        <v>670</v>
      </c>
      <c r="H21" s="484">
        <v>19</v>
      </c>
      <c r="I21" s="484">
        <v>16</v>
      </c>
      <c r="J21" s="484">
        <v>17</v>
      </c>
      <c r="K21" s="482">
        <v>12377.17</v>
      </c>
      <c r="L21" s="482">
        <v>12377.17</v>
      </c>
      <c r="M21" s="482">
        <f t="shared" si="0"/>
        <v>0</v>
      </c>
      <c r="N21" s="484">
        <v>0</v>
      </c>
      <c r="O21" s="482">
        <v>0</v>
      </c>
      <c r="P21" s="482">
        <v>0</v>
      </c>
      <c r="Q21" s="482">
        <f t="shared" si="1"/>
        <v>0</v>
      </c>
    </row>
    <row r="22" spans="1:17" s="459" customFormat="1" ht="15.75" customHeight="1" x14ac:dyDescent="0.2">
      <c r="A22" s="484">
        <f t="shared" si="2"/>
        <v>14</v>
      </c>
      <c r="B22" s="484" t="s">
        <v>168</v>
      </c>
      <c r="C22" s="516" t="s">
        <v>62</v>
      </c>
      <c r="D22" s="484"/>
      <c r="E22" s="486" t="s">
        <v>371</v>
      </c>
      <c r="F22" s="486" t="s">
        <v>169</v>
      </c>
      <c r="G22" s="510" t="s">
        <v>670</v>
      </c>
      <c r="H22" s="484">
        <v>44</v>
      </c>
      <c r="I22" s="484">
        <v>38</v>
      </c>
      <c r="J22" s="484">
        <v>45</v>
      </c>
      <c r="K22" s="482">
        <f>34087.32+1761.84</f>
        <v>35849.159999999996</v>
      </c>
      <c r="L22" s="482">
        <f>34087.32+1761.84</f>
        <v>35849.159999999996</v>
      </c>
      <c r="M22" s="482">
        <f t="shared" si="0"/>
        <v>0</v>
      </c>
      <c r="N22" s="484">
        <v>0</v>
      </c>
      <c r="O22" s="482">
        <v>0</v>
      </c>
      <c r="P22" s="482">
        <v>0</v>
      </c>
      <c r="Q22" s="482">
        <f t="shared" si="1"/>
        <v>0</v>
      </c>
    </row>
    <row r="23" spans="1:17" s="459" customFormat="1" ht="15.75" customHeight="1" x14ac:dyDescent="0.2">
      <c r="A23" s="484">
        <f t="shared" si="2"/>
        <v>15</v>
      </c>
      <c r="B23" s="484" t="s">
        <v>21</v>
      </c>
      <c r="C23" s="516" t="s">
        <v>62</v>
      </c>
      <c r="D23" s="484" t="s">
        <v>63</v>
      </c>
      <c r="E23" s="486" t="s">
        <v>674</v>
      </c>
      <c r="F23" s="486" t="s">
        <v>170</v>
      </c>
      <c r="G23" s="510" t="s">
        <v>670</v>
      </c>
      <c r="H23" s="484">
        <v>54</v>
      </c>
      <c r="I23" s="484">
        <v>46</v>
      </c>
      <c r="J23" s="484">
        <v>55</v>
      </c>
      <c r="K23" s="482">
        <f>62209.16+1570</f>
        <v>63779.16</v>
      </c>
      <c r="L23" s="482">
        <f>62209.16+1570</f>
        <v>63779.16</v>
      </c>
      <c r="M23" s="482">
        <f t="shared" si="0"/>
        <v>0</v>
      </c>
      <c r="N23" s="484">
        <v>41</v>
      </c>
      <c r="O23" s="482">
        <v>148889.4</v>
      </c>
      <c r="P23" s="482">
        <v>148889.4</v>
      </c>
      <c r="Q23" s="482">
        <f t="shared" si="1"/>
        <v>0</v>
      </c>
    </row>
    <row r="24" spans="1:17" s="459" customFormat="1" ht="15.75" customHeight="1" x14ac:dyDescent="0.2">
      <c r="A24" s="484">
        <f t="shared" si="2"/>
        <v>16</v>
      </c>
      <c r="B24" s="484" t="s">
        <v>22</v>
      </c>
      <c r="C24" s="516" t="s">
        <v>62</v>
      </c>
      <c r="D24" s="484" t="s">
        <v>63</v>
      </c>
      <c r="E24" s="486" t="s">
        <v>158</v>
      </c>
      <c r="F24" s="486" t="s">
        <v>171</v>
      </c>
      <c r="G24" s="510" t="s">
        <v>670</v>
      </c>
      <c r="H24" s="484">
        <v>43</v>
      </c>
      <c r="I24" s="484">
        <v>35</v>
      </c>
      <c r="J24" s="484">
        <v>48</v>
      </c>
      <c r="K24" s="482">
        <f>51085.36+2014.97</f>
        <v>53100.33</v>
      </c>
      <c r="L24" s="482">
        <f>51085.36+2014.97</f>
        <v>53100.33</v>
      </c>
      <c r="M24" s="482">
        <f t="shared" si="0"/>
        <v>0</v>
      </c>
      <c r="N24" s="484">
        <v>44</v>
      </c>
      <c r="O24" s="482">
        <v>101080.14</v>
      </c>
      <c r="P24" s="482">
        <v>101080.14</v>
      </c>
      <c r="Q24" s="482">
        <f t="shared" si="1"/>
        <v>0</v>
      </c>
    </row>
    <row r="25" spans="1:17" s="459" customFormat="1" ht="15.75" customHeight="1" x14ac:dyDescent="0.2">
      <c r="A25" s="484">
        <f t="shared" si="2"/>
        <v>17</v>
      </c>
      <c r="B25" s="484" t="s">
        <v>23</v>
      </c>
      <c r="C25" s="516" t="s">
        <v>62</v>
      </c>
      <c r="D25" s="484" t="s">
        <v>63</v>
      </c>
      <c r="E25" s="486" t="s">
        <v>158</v>
      </c>
      <c r="F25" s="486" t="s">
        <v>136</v>
      </c>
      <c r="G25" s="510" t="s">
        <v>670</v>
      </c>
      <c r="H25" s="484">
        <v>2</v>
      </c>
      <c r="I25" s="484">
        <v>0</v>
      </c>
      <c r="J25" s="484">
        <v>0</v>
      </c>
      <c r="K25" s="482">
        <v>0</v>
      </c>
      <c r="L25" s="482">
        <v>0</v>
      </c>
      <c r="M25" s="482">
        <f t="shared" si="0"/>
        <v>0</v>
      </c>
      <c r="N25" s="484">
        <v>0</v>
      </c>
      <c r="O25" s="482">
        <v>0</v>
      </c>
      <c r="P25" s="482">
        <v>0</v>
      </c>
      <c r="Q25" s="482">
        <f t="shared" si="1"/>
        <v>0</v>
      </c>
    </row>
    <row r="26" spans="1:17" s="459" customFormat="1" ht="15.75" customHeight="1" x14ac:dyDescent="0.2">
      <c r="A26" s="484">
        <f t="shared" si="2"/>
        <v>18</v>
      </c>
      <c r="B26" s="484" t="s">
        <v>24</v>
      </c>
      <c r="C26" s="516" t="s">
        <v>62</v>
      </c>
      <c r="D26" s="484" t="s">
        <v>63</v>
      </c>
      <c r="E26" s="486" t="s">
        <v>158</v>
      </c>
      <c r="F26" s="486" t="s">
        <v>172</v>
      </c>
      <c r="G26" s="510" t="s">
        <v>670</v>
      </c>
      <c r="H26" s="484">
        <v>59</v>
      </c>
      <c r="I26" s="484">
        <v>50</v>
      </c>
      <c r="J26" s="484">
        <v>64</v>
      </c>
      <c r="K26" s="482">
        <v>43142.82</v>
      </c>
      <c r="L26" s="482">
        <v>43142.82</v>
      </c>
      <c r="M26" s="482">
        <f t="shared" si="0"/>
        <v>0</v>
      </c>
      <c r="N26" s="484">
        <v>34</v>
      </c>
      <c r="O26" s="482">
        <v>91426.1</v>
      </c>
      <c r="P26" s="482">
        <v>91426.1</v>
      </c>
      <c r="Q26" s="482">
        <f t="shared" si="1"/>
        <v>0</v>
      </c>
    </row>
    <row r="27" spans="1:17" s="459" customFormat="1" ht="15.75" customHeight="1" x14ac:dyDescent="0.2">
      <c r="A27" s="484">
        <f t="shared" si="2"/>
        <v>19</v>
      </c>
      <c r="B27" s="484" t="s">
        <v>102</v>
      </c>
      <c r="C27" s="516" t="s">
        <v>67</v>
      </c>
      <c r="D27" s="484" t="s">
        <v>516</v>
      </c>
      <c r="E27" s="486" t="s">
        <v>158</v>
      </c>
      <c r="F27" s="486" t="s">
        <v>477</v>
      </c>
      <c r="G27" s="510" t="s">
        <v>670</v>
      </c>
      <c r="H27" s="484">
        <v>4</v>
      </c>
      <c r="I27" s="484">
        <v>1</v>
      </c>
      <c r="J27" s="484">
        <v>1</v>
      </c>
      <c r="K27" s="482">
        <v>528.6</v>
      </c>
      <c r="L27" s="482">
        <v>528.6</v>
      </c>
      <c r="M27" s="482">
        <f t="shared" si="0"/>
        <v>0</v>
      </c>
      <c r="N27" s="484">
        <v>4</v>
      </c>
      <c r="O27" s="482">
        <v>9770.18</v>
      </c>
      <c r="P27" s="482">
        <v>9770.18</v>
      </c>
      <c r="Q27" s="482">
        <f t="shared" si="1"/>
        <v>0</v>
      </c>
    </row>
    <row r="28" spans="1:17" s="459" customFormat="1" ht="15.75" customHeight="1" x14ac:dyDescent="0.2">
      <c r="A28" s="484">
        <f t="shared" si="2"/>
        <v>20</v>
      </c>
      <c r="B28" s="484" t="s">
        <v>173</v>
      </c>
      <c r="C28" s="516" t="s">
        <v>67</v>
      </c>
      <c r="D28" s="484" t="s">
        <v>478</v>
      </c>
      <c r="E28" s="486" t="s">
        <v>158</v>
      </c>
      <c r="F28" s="486" t="s">
        <v>175</v>
      </c>
      <c r="G28" s="510" t="s">
        <v>670</v>
      </c>
      <c r="H28" s="484">
        <v>32</v>
      </c>
      <c r="I28" s="484">
        <v>24</v>
      </c>
      <c r="J28" s="484">
        <v>28</v>
      </c>
      <c r="K28" s="482">
        <v>19933.77</v>
      </c>
      <c r="L28" s="482">
        <v>14928.42</v>
      </c>
      <c r="M28" s="482">
        <f t="shared" si="0"/>
        <v>5005.3500000000004</v>
      </c>
      <c r="N28" s="484">
        <v>0</v>
      </c>
      <c r="O28" s="482">
        <v>0</v>
      </c>
      <c r="P28" s="482">
        <v>0</v>
      </c>
      <c r="Q28" s="482">
        <f t="shared" si="1"/>
        <v>0</v>
      </c>
    </row>
    <row r="29" spans="1:17" s="459" customFormat="1" ht="15.75" customHeight="1" x14ac:dyDescent="0.2">
      <c r="A29" s="484">
        <f t="shared" si="2"/>
        <v>21</v>
      </c>
      <c r="B29" s="484" t="s">
        <v>25</v>
      </c>
      <c r="C29" s="516" t="s">
        <v>62</v>
      </c>
      <c r="D29" s="484" t="s">
        <v>63</v>
      </c>
      <c r="E29" s="486" t="s">
        <v>676</v>
      </c>
      <c r="F29" s="486" t="s">
        <v>584</v>
      </c>
      <c r="G29" s="510" t="s">
        <v>670</v>
      </c>
      <c r="H29" s="484">
        <v>62</v>
      </c>
      <c r="I29" s="484">
        <v>0</v>
      </c>
      <c r="J29" s="484">
        <v>0</v>
      </c>
      <c r="K29" s="482">
        <v>0</v>
      </c>
      <c r="L29" s="482">
        <v>0</v>
      </c>
      <c r="M29" s="482">
        <f t="shared" si="0"/>
        <v>0</v>
      </c>
      <c r="N29" s="484">
        <v>0</v>
      </c>
      <c r="O29" s="482">
        <v>0</v>
      </c>
      <c r="P29" s="482">
        <v>0</v>
      </c>
      <c r="Q29" s="482">
        <f t="shared" si="1"/>
        <v>0</v>
      </c>
    </row>
    <row r="30" spans="1:17" s="459" customFormat="1" ht="15.75" customHeight="1" x14ac:dyDescent="0.2">
      <c r="A30" s="484">
        <f t="shared" si="2"/>
        <v>22</v>
      </c>
      <c r="B30" s="484" t="s">
        <v>600</v>
      </c>
      <c r="C30" s="516" t="s">
        <v>62</v>
      </c>
      <c r="D30" s="484" t="s">
        <v>63</v>
      </c>
      <c r="E30" s="486" t="s">
        <v>158</v>
      </c>
      <c r="F30" s="486" t="s">
        <v>103</v>
      </c>
      <c r="G30" s="510" t="s">
        <v>670</v>
      </c>
      <c r="H30" s="484">
        <v>0</v>
      </c>
      <c r="I30" s="484">
        <v>0</v>
      </c>
      <c r="J30" s="484">
        <v>0</v>
      </c>
      <c r="K30" s="482">
        <v>0</v>
      </c>
      <c r="L30" s="482">
        <v>0</v>
      </c>
      <c r="M30" s="482">
        <f t="shared" si="0"/>
        <v>0</v>
      </c>
      <c r="N30" s="484">
        <v>15</v>
      </c>
      <c r="O30" s="482">
        <v>62481.86</v>
      </c>
      <c r="P30" s="482">
        <v>62481.86</v>
      </c>
      <c r="Q30" s="482">
        <f t="shared" si="1"/>
        <v>0</v>
      </c>
    </row>
    <row r="31" spans="1:17" s="459" customFormat="1" ht="15.75" customHeight="1" x14ac:dyDescent="0.2">
      <c r="A31" s="484">
        <f t="shared" si="2"/>
        <v>23</v>
      </c>
      <c r="B31" s="484" t="s">
        <v>479</v>
      </c>
      <c r="C31" s="516" t="s">
        <v>67</v>
      </c>
      <c r="D31" s="484" t="s">
        <v>480</v>
      </c>
      <c r="E31" s="486" t="s">
        <v>158</v>
      </c>
      <c r="F31" s="486" t="s">
        <v>481</v>
      </c>
      <c r="G31" s="510" t="s">
        <v>670</v>
      </c>
      <c r="H31" s="484">
        <v>14</v>
      </c>
      <c r="I31" s="484">
        <v>7</v>
      </c>
      <c r="J31" s="484">
        <v>7</v>
      </c>
      <c r="K31" s="482">
        <v>3449.4</v>
      </c>
      <c r="L31" s="482">
        <v>3449.4</v>
      </c>
      <c r="M31" s="482">
        <f t="shared" si="0"/>
        <v>0</v>
      </c>
      <c r="N31" s="484">
        <v>0</v>
      </c>
      <c r="O31" s="482">
        <v>0</v>
      </c>
      <c r="P31" s="482">
        <v>0</v>
      </c>
      <c r="Q31" s="482">
        <f t="shared" si="1"/>
        <v>0</v>
      </c>
    </row>
    <row r="32" spans="1:17" s="459" customFormat="1" ht="15.75" customHeight="1" x14ac:dyDescent="0.2">
      <c r="A32" s="484">
        <f t="shared" si="2"/>
        <v>24</v>
      </c>
      <c r="B32" s="484" t="s">
        <v>176</v>
      </c>
      <c r="C32" s="516" t="s">
        <v>62</v>
      </c>
      <c r="D32" s="484"/>
      <c r="E32" s="486" t="s">
        <v>677</v>
      </c>
      <c r="F32" s="486" t="s">
        <v>178</v>
      </c>
      <c r="G32" s="510" t="s">
        <v>670</v>
      </c>
      <c r="H32" s="484">
        <v>20</v>
      </c>
      <c r="I32" s="484">
        <v>15</v>
      </c>
      <c r="J32" s="484">
        <v>16</v>
      </c>
      <c r="K32" s="482">
        <v>14354.65</v>
      </c>
      <c r="L32" s="482">
        <f>7259.44+2025.1</f>
        <v>9284.5399999999991</v>
      </c>
      <c r="M32" s="482">
        <f t="shared" si="0"/>
        <v>5070.1100000000006</v>
      </c>
      <c r="N32" s="484">
        <v>0</v>
      </c>
      <c r="O32" s="482">
        <v>0</v>
      </c>
      <c r="P32" s="482">
        <v>0</v>
      </c>
      <c r="Q32" s="482">
        <f t="shared" si="1"/>
        <v>0</v>
      </c>
    </row>
    <row r="33" spans="1:17" s="459" customFormat="1" ht="15.75" customHeight="1" x14ac:dyDescent="0.2">
      <c r="A33" s="484">
        <f t="shared" si="2"/>
        <v>25</v>
      </c>
      <c r="B33" s="484" t="s">
        <v>152</v>
      </c>
      <c r="C33" s="516" t="s">
        <v>62</v>
      </c>
      <c r="D33" s="484" t="s">
        <v>63</v>
      </c>
      <c r="E33" s="486" t="s">
        <v>158</v>
      </c>
      <c r="F33" s="486" t="s">
        <v>179</v>
      </c>
      <c r="G33" s="510" t="s">
        <v>670</v>
      </c>
      <c r="H33" s="484">
        <v>31</v>
      </c>
      <c r="I33" s="484">
        <v>16</v>
      </c>
      <c r="J33" s="484">
        <v>18</v>
      </c>
      <c r="K33" s="482">
        <v>38119.06</v>
      </c>
      <c r="L33" s="482">
        <v>38119.06</v>
      </c>
      <c r="M33" s="482">
        <f t="shared" si="0"/>
        <v>0</v>
      </c>
      <c r="N33" s="484">
        <v>16</v>
      </c>
      <c r="O33" s="482">
        <v>10875.99</v>
      </c>
      <c r="P33" s="482">
        <v>10875.99</v>
      </c>
      <c r="Q33" s="482">
        <f t="shared" si="1"/>
        <v>0</v>
      </c>
    </row>
    <row r="34" spans="1:17" s="459" customFormat="1" ht="15.75" customHeight="1" x14ac:dyDescent="0.2">
      <c r="A34" s="484">
        <f t="shared" si="2"/>
        <v>26</v>
      </c>
      <c r="B34" s="484" t="s">
        <v>88</v>
      </c>
      <c r="C34" s="516" t="s">
        <v>62</v>
      </c>
      <c r="D34" s="484" t="s">
        <v>63</v>
      </c>
      <c r="E34" s="486" t="s">
        <v>158</v>
      </c>
      <c r="F34" s="486" t="s">
        <v>180</v>
      </c>
      <c r="G34" s="510" t="s">
        <v>670</v>
      </c>
      <c r="H34" s="484">
        <v>9</v>
      </c>
      <c r="I34" s="484">
        <v>5</v>
      </c>
      <c r="J34" s="484">
        <v>5</v>
      </c>
      <c r="K34" s="482">
        <v>7768.25</v>
      </c>
      <c r="L34" s="482">
        <f>2706.43+1215.06</f>
        <v>3921.49</v>
      </c>
      <c r="M34" s="482">
        <f t="shared" si="0"/>
        <v>3846.76</v>
      </c>
      <c r="N34" s="484">
        <v>2</v>
      </c>
      <c r="O34" s="482">
        <v>22884.99</v>
      </c>
      <c r="P34" s="482">
        <v>22884.99</v>
      </c>
      <c r="Q34" s="482">
        <f t="shared" si="1"/>
        <v>0</v>
      </c>
    </row>
    <row r="35" spans="1:17" s="459" customFormat="1" ht="15.75" customHeight="1" x14ac:dyDescent="0.2">
      <c r="A35" s="484">
        <f t="shared" si="2"/>
        <v>27</v>
      </c>
      <c r="B35" s="484" t="s">
        <v>26</v>
      </c>
      <c r="C35" s="516" t="s">
        <v>62</v>
      </c>
      <c r="D35" s="484" t="s">
        <v>63</v>
      </c>
      <c r="E35" s="486" t="s">
        <v>158</v>
      </c>
      <c r="F35" s="486" t="s">
        <v>181</v>
      </c>
      <c r="G35" s="510" t="s">
        <v>670</v>
      </c>
      <c r="H35" s="484">
        <v>30</v>
      </c>
      <c r="I35" s="484">
        <v>24</v>
      </c>
      <c r="J35" s="484">
        <v>34</v>
      </c>
      <c r="K35" s="482">
        <v>65045.440000000002</v>
      </c>
      <c r="L35" s="482">
        <v>65045.440000000002</v>
      </c>
      <c r="M35" s="482">
        <f t="shared" si="0"/>
        <v>0</v>
      </c>
      <c r="N35" s="484">
        <v>16</v>
      </c>
      <c r="O35" s="482">
        <v>27881.98</v>
      </c>
      <c r="P35" s="482">
        <v>27881.98</v>
      </c>
      <c r="Q35" s="482">
        <f t="shared" si="1"/>
        <v>0</v>
      </c>
    </row>
    <row r="36" spans="1:17" s="459" customFormat="1" ht="15.75" customHeight="1" x14ac:dyDescent="0.2">
      <c r="A36" s="484">
        <f t="shared" si="2"/>
        <v>28</v>
      </c>
      <c r="B36" s="484" t="s">
        <v>182</v>
      </c>
      <c r="C36" s="516" t="s">
        <v>62</v>
      </c>
      <c r="D36" s="484"/>
      <c r="E36" s="486" t="s">
        <v>158</v>
      </c>
      <c r="F36" s="486" t="s">
        <v>183</v>
      </c>
      <c r="G36" s="510" t="s">
        <v>670</v>
      </c>
      <c r="H36" s="484">
        <v>41</v>
      </c>
      <c r="I36" s="484">
        <v>23</v>
      </c>
      <c r="J36" s="484">
        <v>28</v>
      </c>
      <c r="K36" s="482">
        <v>23283.040000000001</v>
      </c>
      <c r="L36" s="482">
        <v>23283.040000000001</v>
      </c>
      <c r="M36" s="482">
        <f t="shared" si="0"/>
        <v>0</v>
      </c>
      <c r="N36" s="484">
        <v>0</v>
      </c>
      <c r="O36" s="482">
        <v>0</v>
      </c>
      <c r="P36" s="482">
        <v>0</v>
      </c>
      <c r="Q36" s="482">
        <f t="shared" si="1"/>
        <v>0</v>
      </c>
    </row>
    <row r="37" spans="1:17" s="459" customFormat="1" ht="15.75" customHeight="1" x14ac:dyDescent="0.2">
      <c r="A37" s="484">
        <f t="shared" si="2"/>
        <v>29</v>
      </c>
      <c r="B37" s="484" t="s">
        <v>601</v>
      </c>
      <c r="C37" s="516" t="s">
        <v>62</v>
      </c>
      <c r="D37" s="484" t="s">
        <v>63</v>
      </c>
      <c r="E37" s="486" t="s">
        <v>678</v>
      </c>
      <c r="F37" s="486" t="s">
        <v>602</v>
      </c>
      <c r="G37" s="510" t="s">
        <v>670</v>
      </c>
      <c r="H37" s="484">
        <v>4</v>
      </c>
      <c r="I37" s="484">
        <v>0</v>
      </c>
      <c r="J37" s="484">
        <v>0</v>
      </c>
      <c r="K37" s="482">
        <v>0</v>
      </c>
      <c r="L37" s="482">
        <v>0</v>
      </c>
      <c r="M37" s="482">
        <f t="shared" si="0"/>
        <v>0</v>
      </c>
      <c r="N37" s="484">
        <v>0</v>
      </c>
      <c r="O37" s="482">
        <v>0</v>
      </c>
      <c r="P37" s="482">
        <v>0</v>
      </c>
      <c r="Q37" s="482">
        <f t="shared" si="1"/>
        <v>0</v>
      </c>
    </row>
    <row r="38" spans="1:17" s="459" customFormat="1" ht="15.75" customHeight="1" x14ac:dyDescent="0.2">
      <c r="A38" s="484">
        <f t="shared" si="2"/>
        <v>30</v>
      </c>
      <c r="B38" s="484" t="s">
        <v>137</v>
      </c>
      <c r="C38" s="516" t="s">
        <v>62</v>
      </c>
      <c r="D38" s="484" t="s">
        <v>63</v>
      </c>
      <c r="E38" s="486" t="s">
        <v>158</v>
      </c>
      <c r="F38" s="486" t="s">
        <v>184</v>
      </c>
      <c r="G38" s="510" t="s">
        <v>670</v>
      </c>
      <c r="H38" s="484">
        <v>11</v>
      </c>
      <c r="I38" s="484">
        <v>6</v>
      </c>
      <c r="J38" s="484">
        <v>6</v>
      </c>
      <c r="K38" s="482">
        <v>8691.83</v>
      </c>
      <c r="L38" s="482">
        <v>8691.83</v>
      </c>
      <c r="M38" s="482">
        <f t="shared" si="0"/>
        <v>0</v>
      </c>
      <c r="N38" s="484">
        <v>5</v>
      </c>
      <c r="O38" s="482">
        <v>9148.83</v>
      </c>
      <c r="P38" s="482">
        <v>9148.83</v>
      </c>
      <c r="Q38" s="482">
        <f t="shared" si="1"/>
        <v>0</v>
      </c>
    </row>
    <row r="39" spans="1:17" s="459" customFormat="1" ht="15.75" customHeight="1" x14ac:dyDescent="0.2">
      <c r="A39" s="484">
        <f t="shared" si="2"/>
        <v>31</v>
      </c>
      <c r="B39" s="484" t="s">
        <v>185</v>
      </c>
      <c r="C39" s="516" t="s">
        <v>62</v>
      </c>
      <c r="D39" s="484"/>
      <c r="E39" s="486" t="s">
        <v>674</v>
      </c>
      <c r="F39" s="486" t="s">
        <v>463</v>
      </c>
      <c r="G39" s="510" t="s">
        <v>670</v>
      </c>
      <c r="H39" s="484">
        <v>15</v>
      </c>
      <c r="I39" s="484">
        <v>10</v>
      </c>
      <c r="J39" s="484">
        <v>12</v>
      </c>
      <c r="K39" s="482">
        <f>3098.57-352.4</f>
        <v>2746.17</v>
      </c>
      <c r="L39" s="482">
        <v>2746.17</v>
      </c>
      <c r="M39" s="482">
        <f t="shared" si="0"/>
        <v>0</v>
      </c>
      <c r="N39" s="484">
        <v>0</v>
      </c>
      <c r="O39" s="482">
        <v>0</v>
      </c>
      <c r="P39" s="482">
        <v>0</v>
      </c>
      <c r="Q39" s="482">
        <f t="shared" si="1"/>
        <v>0</v>
      </c>
    </row>
    <row r="40" spans="1:17" s="459" customFormat="1" ht="15.75" customHeight="1" x14ac:dyDescent="0.2">
      <c r="A40" s="484">
        <f t="shared" si="2"/>
        <v>32</v>
      </c>
      <c r="B40" s="484" t="s">
        <v>27</v>
      </c>
      <c r="C40" s="516" t="s">
        <v>62</v>
      </c>
      <c r="D40" s="484" t="s">
        <v>63</v>
      </c>
      <c r="E40" s="486" t="s">
        <v>158</v>
      </c>
      <c r="F40" s="486" t="s">
        <v>187</v>
      </c>
      <c r="G40" s="510" t="s">
        <v>670</v>
      </c>
      <c r="H40" s="484">
        <v>19</v>
      </c>
      <c r="I40" s="484">
        <v>13</v>
      </c>
      <c r="J40" s="484">
        <v>14</v>
      </c>
      <c r="K40" s="482">
        <v>11368.12</v>
      </c>
      <c r="L40" s="482">
        <v>11368.12</v>
      </c>
      <c r="M40" s="482">
        <f t="shared" si="0"/>
        <v>0</v>
      </c>
      <c r="N40" s="484">
        <v>7</v>
      </c>
      <c r="O40" s="482">
        <v>35186.089999999997</v>
      </c>
      <c r="P40" s="482">
        <v>35186.089999999997</v>
      </c>
      <c r="Q40" s="482">
        <f t="shared" si="1"/>
        <v>0</v>
      </c>
    </row>
    <row r="41" spans="1:17" s="459" customFormat="1" ht="15.75" customHeight="1" x14ac:dyDescent="0.2">
      <c r="A41" s="484">
        <f t="shared" si="2"/>
        <v>33</v>
      </c>
      <c r="B41" s="484" t="s">
        <v>654</v>
      </c>
      <c r="C41" s="516" t="s">
        <v>62</v>
      </c>
      <c r="D41" s="484"/>
      <c r="E41" s="486" t="s">
        <v>681</v>
      </c>
      <c r="F41" s="486" t="s">
        <v>656</v>
      </c>
      <c r="G41" s="510" t="s">
        <v>670</v>
      </c>
      <c r="H41" s="484">
        <v>6</v>
      </c>
      <c r="I41" s="484">
        <v>0</v>
      </c>
      <c r="J41" s="484">
        <v>0</v>
      </c>
      <c r="K41" s="482">
        <v>0</v>
      </c>
      <c r="L41" s="482">
        <v>0</v>
      </c>
      <c r="M41" s="482">
        <f t="shared" ref="M41:M72" si="3">K41-L41</f>
        <v>0</v>
      </c>
      <c r="N41" s="484">
        <v>0</v>
      </c>
      <c r="O41" s="482">
        <v>0</v>
      </c>
      <c r="P41" s="482">
        <v>0</v>
      </c>
      <c r="Q41" s="482">
        <f t="shared" ref="Q41:Q72" si="4">O41-P41</f>
        <v>0</v>
      </c>
    </row>
    <row r="42" spans="1:17" s="459" customFormat="1" ht="15.75" customHeight="1" x14ac:dyDescent="0.2">
      <c r="A42" s="484">
        <f t="shared" si="2"/>
        <v>34</v>
      </c>
      <c r="B42" s="484" t="s">
        <v>482</v>
      </c>
      <c r="C42" s="516" t="s">
        <v>64</v>
      </c>
      <c r="D42" s="484" t="s">
        <v>483</v>
      </c>
      <c r="E42" s="486" t="s">
        <v>158</v>
      </c>
      <c r="F42" s="486" t="s">
        <v>484</v>
      </c>
      <c r="G42" s="510" t="s">
        <v>670</v>
      </c>
      <c r="H42" s="484">
        <v>11</v>
      </c>
      <c r="I42" s="484">
        <v>0</v>
      </c>
      <c r="J42" s="484">
        <v>0</v>
      </c>
      <c r="K42" s="482">
        <v>0</v>
      </c>
      <c r="L42" s="482">
        <v>0</v>
      </c>
      <c r="M42" s="482">
        <f t="shared" si="3"/>
        <v>0</v>
      </c>
      <c r="N42" s="484">
        <v>0</v>
      </c>
      <c r="O42" s="482">
        <v>0</v>
      </c>
      <c r="P42" s="482">
        <v>0</v>
      </c>
      <c r="Q42" s="482">
        <f t="shared" si="4"/>
        <v>0</v>
      </c>
    </row>
    <row r="43" spans="1:17" s="459" customFormat="1" ht="15.75" customHeight="1" x14ac:dyDescent="0.2">
      <c r="A43" s="484">
        <f t="shared" si="2"/>
        <v>35</v>
      </c>
      <c r="B43" s="484" t="s">
        <v>104</v>
      </c>
      <c r="C43" s="516" t="s">
        <v>62</v>
      </c>
      <c r="D43" s="484" t="s">
        <v>63</v>
      </c>
      <c r="E43" s="490" t="s">
        <v>730</v>
      </c>
      <c r="F43" s="486" t="s">
        <v>188</v>
      </c>
      <c r="G43" s="510" t="s">
        <v>670</v>
      </c>
      <c r="H43" s="484">
        <v>9</v>
      </c>
      <c r="I43" s="484">
        <v>7</v>
      </c>
      <c r="J43" s="484">
        <v>9</v>
      </c>
      <c r="K43" s="482">
        <v>19587.169999999998</v>
      </c>
      <c r="L43" s="482">
        <v>19587.169999999998</v>
      </c>
      <c r="M43" s="482">
        <f t="shared" si="3"/>
        <v>0</v>
      </c>
      <c r="N43" s="484">
        <v>26</v>
      </c>
      <c r="O43" s="482">
        <f>49255.29+5920.32</f>
        <v>55175.61</v>
      </c>
      <c r="P43" s="482">
        <f>49255.29+5920.32</f>
        <v>55175.61</v>
      </c>
      <c r="Q43" s="482">
        <f t="shared" si="4"/>
        <v>0</v>
      </c>
    </row>
    <row r="44" spans="1:17" s="459" customFormat="1" ht="15.75" customHeight="1" x14ac:dyDescent="0.2">
      <c r="A44" s="484">
        <f t="shared" si="2"/>
        <v>36</v>
      </c>
      <c r="B44" s="484" t="s">
        <v>517</v>
      </c>
      <c r="C44" s="516" t="s">
        <v>62</v>
      </c>
      <c r="D44" s="484"/>
      <c r="E44" s="486" t="s">
        <v>158</v>
      </c>
      <c r="F44" s="486" t="s">
        <v>567</v>
      </c>
      <c r="G44" s="510" t="s">
        <v>670</v>
      </c>
      <c r="H44" s="484">
        <v>22</v>
      </c>
      <c r="I44" s="484">
        <v>15</v>
      </c>
      <c r="J44" s="484">
        <v>16</v>
      </c>
      <c r="K44" s="482">
        <v>8593.74</v>
      </c>
      <c r="L44" s="482">
        <v>8593.74</v>
      </c>
      <c r="M44" s="482">
        <f t="shared" si="3"/>
        <v>0</v>
      </c>
      <c r="N44" s="484">
        <v>0</v>
      </c>
      <c r="O44" s="482">
        <v>0</v>
      </c>
      <c r="P44" s="482">
        <v>0</v>
      </c>
      <c r="Q44" s="482">
        <f t="shared" si="4"/>
        <v>0</v>
      </c>
    </row>
    <row r="45" spans="1:17" s="459" customFormat="1" ht="15.75" customHeight="1" x14ac:dyDescent="0.2">
      <c r="A45" s="484">
        <f t="shared" si="2"/>
        <v>37</v>
      </c>
      <c r="B45" s="484" t="s">
        <v>28</v>
      </c>
      <c r="C45" s="516" t="s">
        <v>62</v>
      </c>
      <c r="D45" s="484" t="s">
        <v>63</v>
      </c>
      <c r="E45" s="486" t="s">
        <v>158</v>
      </c>
      <c r="F45" s="486" t="s">
        <v>189</v>
      </c>
      <c r="G45" s="510" t="s">
        <v>670</v>
      </c>
      <c r="H45" s="484">
        <v>14</v>
      </c>
      <c r="I45" s="484">
        <v>10</v>
      </c>
      <c r="J45" s="484">
        <v>11</v>
      </c>
      <c r="K45" s="482">
        <v>13276.34</v>
      </c>
      <c r="L45" s="482">
        <f>10155.84+3120.5</f>
        <v>13276.34</v>
      </c>
      <c r="M45" s="482">
        <f t="shared" si="3"/>
        <v>0</v>
      </c>
      <c r="N45" s="484">
        <v>8</v>
      </c>
      <c r="O45" s="482">
        <v>18393.25</v>
      </c>
      <c r="P45" s="482">
        <v>18393.25</v>
      </c>
      <c r="Q45" s="482">
        <f t="shared" si="4"/>
        <v>0</v>
      </c>
    </row>
    <row r="46" spans="1:17" s="459" customFormat="1" ht="15.75" customHeight="1" x14ac:dyDescent="0.2">
      <c r="A46" s="484">
        <f t="shared" si="2"/>
        <v>38</v>
      </c>
      <c r="B46" s="484" t="s">
        <v>190</v>
      </c>
      <c r="C46" s="516" t="s">
        <v>62</v>
      </c>
      <c r="D46" s="484"/>
      <c r="E46" s="486" t="s">
        <v>675</v>
      </c>
      <c r="F46" s="486" t="s">
        <v>191</v>
      </c>
      <c r="G46" s="510" t="s">
        <v>670</v>
      </c>
      <c r="H46" s="484">
        <v>20</v>
      </c>
      <c r="I46" s="484">
        <v>17</v>
      </c>
      <c r="J46" s="484">
        <v>17</v>
      </c>
      <c r="K46" s="482">
        <v>15430.42</v>
      </c>
      <c r="L46" s="482">
        <f>13185.23+2245.19</f>
        <v>15430.42</v>
      </c>
      <c r="M46" s="482">
        <f t="shared" si="3"/>
        <v>0</v>
      </c>
      <c r="N46" s="484">
        <v>0</v>
      </c>
      <c r="O46" s="482">
        <v>0</v>
      </c>
      <c r="P46" s="482">
        <v>0</v>
      </c>
      <c r="Q46" s="482">
        <f t="shared" si="4"/>
        <v>0</v>
      </c>
    </row>
    <row r="47" spans="1:17" s="459" customFormat="1" ht="15.75" customHeight="1" x14ac:dyDescent="0.2">
      <c r="A47" s="484">
        <f t="shared" si="2"/>
        <v>39</v>
      </c>
      <c r="B47" s="484" t="s">
        <v>192</v>
      </c>
      <c r="C47" s="516" t="s">
        <v>64</v>
      </c>
      <c r="D47" s="484" t="s">
        <v>731</v>
      </c>
      <c r="E47" s="486" t="s">
        <v>158</v>
      </c>
      <c r="F47" s="486" t="s">
        <v>194</v>
      </c>
      <c r="G47" s="510" t="s">
        <v>670</v>
      </c>
      <c r="H47" s="484">
        <v>1</v>
      </c>
      <c r="I47" s="484">
        <v>0</v>
      </c>
      <c r="J47" s="484">
        <v>0</v>
      </c>
      <c r="K47" s="482">
        <v>0</v>
      </c>
      <c r="L47" s="482">
        <v>0</v>
      </c>
      <c r="M47" s="482">
        <f t="shared" si="3"/>
        <v>0</v>
      </c>
      <c r="N47" s="484">
        <v>0</v>
      </c>
      <c r="O47" s="482">
        <v>0</v>
      </c>
      <c r="P47" s="482">
        <v>0</v>
      </c>
      <c r="Q47" s="482">
        <f t="shared" si="4"/>
        <v>0</v>
      </c>
    </row>
    <row r="48" spans="1:17" s="459" customFormat="1" ht="15.75" customHeight="1" x14ac:dyDescent="0.2">
      <c r="A48" s="484">
        <f t="shared" si="2"/>
        <v>40</v>
      </c>
      <c r="B48" s="484" t="s">
        <v>89</v>
      </c>
      <c r="C48" s="516" t="s">
        <v>62</v>
      </c>
      <c r="D48" s="484" t="s">
        <v>63</v>
      </c>
      <c r="E48" s="486" t="s">
        <v>158</v>
      </c>
      <c r="F48" s="486" t="s">
        <v>195</v>
      </c>
      <c r="G48" s="510" t="s">
        <v>670</v>
      </c>
      <c r="H48" s="484">
        <v>39</v>
      </c>
      <c r="I48" s="484">
        <v>36</v>
      </c>
      <c r="J48" s="484">
        <v>38</v>
      </c>
      <c r="K48" s="482">
        <v>34420.629999999997</v>
      </c>
      <c r="L48" s="482">
        <v>34420.629999999997</v>
      </c>
      <c r="M48" s="482">
        <f t="shared" si="3"/>
        <v>0</v>
      </c>
      <c r="N48" s="484">
        <v>7</v>
      </c>
      <c r="O48" s="482">
        <v>39298.120000000003</v>
      </c>
      <c r="P48" s="482">
        <v>39298.120000000003</v>
      </c>
      <c r="Q48" s="482">
        <f t="shared" si="4"/>
        <v>0</v>
      </c>
    </row>
    <row r="49" spans="1:17" s="459" customFormat="1" ht="15.75" customHeight="1" x14ac:dyDescent="0.2">
      <c r="A49" s="484">
        <f t="shared" si="2"/>
        <v>41</v>
      </c>
      <c r="B49" s="484" t="s">
        <v>196</v>
      </c>
      <c r="C49" s="516" t="s">
        <v>62</v>
      </c>
      <c r="D49" s="484"/>
      <c r="E49" s="486" t="s">
        <v>683</v>
      </c>
      <c r="F49" s="486" t="s">
        <v>198</v>
      </c>
      <c r="G49" s="510" t="s">
        <v>670</v>
      </c>
      <c r="H49" s="484">
        <v>27</v>
      </c>
      <c r="I49" s="484">
        <v>18</v>
      </c>
      <c r="J49" s="484">
        <v>19</v>
      </c>
      <c r="K49" s="482">
        <v>29345.31</v>
      </c>
      <c r="L49" s="482">
        <f>18951.14+1654.69</f>
        <v>20605.829999999998</v>
      </c>
      <c r="M49" s="482">
        <f t="shared" si="3"/>
        <v>8739.4800000000032</v>
      </c>
      <c r="N49" s="484">
        <v>0</v>
      </c>
      <c r="O49" s="482">
        <v>0</v>
      </c>
      <c r="P49" s="482">
        <v>0</v>
      </c>
      <c r="Q49" s="482">
        <f t="shared" si="4"/>
        <v>0</v>
      </c>
    </row>
    <row r="50" spans="1:17" s="459" customFormat="1" ht="15.75" customHeight="1" x14ac:dyDescent="0.2">
      <c r="A50" s="484">
        <f t="shared" si="2"/>
        <v>42</v>
      </c>
      <c r="B50" s="484" t="s">
        <v>106</v>
      </c>
      <c r="C50" s="516" t="s">
        <v>62</v>
      </c>
      <c r="D50" s="484" t="s">
        <v>63</v>
      </c>
      <c r="E50" s="486" t="s">
        <v>158</v>
      </c>
      <c r="F50" s="486" t="s">
        <v>199</v>
      </c>
      <c r="G50" s="510" t="s">
        <v>670</v>
      </c>
      <c r="H50" s="484">
        <v>53</v>
      </c>
      <c r="I50" s="484">
        <v>46</v>
      </c>
      <c r="J50" s="484">
        <v>65</v>
      </c>
      <c r="K50" s="482">
        <v>84398.3</v>
      </c>
      <c r="L50" s="482">
        <v>84398.3</v>
      </c>
      <c r="M50" s="482">
        <f t="shared" si="3"/>
        <v>0</v>
      </c>
      <c r="N50" s="484">
        <v>27</v>
      </c>
      <c r="O50" s="482">
        <f>150774.94+1610.89</f>
        <v>152385.83000000002</v>
      </c>
      <c r="P50" s="482">
        <f>150774.94+1610.89</f>
        <v>152385.83000000002</v>
      </c>
      <c r="Q50" s="482">
        <f t="shared" si="4"/>
        <v>0</v>
      </c>
    </row>
    <row r="51" spans="1:17" s="459" customFormat="1" ht="15.75" customHeight="1" x14ac:dyDescent="0.2">
      <c r="A51" s="484">
        <f t="shared" si="2"/>
        <v>43</v>
      </c>
      <c r="B51" s="484" t="s">
        <v>107</v>
      </c>
      <c r="C51" s="516" t="s">
        <v>62</v>
      </c>
      <c r="D51" s="484" t="s">
        <v>63</v>
      </c>
      <c r="E51" s="486" t="s">
        <v>158</v>
      </c>
      <c r="F51" s="486" t="s">
        <v>138</v>
      </c>
      <c r="G51" s="510" t="s">
        <v>670</v>
      </c>
      <c r="H51" s="484">
        <v>10</v>
      </c>
      <c r="I51" s="484">
        <v>0</v>
      </c>
      <c r="J51" s="484">
        <v>0</v>
      </c>
      <c r="K51" s="482">
        <v>0</v>
      </c>
      <c r="L51" s="482">
        <v>0</v>
      </c>
      <c r="M51" s="482">
        <f t="shared" si="3"/>
        <v>0</v>
      </c>
      <c r="N51" s="484">
        <v>0</v>
      </c>
      <c r="O51" s="482">
        <v>0</v>
      </c>
      <c r="P51" s="482">
        <v>0</v>
      </c>
      <c r="Q51" s="482">
        <f t="shared" si="4"/>
        <v>0</v>
      </c>
    </row>
    <row r="52" spans="1:17" s="459" customFormat="1" ht="15.75" customHeight="1" x14ac:dyDescent="0.2">
      <c r="A52" s="484">
        <f t="shared" si="2"/>
        <v>44</v>
      </c>
      <c r="B52" s="484" t="s">
        <v>29</v>
      </c>
      <c r="C52" s="516" t="s">
        <v>62</v>
      </c>
      <c r="D52" s="484" t="s">
        <v>63</v>
      </c>
      <c r="E52" s="486" t="s">
        <v>158</v>
      </c>
      <c r="F52" s="486" t="s">
        <v>200</v>
      </c>
      <c r="G52" s="510" t="s">
        <v>670</v>
      </c>
      <c r="H52" s="484">
        <v>29</v>
      </c>
      <c r="I52" s="484">
        <v>25</v>
      </c>
      <c r="J52" s="484">
        <v>39</v>
      </c>
      <c r="K52" s="482">
        <f>38488.66+2052.19</f>
        <v>40540.850000000006</v>
      </c>
      <c r="L52" s="482">
        <f>38488.66+2052.19</f>
        <v>40540.850000000006</v>
      </c>
      <c r="M52" s="482">
        <f t="shared" si="3"/>
        <v>0</v>
      </c>
      <c r="N52" s="484">
        <v>21</v>
      </c>
      <c r="O52" s="482">
        <v>29336.76</v>
      </c>
      <c r="P52" s="482">
        <v>29336.76</v>
      </c>
      <c r="Q52" s="482">
        <f t="shared" si="4"/>
        <v>0</v>
      </c>
    </row>
    <row r="53" spans="1:17" s="459" customFormat="1" ht="15.75" customHeight="1" x14ac:dyDescent="0.2">
      <c r="A53" s="484">
        <f t="shared" si="2"/>
        <v>45</v>
      </c>
      <c r="B53" s="484" t="s">
        <v>201</v>
      </c>
      <c r="C53" s="516" t="s">
        <v>67</v>
      </c>
      <c r="D53" s="484" t="s">
        <v>485</v>
      </c>
      <c r="E53" s="486" t="s">
        <v>158</v>
      </c>
      <c r="F53" s="486" t="s">
        <v>202</v>
      </c>
      <c r="G53" s="510" t="s">
        <v>670</v>
      </c>
      <c r="H53" s="484">
        <v>31</v>
      </c>
      <c r="I53" s="484">
        <v>24</v>
      </c>
      <c r="J53" s="484">
        <v>25</v>
      </c>
      <c r="K53" s="482">
        <v>42330.61</v>
      </c>
      <c r="L53" s="482">
        <v>42330.61</v>
      </c>
      <c r="M53" s="482">
        <f t="shared" si="3"/>
        <v>0</v>
      </c>
      <c r="N53" s="484">
        <v>1</v>
      </c>
      <c r="O53" s="482">
        <v>1717.95</v>
      </c>
      <c r="P53" s="482">
        <v>1717.95</v>
      </c>
      <c r="Q53" s="482">
        <f t="shared" si="4"/>
        <v>0</v>
      </c>
    </row>
    <row r="54" spans="1:17" s="459" customFormat="1" ht="15.75" customHeight="1" x14ac:dyDescent="0.2">
      <c r="A54" s="484">
        <f t="shared" si="2"/>
        <v>46</v>
      </c>
      <c r="B54" s="484" t="s">
        <v>30</v>
      </c>
      <c r="C54" s="516" t="s">
        <v>62</v>
      </c>
      <c r="D54" s="484" t="s">
        <v>63</v>
      </c>
      <c r="E54" s="486" t="s">
        <v>686</v>
      </c>
      <c r="F54" s="486" t="s">
        <v>204</v>
      </c>
      <c r="G54" s="510" t="s">
        <v>670</v>
      </c>
      <c r="H54" s="484">
        <v>26</v>
      </c>
      <c r="I54" s="484">
        <v>19</v>
      </c>
      <c r="J54" s="484">
        <v>27</v>
      </c>
      <c r="K54" s="482">
        <f>75123.31-11884.74</f>
        <v>63238.57</v>
      </c>
      <c r="L54" s="482">
        <f>75123.31-11884.74</f>
        <v>63238.57</v>
      </c>
      <c r="M54" s="482">
        <f t="shared" si="3"/>
        <v>0</v>
      </c>
      <c r="N54" s="484">
        <v>20</v>
      </c>
      <c r="O54" s="482">
        <v>87105.46</v>
      </c>
      <c r="P54" s="482">
        <v>87105.46</v>
      </c>
      <c r="Q54" s="482">
        <f t="shared" si="4"/>
        <v>0</v>
      </c>
    </row>
    <row r="55" spans="1:17" s="459" customFormat="1" ht="15.75" customHeight="1" x14ac:dyDescent="0.2">
      <c r="A55" s="484">
        <f t="shared" si="2"/>
        <v>47</v>
      </c>
      <c r="B55" s="484" t="s">
        <v>90</v>
      </c>
      <c r="C55" s="516" t="s">
        <v>62</v>
      </c>
      <c r="D55" s="484" t="s">
        <v>63</v>
      </c>
      <c r="E55" s="486" t="s">
        <v>689</v>
      </c>
      <c r="F55" s="486" t="s">
        <v>464</v>
      </c>
      <c r="G55" s="510" t="s">
        <v>670</v>
      </c>
      <c r="H55" s="484">
        <v>27</v>
      </c>
      <c r="I55" s="484">
        <v>18</v>
      </c>
      <c r="J55" s="484">
        <v>25</v>
      </c>
      <c r="K55" s="482">
        <v>36149.81</v>
      </c>
      <c r="L55" s="482">
        <v>36149.81</v>
      </c>
      <c r="M55" s="482">
        <f t="shared" si="3"/>
        <v>0</v>
      </c>
      <c r="N55" s="484">
        <v>18</v>
      </c>
      <c r="O55" s="482">
        <v>23475.1</v>
      </c>
      <c r="P55" s="482">
        <v>23475.1</v>
      </c>
      <c r="Q55" s="482">
        <f t="shared" si="4"/>
        <v>0</v>
      </c>
    </row>
    <row r="56" spans="1:17" s="459" customFormat="1" ht="15.75" customHeight="1" x14ac:dyDescent="0.2">
      <c r="A56" s="484">
        <f t="shared" si="2"/>
        <v>48</v>
      </c>
      <c r="B56" s="484" t="s">
        <v>31</v>
      </c>
      <c r="C56" s="516" t="s">
        <v>62</v>
      </c>
      <c r="D56" s="484" t="s">
        <v>63</v>
      </c>
      <c r="E56" s="486" t="s">
        <v>158</v>
      </c>
      <c r="F56" s="486" t="s">
        <v>206</v>
      </c>
      <c r="G56" s="510" t="s">
        <v>670</v>
      </c>
      <c r="H56" s="484">
        <v>60</v>
      </c>
      <c r="I56" s="484">
        <v>54</v>
      </c>
      <c r="J56" s="484">
        <v>64</v>
      </c>
      <c r="K56" s="482">
        <f>109795.51+2396.98</f>
        <v>112192.48999999999</v>
      </c>
      <c r="L56" s="482">
        <f>104800.98+4994.53</f>
        <v>109795.51</v>
      </c>
      <c r="M56" s="482">
        <f t="shared" si="3"/>
        <v>2396.9799999999959</v>
      </c>
      <c r="N56" s="484">
        <v>22</v>
      </c>
      <c r="O56" s="482">
        <v>88399.12</v>
      </c>
      <c r="P56" s="482">
        <v>88399.12</v>
      </c>
      <c r="Q56" s="482">
        <f t="shared" si="4"/>
        <v>0</v>
      </c>
    </row>
    <row r="57" spans="1:17" s="459" customFormat="1" ht="15.75" customHeight="1" x14ac:dyDescent="0.2">
      <c r="A57" s="484">
        <f t="shared" si="2"/>
        <v>49</v>
      </c>
      <c r="B57" s="484" t="s">
        <v>631</v>
      </c>
      <c r="C57" s="516" t="s">
        <v>62</v>
      </c>
      <c r="D57" s="484"/>
      <c r="E57" s="486" t="s">
        <v>687</v>
      </c>
      <c r="F57" s="486" t="s">
        <v>732</v>
      </c>
      <c r="G57" s="510" t="s">
        <v>670</v>
      </c>
      <c r="H57" s="484">
        <v>11</v>
      </c>
      <c r="I57" s="484">
        <v>5</v>
      </c>
      <c r="J57" s="484">
        <v>5</v>
      </c>
      <c r="K57" s="482">
        <v>589.12</v>
      </c>
      <c r="L57" s="482">
        <v>589.12</v>
      </c>
      <c r="M57" s="482">
        <f t="shared" si="3"/>
        <v>0</v>
      </c>
      <c r="N57" s="484">
        <v>0</v>
      </c>
      <c r="O57" s="482">
        <v>0</v>
      </c>
      <c r="P57" s="482">
        <v>0</v>
      </c>
      <c r="Q57" s="482">
        <f t="shared" si="4"/>
        <v>0</v>
      </c>
    </row>
    <row r="58" spans="1:17" s="459" customFormat="1" ht="15.75" customHeight="1" x14ac:dyDescent="0.2">
      <c r="A58" s="484">
        <f t="shared" si="2"/>
        <v>50</v>
      </c>
      <c r="B58" s="484" t="s">
        <v>605</v>
      </c>
      <c r="C58" s="516" t="s">
        <v>62</v>
      </c>
      <c r="D58" s="484" t="s">
        <v>63</v>
      </c>
      <c r="E58" s="486" t="s">
        <v>158</v>
      </c>
      <c r="F58" s="486" t="s">
        <v>619</v>
      </c>
      <c r="G58" s="510" t="s">
        <v>670</v>
      </c>
      <c r="H58" s="484">
        <v>4</v>
      </c>
      <c r="I58" s="484">
        <v>0</v>
      </c>
      <c r="J58" s="484">
        <v>0</v>
      </c>
      <c r="K58" s="482">
        <v>0</v>
      </c>
      <c r="L58" s="482">
        <v>0</v>
      </c>
      <c r="M58" s="482">
        <f t="shared" si="3"/>
        <v>0</v>
      </c>
      <c r="N58" s="484">
        <v>1</v>
      </c>
      <c r="O58" s="482">
        <v>1200.69</v>
      </c>
      <c r="P58" s="482">
        <v>1200.69</v>
      </c>
      <c r="Q58" s="482">
        <f t="shared" si="4"/>
        <v>0</v>
      </c>
    </row>
    <row r="59" spans="1:17" s="459" customFormat="1" ht="15.75" customHeight="1" x14ac:dyDescent="0.2">
      <c r="A59" s="484">
        <f t="shared" si="2"/>
        <v>51</v>
      </c>
      <c r="B59" s="484" t="s">
        <v>32</v>
      </c>
      <c r="C59" s="516" t="s">
        <v>62</v>
      </c>
      <c r="D59" s="484" t="s">
        <v>63</v>
      </c>
      <c r="E59" s="486" t="s">
        <v>158</v>
      </c>
      <c r="F59" s="486" t="s">
        <v>207</v>
      </c>
      <c r="G59" s="510" t="s">
        <v>670</v>
      </c>
      <c r="H59" s="484">
        <v>53</v>
      </c>
      <c r="I59" s="484">
        <v>45</v>
      </c>
      <c r="J59" s="484">
        <v>49</v>
      </c>
      <c r="K59" s="482">
        <v>34934.46</v>
      </c>
      <c r="L59" s="482">
        <v>34934.46</v>
      </c>
      <c r="M59" s="482">
        <f t="shared" si="3"/>
        <v>0</v>
      </c>
      <c r="N59" s="484">
        <v>37</v>
      </c>
      <c r="O59" s="482">
        <v>99653.31</v>
      </c>
      <c r="P59" s="482">
        <v>99653.31</v>
      </c>
      <c r="Q59" s="482">
        <f t="shared" si="4"/>
        <v>0</v>
      </c>
    </row>
    <row r="60" spans="1:17" s="459" customFormat="1" ht="15.75" customHeight="1" x14ac:dyDescent="0.2">
      <c r="A60" s="484">
        <f t="shared" si="2"/>
        <v>52</v>
      </c>
      <c r="B60" s="484" t="s">
        <v>91</v>
      </c>
      <c r="C60" s="516" t="s">
        <v>62</v>
      </c>
      <c r="D60" s="484" t="s">
        <v>63</v>
      </c>
      <c r="E60" s="486" t="s">
        <v>158</v>
      </c>
      <c r="F60" s="486" t="s">
        <v>208</v>
      </c>
      <c r="G60" s="510" t="s">
        <v>670</v>
      </c>
      <c r="H60" s="484">
        <v>19</v>
      </c>
      <c r="I60" s="484">
        <v>12</v>
      </c>
      <c r="J60" s="484">
        <v>12</v>
      </c>
      <c r="K60" s="482">
        <v>7911.39</v>
      </c>
      <c r="L60" s="482">
        <v>7911.39</v>
      </c>
      <c r="M60" s="482">
        <f t="shared" si="3"/>
        <v>0</v>
      </c>
      <c r="N60" s="484">
        <v>2</v>
      </c>
      <c r="O60" s="482">
        <v>17381.23</v>
      </c>
      <c r="P60" s="482">
        <v>17381.23</v>
      </c>
      <c r="Q60" s="482">
        <f t="shared" si="4"/>
        <v>0</v>
      </c>
    </row>
    <row r="61" spans="1:17" s="459" customFormat="1" ht="15.75" customHeight="1" x14ac:dyDescent="0.2">
      <c r="A61" s="484">
        <f t="shared" si="2"/>
        <v>53</v>
      </c>
      <c r="B61" s="484" t="s">
        <v>33</v>
      </c>
      <c r="C61" s="516" t="s">
        <v>62</v>
      </c>
      <c r="D61" s="484" t="s">
        <v>63</v>
      </c>
      <c r="E61" s="486" t="s">
        <v>158</v>
      </c>
      <c r="F61" s="486" t="s">
        <v>209</v>
      </c>
      <c r="G61" s="510" t="s">
        <v>670</v>
      </c>
      <c r="H61" s="484">
        <v>42</v>
      </c>
      <c r="I61" s="484">
        <v>32</v>
      </c>
      <c r="J61" s="484">
        <v>46</v>
      </c>
      <c r="K61" s="482">
        <v>71294.710000000006</v>
      </c>
      <c r="L61" s="482">
        <v>71294.710000000006</v>
      </c>
      <c r="M61" s="482">
        <f t="shared" si="3"/>
        <v>0</v>
      </c>
      <c r="N61" s="484">
        <v>42</v>
      </c>
      <c r="O61" s="482">
        <f>103361.98+16311.09</f>
        <v>119673.06999999999</v>
      </c>
      <c r="P61" s="482">
        <f>103361.98+16311.09</f>
        <v>119673.06999999999</v>
      </c>
      <c r="Q61" s="482">
        <f t="shared" si="4"/>
        <v>0</v>
      </c>
    </row>
    <row r="62" spans="1:17" s="459" customFormat="1" ht="15.75" customHeight="1" x14ac:dyDescent="0.2">
      <c r="A62" s="484">
        <f t="shared" si="2"/>
        <v>54</v>
      </c>
      <c r="B62" s="484" t="s">
        <v>153</v>
      </c>
      <c r="C62" s="516" t="s">
        <v>62</v>
      </c>
      <c r="D62" s="484" t="s">
        <v>63</v>
      </c>
      <c r="E62" s="486" t="s">
        <v>158</v>
      </c>
      <c r="F62" s="486" t="s">
        <v>210</v>
      </c>
      <c r="G62" s="510" t="s">
        <v>670</v>
      </c>
      <c r="H62" s="484">
        <v>0</v>
      </c>
      <c r="I62" s="484">
        <v>0</v>
      </c>
      <c r="J62" s="484">
        <v>0</v>
      </c>
      <c r="K62" s="482">
        <v>0</v>
      </c>
      <c r="L62" s="482">
        <v>0</v>
      </c>
      <c r="M62" s="482">
        <f t="shared" si="3"/>
        <v>0</v>
      </c>
      <c r="N62" s="484">
        <v>4</v>
      </c>
      <c r="O62" s="482">
        <f>17789.33+18202.46</f>
        <v>35991.79</v>
      </c>
      <c r="P62" s="482">
        <f>17789.33+18202.46</f>
        <v>35991.79</v>
      </c>
      <c r="Q62" s="482">
        <f t="shared" si="4"/>
        <v>0</v>
      </c>
    </row>
    <row r="63" spans="1:17" s="459" customFormat="1" ht="15.75" customHeight="1" x14ac:dyDescent="0.2">
      <c r="A63" s="484">
        <f t="shared" si="2"/>
        <v>55</v>
      </c>
      <c r="B63" s="484" t="s">
        <v>34</v>
      </c>
      <c r="C63" s="516" t="s">
        <v>62</v>
      </c>
      <c r="D63" s="484" t="s">
        <v>63</v>
      </c>
      <c r="E63" s="486" t="s">
        <v>158</v>
      </c>
      <c r="F63" s="486" t="s">
        <v>211</v>
      </c>
      <c r="G63" s="510" t="s">
        <v>670</v>
      </c>
      <c r="H63" s="484">
        <v>23</v>
      </c>
      <c r="I63" s="484">
        <v>13</v>
      </c>
      <c r="J63" s="484">
        <v>15</v>
      </c>
      <c r="K63" s="482">
        <v>7566.68</v>
      </c>
      <c r="L63" s="482">
        <v>7566.68</v>
      </c>
      <c r="M63" s="482">
        <f t="shared" si="3"/>
        <v>0</v>
      </c>
      <c r="N63" s="484">
        <v>26</v>
      </c>
      <c r="O63" s="482">
        <v>106055.76</v>
      </c>
      <c r="P63" s="482">
        <v>106055.76</v>
      </c>
      <c r="Q63" s="482">
        <f t="shared" si="4"/>
        <v>0</v>
      </c>
    </row>
    <row r="64" spans="1:17" s="459" customFormat="1" ht="15.75" customHeight="1" x14ac:dyDescent="0.2">
      <c r="A64" s="484">
        <f t="shared" si="2"/>
        <v>56</v>
      </c>
      <c r="B64" s="484" t="s">
        <v>154</v>
      </c>
      <c r="C64" s="516" t="s">
        <v>62</v>
      </c>
      <c r="D64" s="484" t="s">
        <v>63</v>
      </c>
      <c r="E64" s="486" t="s">
        <v>158</v>
      </c>
      <c r="F64" s="486" t="s">
        <v>212</v>
      </c>
      <c r="G64" s="510" t="s">
        <v>670</v>
      </c>
      <c r="H64" s="484">
        <v>6</v>
      </c>
      <c r="I64" s="484">
        <v>2</v>
      </c>
      <c r="J64" s="484">
        <v>2</v>
      </c>
      <c r="K64" s="482">
        <f>2172.77+3171.6</f>
        <v>5344.37</v>
      </c>
      <c r="L64" s="482">
        <f>2172.77+3171.6</f>
        <v>5344.37</v>
      </c>
      <c r="M64" s="482">
        <f t="shared" si="3"/>
        <v>0</v>
      </c>
      <c r="N64" s="484">
        <v>2</v>
      </c>
      <c r="O64" s="482">
        <v>6845.37</v>
      </c>
      <c r="P64" s="482">
        <v>6845.37</v>
      </c>
      <c r="Q64" s="482">
        <f t="shared" si="4"/>
        <v>0</v>
      </c>
    </row>
    <row r="65" spans="1:17" s="459" customFormat="1" ht="15.75" customHeight="1" x14ac:dyDescent="0.2">
      <c r="A65" s="484">
        <f t="shared" si="2"/>
        <v>57</v>
      </c>
      <c r="B65" s="484" t="s">
        <v>109</v>
      </c>
      <c r="C65" s="516" t="s">
        <v>62</v>
      </c>
      <c r="D65" s="484" t="s">
        <v>63</v>
      </c>
      <c r="E65" s="486" t="s">
        <v>158</v>
      </c>
      <c r="F65" s="486" t="s">
        <v>213</v>
      </c>
      <c r="G65" s="510" t="s">
        <v>670</v>
      </c>
      <c r="H65" s="484">
        <v>0</v>
      </c>
      <c r="I65" s="484">
        <v>0</v>
      </c>
      <c r="J65" s="484">
        <v>0</v>
      </c>
      <c r="K65" s="482">
        <v>0</v>
      </c>
      <c r="L65" s="482">
        <v>0</v>
      </c>
      <c r="M65" s="482">
        <f t="shared" si="3"/>
        <v>0</v>
      </c>
      <c r="N65" s="484">
        <v>2</v>
      </c>
      <c r="O65" s="482">
        <v>3812.68</v>
      </c>
      <c r="P65" s="482">
        <v>3812.68</v>
      </c>
      <c r="Q65" s="482">
        <f t="shared" si="4"/>
        <v>0</v>
      </c>
    </row>
    <row r="66" spans="1:17" s="459" customFormat="1" ht="15.75" customHeight="1" x14ac:dyDescent="0.2">
      <c r="A66" s="484">
        <f t="shared" si="2"/>
        <v>58</v>
      </c>
      <c r="B66" s="484" t="s">
        <v>110</v>
      </c>
      <c r="C66" s="516" t="s">
        <v>62</v>
      </c>
      <c r="D66" s="484" t="s">
        <v>63</v>
      </c>
      <c r="E66" s="486" t="s">
        <v>158</v>
      </c>
      <c r="F66" s="486" t="s">
        <v>214</v>
      </c>
      <c r="G66" s="510" t="s">
        <v>670</v>
      </c>
      <c r="H66" s="484">
        <v>0</v>
      </c>
      <c r="I66" s="484">
        <v>0</v>
      </c>
      <c r="J66" s="484">
        <v>0</v>
      </c>
      <c r="K66" s="482">
        <v>0</v>
      </c>
      <c r="L66" s="482">
        <v>0</v>
      </c>
      <c r="M66" s="482">
        <f t="shared" si="3"/>
        <v>0</v>
      </c>
      <c r="N66" s="484">
        <v>1</v>
      </c>
      <c r="O66" s="482">
        <v>12489.14</v>
      </c>
      <c r="P66" s="482">
        <v>12489.14</v>
      </c>
      <c r="Q66" s="482">
        <f t="shared" si="4"/>
        <v>0</v>
      </c>
    </row>
    <row r="67" spans="1:17" s="459" customFormat="1" ht="15.75" customHeight="1" x14ac:dyDescent="0.2">
      <c r="A67" s="484">
        <f t="shared" si="2"/>
        <v>59</v>
      </c>
      <c r="B67" s="484" t="s">
        <v>111</v>
      </c>
      <c r="C67" s="516" t="s">
        <v>67</v>
      </c>
      <c r="D67" s="484" t="s">
        <v>569</v>
      </c>
      <c r="E67" s="486" t="s">
        <v>63</v>
      </c>
      <c r="F67" s="486" t="s">
        <v>139</v>
      </c>
      <c r="G67" s="510" t="s">
        <v>670</v>
      </c>
      <c r="H67" s="484">
        <v>1</v>
      </c>
      <c r="I67" s="484">
        <v>0</v>
      </c>
      <c r="J67" s="484">
        <v>0</v>
      </c>
      <c r="K67" s="482">
        <v>0</v>
      </c>
      <c r="L67" s="482">
        <v>0</v>
      </c>
      <c r="M67" s="482">
        <f t="shared" si="3"/>
        <v>0</v>
      </c>
      <c r="N67" s="484">
        <v>0</v>
      </c>
      <c r="O67" s="482">
        <v>0</v>
      </c>
      <c r="P67" s="482">
        <v>0</v>
      </c>
      <c r="Q67" s="482">
        <f t="shared" si="4"/>
        <v>0</v>
      </c>
    </row>
    <row r="68" spans="1:17" s="459" customFormat="1" ht="15.75" customHeight="1" x14ac:dyDescent="0.2">
      <c r="A68" s="484">
        <f t="shared" si="2"/>
        <v>60</v>
      </c>
      <c r="B68" s="484" t="s">
        <v>92</v>
      </c>
      <c r="C68" s="516" t="s">
        <v>62</v>
      </c>
      <c r="D68" s="484" t="s">
        <v>63</v>
      </c>
      <c r="E68" s="486" t="s">
        <v>158</v>
      </c>
      <c r="F68" s="486" t="s">
        <v>215</v>
      </c>
      <c r="G68" s="510" t="s">
        <v>670</v>
      </c>
      <c r="H68" s="484">
        <v>40</v>
      </c>
      <c r="I68" s="484">
        <v>33</v>
      </c>
      <c r="J68" s="484">
        <v>42</v>
      </c>
      <c r="K68" s="482">
        <v>55173.48</v>
      </c>
      <c r="L68" s="482">
        <v>55173.48</v>
      </c>
      <c r="M68" s="482">
        <f t="shared" si="3"/>
        <v>0</v>
      </c>
      <c r="N68" s="484">
        <v>13</v>
      </c>
      <c r="O68" s="482">
        <v>47264.21</v>
      </c>
      <c r="P68" s="482">
        <v>47264.21</v>
      </c>
      <c r="Q68" s="482">
        <f t="shared" si="4"/>
        <v>0</v>
      </c>
    </row>
    <row r="69" spans="1:17" s="459" customFormat="1" ht="15.75" customHeight="1" x14ac:dyDescent="0.2">
      <c r="A69" s="484">
        <f t="shared" si="2"/>
        <v>61</v>
      </c>
      <c r="B69" s="484" t="s">
        <v>216</v>
      </c>
      <c r="C69" s="516" t="s">
        <v>67</v>
      </c>
      <c r="D69" s="484" t="s">
        <v>436</v>
      </c>
      <c r="E69" s="486" t="s">
        <v>158</v>
      </c>
      <c r="F69" s="486" t="s">
        <v>218</v>
      </c>
      <c r="G69" s="510" t="s">
        <v>670</v>
      </c>
      <c r="H69" s="484">
        <v>15</v>
      </c>
      <c r="I69" s="484">
        <v>11</v>
      </c>
      <c r="J69" s="484">
        <v>11</v>
      </c>
      <c r="K69" s="482">
        <v>8808.74</v>
      </c>
      <c r="L69" s="482">
        <v>8808.74</v>
      </c>
      <c r="M69" s="482">
        <f t="shared" si="3"/>
        <v>0</v>
      </c>
      <c r="N69" s="484">
        <v>0</v>
      </c>
      <c r="O69" s="482">
        <v>0</v>
      </c>
      <c r="P69" s="482">
        <v>0</v>
      </c>
      <c r="Q69" s="482">
        <f t="shared" si="4"/>
        <v>0</v>
      </c>
    </row>
    <row r="70" spans="1:17" s="459" customFormat="1" ht="15.75" customHeight="1" x14ac:dyDescent="0.2">
      <c r="A70" s="484">
        <f t="shared" si="2"/>
        <v>62</v>
      </c>
      <c r="B70" s="484" t="s">
        <v>35</v>
      </c>
      <c r="C70" s="516" t="s">
        <v>62</v>
      </c>
      <c r="D70" s="484" t="s">
        <v>63</v>
      </c>
      <c r="E70" s="486" t="s">
        <v>690</v>
      </c>
      <c r="F70" s="486" t="s">
        <v>220</v>
      </c>
      <c r="G70" s="510" t="s">
        <v>670</v>
      </c>
      <c r="H70" s="484">
        <v>57</v>
      </c>
      <c r="I70" s="484">
        <v>55</v>
      </c>
      <c r="J70" s="484">
        <v>62</v>
      </c>
      <c r="K70" s="482">
        <f>82511.28+3166.34</f>
        <v>85677.62</v>
      </c>
      <c r="L70" s="482">
        <f>82511.28+3166.34</f>
        <v>85677.62</v>
      </c>
      <c r="M70" s="482">
        <f t="shared" si="3"/>
        <v>0</v>
      </c>
      <c r="N70" s="484">
        <v>34</v>
      </c>
      <c r="O70" s="482">
        <v>85576.88</v>
      </c>
      <c r="P70" s="482">
        <v>85576.88</v>
      </c>
      <c r="Q70" s="482">
        <f t="shared" si="4"/>
        <v>0</v>
      </c>
    </row>
    <row r="71" spans="1:17" s="459" customFormat="1" ht="15.75" customHeight="1" x14ac:dyDescent="0.2">
      <c r="A71" s="484">
        <f t="shared" si="2"/>
        <v>63</v>
      </c>
      <c r="B71" s="484" t="s">
        <v>114</v>
      </c>
      <c r="C71" s="516" t="s">
        <v>62</v>
      </c>
      <c r="D71" s="484" t="s">
        <v>63</v>
      </c>
      <c r="E71" s="486" t="s">
        <v>691</v>
      </c>
      <c r="F71" s="486" t="s">
        <v>221</v>
      </c>
      <c r="G71" s="510" t="s">
        <v>670</v>
      </c>
      <c r="H71" s="484">
        <v>16</v>
      </c>
      <c r="I71" s="484">
        <v>11</v>
      </c>
      <c r="J71" s="484">
        <v>11</v>
      </c>
      <c r="K71" s="482">
        <v>10059.370000000001</v>
      </c>
      <c r="L71" s="482">
        <v>3176.06</v>
      </c>
      <c r="M71" s="482">
        <f t="shared" si="3"/>
        <v>6883.3100000000013</v>
      </c>
      <c r="N71" s="484">
        <v>1</v>
      </c>
      <c r="O71" s="482">
        <v>12547.55</v>
      </c>
      <c r="P71" s="482">
        <f>1108.48+2023.07</f>
        <v>3131.55</v>
      </c>
      <c r="Q71" s="482">
        <f t="shared" si="4"/>
        <v>9416</v>
      </c>
    </row>
    <row r="72" spans="1:17" s="459" customFormat="1" ht="15.75" customHeight="1" x14ac:dyDescent="0.2">
      <c r="A72" s="484">
        <f t="shared" si="2"/>
        <v>64</v>
      </c>
      <c r="B72" s="484" t="s">
        <v>222</v>
      </c>
      <c r="C72" s="516" t="s">
        <v>64</v>
      </c>
      <c r="D72" s="484" t="s">
        <v>486</v>
      </c>
      <c r="E72" s="486" t="s">
        <v>158</v>
      </c>
      <c r="F72" s="486" t="s">
        <v>224</v>
      </c>
      <c r="G72" s="510" t="s">
        <v>670</v>
      </c>
      <c r="H72" s="484">
        <v>22</v>
      </c>
      <c r="I72" s="484">
        <v>18</v>
      </c>
      <c r="J72" s="484">
        <v>22</v>
      </c>
      <c r="K72" s="482">
        <v>31179.34</v>
      </c>
      <c r="L72" s="482">
        <v>31179.34</v>
      </c>
      <c r="M72" s="482">
        <f t="shared" si="3"/>
        <v>0</v>
      </c>
      <c r="N72" s="484">
        <v>0</v>
      </c>
      <c r="O72" s="482">
        <v>0</v>
      </c>
      <c r="P72" s="482">
        <v>0</v>
      </c>
      <c r="Q72" s="482">
        <f t="shared" si="4"/>
        <v>0</v>
      </c>
    </row>
    <row r="73" spans="1:17" s="459" customFormat="1" ht="15.75" customHeight="1" x14ac:dyDescent="0.2">
      <c r="A73" s="484">
        <f t="shared" si="2"/>
        <v>65</v>
      </c>
      <c r="B73" s="484" t="s">
        <v>93</v>
      </c>
      <c r="C73" s="516" t="s">
        <v>62</v>
      </c>
      <c r="D73" s="484" t="s">
        <v>63</v>
      </c>
      <c r="E73" s="486" t="s">
        <v>158</v>
      </c>
      <c r="F73" s="486" t="s">
        <v>225</v>
      </c>
      <c r="G73" s="510" t="s">
        <v>670</v>
      </c>
      <c r="H73" s="484">
        <v>14</v>
      </c>
      <c r="I73" s="484">
        <v>6</v>
      </c>
      <c r="J73" s="484">
        <v>7</v>
      </c>
      <c r="K73" s="482">
        <v>11798.3</v>
      </c>
      <c r="L73" s="482">
        <v>11798.3</v>
      </c>
      <c r="M73" s="482">
        <f t="shared" ref="M73:M104" si="5">K73-L73</f>
        <v>0</v>
      </c>
      <c r="N73" s="484">
        <v>7</v>
      </c>
      <c r="O73" s="482">
        <v>10672.71</v>
      </c>
      <c r="P73" s="482">
        <v>10672.71</v>
      </c>
      <c r="Q73" s="482">
        <f t="shared" ref="Q73:Q104" si="6">O73-P73</f>
        <v>0</v>
      </c>
    </row>
    <row r="74" spans="1:17" s="459" customFormat="1" ht="15.75" customHeight="1" x14ac:dyDescent="0.2">
      <c r="A74" s="484">
        <f t="shared" ref="A74:A137" si="7">A73+1</f>
        <v>66</v>
      </c>
      <c r="B74" s="484" t="s">
        <v>226</v>
      </c>
      <c r="C74" s="516" t="s">
        <v>62</v>
      </c>
      <c r="D74" s="484"/>
      <c r="E74" s="486" t="s">
        <v>158</v>
      </c>
      <c r="F74" s="486" t="s">
        <v>227</v>
      </c>
      <c r="G74" s="510" t="s">
        <v>670</v>
      </c>
      <c r="H74" s="484">
        <v>41</v>
      </c>
      <c r="I74" s="484">
        <v>17</v>
      </c>
      <c r="J74" s="484">
        <v>20</v>
      </c>
      <c r="K74" s="482">
        <v>59599.24</v>
      </c>
      <c r="L74" s="482">
        <f>59599.24-4173.36</f>
        <v>55425.88</v>
      </c>
      <c r="M74" s="482">
        <f t="shared" si="5"/>
        <v>4173.3600000000006</v>
      </c>
      <c r="N74" s="484">
        <v>0</v>
      </c>
      <c r="O74" s="482">
        <v>0</v>
      </c>
      <c r="P74" s="482">
        <v>0</v>
      </c>
      <c r="Q74" s="482">
        <f t="shared" si="6"/>
        <v>0</v>
      </c>
    </row>
    <row r="75" spans="1:17" s="459" customFormat="1" ht="15.75" customHeight="1" x14ac:dyDescent="0.2">
      <c r="A75" s="484">
        <f t="shared" si="7"/>
        <v>67</v>
      </c>
      <c r="B75" s="484" t="s">
        <v>228</v>
      </c>
      <c r="C75" s="516" t="s">
        <v>62</v>
      </c>
      <c r="D75" s="484"/>
      <c r="E75" s="486" t="s">
        <v>692</v>
      </c>
      <c r="F75" s="486" t="s">
        <v>230</v>
      </c>
      <c r="G75" s="510" t="s">
        <v>670</v>
      </c>
      <c r="H75" s="484">
        <v>44</v>
      </c>
      <c r="I75" s="484">
        <v>23</v>
      </c>
      <c r="J75" s="484">
        <v>29</v>
      </c>
      <c r="K75" s="482">
        <v>34002.400000000001</v>
      </c>
      <c r="L75" s="482">
        <v>34002.400000000001</v>
      </c>
      <c r="M75" s="482">
        <f t="shared" si="5"/>
        <v>0</v>
      </c>
      <c r="N75" s="484">
        <v>0</v>
      </c>
      <c r="O75" s="482">
        <v>0</v>
      </c>
      <c r="P75" s="482">
        <v>0</v>
      </c>
      <c r="Q75" s="482">
        <f t="shared" si="6"/>
        <v>0</v>
      </c>
    </row>
    <row r="76" spans="1:17" s="459" customFormat="1" ht="15.75" customHeight="1" x14ac:dyDescent="0.2">
      <c r="A76" s="484">
        <f t="shared" si="7"/>
        <v>68</v>
      </c>
      <c r="B76" s="484" t="s">
        <v>116</v>
      </c>
      <c r="C76" s="516" t="s">
        <v>62</v>
      </c>
      <c r="D76" s="484" t="s">
        <v>63</v>
      </c>
      <c r="E76" s="486" t="s">
        <v>158</v>
      </c>
      <c r="F76" s="486" t="s">
        <v>231</v>
      </c>
      <c r="G76" s="510" t="s">
        <v>670</v>
      </c>
      <c r="H76" s="484">
        <v>38</v>
      </c>
      <c r="I76" s="484">
        <v>30</v>
      </c>
      <c r="J76" s="484">
        <v>36</v>
      </c>
      <c r="K76" s="482">
        <v>42164.54</v>
      </c>
      <c r="L76" s="482">
        <v>42164.54</v>
      </c>
      <c r="M76" s="482">
        <f t="shared" si="5"/>
        <v>0</v>
      </c>
      <c r="N76" s="484">
        <v>3</v>
      </c>
      <c r="O76" s="482">
        <v>5058.49</v>
      </c>
      <c r="P76" s="482">
        <v>5058.49</v>
      </c>
      <c r="Q76" s="482">
        <f t="shared" si="6"/>
        <v>0</v>
      </c>
    </row>
    <row r="77" spans="1:17" s="459" customFormat="1" ht="15.75" customHeight="1" x14ac:dyDescent="0.2">
      <c r="A77" s="484">
        <f t="shared" si="7"/>
        <v>69</v>
      </c>
      <c r="B77" s="484" t="s">
        <v>232</v>
      </c>
      <c r="C77" s="516" t="s">
        <v>62</v>
      </c>
      <c r="D77" s="484"/>
      <c r="E77" s="486" t="s">
        <v>158</v>
      </c>
      <c r="F77" s="486" t="s">
        <v>233</v>
      </c>
      <c r="G77" s="510" t="s">
        <v>670</v>
      </c>
      <c r="H77" s="484">
        <v>18</v>
      </c>
      <c r="I77" s="484">
        <v>14</v>
      </c>
      <c r="J77" s="484">
        <v>15</v>
      </c>
      <c r="K77" s="482">
        <v>9716.0300000000007</v>
      </c>
      <c r="L77" s="482">
        <v>9716.0300000000007</v>
      </c>
      <c r="M77" s="482">
        <f t="shared" si="5"/>
        <v>0</v>
      </c>
      <c r="N77" s="484">
        <v>0</v>
      </c>
      <c r="O77" s="482">
        <v>0</v>
      </c>
      <c r="P77" s="482">
        <v>0</v>
      </c>
      <c r="Q77" s="482">
        <f t="shared" si="6"/>
        <v>0</v>
      </c>
    </row>
    <row r="78" spans="1:17" s="459" customFormat="1" ht="15.75" customHeight="1" x14ac:dyDescent="0.2">
      <c r="A78" s="484">
        <f t="shared" si="7"/>
        <v>70</v>
      </c>
      <c r="B78" s="484" t="s">
        <v>487</v>
      </c>
      <c r="C78" s="516" t="s">
        <v>62</v>
      </c>
      <c r="D78" s="484"/>
      <c r="E78" s="486" t="s">
        <v>158</v>
      </c>
      <c r="F78" s="486" t="s">
        <v>488</v>
      </c>
      <c r="G78" s="510" t="s">
        <v>670</v>
      </c>
      <c r="H78" s="484">
        <v>9</v>
      </c>
      <c r="I78" s="484">
        <v>3</v>
      </c>
      <c r="J78" s="484">
        <v>3</v>
      </c>
      <c r="K78" s="482">
        <v>1999.87</v>
      </c>
      <c r="L78" s="482">
        <v>1999.87</v>
      </c>
      <c r="M78" s="482">
        <f t="shared" si="5"/>
        <v>0</v>
      </c>
      <c r="N78" s="484">
        <v>0</v>
      </c>
      <c r="O78" s="482">
        <v>0</v>
      </c>
      <c r="P78" s="482">
        <v>0</v>
      </c>
      <c r="Q78" s="482">
        <f t="shared" si="6"/>
        <v>0</v>
      </c>
    </row>
    <row r="79" spans="1:17" s="459" customFormat="1" ht="15.75" customHeight="1" x14ac:dyDescent="0.2">
      <c r="A79" s="484">
        <f t="shared" si="7"/>
        <v>71</v>
      </c>
      <c r="B79" s="484" t="s">
        <v>357</v>
      </c>
      <c r="C79" s="516" t="s">
        <v>64</v>
      </c>
      <c r="D79" s="484" t="s">
        <v>585</v>
      </c>
      <c r="E79" s="486" t="s">
        <v>158</v>
      </c>
      <c r="F79" s="486" t="s">
        <v>573</v>
      </c>
      <c r="G79" s="510" t="s">
        <v>670</v>
      </c>
      <c r="H79" s="484">
        <v>6</v>
      </c>
      <c r="I79" s="484">
        <v>0</v>
      </c>
      <c r="J79" s="484">
        <v>0</v>
      </c>
      <c r="K79" s="482">
        <v>0</v>
      </c>
      <c r="L79" s="482">
        <v>0</v>
      </c>
      <c r="M79" s="482">
        <f t="shared" si="5"/>
        <v>0</v>
      </c>
      <c r="N79" s="484">
        <v>1</v>
      </c>
      <c r="O79" s="482">
        <v>6753.85</v>
      </c>
      <c r="P79" s="482">
        <v>6753.85</v>
      </c>
      <c r="Q79" s="482">
        <f t="shared" si="6"/>
        <v>0</v>
      </c>
    </row>
    <row r="80" spans="1:17" s="459" customFormat="1" ht="15.75" customHeight="1" x14ac:dyDescent="0.2">
      <c r="A80" s="484">
        <f t="shared" si="7"/>
        <v>72</v>
      </c>
      <c r="B80" s="484" t="s">
        <v>36</v>
      </c>
      <c r="C80" s="516" t="s">
        <v>62</v>
      </c>
      <c r="D80" s="484" t="s">
        <v>63</v>
      </c>
      <c r="E80" s="486" t="s">
        <v>158</v>
      </c>
      <c r="F80" s="486" t="s">
        <v>465</v>
      </c>
      <c r="G80" s="510" t="s">
        <v>670</v>
      </c>
      <c r="H80" s="484">
        <v>8</v>
      </c>
      <c r="I80" s="484">
        <v>3</v>
      </c>
      <c r="J80" s="484">
        <v>3</v>
      </c>
      <c r="K80" s="482">
        <f>352.4+616.7</f>
        <v>969.1</v>
      </c>
      <c r="L80" s="482">
        <f>352.4+616.7</f>
        <v>969.1</v>
      </c>
      <c r="M80" s="482">
        <f t="shared" si="5"/>
        <v>0</v>
      </c>
      <c r="N80" s="484">
        <v>6</v>
      </c>
      <c r="O80" s="482">
        <v>17817.939999999999</v>
      </c>
      <c r="P80" s="482">
        <v>17817.939999999999</v>
      </c>
      <c r="Q80" s="482">
        <f t="shared" si="6"/>
        <v>0</v>
      </c>
    </row>
    <row r="81" spans="1:17" s="459" customFormat="1" ht="15.75" customHeight="1" x14ac:dyDescent="0.2">
      <c r="A81" s="484">
        <f t="shared" si="7"/>
        <v>73</v>
      </c>
      <c r="B81" s="484" t="s">
        <v>658</v>
      </c>
      <c r="C81" s="516" t="s">
        <v>62</v>
      </c>
      <c r="D81" s="484"/>
      <c r="E81" s="486" t="s">
        <v>158</v>
      </c>
      <c r="F81" s="486" t="s">
        <v>659</v>
      </c>
      <c r="G81" s="510" t="s">
        <v>670</v>
      </c>
      <c r="H81" s="484">
        <v>13</v>
      </c>
      <c r="I81" s="484">
        <v>0</v>
      </c>
      <c r="J81" s="484">
        <v>0</v>
      </c>
      <c r="K81" s="482">
        <v>0</v>
      </c>
      <c r="L81" s="482">
        <v>0</v>
      </c>
      <c r="M81" s="482">
        <f t="shared" si="5"/>
        <v>0</v>
      </c>
      <c r="N81" s="484">
        <v>0</v>
      </c>
      <c r="O81" s="482">
        <v>0</v>
      </c>
      <c r="P81" s="482">
        <v>0</v>
      </c>
      <c r="Q81" s="482">
        <f t="shared" si="6"/>
        <v>0</v>
      </c>
    </row>
    <row r="82" spans="1:17" s="459" customFormat="1" ht="15.75" customHeight="1" x14ac:dyDescent="0.2">
      <c r="A82" s="484">
        <f t="shared" si="7"/>
        <v>74</v>
      </c>
      <c r="B82" s="484" t="s">
        <v>37</v>
      </c>
      <c r="C82" s="516" t="s">
        <v>62</v>
      </c>
      <c r="D82" s="484" t="s">
        <v>63</v>
      </c>
      <c r="E82" s="486" t="s">
        <v>158</v>
      </c>
      <c r="F82" s="486" t="s">
        <v>234</v>
      </c>
      <c r="G82" s="510" t="s">
        <v>670</v>
      </c>
      <c r="H82" s="484">
        <v>17</v>
      </c>
      <c r="I82" s="484">
        <v>9</v>
      </c>
      <c r="J82" s="484">
        <v>9</v>
      </c>
      <c r="K82" s="482">
        <v>11914.75</v>
      </c>
      <c r="L82" s="482">
        <v>11914.75</v>
      </c>
      <c r="M82" s="482">
        <f t="shared" si="5"/>
        <v>0</v>
      </c>
      <c r="N82" s="484">
        <v>3</v>
      </c>
      <c r="O82" s="482">
        <v>19390.900000000001</v>
      </c>
      <c r="P82" s="482">
        <v>19390.900000000001</v>
      </c>
      <c r="Q82" s="482">
        <f t="shared" si="6"/>
        <v>0</v>
      </c>
    </row>
    <row r="83" spans="1:17" s="459" customFormat="1" ht="15.75" customHeight="1" x14ac:dyDescent="0.2">
      <c r="A83" s="484">
        <f t="shared" si="7"/>
        <v>75</v>
      </c>
      <c r="B83" s="484" t="s">
        <v>235</v>
      </c>
      <c r="C83" s="516" t="s">
        <v>62</v>
      </c>
      <c r="D83" s="484"/>
      <c r="E83" s="486" t="s">
        <v>693</v>
      </c>
      <c r="F83" s="486" t="s">
        <v>237</v>
      </c>
      <c r="G83" s="510" t="s">
        <v>670</v>
      </c>
      <c r="H83" s="484">
        <v>14</v>
      </c>
      <c r="I83" s="484">
        <v>8</v>
      </c>
      <c r="J83" s="484">
        <v>11</v>
      </c>
      <c r="K83" s="482">
        <v>23840.49</v>
      </c>
      <c r="L83" s="482">
        <f>21167.35+1336.57</f>
        <v>22503.919999999998</v>
      </c>
      <c r="M83" s="482">
        <f t="shared" si="5"/>
        <v>1336.5700000000033</v>
      </c>
      <c r="N83" s="484">
        <v>0</v>
      </c>
      <c r="O83" s="482">
        <v>0</v>
      </c>
      <c r="P83" s="482">
        <v>0</v>
      </c>
      <c r="Q83" s="482">
        <f t="shared" si="6"/>
        <v>0</v>
      </c>
    </row>
    <row r="84" spans="1:17" s="459" customFormat="1" ht="15.75" customHeight="1" x14ac:dyDescent="0.2">
      <c r="A84" s="484">
        <f t="shared" si="7"/>
        <v>76</v>
      </c>
      <c r="B84" s="484" t="s">
        <v>238</v>
      </c>
      <c r="C84" s="516" t="s">
        <v>62</v>
      </c>
      <c r="D84" s="484"/>
      <c r="E84" s="486" t="s">
        <v>158</v>
      </c>
      <c r="F84" s="486" t="s">
        <v>240</v>
      </c>
      <c r="G84" s="510" t="s">
        <v>670</v>
      </c>
      <c r="H84" s="484">
        <v>15</v>
      </c>
      <c r="I84" s="484">
        <v>9</v>
      </c>
      <c r="J84" s="484">
        <v>10</v>
      </c>
      <c r="K84" s="482">
        <v>9410.77</v>
      </c>
      <c r="L84" s="482">
        <v>9410.77</v>
      </c>
      <c r="M84" s="482">
        <f t="shared" si="5"/>
        <v>0</v>
      </c>
      <c r="N84" s="484">
        <v>0</v>
      </c>
      <c r="O84" s="482">
        <v>0</v>
      </c>
      <c r="P84" s="482">
        <v>0</v>
      </c>
      <c r="Q84" s="482">
        <f t="shared" si="6"/>
        <v>0</v>
      </c>
    </row>
    <row r="85" spans="1:17" s="459" customFormat="1" ht="15.75" customHeight="1" x14ac:dyDescent="0.2">
      <c r="A85" s="484">
        <f t="shared" si="7"/>
        <v>77</v>
      </c>
      <c r="B85" s="484" t="s">
        <v>587</v>
      </c>
      <c r="C85" s="516" t="s">
        <v>62</v>
      </c>
      <c r="D85" s="484" t="s">
        <v>63</v>
      </c>
      <c r="E85" s="486" t="s">
        <v>158</v>
      </c>
      <c r="F85" s="486" t="s">
        <v>609</v>
      </c>
      <c r="G85" s="510" t="s">
        <v>670</v>
      </c>
      <c r="H85" s="484">
        <v>0</v>
      </c>
      <c r="I85" s="484">
        <v>0</v>
      </c>
      <c r="J85" s="484">
        <v>0</v>
      </c>
      <c r="K85" s="482">
        <v>0</v>
      </c>
      <c r="L85" s="482">
        <v>0</v>
      </c>
      <c r="M85" s="482">
        <f t="shared" si="5"/>
        <v>0</v>
      </c>
      <c r="N85" s="484">
        <v>1</v>
      </c>
      <c r="O85" s="482">
        <v>3658.79</v>
      </c>
      <c r="P85" s="482">
        <v>3658.79</v>
      </c>
      <c r="Q85" s="482">
        <f t="shared" si="6"/>
        <v>0</v>
      </c>
    </row>
    <row r="86" spans="1:17" s="459" customFormat="1" ht="15.75" customHeight="1" x14ac:dyDescent="0.2">
      <c r="A86" s="484">
        <f t="shared" si="7"/>
        <v>78</v>
      </c>
      <c r="B86" s="484" t="s">
        <v>241</v>
      </c>
      <c r="C86" s="516" t="s">
        <v>62</v>
      </c>
      <c r="D86" s="484"/>
      <c r="E86" s="486" t="s">
        <v>158</v>
      </c>
      <c r="F86" s="486" t="s">
        <v>243</v>
      </c>
      <c r="G86" s="510" t="s">
        <v>670</v>
      </c>
      <c r="H86" s="484">
        <v>9</v>
      </c>
      <c r="I86" s="484">
        <v>9</v>
      </c>
      <c r="J86" s="484">
        <v>13</v>
      </c>
      <c r="K86" s="482">
        <v>26884.58</v>
      </c>
      <c r="L86" s="482">
        <v>26884.58</v>
      </c>
      <c r="M86" s="482">
        <f t="shared" si="5"/>
        <v>0</v>
      </c>
      <c r="N86" s="484">
        <v>0</v>
      </c>
      <c r="O86" s="482">
        <v>0</v>
      </c>
      <c r="P86" s="482">
        <v>0</v>
      </c>
      <c r="Q86" s="482">
        <f t="shared" si="6"/>
        <v>0</v>
      </c>
    </row>
    <row r="87" spans="1:17" s="459" customFormat="1" ht="15.75" customHeight="1" x14ac:dyDescent="0.2">
      <c r="A87" s="484">
        <f t="shared" si="7"/>
        <v>79</v>
      </c>
      <c r="B87" s="484" t="s">
        <v>38</v>
      </c>
      <c r="C87" s="516" t="s">
        <v>62</v>
      </c>
      <c r="D87" s="484" t="s">
        <v>63</v>
      </c>
      <c r="E87" s="486" t="s">
        <v>698</v>
      </c>
      <c r="F87" s="486" t="s">
        <v>245</v>
      </c>
      <c r="G87" s="510" t="s">
        <v>670</v>
      </c>
      <c r="H87" s="484">
        <v>110</v>
      </c>
      <c r="I87" s="484">
        <v>97</v>
      </c>
      <c r="J87" s="484">
        <v>152</v>
      </c>
      <c r="K87" s="482">
        <v>177826.79</v>
      </c>
      <c r="L87" s="482">
        <v>177826.79</v>
      </c>
      <c r="M87" s="482">
        <f t="shared" si="5"/>
        <v>0</v>
      </c>
      <c r="N87" s="484">
        <v>93</v>
      </c>
      <c r="O87" s="482">
        <v>272452.59000000003</v>
      </c>
      <c r="P87" s="482">
        <v>272452.59000000003</v>
      </c>
      <c r="Q87" s="482">
        <f t="shared" si="6"/>
        <v>0</v>
      </c>
    </row>
    <row r="88" spans="1:17" s="459" customFormat="1" ht="15.75" customHeight="1" x14ac:dyDescent="0.2">
      <c r="A88" s="484">
        <f t="shared" si="7"/>
        <v>80</v>
      </c>
      <c r="B88" s="484" t="s">
        <v>246</v>
      </c>
      <c r="C88" s="516" t="s">
        <v>62</v>
      </c>
      <c r="D88" s="484"/>
      <c r="E88" s="486" t="s">
        <v>158</v>
      </c>
      <c r="F88" s="486" t="s">
        <v>248</v>
      </c>
      <c r="G88" s="510" t="s">
        <v>670</v>
      </c>
      <c r="H88" s="484">
        <v>47</v>
      </c>
      <c r="I88" s="484">
        <v>34</v>
      </c>
      <c r="J88" s="484">
        <v>40</v>
      </c>
      <c r="K88" s="482">
        <v>26416.06</v>
      </c>
      <c r="L88" s="482">
        <f>15436.02+1838.54</f>
        <v>17274.560000000001</v>
      </c>
      <c r="M88" s="482">
        <f t="shared" si="5"/>
        <v>9141.5</v>
      </c>
      <c r="N88" s="484">
        <v>0</v>
      </c>
      <c r="O88" s="482">
        <v>0</v>
      </c>
      <c r="P88" s="482">
        <v>0</v>
      </c>
      <c r="Q88" s="482">
        <f t="shared" si="6"/>
        <v>0</v>
      </c>
    </row>
    <row r="89" spans="1:17" s="459" customFormat="1" ht="15.75" customHeight="1" x14ac:dyDescent="0.2">
      <c r="A89" s="484">
        <f t="shared" si="7"/>
        <v>81</v>
      </c>
      <c r="B89" s="484" t="s">
        <v>39</v>
      </c>
      <c r="C89" s="516" t="s">
        <v>62</v>
      </c>
      <c r="D89" s="484" t="s">
        <v>63</v>
      </c>
      <c r="E89" s="486" t="s">
        <v>694</v>
      </c>
      <c r="F89" s="486" t="s">
        <v>466</v>
      </c>
      <c r="G89" s="510" t="s">
        <v>670</v>
      </c>
      <c r="H89" s="484">
        <v>120</v>
      </c>
      <c r="I89" s="484">
        <v>95</v>
      </c>
      <c r="J89" s="484">
        <v>102</v>
      </c>
      <c r="K89" s="482">
        <v>62619.199999999997</v>
      </c>
      <c r="L89" s="482">
        <v>62619.199999999997</v>
      </c>
      <c r="M89" s="482">
        <f t="shared" si="5"/>
        <v>0</v>
      </c>
      <c r="N89" s="484">
        <v>11</v>
      </c>
      <c r="O89" s="482">
        <v>18898.939999999999</v>
      </c>
      <c r="P89" s="482">
        <v>18898.939999999999</v>
      </c>
      <c r="Q89" s="482">
        <f t="shared" si="6"/>
        <v>0</v>
      </c>
    </row>
    <row r="90" spans="1:17" s="459" customFormat="1" ht="15.75" customHeight="1" x14ac:dyDescent="0.2">
      <c r="A90" s="484">
        <f t="shared" si="7"/>
        <v>82</v>
      </c>
      <c r="B90" s="484" t="s">
        <v>40</v>
      </c>
      <c r="C90" s="516" t="s">
        <v>62</v>
      </c>
      <c r="D90" s="484" t="s">
        <v>63</v>
      </c>
      <c r="E90" s="486" t="s">
        <v>695</v>
      </c>
      <c r="F90" s="486" t="s">
        <v>250</v>
      </c>
      <c r="G90" s="510" t="s">
        <v>670</v>
      </c>
      <c r="H90" s="484">
        <v>33</v>
      </c>
      <c r="I90" s="484">
        <v>30</v>
      </c>
      <c r="J90" s="484">
        <v>47</v>
      </c>
      <c r="K90" s="482">
        <f>72302.81+5373.43</f>
        <v>77676.239999999991</v>
      </c>
      <c r="L90" s="482">
        <f>72302.81+5373.43</f>
        <v>77676.239999999991</v>
      </c>
      <c r="M90" s="482">
        <f t="shared" si="5"/>
        <v>0</v>
      </c>
      <c r="N90" s="484">
        <v>19</v>
      </c>
      <c r="O90" s="482">
        <v>51901.91</v>
      </c>
      <c r="P90" s="482">
        <v>51901.91</v>
      </c>
      <c r="Q90" s="482">
        <f t="shared" si="6"/>
        <v>0</v>
      </c>
    </row>
    <row r="91" spans="1:17" s="459" customFormat="1" ht="15.75" customHeight="1" x14ac:dyDescent="0.2">
      <c r="A91" s="484">
        <f t="shared" si="7"/>
        <v>83</v>
      </c>
      <c r="B91" s="484" t="s">
        <v>660</v>
      </c>
      <c r="C91" s="516" t="s">
        <v>67</v>
      </c>
      <c r="D91" s="484" t="s">
        <v>661</v>
      </c>
      <c r="E91" s="486" t="s">
        <v>158</v>
      </c>
      <c r="F91" s="486" t="s">
        <v>662</v>
      </c>
      <c r="G91" s="510" t="s">
        <v>670</v>
      </c>
      <c r="H91" s="484">
        <v>5</v>
      </c>
      <c r="I91" s="484">
        <v>0</v>
      </c>
      <c r="J91" s="484">
        <v>0</v>
      </c>
      <c r="K91" s="482">
        <v>0</v>
      </c>
      <c r="L91" s="482">
        <v>0</v>
      </c>
      <c r="M91" s="482">
        <f t="shared" si="5"/>
        <v>0</v>
      </c>
      <c r="N91" s="484">
        <v>0</v>
      </c>
      <c r="O91" s="482">
        <v>0</v>
      </c>
      <c r="P91" s="482">
        <v>0</v>
      </c>
      <c r="Q91" s="482">
        <f t="shared" si="6"/>
        <v>0</v>
      </c>
    </row>
    <row r="92" spans="1:17" s="459" customFormat="1" ht="15.75" customHeight="1" x14ac:dyDescent="0.2">
      <c r="A92" s="484">
        <f t="shared" si="7"/>
        <v>84</v>
      </c>
      <c r="B92" s="484" t="s">
        <v>251</v>
      </c>
      <c r="C92" s="516" t="s">
        <v>62</v>
      </c>
      <c r="D92" s="484"/>
      <c r="E92" s="486" t="s">
        <v>677</v>
      </c>
      <c r="F92" s="486" t="s">
        <v>252</v>
      </c>
      <c r="G92" s="510" t="s">
        <v>670</v>
      </c>
      <c r="H92" s="484">
        <v>55</v>
      </c>
      <c r="I92" s="484">
        <v>33</v>
      </c>
      <c r="J92" s="484">
        <v>51</v>
      </c>
      <c r="K92" s="482">
        <v>85263.69</v>
      </c>
      <c r="L92" s="482">
        <f>65719.15+1750.29</f>
        <v>67469.439999999988</v>
      </c>
      <c r="M92" s="482">
        <f t="shared" si="5"/>
        <v>17794.250000000015</v>
      </c>
      <c r="N92" s="484">
        <v>0</v>
      </c>
      <c r="O92" s="482">
        <v>0</v>
      </c>
      <c r="P92" s="482">
        <v>0</v>
      </c>
      <c r="Q92" s="482">
        <f t="shared" si="6"/>
        <v>0</v>
      </c>
    </row>
    <row r="93" spans="1:17" s="459" customFormat="1" ht="15.75" customHeight="1" x14ac:dyDescent="0.2">
      <c r="A93" s="484">
        <f t="shared" si="7"/>
        <v>85</v>
      </c>
      <c r="B93" s="484" t="s">
        <v>117</v>
      </c>
      <c r="C93" s="516" t="s">
        <v>62</v>
      </c>
      <c r="D93" s="484" t="s">
        <v>63</v>
      </c>
      <c r="E93" s="486" t="s">
        <v>158</v>
      </c>
      <c r="F93" s="486" t="s">
        <v>520</v>
      </c>
      <c r="G93" s="510" t="s">
        <v>670</v>
      </c>
      <c r="H93" s="484">
        <v>4</v>
      </c>
      <c r="I93" s="484">
        <v>2</v>
      </c>
      <c r="J93" s="484">
        <v>2</v>
      </c>
      <c r="K93" s="482">
        <v>3618.99</v>
      </c>
      <c r="L93" s="482">
        <v>3618.99</v>
      </c>
      <c r="M93" s="482">
        <f t="shared" si="5"/>
        <v>0</v>
      </c>
      <c r="N93" s="484">
        <v>3</v>
      </c>
      <c r="O93" s="482">
        <v>9677.56</v>
      </c>
      <c r="P93" s="482">
        <v>9677.56</v>
      </c>
      <c r="Q93" s="482">
        <f t="shared" si="6"/>
        <v>0</v>
      </c>
    </row>
    <row r="94" spans="1:17" s="459" customFormat="1" ht="15.75" customHeight="1" x14ac:dyDescent="0.2">
      <c r="A94" s="484">
        <f t="shared" si="7"/>
        <v>86</v>
      </c>
      <c r="B94" s="484" t="s">
        <v>41</v>
      </c>
      <c r="C94" s="516" t="s">
        <v>64</v>
      </c>
      <c r="D94" s="484" t="s">
        <v>65</v>
      </c>
      <c r="E94" s="486" t="s">
        <v>158</v>
      </c>
      <c r="F94" s="486" t="s">
        <v>253</v>
      </c>
      <c r="G94" s="510" t="s">
        <v>670</v>
      </c>
      <c r="H94" s="484">
        <v>2</v>
      </c>
      <c r="I94" s="484">
        <v>2</v>
      </c>
      <c r="J94" s="484">
        <v>2</v>
      </c>
      <c r="K94" s="482">
        <v>1575.23</v>
      </c>
      <c r="L94" s="482">
        <v>1575.23</v>
      </c>
      <c r="M94" s="482">
        <f t="shared" si="5"/>
        <v>0</v>
      </c>
      <c r="N94" s="484">
        <v>12</v>
      </c>
      <c r="O94" s="482">
        <v>33315.620000000003</v>
      </c>
      <c r="P94" s="482">
        <v>33315.620000000003</v>
      </c>
      <c r="Q94" s="482">
        <f t="shared" si="6"/>
        <v>0</v>
      </c>
    </row>
    <row r="95" spans="1:17" s="459" customFormat="1" ht="15.75" customHeight="1" x14ac:dyDescent="0.2">
      <c r="A95" s="484">
        <f t="shared" si="7"/>
        <v>87</v>
      </c>
      <c r="B95" s="484" t="s">
        <v>118</v>
      </c>
      <c r="C95" s="516" t="s">
        <v>62</v>
      </c>
      <c r="D95" s="484" t="s">
        <v>63</v>
      </c>
      <c r="E95" s="486" t="s">
        <v>675</v>
      </c>
      <c r="F95" s="486" t="s">
        <v>467</v>
      </c>
      <c r="G95" s="510" t="s">
        <v>670</v>
      </c>
      <c r="H95" s="484">
        <v>7</v>
      </c>
      <c r="I95" s="484">
        <v>2</v>
      </c>
      <c r="J95" s="484">
        <v>2</v>
      </c>
      <c r="K95" s="482">
        <v>939.94</v>
      </c>
      <c r="L95" s="482">
        <v>939.94</v>
      </c>
      <c r="M95" s="482">
        <f t="shared" si="5"/>
        <v>0</v>
      </c>
      <c r="N95" s="484">
        <v>2</v>
      </c>
      <c r="O95" s="482">
        <f>18723.42+5109.8</f>
        <v>23833.219999999998</v>
      </c>
      <c r="P95" s="482">
        <f>10491.36+5109.8</f>
        <v>15601.16</v>
      </c>
      <c r="Q95" s="482">
        <f t="shared" si="6"/>
        <v>8232.0599999999977</v>
      </c>
    </row>
    <row r="96" spans="1:17" s="459" customFormat="1" ht="15.75" customHeight="1" x14ac:dyDescent="0.2">
      <c r="A96" s="484">
        <f t="shared" si="7"/>
        <v>88</v>
      </c>
      <c r="B96" s="484" t="s">
        <v>548</v>
      </c>
      <c r="C96" s="516" t="s">
        <v>62</v>
      </c>
      <c r="D96" s="484"/>
      <c r="E96" s="486" t="s">
        <v>675</v>
      </c>
      <c r="F96" s="486" t="s">
        <v>550</v>
      </c>
      <c r="G96" s="510" t="s">
        <v>670</v>
      </c>
      <c r="H96" s="484">
        <v>4</v>
      </c>
      <c r="I96" s="484">
        <v>2</v>
      </c>
      <c r="J96" s="484">
        <v>2</v>
      </c>
      <c r="K96" s="482">
        <v>0</v>
      </c>
      <c r="L96" s="482">
        <v>0</v>
      </c>
      <c r="M96" s="482">
        <f t="shared" si="5"/>
        <v>0</v>
      </c>
      <c r="N96" s="484">
        <v>0</v>
      </c>
      <c r="O96" s="482">
        <v>0</v>
      </c>
      <c r="P96" s="482">
        <v>0</v>
      </c>
      <c r="Q96" s="482">
        <f t="shared" si="6"/>
        <v>0</v>
      </c>
    </row>
    <row r="97" spans="1:17" s="459" customFormat="1" ht="15.75" customHeight="1" x14ac:dyDescent="0.2">
      <c r="A97" s="484">
        <f t="shared" si="7"/>
        <v>89</v>
      </c>
      <c r="B97" s="484" t="s">
        <v>254</v>
      </c>
      <c r="C97" s="516" t="s">
        <v>62</v>
      </c>
      <c r="D97" s="484"/>
      <c r="E97" s="486" t="s">
        <v>158</v>
      </c>
      <c r="F97" s="486" t="s">
        <v>255</v>
      </c>
      <c r="G97" s="510" t="s">
        <v>670</v>
      </c>
      <c r="H97" s="484">
        <v>11</v>
      </c>
      <c r="I97" s="484">
        <v>9</v>
      </c>
      <c r="J97" s="484">
        <v>11</v>
      </c>
      <c r="K97" s="482">
        <f>10146.51+1620.08</f>
        <v>11766.59</v>
      </c>
      <c r="L97" s="482">
        <f>10146.51+1620.08</f>
        <v>11766.59</v>
      </c>
      <c r="M97" s="482">
        <f t="shared" si="5"/>
        <v>0</v>
      </c>
      <c r="N97" s="484">
        <v>0</v>
      </c>
      <c r="O97" s="482">
        <v>0</v>
      </c>
      <c r="P97" s="482">
        <v>0</v>
      </c>
      <c r="Q97" s="482">
        <f t="shared" si="6"/>
        <v>0</v>
      </c>
    </row>
    <row r="98" spans="1:17" s="459" customFormat="1" ht="15.75" customHeight="1" x14ac:dyDescent="0.2">
      <c r="A98" s="484">
        <f t="shared" si="7"/>
        <v>90</v>
      </c>
      <c r="B98" s="484" t="s">
        <v>256</v>
      </c>
      <c r="C98" s="516" t="s">
        <v>62</v>
      </c>
      <c r="D98" s="484"/>
      <c r="E98" s="486" t="s">
        <v>158</v>
      </c>
      <c r="F98" s="486" t="s">
        <v>257</v>
      </c>
      <c r="G98" s="510" t="s">
        <v>670</v>
      </c>
      <c r="H98" s="484">
        <v>17</v>
      </c>
      <c r="I98" s="484">
        <v>7</v>
      </c>
      <c r="J98" s="484">
        <v>7</v>
      </c>
      <c r="K98" s="482">
        <v>7885.09</v>
      </c>
      <c r="L98" s="482">
        <v>7885.09</v>
      </c>
      <c r="M98" s="482">
        <f t="shared" si="5"/>
        <v>0</v>
      </c>
      <c r="N98" s="484">
        <v>0</v>
      </c>
      <c r="O98" s="482">
        <v>0</v>
      </c>
      <c r="P98" s="482">
        <v>0</v>
      </c>
      <c r="Q98" s="482">
        <f t="shared" si="6"/>
        <v>0</v>
      </c>
    </row>
    <row r="99" spans="1:17" s="459" customFormat="1" ht="15.75" customHeight="1" x14ac:dyDescent="0.2">
      <c r="A99" s="484">
        <f t="shared" si="7"/>
        <v>91</v>
      </c>
      <c r="B99" s="484" t="s">
        <v>643</v>
      </c>
      <c r="C99" s="516" t="s">
        <v>62</v>
      </c>
      <c r="D99" s="484"/>
      <c r="E99" s="486" t="s">
        <v>158</v>
      </c>
      <c r="F99" s="486" t="s">
        <v>663</v>
      </c>
      <c r="G99" s="510" t="s">
        <v>670</v>
      </c>
      <c r="H99" s="484">
        <v>6</v>
      </c>
      <c r="I99" s="484">
        <v>5</v>
      </c>
      <c r="J99" s="484">
        <v>5</v>
      </c>
      <c r="K99" s="482">
        <v>1723.18</v>
      </c>
      <c r="L99" s="482">
        <v>1723.18</v>
      </c>
      <c r="M99" s="482">
        <f t="shared" si="5"/>
        <v>0</v>
      </c>
      <c r="N99" s="484">
        <v>0</v>
      </c>
      <c r="O99" s="482">
        <v>0</v>
      </c>
      <c r="P99" s="482">
        <v>0</v>
      </c>
      <c r="Q99" s="482">
        <f t="shared" si="6"/>
        <v>0</v>
      </c>
    </row>
    <row r="100" spans="1:17" s="459" customFormat="1" ht="15.75" customHeight="1" x14ac:dyDescent="0.2">
      <c r="A100" s="484">
        <f t="shared" si="7"/>
        <v>92</v>
      </c>
      <c r="B100" s="484" t="s">
        <v>258</v>
      </c>
      <c r="C100" s="516" t="s">
        <v>62</v>
      </c>
      <c r="D100" s="484"/>
      <c r="E100" s="486" t="s">
        <v>158</v>
      </c>
      <c r="F100" s="486" t="s">
        <v>259</v>
      </c>
      <c r="G100" s="510" t="s">
        <v>670</v>
      </c>
      <c r="H100" s="484">
        <v>37</v>
      </c>
      <c r="I100" s="484">
        <v>28</v>
      </c>
      <c r="J100" s="484">
        <v>32</v>
      </c>
      <c r="K100" s="482">
        <f>39127.08+3850.68</f>
        <v>42977.760000000002</v>
      </c>
      <c r="L100" s="482">
        <f>39127.08+1356.82</f>
        <v>40483.9</v>
      </c>
      <c r="M100" s="482">
        <f t="shared" si="5"/>
        <v>2493.8600000000006</v>
      </c>
      <c r="N100" s="484">
        <v>0</v>
      </c>
      <c r="O100" s="482">
        <v>0</v>
      </c>
      <c r="P100" s="482">
        <v>0</v>
      </c>
      <c r="Q100" s="482">
        <f t="shared" si="6"/>
        <v>0</v>
      </c>
    </row>
    <row r="101" spans="1:17" s="459" customFormat="1" ht="15.75" customHeight="1" x14ac:dyDescent="0.2">
      <c r="A101" s="484">
        <f t="shared" si="7"/>
        <v>93</v>
      </c>
      <c r="B101" s="484" t="s">
        <v>42</v>
      </c>
      <c r="C101" s="516" t="s">
        <v>62</v>
      </c>
      <c r="D101" s="484" t="s">
        <v>63</v>
      </c>
      <c r="E101" s="486" t="s">
        <v>158</v>
      </c>
      <c r="F101" s="486" t="s">
        <v>260</v>
      </c>
      <c r="G101" s="510" t="s">
        <v>670</v>
      </c>
      <c r="H101" s="484">
        <v>51</v>
      </c>
      <c r="I101" s="484">
        <v>42</v>
      </c>
      <c r="J101" s="484">
        <v>52</v>
      </c>
      <c r="K101" s="482">
        <v>105749.62</v>
      </c>
      <c r="L101" s="482">
        <f>91702.68+1822.59</f>
        <v>93525.26999999999</v>
      </c>
      <c r="M101" s="482">
        <f t="shared" si="5"/>
        <v>12224.350000000006</v>
      </c>
      <c r="N101" s="484">
        <v>35</v>
      </c>
      <c r="O101" s="482">
        <v>157669.39000000001</v>
      </c>
      <c r="P101" s="482">
        <v>157669.39000000001</v>
      </c>
      <c r="Q101" s="482">
        <f t="shared" si="6"/>
        <v>0</v>
      </c>
    </row>
    <row r="102" spans="1:17" s="459" customFormat="1" ht="15.75" customHeight="1" x14ac:dyDescent="0.2">
      <c r="A102" s="484">
        <f t="shared" si="7"/>
        <v>94</v>
      </c>
      <c r="B102" s="484" t="s">
        <v>43</v>
      </c>
      <c r="C102" s="516" t="s">
        <v>62</v>
      </c>
      <c r="D102" s="484" t="s">
        <v>63</v>
      </c>
      <c r="E102" s="486" t="s">
        <v>158</v>
      </c>
      <c r="F102" s="486" t="s">
        <v>261</v>
      </c>
      <c r="G102" s="510" t="s">
        <v>670</v>
      </c>
      <c r="H102" s="484">
        <v>30</v>
      </c>
      <c r="I102" s="484">
        <v>20</v>
      </c>
      <c r="J102" s="484">
        <v>26</v>
      </c>
      <c r="K102" s="482">
        <f>39852.75+2742.8</f>
        <v>42595.55</v>
      </c>
      <c r="L102" s="482">
        <f>39852.75+2742.8</f>
        <v>42595.55</v>
      </c>
      <c r="M102" s="482">
        <f t="shared" si="5"/>
        <v>0</v>
      </c>
      <c r="N102" s="484">
        <v>50</v>
      </c>
      <c r="O102" s="482">
        <v>197997.04</v>
      </c>
      <c r="P102" s="482">
        <v>197997.04</v>
      </c>
      <c r="Q102" s="482">
        <f t="shared" si="6"/>
        <v>0</v>
      </c>
    </row>
    <row r="103" spans="1:17" s="459" customFormat="1" ht="15.75" customHeight="1" x14ac:dyDescent="0.2">
      <c r="A103" s="484">
        <f t="shared" si="7"/>
        <v>95</v>
      </c>
      <c r="B103" s="484" t="s">
        <v>44</v>
      </c>
      <c r="C103" s="516" t="s">
        <v>62</v>
      </c>
      <c r="D103" s="484" t="s">
        <v>63</v>
      </c>
      <c r="E103" s="486" t="s">
        <v>158</v>
      </c>
      <c r="F103" s="486" t="s">
        <v>262</v>
      </c>
      <c r="G103" s="510" t="s">
        <v>670</v>
      </c>
      <c r="H103" s="484">
        <v>51</v>
      </c>
      <c r="I103" s="484">
        <v>38</v>
      </c>
      <c r="J103" s="484">
        <v>44</v>
      </c>
      <c r="K103" s="482">
        <f>30894.23+2422.75</f>
        <v>33316.979999999996</v>
      </c>
      <c r="L103" s="482">
        <v>33316.980000000003</v>
      </c>
      <c r="M103" s="482">
        <f t="shared" si="5"/>
        <v>0</v>
      </c>
      <c r="N103" s="484">
        <v>42</v>
      </c>
      <c r="O103" s="482">
        <v>147210.87</v>
      </c>
      <c r="P103" s="482">
        <v>147210.87</v>
      </c>
      <c r="Q103" s="482">
        <f t="shared" si="6"/>
        <v>0</v>
      </c>
    </row>
    <row r="104" spans="1:17" s="459" customFormat="1" ht="15.75" customHeight="1" x14ac:dyDescent="0.2">
      <c r="A104" s="484">
        <f t="shared" si="7"/>
        <v>96</v>
      </c>
      <c r="B104" s="484" t="s">
        <v>45</v>
      </c>
      <c r="C104" s="516" t="s">
        <v>62</v>
      </c>
      <c r="D104" s="484" t="s">
        <v>63</v>
      </c>
      <c r="E104" s="486" t="s">
        <v>683</v>
      </c>
      <c r="F104" s="486" t="s">
        <v>263</v>
      </c>
      <c r="G104" s="510" t="s">
        <v>670</v>
      </c>
      <c r="H104" s="484">
        <v>16</v>
      </c>
      <c r="I104" s="484">
        <v>12</v>
      </c>
      <c r="J104" s="484">
        <v>19</v>
      </c>
      <c r="K104" s="482">
        <v>32539.22</v>
      </c>
      <c r="L104" s="482">
        <v>32539.22</v>
      </c>
      <c r="M104" s="482">
        <f t="shared" si="5"/>
        <v>0</v>
      </c>
      <c r="N104" s="484">
        <v>4</v>
      </c>
      <c r="O104" s="482">
        <v>25980.78</v>
      </c>
      <c r="P104" s="482">
        <v>25980.78</v>
      </c>
      <c r="Q104" s="482">
        <f t="shared" si="6"/>
        <v>0</v>
      </c>
    </row>
    <row r="105" spans="1:17" s="459" customFormat="1" ht="15.75" customHeight="1" x14ac:dyDescent="0.2">
      <c r="A105" s="484">
        <f t="shared" si="7"/>
        <v>97</v>
      </c>
      <c r="B105" s="484" t="s">
        <v>264</v>
      </c>
      <c r="C105" s="516" t="s">
        <v>62</v>
      </c>
      <c r="D105" s="484" t="s">
        <v>63</v>
      </c>
      <c r="E105" s="486" t="s">
        <v>158</v>
      </c>
      <c r="F105" s="486" t="s">
        <v>265</v>
      </c>
      <c r="G105" s="510" t="s">
        <v>670</v>
      </c>
      <c r="H105" s="484">
        <v>27</v>
      </c>
      <c r="I105" s="484">
        <v>21</v>
      </c>
      <c r="J105" s="484">
        <v>25</v>
      </c>
      <c r="K105" s="482">
        <v>18935.36</v>
      </c>
      <c r="L105" s="482">
        <v>18935.36</v>
      </c>
      <c r="M105" s="482">
        <f t="shared" ref="M105:M136" si="8">K105-L105</f>
        <v>0</v>
      </c>
      <c r="N105" s="484">
        <v>0</v>
      </c>
      <c r="O105" s="482">
        <v>0</v>
      </c>
      <c r="P105" s="482">
        <v>0</v>
      </c>
      <c r="Q105" s="482">
        <f t="shared" ref="Q105:Q136" si="9">O105-P105</f>
        <v>0</v>
      </c>
    </row>
    <row r="106" spans="1:17" s="459" customFormat="1" ht="15.75" customHeight="1" x14ac:dyDescent="0.2">
      <c r="A106" s="484">
        <f t="shared" si="7"/>
        <v>98</v>
      </c>
      <c r="B106" s="484" t="s">
        <v>119</v>
      </c>
      <c r="C106" s="516" t="s">
        <v>62</v>
      </c>
      <c r="D106" s="484" t="s">
        <v>63</v>
      </c>
      <c r="E106" s="486" t="s">
        <v>158</v>
      </c>
      <c r="F106" s="486" t="s">
        <v>266</v>
      </c>
      <c r="G106" s="510" t="s">
        <v>670</v>
      </c>
      <c r="H106" s="484">
        <v>22</v>
      </c>
      <c r="I106" s="484">
        <v>16</v>
      </c>
      <c r="J106" s="484">
        <v>18</v>
      </c>
      <c r="K106" s="482">
        <v>20121.990000000002</v>
      </c>
      <c r="L106" s="482">
        <v>20121.990000000002</v>
      </c>
      <c r="M106" s="482">
        <f t="shared" si="8"/>
        <v>0</v>
      </c>
      <c r="N106" s="484">
        <v>6</v>
      </c>
      <c r="O106" s="482">
        <v>1881.62</v>
      </c>
      <c r="P106" s="482">
        <v>1881.62</v>
      </c>
      <c r="Q106" s="482">
        <f t="shared" si="9"/>
        <v>0</v>
      </c>
    </row>
    <row r="107" spans="1:17" s="459" customFormat="1" ht="15.75" customHeight="1" x14ac:dyDescent="0.2">
      <c r="A107" s="484">
        <f t="shared" si="7"/>
        <v>99</v>
      </c>
      <c r="B107" s="484" t="s">
        <v>46</v>
      </c>
      <c r="C107" s="516" t="s">
        <v>62</v>
      </c>
      <c r="D107" s="484" t="s">
        <v>63</v>
      </c>
      <c r="E107" s="486" t="s">
        <v>678</v>
      </c>
      <c r="F107" s="486" t="s">
        <v>268</v>
      </c>
      <c r="G107" s="510" t="s">
        <v>670</v>
      </c>
      <c r="H107" s="484">
        <v>28</v>
      </c>
      <c r="I107" s="484">
        <v>18</v>
      </c>
      <c r="J107" s="484">
        <v>29</v>
      </c>
      <c r="K107" s="482">
        <v>60965.35</v>
      </c>
      <c r="L107" s="482">
        <v>60965.35</v>
      </c>
      <c r="M107" s="482">
        <f t="shared" si="8"/>
        <v>0</v>
      </c>
      <c r="N107" s="484">
        <v>28</v>
      </c>
      <c r="O107" s="482">
        <v>125896.58</v>
      </c>
      <c r="P107" s="482">
        <v>125896.58</v>
      </c>
      <c r="Q107" s="482">
        <f t="shared" si="9"/>
        <v>0</v>
      </c>
    </row>
    <row r="108" spans="1:17" s="459" customFormat="1" ht="15.75" customHeight="1" x14ac:dyDescent="0.2">
      <c r="A108" s="484">
        <f t="shared" si="7"/>
        <v>100</v>
      </c>
      <c r="B108" s="484" t="s">
        <v>47</v>
      </c>
      <c r="C108" s="516" t="s">
        <v>62</v>
      </c>
      <c r="D108" s="484" t="s">
        <v>63</v>
      </c>
      <c r="E108" s="486" t="s">
        <v>677</v>
      </c>
      <c r="F108" s="486" t="s">
        <v>269</v>
      </c>
      <c r="G108" s="510" t="s">
        <v>670</v>
      </c>
      <c r="H108" s="484">
        <v>91</v>
      </c>
      <c r="I108" s="484">
        <v>66</v>
      </c>
      <c r="J108" s="484">
        <v>102</v>
      </c>
      <c r="K108" s="482">
        <v>191322.19</v>
      </c>
      <c r="L108" s="482">
        <v>130721.37</v>
      </c>
      <c r="M108" s="482">
        <f t="shared" si="8"/>
        <v>60600.820000000007</v>
      </c>
      <c r="N108" s="484">
        <v>124</v>
      </c>
      <c r="O108" s="482">
        <v>524795.69999999995</v>
      </c>
      <c r="P108" s="482">
        <f>439929.29+1857.39</f>
        <v>441786.68</v>
      </c>
      <c r="Q108" s="482">
        <f t="shared" si="9"/>
        <v>83009.01999999996</v>
      </c>
    </row>
    <row r="109" spans="1:17" s="459" customFormat="1" ht="15.75" customHeight="1" x14ac:dyDescent="0.2">
      <c r="A109" s="484">
        <f t="shared" si="7"/>
        <v>101</v>
      </c>
      <c r="B109" s="484" t="s">
        <v>270</v>
      </c>
      <c r="C109" s="516" t="s">
        <v>62</v>
      </c>
      <c r="D109" s="484"/>
      <c r="E109" s="486" t="s">
        <v>158</v>
      </c>
      <c r="F109" s="486" t="s">
        <v>272</v>
      </c>
      <c r="G109" s="510" t="s">
        <v>670</v>
      </c>
      <c r="H109" s="484">
        <v>16</v>
      </c>
      <c r="I109" s="484">
        <v>11</v>
      </c>
      <c r="J109" s="484">
        <v>17</v>
      </c>
      <c r="K109" s="482">
        <v>23603.22</v>
      </c>
      <c r="L109" s="482">
        <v>23603.22</v>
      </c>
      <c r="M109" s="482">
        <f t="shared" si="8"/>
        <v>0</v>
      </c>
      <c r="N109" s="484">
        <v>0</v>
      </c>
      <c r="O109" s="482">
        <v>0</v>
      </c>
      <c r="P109" s="482">
        <v>0</v>
      </c>
      <c r="Q109" s="482">
        <f t="shared" si="9"/>
        <v>0</v>
      </c>
    </row>
    <row r="110" spans="1:17" s="459" customFormat="1" ht="15.75" customHeight="1" x14ac:dyDescent="0.2">
      <c r="A110" s="484">
        <f t="shared" si="7"/>
        <v>102</v>
      </c>
      <c r="B110" s="484" t="s">
        <v>621</v>
      </c>
      <c r="C110" s="516" t="s">
        <v>62</v>
      </c>
      <c r="D110" s="484"/>
      <c r="E110" s="486" t="s">
        <v>158</v>
      </c>
      <c r="F110" s="486" t="s">
        <v>664</v>
      </c>
      <c r="G110" s="510" t="s">
        <v>670</v>
      </c>
      <c r="H110" s="484">
        <v>12</v>
      </c>
      <c r="I110" s="484">
        <v>7</v>
      </c>
      <c r="J110" s="484">
        <v>7</v>
      </c>
      <c r="K110" s="482">
        <v>0</v>
      </c>
      <c r="L110" s="482">
        <v>0</v>
      </c>
      <c r="M110" s="482">
        <f t="shared" si="8"/>
        <v>0</v>
      </c>
      <c r="N110" s="484">
        <v>0</v>
      </c>
      <c r="O110" s="482">
        <v>0</v>
      </c>
      <c r="P110" s="482">
        <v>0</v>
      </c>
      <c r="Q110" s="482">
        <f t="shared" si="9"/>
        <v>0</v>
      </c>
    </row>
    <row r="111" spans="1:17" s="459" customFormat="1" ht="15.75" customHeight="1" x14ac:dyDescent="0.2">
      <c r="A111" s="484">
        <f t="shared" si="7"/>
        <v>103</v>
      </c>
      <c r="B111" s="484" t="s">
        <v>273</v>
      </c>
      <c r="C111" s="516" t="s">
        <v>62</v>
      </c>
      <c r="D111" s="484"/>
      <c r="E111" s="486" t="s">
        <v>674</v>
      </c>
      <c r="F111" s="486" t="s">
        <v>511</v>
      </c>
      <c r="G111" s="510" t="s">
        <v>670</v>
      </c>
      <c r="H111" s="484">
        <v>10</v>
      </c>
      <c r="I111" s="484">
        <v>0</v>
      </c>
      <c r="J111" s="484">
        <v>0</v>
      </c>
      <c r="K111" s="482">
        <v>0</v>
      </c>
      <c r="L111" s="482">
        <v>0</v>
      </c>
      <c r="M111" s="482">
        <f t="shared" si="8"/>
        <v>0</v>
      </c>
      <c r="N111" s="484">
        <v>0</v>
      </c>
      <c r="O111" s="482">
        <v>0</v>
      </c>
      <c r="P111" s="482">
        <v>0</v>
      </c>
      <c r="Q111" s="482">
        <f t="shared" si="9"/>
        <v>0</v>
      </c>
    </row>
    <row r="112" spans="1:17" s="459" customFormat="1" ht="15.75" customHeight="1" x14ac:dyDescent="0.2">
      <c r="A112" s="484">
        <f t="shared" si="7"/>
        <v>104</v>
      </c>
      <c r="B112" s="484" t="s">
        <v>490</v>
      </c>
      <c r="C112" s="516" t="s">
        <v>62</v>
      </c>
      <c r="D112" s="484"/>
      <c r="E112" s="486" t="s">
        <v>491</v>
      </c>
      <c r="F112" s="486" t="s">
        <v>492</v>
      </c>
      <c r="G112" s="510" t="s">
        <v>670</v>
      </c>
      <c r="H112" s="484">
        <v>18</v>
      </c>
      <c r="I112" s="484">
        <v>10</v>
      </c>
      <c r="J112" s="484">
        <v>12</v>
      </c>
      <c r="K112" s="482">
        <v>10195.18</v>
      </c>
      <c r="L112" s="482">
        <v>10195.18</v>
      </c>
      <c r="M112" s="482">
        <f t="shared" si="8"/>
        <v>0</v>
      </c>
      <c r="N112" s="484">
        <v>0</v>
      </c>
      <c r="O112" s="482">
        <v>0</v>
      </c>
      <c r="P112" s="482">
        <v>0</v>
      </c>
      <c r="Q112" s="482">
        <f t="shared" si="9"/>
        <v>0</v>
      </c>
    </row>
    <row r="113" spans="1:17" s="459" customFormat="1" ht="15.75" customHeight="1" x14ac:dyDescent="0.2">
      <c r="A113" s="484">
        <f t="shared" si="7"/>
        <v>105</v>
      </c>
      <c r="B113" s="484" t="s">
        <v>94</v>
      </c>
      <c r="C113" s="516" t="s">
        <v>62</v>
      </c>
      <c r="D113" s="484" t="s">
        <v>63</v>
      </c>
      <c r="E113" s="486" t="s">
        <v>158</v>
      </c>
      <c r="F113" s="486" t="s">
        <v>274</v>
      </c>
      <c r="G113" s="510" t="s">
        <v>670</v>
      </c>
      <c r="H113" s="484">
        <v>20</v>
      </c>
      <c r="I113" s="484">
        <v>7</v>
      </c>
      <c r="J113" s="484">
        <v>7</v>
      </c>
      <c r="K113" s="482">
        <v>7580.9</v>
      </c>
      <c r="L113" s="482">
        <v>7580.9</v>
      </c>
      <c r="M113" s="482">
        <f t="shared" si="8"/>
        <v>0</v>
      </c>
      <c r="N113" s="484">
        <v>7</v>
      </c>
      <c r="O113" s="482">
        <v>9361.67</v>
      </c>
      <c r="P113" s="482">
        <v>9361.67</v>
      </c>
      <c r="Q113" s="482">
        <f t="shared" si="9"/>
        <v>0</v>
      </c>
    </row>
    <row r="114" spans="1:17" s="459" customFormat="1" ht="15.75" customHeight="1" x14ac:dyDescent="0.2">
      <c r="A114" s="484">
        <f t="shared" si="7"/>
        <v>106</v>
      </c>
      <c r="B114" s="484" t="s">
        <v>120</v>
      </c>
      <c r="C114" s="516" t="s">
        <v>67</v>
      </c>
      <c r="D114" s="484" t="s">
        <v>493</v>
      </c>
      <c r="E114" s="486" t="s">
        <v>158</v>
      </c>
      <c r="F114" s="486" t="s">
        <v>468</v>
      </c>
      <c r="G114" s="510" t="s">
        <v>670</v>
      </c>
      <c r="H114" s="484">
        <v>14</v>
      </c>
      <c r="I114" s="484">
        <v>11</v>
      </c>
      <c r="J114" s="484">
        <v>12</v>
      </c>
      <c r="K114" s="482">
        <v>11996.24</v>
      </c>
      <c r="L114" s="482">
        <v>11996.24</v>
      </c>
      <c r="M114" s="482">
        <f t="shared" si="8"/>
        <v>0</v>
      </c>
      <c r="N114" s="484">
        <v>0</v>
      </c>
      <c r="O114" s="482">
        <v>0</v>
      </c>
      <c r="P114" s="482">
        <v>0</v>
      </c>
      <c r="Q114" s="482">
        <f t="shared" si="9"/>
        <v>0</v>
      </c>
    </row>
    <row r="115" spans="1:17" s="459" customFormat="1" ht="15.75" customHeight="1" x14ac:dyDescent="0.2">
      <c r="A115" s="484">
        <f t="shared" si="7"/>
        <v>107</v>
      </c>
      <c r="B115" s="484" t="s">
        <v>407</v>
      </c>
      <c r="C115" s="516" t="s">
        <v>62</v>
      </c>
      <c r="D115" s="484"/>
      <c r="E115" s="486" t="s">
        <v>674</v>
      </c>
      <c r="F115" s="486" t="s">
        <v>512</v>
      </c>
      <c r="G115" s="510" t="s">
        <v>670</v>
      </c>
      <c r="H115" s="484">
        <v>8</v>
      </c>
      <c r="I115" s="484">
        <v>5</v>
      </c>
      <c r="J115" s="484">
        <v>6</v>
      </c>
      <c r="K115" s="482">
        <v>4577.1000000000004</v>
      </c>
      <c r="L115" s="482">
        <v>4577.1000000000004</v>
      </c>
      <c r="M115" s="482">
        <f t="shared" si="8"/>
        <v>0</v>
      </c>
      <c r="N115" s="484">
        <v>0</v>
      </c>
      <c r="O115" s="482">
        <v>0</v>
      </c>
      <c r="P115" s="482">
        <v>0</v>
      </c>
      <c r="Q115" s="482">
        <f t="shared" si="9"/>
        <v>0</v>
      </c>
    </row>
    <row r="116" spans="1:17" s="459" customFormat="1" ht="15.75" customHeight="1" x14ac:dyDescent="0.2">
      <c r="A116" s="484">
        <f t="shared" si="7"/>
        <v>108</v>
      </c>
      <c r="B116" s="484" t="s">
        <v>122</v>
      </c>
      <c r="C116" s="516" t="s">
        <v>62</v>
      </c>
      <c r="D116" s="484" t="s">
        <v>63</v>
      </c>
      <c r="E116" s="486" t="s">
        <v>699</v>
      </c>
      <c r="F116" s="486" t="s">
        <v>276</v>
      </c>
      <c r="G116" s="510" t="s">
        <v>670</v>
      </c>
      <c r="H116" s="484">
        <v>13</v>
      </c>
      <c r="I116" s="484">
        <v>11</v>
      </c>
      <c r="J116" s="484">
        <v>18</v>
      </c>
      <c r="K116" s="482">
        <v>18022.7</v>
      </c>
      <c r="L116" s="482">
        <v>18022.7</v>
      </c>
      <c r="M116" s="482">
        <f t="shared" si="8"/>
        <v>0</v>
      </c>
      <c r="N116" s="484">
        <v>5</v>
      </c>
      <c r="O116" s="482">
        <v>9159.1299999999992</v>
      </c>
      <c r="P116" s="482">
        <v>9159.1299999999992</v>
      </c>
      <c r="Q116" s="482">
        <f t="shared" si="9"/>
        <v>0</v>
      </c>
    </row>
    <row r="117" spans="1:17" s="459" customFormat="1" ht="15.75" customHeight="1" x14ac:dyDescent="0.2">
      <c r="A117" s="484">
        <f t="shared" si="7"/>
        <v>109</v>
      </c>
      <c r="B117" s="484" t="s">
        <v>133</v>
      </c>
      <c r="C117" s="516" t="s">
        <v>67</v>
      </c>
      <c r="D117" s="484" t="s">
        <v>494</v>
      </c>
      <c r="E117" s="486" t="s">
        <v>158</v>
      </c>
      <c r="F117" s="486" t="s">
        <v>620</v>
      </c>
      <c r="G117" s="510" t="s">
        <v>670</v>
      </c>
      <c r="H117" s="484">
        <v>14</v>
      </c>
      <c r="I117" s="484">
        <v>7</v>
      </c>
      <c r="J117" s="484">
        <v>10</v>
      </c>
      <c r="K117" s="482">
        <v>24017.200000000001</v>
      </c>
      <c r="L117" s="482">
        <v>24017.200000000001</v>
      </c>
      <c r="M117" s="482">
        <f t="shared" si="8"/>
        <v>0</v>
      </c>
      <c r="N117" s="484">
        <v>0</v>
      </c>
      <c r="O117" s="482">
        <v>0</v>
      </c>
      <c r="P117" s="482">
        <v>0</v>
      </c>
      <c r="Q117" s="482">
        <f t="shared" si="9"/>
        <v>0</v>
      </c>
    </row>
    <row r="118" spans="1:17" s="459" customFormat="1" ht="15.75" customHeight="1" x14ac:dyDescent="0.2">
      <c r="A118" s="484">
        <f t="shared" si="7"/>
        <v>110</v>
      </c>
      <c r="B118" s="484" t="s">
        <v>96</v>
      </c>
      <c r="C118" s="516" t="s">
        <v>62</v>
      </c>
      <c r="D118" s="484" t="s">
        <v>63</v>
      </c>
      <c r="E118" s="486" t="s">
        <v>671</v>
      </c>
      <c r="F118" s="486" t="s">
        <v>277</v>
      </c>
      <c r="G118" s="510" t="s">
        <v>670</v>
      </c>
      <c r="H118" s="484">
        <v>40</v>
      </c>
      <c r="I118" s="484">
        <v>10</v>
      </c>
      <c r="J118" s="484">
        <v>12</v>
      </c>
      <c r="K118" s="482">
        <v>22080.639999999999</v>
      </c>
      <c r="L118" s="482">
        <v>22080.639999999999</v>
      </c>
      <c r="M118" s="482">
        <f t="shared" si="8"/>
        <v>0</v>
      </c>
      <c r="N118" s="484">
        <v>11</v>
      </c>
      <c r="O118" s="482">
        <v>47171.47</v>
      </c>
      <c r="P118" s="482">
        <v>47171.47</v>
      </c>
      <c r="Q118" s="482">
        <f t="shared" si="9"/>
        <v>0</v>
      </c>
    </row>
    <row r="119" spans="1:17" s="459" customFormat="1" ht="15.75" customHeight="1" x14ac:dyDescent="0.2">
      <c r="A119" s="484">
        <f t="shared" si="7"/>
        <v>111</v>
      </c>
      <c r="B119" s="484" t="s">
        <v>48</v>
      </c>
      <c r="C119" s="516" t="s">
        <v>62</v>
      </c>
      <c r="D119" s="484" t="s">
        <v>63</v>
      </c>
      <c r="E119" s="486" t="s">
        <v>671</v>
      </c>
      <c r="F119" s="486" t="s">
        <v>278</v>
      </c>
      <c r="G119" s="510" t="s">
        <v>670</v>
      </c>
      <c r="H119" s="484">
        <v>56</v>
      </c>
      <c r="I119" s="484">
        <v>41</v>
      </c>
      <c r="J119" s="484">
        <v>65</v>
      </c>
      <c r="K119" s="482">
        <v>87897.82</v>
      </c>
      <c r="L119" s="482">
        <v>87897.82</v>
      </c>
      <c r="M119" s="482">
        <f t="shared" si="8"/>
        <v>0</v>
      </c>
      <c r="N119" s="484">
        <v>19</v>
      </c>
      <c r="O119" s="482">
        <v>79680.25</v>
      </c>
      <c r="P119" s="482">
        <v>79680.25</v>
      </c>
      <c r="Q119" s="482">
        <f t="shared" si="9"/>
        <v>0</v>
      </c>
    </row>
    <row r="120" spans="1:17" s="459" customFormat="1" ht="15.75" customHeight="1" x14ac:dyDescent="0.2">
      <c r="A120" s="484">
        <f t="shared" si="7"/>
        <v>112</v>
      </c>
      <c r="B120" s="484" t="s">
        <v>49</v>
      </c>
      <c r="C120" s="516" t="s">
        <v>62</v>
      </c>
      <c r="D120" s="484" t="s">
        <v>63</v>
      </c>
      <c r="E120" s="486" t="s">
        <v>158</v>
      </c>
      <c r="F120" s="486" t="s">
        <v>279</v>
      </c>
      <c r="G120" s="510" t="s">
        <v>670</v>
      </c>
      <c r="H120" s="484">
        <v>27</v>
      </c>
      <c r="I120" s="484">
        <v>22</v>
      </c>
      <c r="J120" s="484">
        <v>25</v>
      </c>
      <c r="K120" s="482">
        <v>42604.57</v>
      </c>
      <c r="L120" s="482">
        <v>42604.57</v>
      </c>
      <c r="M120" s="482">
        <f t="shared" si="8"/>
        <v>0</v>
      </c>
      <c r="N120" s="484">
        <v>7</v>
      </c>
      <c r="O120" s="482">
        <f>37590.26+4052.83</f>
        <v>41643.090000000004</v>
      </c>
      <c r="P120" s="482">
        <f>37590.26+4052.83</f>
        <v>41643.090000000004</v>
      </c>
      <c r="Q120" s="482">
        <f t="shared" si="9"/>
        <v>0</v>
      </c>
    </row>
    <row r="121" spans="1:17" s="459" customFormat="1" ht="15.75" customHeight="1" x14ac:dyDescent="0.2">
      <c r="A121" s="484">
        <f t="shared" si="7"/>
        <v>113</v>
      </c>
      <c r="B121" s="484" t="s">
        <v>50</v>
      </c>
      <c r="C121" s="516" t="s">
        <v>67</v>
      </c>
      <c r="D121" s="484" t="s">
        <v>123</v>
      </c>
      <c r="E121" s="486" t="s">
        <v>158</v>
      </c>
      <c r="F121" s="486" t="s">
        <v>280</v>
      </c>
      <c r="G121" s="510" t="s">
        <v>670</v>
      </c>
      <c r="H121" s="484">
        <v>8</v>
      </c>
      <c r="I121" s="484">
        <v>4</v>
      </c>
      <c r="J121" s="484">
        <v>4</v>
      </c>
      <c r="K121" s="482">
        <v>12811.52</v>
      </c>
      <c r="L121" s="482">
        <v>12811.52</v>
      </c>
      <c r="M121" s="482">
        <f t="shared" si="8"/>
        <v>0</v>
      </c>
      <c r="N121" s="484">
        <v>5</v>
      </c>
      <c r="O121" s="482">
        <v>21689.57</v>
      </c>
      <c r="P121" s="482">
        <v>21689.57</v>
      </c>
      <c r="Q121" s="482">
        <f t="shared" si="9"/>
        <v>0</v>
      </c>
    </row>
    <row r="122" spans="1:17" s="459" customFormat="1" ht="15.75" customHeight="1" x14ac:dyDescent="0.2">
      <c r="A122" s="484">
        <f t="shared" si="7"/>
        <v>114</v>
      </c>
      <c r="B122" s="484" t="s">
        <v>281</v>
      </c>
      <c r="C122" s="516" t="s">
        <v>62</v>
      </c>
      <c r="D122" s="484"/>
      <c r="E122" s="486" t="s">
        <v>158</v>
      </c>
      <c r="F122" s="486" t="s">
        <v>283</v>
      </c>
      <c r="G122" s="510" t="s">
        <v>670</v>
      </c>
      <c r="H122" s="484">
        <v>27</v>
      </c>
      <c r="I122" s="484">
        <v>5</v>
      </c>
      <c r="J122" s="484">
        <v>5</v>
      </c>
      <c r="K122" s="482">
        <v>2685.29</v>
      </c>
      <c r="L122" s="482">
        <v>2685.29</v>
      </c>
      <c r="M122" s="482">
        <f t="shared" si="8"/>
        <v>0</v>
      </c>
      <c r="N122" s="484">
        <v>0</v>
      </c>
      <c r="O122" s="482">
        <v>0</v>
      </c>
      <c r="P122" s="482">
        <v>0</v>
      </c>
      <c r="Q122" s="482">
        <f t="shared" si="9"/>
        <v>0</v>
      </c>
    </row>
    <row r="123" spans="1:17" s="459" customFormat="1" ht="15.75" customHeight="1" x14ac:dyDescent="0.2">
      <c r="A123" s="484">
        <f t="shared" si="7"/>
        <v>115</v>
      </c>
      <c r="B123" s="484" t="s">
        <v>124</v>
      </c>
      <c r="C123" s="516" t="s">
        <v>62</v>
      </c>
      <c r="D123" s="484" t="s">
        <v>63</v>
      </c>
      <c r="E123" s="486" t="s">
        <v>158</v>
      </c>
      <c r="F123" s="486" t="s">
        <v>284</v>
      </c>
      <c r="G123" s="510" t="s">
        <v>670</v>
      </c>
      <c r="H123" s="484">
        <v>35</v>
      </c>
      <c r="I123" s="484">
        <v>31</v>
      </c>
      <c r="J123" s="484">
        <v>44</v>
      </c>
      <c r="K123" s="482">
        <v>56018.86</v>
      </c>
      <c r="L123" s="482">
        <v>56018.86</v>
      </c>
      <c r="M123" s="482">
        <f t="shared" si="8"/>
        <v>0</v>
      </c>
      <c r="N123" s="484">
        <v>17</v>
      </c>
      <c r="O123" s="482">
        <f>27397.93-4131.64</f>
        <v>23266.29</v>
      </c>
      <c r="P123" s="482">
        <f>21019.74+2246.55</f>
        <v>23266.29</v>
      </c>
      <c r="Q123" s="482">
        <f t="shared" si="9"/>
        <v>0</v>
      </c>
    </row>
    <row r="124" spans="1:17" s="459" customFormat="1" ht="15.75" customHeight="1" x14ac:dyDescent="0.2">
      <c r="A124" s="484">
        <f t="shared" si="7"/>
        <v>116</v>
      </c>
      <c r="B124" s="484" t="s">
        <v>51</v>
      </c>
      <c r="C124" s="516" t="s">
        <v>62</v>
      </c>
      <c r="D124" s="484" t="s">
        <v>63</v>
      </c>
      <c r="E124" s="486" t="s">
        <v>158</v>
      </c>
      <c r="F124" s="486" t="s">
        <v>285</v>
      </c>
      <c r="G124" s="510" t="s">
        <v>670</v>
      </c>
      <c r="H124" s="484">
        <v>20</v>
      </c>
      <c r="I124" s="484">
        <v>15</v>
      </c>
      <c r="J124" s="484">
        <v>15</v>
      </c>
      <c r="K124" s="482">
        <v>5873.82</v>
      </c>
      <c r="L124" s="482">
        <v>5873.82</v>
      </c>
      <c r="M124" s="482">
        <f t="shared" si="8"/>
        <v>0</v>
      </c>
      <c r="N124" s="484">
        <v>10</v>
      </c>
      <c r="O124" s="482">
        <v>1797.24</v>
      </c>
      <c r="P124" s="482">
        <v>1797.24</v>
      </c>
      <c r="Q124" s="482">
        <f t="shared" si="9"/>
        <v>0</v>
      </c>
    </row>
    <row r="125" spans="1:17" s="459" customFormat="1" ht="15.75" customHeight="1" x14ac:dyDescent="0.2">
      <c r="A125" s="484">
        <f t="shared" si="7"/>
        <v>117</v>
      </c>
      <c r="B125" s="484" t="s">
        <v>665</v>
      </c>
      <c r="C125" s="516" t="s">
        <v>62</v>
      </c>
      <c r="D125" s="484" t="s">
        <v>63</v>
      </c>
      <c r="E125" s="486" t="s">
        <v>158</v>
      </c>
      <c r="F125" s="486" t="s">
        <v>666</v>
      </c>
      <c r="G125" s="510" t="s">
        <v>670</v>
      </c>
      <c r="H125" s="484">
        <v>0</v>
      </c>
      <c r="I125" s="484">
        <v>0</v>
      </c>
      <c r="J125" s="484">
        <v>0</v>
      </c>
      <c r="K125" s="482">
        <v>0</v>
      </c>
      <c r="L125" s="482">
        <v>0</v>
      </c>
      <c r="M125" s="482">
        <f t="shared" si="8"/>
        <v>0</v>
      </c>
      <c r="N125" s="484">
        <v>1</v>
      </c>
      <c r="O125" s="482">
        <v>1516.12</v>
      </c>
      <c r="P125" s="482">
        <v>1516.12</v>
      </c>
      <c r="Q125" s="482">
        <f t="shared" si="9"/>
        <v>0</v>
      </c>
    </row>
    <row r="126" spans="1:17" s="459" customFormat="1" ht="15.75" customHeight="1" x14ac:dyDescent="0.2">
      <c r="A126" s="484">
        <f t="shared" si="7"/>
        <v>118</v>
      </c>
      <c r="B126" s="484" t="s">
        <v>286</v>
      </c>
      <c r="C126" s="516" t="s">
        <v>62</v>
      </c>
      <c r="D126" s="484"/>
      <c r="E126" s="486" t="s">
        <v>158</v>
      </c>
      <c r="F126" s="486" t="s">
        <v>287</v>
      </c>
      <c r="G126" s="510" t="s">
        <v>670</v>
      </c>
      <c r="H126" s="484">
        <v>19</v>
      </c>
      <c r="I126" s="484">
        <v>13</v>
      </c>
      <c r="J126" s="484">
        <v>16</v>
      </c>
      <c r="K126" s="482">
        <v>16457.87</v>
      </c>
      <c r="L126" s="482">
        <v>16457.87</v>
      </c>
      <c r="M126" s="482">
        <f t="shared" si="8"/>
        <v>0</v>
      </c>
      <c r="N126" s="484">
        <v>0</v>
      </c>
      <c r="O126" s="482">
        <v>0</v>
      </c>
      <c r="P126" s="482">
        <v>0</v>
      </c>
      <c r="Q126" s="482">
        <f t="shared" si="9"/>
        <v>0</v>
      </c>
    </row>
    <row r="127" spans="1:17" s="459" customFormat="1" ht="15.75" customHeight="1" x14ac:dyDescent="0.2">
      <c r="A127" s="484">
        <f t="shared" si="7"/>
        <v>119</v>
      </c>
      <c r="B127" s="484" t="s">
        <v>52</v>
      </c>
      <c r="C127" s="516" t="s">
        <v>62</v>
      </c>
      <c r="D127" s="484" t="s">
        <v>63</v>
      </c>
      <c r="E127" s="486" t="s">
        <v>158</v>
      </c>
      <c r="F127" s="486" t="s">
        <v>125</v>
      </c>
      <c r="G127" s="510" t="s">
        <v>670</v>
      </c>
      <c r="H127" s="484">
        <v>3</v>
      </c>
      <c r="I127" s="484">
        <v>0</v>
      </c>
      <c r="J127" s="484">
        <v>0</v>
      </c>
      <c r="K127" s="482">
        <v>0</v>
      </c>
      <c r="L127" s="482">
        <v>0</v>
      </c>
      <c r="M127" s="482">
        <f t="shared" si="8"/>
        <v>0</v>
      </c>
      <c r="N127" s="484">
        <v>0</v>
      </c>
      <c r="O127" s="482">
        <v>0</v>
      </c>
      <c r="P127" s="482">
        <v>0</v>
      </c>
      <c r="Q127" s="482">
        <f t="shared" si="9"/>
        <v>0</v>
      </c>
    </row>
    <row r="128" spans="1:17" s="459" customFormat="1" ht="15.75" customHeight="1" x14ac:dyDescent="0.2">
      <c r="A128" s="484">
        <f t="shared" si="7"/>
        <v>120</v>
      </c>
      <c r="B128" s="484" t="s">
        <v>469</v>
      </c>
      <c r="C128" s="516" t="s">
        <v>62</v>
      </c>
      <c r="D128" s="484" t="s">
        <v>63</v>
      </c>
      <c r="E128" s="486" t="s">
        <v>158</v>
      </c>
      <c r="F128" s="486" t="s">
        <v>470</v>
      </c>
      <c r="G128" s="510" t="s">
        <v>670</v>
      </c>
      <c r="H128" s="484">
        <v>1</v>
      </c>
      <c r="I128" s="484">
        <v>0</v>
      </c>
      <c r="J128" s="484">
        <v>0</v>
      </c>
      <c r="K128" s="482">
        <v>0</v>
      </c>
      <c r="L128" s="482">
        <v>0</v>
      </c>
      <c r="M128" s="482">
        <f t="shared" si="8"/>
        <v>0</v>
      </c>
      <c r="N128" s="484">
        <v>0</v>
      </c>
      <c r="O128" s="482">
        <v>0</v>
      </c>
      <c r="P128" s="482">
        <v>0</v>
      </c>
      <c r="Q128" s="482">
        <f t="shared" si="9"/>
        <v>0</v>
      </c>
    </row>
    <row r="129" spans="1:17" s="459" customFormat="1" ht="15.75" customHeight="1" x14ac:dyDescent="0.2">
      <c r="A129" s="484">
        <f t="shared" si="7"/>
        <v>121</v>
      </c>
      <c r="B129" s="484" t="s">
        <v>53</v>
      </c>
      <c r="C129" s="516" t="s">
        <v>62</v>
      </c>
      <c r="D129" s="484" t="s">
        <v>63</v>
      </c>
      <c r="E129" s="486" t="s">
        <v>158</v>
      </c>
      <c r="F129" s="486" t="s">
        <v>126</v>
      </c>
      <c r="G129" s="510" t="s">
        <v>670</v>
      </c>
      <c r="H129" s="484">
        <v>8</v>
      </c>
      <c r="I129" s="484">
        <v>0</v>
      </c>
      <c r="J129" s="484">
        <v>0</v>
      </c>
      <c r="K129" s="482">
        <v>0</v>
      </c>
      <c r="L129" s="482">
        <v>0</v>
      </c>
      <c r="M129" s="482">
        <f t="shared" si="8"/>
        <v>0</v>
      </c>
      <c r="N129" s="484">
        <v>0</v>
      </c>
      <c r="O129" s="482">
        <v>0</v>
      </c>
      <c r="P129" s="482">
        <v>0</v>
      </c>
      <c r="Q129" s="482">
        <f t="shared" si="9"/>
        <v>0</v>
      </c>
    </row>
    <row r="130" spans="1:17" s="459" customFormat="1" ht="15.75" customHeight="1" x14ac:dyDescent="0.2">
      <c r="A130" s="484">
        <f t="shared" si="7"/>
        <v>122</v>
      </c>
      <c r="B130" s="484" t="s">
        <v>151</v>
      </c>
      <c r="C130" s="516" t="s">
        <v>62</v>
      </c>
      <c r="D130" s="484" t="s">
        <v>63</v>
      </c>
      <c r="E130" s="486" t="s">
        <v>158</v>
      </c>
      <c r="F130" s="486" t="s">
        <v>288</v>
      </c>
      <c r="G130" s="510" t="s">
        <v>670</v>
      </c>
      <c r="H130" s="484">
        <v>10</v>
      </c>
      <c r="I130" s="484">
        <v>8</v>
      </c>
      <c r="J130" s="484">
        <v>10</v>
      </c>
      <c r="K130" s="482">
        <v>15560.06</v>
      </c>
      <c r="L130" s="482">
        <v>15560.06</v>
      </c>
      <c r="M130" s="482">
        <f t="shared" si="8"/>
        <v>0</v>
      </c>
      <c r="N130" s="484">
        <v>6</v>
      </c>
      <c r="O130" s="482">
        <v>14253.5</v>
      </c>
      <c r="P130" s="482">
        <v>14253.5</v>
      </c>
      <c r="Q130" s="482">
        <f t="shared" si="9"/>
        <v>0</v>
      </c>
    </row>
    <row r="131" spans="1:17" s="459" customFormat="1" ht="15.75" customHeight="1" x14ac:dyDescent="0.2">
      <c r="A131" s="484">
        <f t="shared" si="7"/>
        <v>123</v>
      </c>
      <c r="B131" s="484" t="s">
        <v>155</v>
      </c>
      <c r="C131" s="516" t="s">
        <v>62</v>
      </c>
      <c r="D131" s="484" t="s">
        <v>63</v>
      </c>
      <c r="E131" s="486" t="s">
        <v>158</v>
      </c>
      <c r="F131" s="486" t="s">
        <v>289</v>
      </c>
      <c r="G131" s="510" t="s">
        <v>670</v>
      </c>
      <c r="H131" s="484">
        <v>15</v>
      </c>
      <c r="I131" s="484">
        <v>10</v>
      </c>
      <c r="J131" s="484">
        <v>15</v>
      </c>
      <c r="K131" s="482">
        <v>38355.85</v>
      </c>
      <c r="L131" s="482">
        <v>38355.85</v>
      </c>
      <c r="M131" s="482">
        <f t="shared" si="8"/>
        <v>0</v>
      </c>
      <c r="N131" s="484">
        <v>4</v>
      </c>
      <c r="O131" s="482">
        <v>28262.06</v>
      </c>
      <c r="P131" s="482">
        <v>28262.06</v>
      </c>
      <c r="Q131" s="482">
        <f t="shared" si="9"/>
        <v>0</v>
      </c>
    </row>
    <row r="132" spans="1:17" s="459" customFormat="1" ht="15.75" customHeight="1" x14ac:dyDescent="0.2">
      <c r="A132" s="484">
        <f t="shared" si="7"/>
        <v>124</v>
      </c>
      <c r="B132" s="484" t="s">
        <v>290</v>
      </c>
      <c r="C132" s="516" t="s">
        <v>62</v>
      </c>
      <c r="D132" s="484"/>
      <c r="E132" s="486" t="s">
        <v>158</v>
      </c>
      <c r="F132" s="486" t="s">
        <v>292</v>
      </c>
      <c r="G132" s="510" t="s">
        <v>670</v>
      </c>
      <c r="H132" s="484">
        <v>40</v>
      </c>
      <c r="I132" s="484">
        <v>28</v>
      </c>
      <c r="J132" s="484">
        <v>36</v>
      </c>
      <c r="K132" s="482">
        <v>34384.86</v>
      </c>
      <c r="L132" s="482">
        <v>34384.86</v>
      </c>
      <c r="M132" s="482">
        <f t="shared" si="8"/>
        <v>0</v>
      </c>
      <c r="N132" s="484">
        <v>0</v>
      </c>
      <c r="O132" s="482">
        <v>0</v>
      </c>
      <c r="P132" s="482">
        <v>0</v>
      </c>
      <c r="Q132" s="482">
        <f t="shared" si="9"/>
        <v>0</v>
      </c>
    </row>
    <row r="133" spans="1:17" s="459" customFormat="1" ht="15.75" customHeight="1" x14ac:dyDescent="0.2">
      <c r="A133" s="484">
        <f t="shared" si="7"/>
        <v>125</v>
      </c>
      <c r="B133" s="484" t="s">
        <v>495</v>
      </c>
      <c r="C133" s="516" t="s">
        <v>62</v>
      </c>
      <c r="D133" s="484"/>
      <c r="E133" s="486" t="s">
        <v>158</v>
      </c>
      <c r="F133" s="486" t="s">
        <v>496</v>
      </c>
      <c r="G133" s="510" t="s">
        <v>670</v>
      </c>
      <c r="H133" s="484">
        <v>31</v>
      </c>
      <c r="I133" s="484">
        <v>7</v>
      </c>
      <c r="J133" s="484">
        <v>7</v>
      </c>
      <c r="K133" s="482">
        <v>9234.7099999999991</v>
      </c>
      <c r="L133" s="482">
        <v>9234.7099999999991</v>
      </c>
      <c r="M133" s="482">
        <f t="shared" si="8"/>
        <v>0</v>
      </c>
      <c r="N133" s="484">
        <v>0</v>
      </c>
      <c r="O133" s="482">
        <v>0</v>
      </c>
      <c r="P133" s="482">
        <v>0</v>
      </c>
      <c r="Q133" s="482">
        <f t="shared" si="9"/>
        <v>0</v>
      </c>
    </row>
    <row r="134" spans="1:17" s="459" customFormat="1" ht="15.75" customHeight="1" x14ac:dyDescent="0.2">
      <c r="A134" s="484">
        <f t="shared" si="7"/>
        <v>126</v>
      </c>
      <c r="B134" s="484" t="s">
        <v>134</v>
      </c>
      <c r="C134" s="516" t="s">
        <v>62</v>
      </c>
      <c r="D134" s="484" t="s">
        <v>63</v>
      </c>
      <c r="E134" s="486" t="s">
        <v>158</v>
      </c>
      <c r="F134" s="486" t="s">
        <v>293</v>
      </c>
      <c r="G134" s="510" t="s">
        <v>670</v>
      </c>
      <c r="H134" s="484">
        <v>8</v>
      </c>
      <c r="I134" s="484">
        <v>6</v>
      </c>
      <c r="J134" s="484">
        <v>7</v>
      </c>
      <c r="K134" s="482">
        <v>5018.5600000000004</v>
      </c>
      <c r="L134" s="482">
        <v>5018.5600000000004</v>
      </c>
      <c r="M134" s="482">
        <f t="shared" si="8"/>
        <v>0</v>
      </c>
      <c r="N134" s="484">
        <v>2</v>
      </c>
      <c r="O134" s="482">
        <f>10990.78+5462.2</f>
        <v>16452.98</v>
      </c>
      <c r="P134" s="482">
        <f>10990.78+5462.2</f>
        <v>16452.98</v>
      </c>
      <c r="Q134" s="482">
        <f t="shared" si="9"/>
        <v>0</v>
      </c>
    </row>
    <row r="135" spans="1:17" s="459" customFormat="1" ht="15.75" customHeight="1" x14ac:dyDescent="0.2">
      <c r="A135" s="484">
        <f t="shared" si="7"/>
        <v>127</v>
      </c>
      <c r="B135" s="484" t="s">
        <v>127</v>
      </c>
      <c r="C135" s="516" t="s">
        <v>62</v>
      </c>
      <c r="D135" s="484" t="s">
        <v>63</v>
      </c>
      <c r="E135" s="486" t="s">
        <v>158</v>
      </c>
      <c r="F135" s="486" t="s">
        <v>294</v>
      </c>
      <c r="G135" s="510" t="s">
        <v>670</v>
      </c>
      <c r="H135" s="484">
        <v>9</v>
      </c>
      <c r="I135" s="484">
        <v>6</v>
      </c>
      <c r="J135" s="484">
        <v>7</v>
      </c>
      <c r="K135" s="482">
        <v>5794.74</v>
      </c>
      <c r="L135" s="482">
        <v>5794.74</v>
      </c>
      <c r="M135" s="482">
        <f t="shared" si="8"/>
        <v>0</v>
      </c>
      <c r="N135" s="484">
        <v>2</v>
      </c>
      <c r="O135" s="482">
        <v>3267.6</v>
      </c>
      <c r="P135" s="482">
        <v>3267.6</v>
      </c>
      <c r="Q135" s="482">
        <f t="shared" si="9"/>
        <v>0</v>
      </c>
    </row>
    <row r="136" spans="1:17" s="459" customFormat="1" ht="15.75" customHeight="1" x14ac:dyDescent="0.2">
      <c r="A136" s="484">
        <f t="shared" si="7"/>
        <v>128</v>
      </c>
      <c r="B136" s="484" t="s">
        <v>55</v>
      </c>
      <c r="C136" s="516" t="s">
        <v>64</v>
      </c>
      <c r="D136" s="484" t="s">
        <v>66</v>
      </c>
      <c r="E136" s="486" t="s">
        <v>677</v>
      </c>
      <c r="F136" s="486" t="s">
        <v>295</v>
      </c>
      <c r="G136" s="510" t="s">
        <v>670</v>
      </c>
      <c r="H136" s="484">
        <v>8</v>
      </c>
      <c r="I136" s="484">
        <v>5</v>
      </c>
      <c r="J136" s="484">
        <v>5</v>
      </c>
      <c r="K136" s="482">
        <v>1989.43</v>
      </c>
      <c r="L136" s="482">
        <v>1989.43</v>
      </c>
      <c r="M136" s="482">
        <f t="shared" si="8"/>
        <v>0</v>
      </c>
      <c r="N136" s="484">
        <v>3</v>
      </c>
      <c r="O136" s="482">
        <v>17287.61</v>
      </c>
      <c r="P136" s="482">
        <v>17287.61</v>
      </c>
      <c r="Q136" s="482">
        <f t="shared" si="9"/>
        <v>0</v>
      </c>
    </row>
    <row r="137" spans="1:17" s="459" customFormat="1" ht="15.75" customHeight="1" x14ac:dyDescent="0.2">
      <c r="A137" s="484">
        <f t="shared" si="7"/>
        <v>129</v>
      </c>
      <c r="B137" s="484" t="s">
        <v>135</v>
      </c>
      <c r="C137" s="516" t="s">
        <v>62</v>
      </c>
      <c r="D137" s="484" t="s">
        <v>63</v>
      </c>
      <c r="E137" s="486" t="s">
        <v>158</v>
      </c>
      <c r="F137" s="486" t="s">
        <v>296</v>
      </c>
      <c r="G137" s="510" t="s">
        <v>670</v>
      </c>
      <c r="H137" s="484">
        <v>7</v>
      </c>
      <c r="I137" s="484">
        <v>3</v>
      </c>
      <c r="J137" s="484">
        <v>3</v>
      </c>
      <c r="K137" s="482">
        <v>1786.07</v>
      </c>
      <c r="L137" s="482">
        <v>1786.07</v>
      </c>
      <c r="M137" s="482">
        <f t="shared" ref="M137:M168" si="10">K137-L137</f>
        <v>0</v>
      </c>
      <c r="N137" s="484">
        <v>10</v>
      </c>
      <c r="O137" s="482">
        <f>18103.64-0.3</f>
        <v>18103.34</v>
      </c>
      <c r="P137" s="482">
        <f>18103.64-0.3</f>
        <v>18103.34</v>
      </c>
      <c r="Q137" s="482">
        <f t="shared" ref="Q137:Q168" si="11">O137-P137</f>
        <v>0</v>
      </c>
    </row>
    <row r="138" spans="1:17" s="459" customFormat="1" ht="15.75" customHeight="1" x14ac:dyDescent="0.2">
      <c r="A138" s="484">
        <f t="shared" ref="A138:A201" si="12">A137+1</f>
        <v>130</v>
      </c>
      <c r="B138" s="484" t="s">
        <v>128</v>
      </c>
      <c r="C138" s="516" t="s">
        <v>62</v>
      </c>
      <c r="D138" s="484" t="s">
        <v>63</v>
      </c>
      <c r="E138" s="486" t="s">
        <v>158</v>
      </c>
      <c r="F138" s="486" t="s">
        <v>297</v>
      </c>
      <c r="G138" s="510" t="s">
        <v>670</v>
      </c>
      <c r="H138" s="484">
        <v>2</v>
      </c>
      <c r="I138" s="484">
        <v>2</v>
      </c>
      <c r="J138" s="484">
        <v>2</v>
      </c>
      <c r="K138" s="482">
        <v>1303.8499999999999</v>
      </c>
      <c r="L138" s="482">
        <v>1303.8499999999999</v>
      </c>
      <c r="M138" s="482">
        <f t="shared" si="10"/>
        <v>0</v>
      </c>
      <c r="N138" s="484">
        <v>1</v>
      </c>
      <c r="O138" s="482">
        <v>264.3</v>
      </c>
      <c r="P138" s="482">
        <v>264.3</v>
      </c>
      <c r="Q138" s="482">
        <f t="shared" si="11"/>
        <v>0</v>
      </c>
    </row>
    <row r="139" spans="1:17" s="459" customFormat="1" ht="15.75" customHeight="1" x14ac:dyDescent="0.2">
      <c r="A139" s="484">
        <f t="shared" si="12"/>
        <v>131</v>
      </c>
      <c r="B139" s="484" t="s">
        <v>508</v>
      </c>
      <c r="C139" s="516" t="s">
        <v>64</v>
      </c>
      <c r="D139" s="484" t="s">
        <v>551</v>
      </c>
      <c r="E139" s="486" t="s">
        <v>158</v>
      </c>
      <c r="F139" s="486" t="s">
        <v>552</v>
      </c>
      <c r="G139" s="510" t="s">
        <v>670</v>
      </c>
      <c r="H139" s="484">
        <v>31</v>
      </c>
      <c r="I139" s="484">
        <v>17</v>
      </c>
      <c r="J139" s="484">
        <v>18</v>
      </c>
      <c r="K139" s="482">
        <v>11219.42</v>
      </c>
      <c r="L139" s="482">
        <v>11219.42</v>
      </c>
      <c r="M139" s="482">
        <f t="shared" si="10"/>
        <v>0</v>
      </c>
      <c r="N139" s="484">
        <v>0</v>
      </c>
      <c r="O139" s="482">
        <v>0</v>
      </c>
      <c r="P139" s="482">
        <v>0</v>
      </c>
      <c r="Q139" s="482">
        <f t="shared" si="11"/>
        <v>0</v>
      </c>
    </row>
    <row r="140" spans="1:17" s="459" customFormat="1" ht="15.75" customHeight="1" x14ac:dyDescent="0.2">
      <c r="A140" s="484">
        <f t="shared" si="12"/>
        <v>132</v>
      </c>
      <c r="B140" s="484" t="s">
        <v>497</v>
      </c>
      <c r="C140" s="516" t="s">
        <v>62</v>
      </c>
      <c r="D140" s="484"/>
      <c r="E140" s="486" t="s">
        <v>158</v>
      </c>
      <c r="F140" s="486" t="s">
        <v>498</v>
      </c>
      <c r="G140" s="510" t="s">
        <v>670</v>
      </c>
      <c r="H140" s="484">
        <v>63</v>
      </c>
      <c r="I140" s="484">
        <v>38</v>
      </c>
      <c r="J140" s="484">
        <v>40</v>
      </c>
      <c r="K140" s="482">
        <v>29545.75</v>
      </c>
      <c r="L140" s="482">
        <v>29545.75</v>
      </c>
      <c r="M140" s="482">
        <f t="shared" si="10"/>
        <v>0</v>
      </c>
      <c r="N140" s="484">
        <v>0</v>
      </c>
      <c r="O140" s="482">
        <v>0</v>
      </c>
      <c r="P140" s="482">
        <v>0</v>
      </c>
      <c r="Q140" s="482">
        <f t="shared" si="11"/>
        <v>0</v>
      </c>
    </row>
    <row r="141" spans="1:17" s="459" customFormat="1" ht="15.75" customHeight="1" x14ac:dyDescent="0.2">
      <c r="A141" s="484">
        <f t="shared" si="12"/>
        <v>133</v>
      </c>
      <c r="B141" s="484" t="s">
        <v>646</v>
      </c>
      <c r="C141" s="516" t="s">
        <v>62</v>
      </c>
      <c r="D141" s="484" t="s">
        <v>63</v>
      </c>
      <c r="E141" s="486" t="s">
        <v>158</v>
      </c>
      <c r="F141" s="486" t="s">
        <v>647</v>
      </c>
      <c r="G141" s="510" t="s">
        <v>670</v>
      </c>
      <c r="H141" s="484">
        <v>4</v>
      </c>
      <c r="I141" s="484">
        <v>0</v>
      </c>
      <c r="J141" s="484">
        <v>0</v>
      </c>
      <c r="K141" s="482">
        <v>0</v>
      </c>
      <c r="L141" s="482">
        <v>0</v>
      </c>
      <c r="M141" s="482">
        <f t="shared" si="10"/>
        <v>0</v>
      </c>
      <c r="N141" s="484">
        <v>0</v>
      </c>
      <c r="O141" s="482">
        <v>0</v>
      </c>
      <c r="P141" s="482">
        <v>0</v>
      </c>
      <c r="Q141" s="482">
        <f t="shared" si="11"/>
        <v>0</v>
      </c>
    </row>
    <row r="142" spans="1:17" s="459" customFormat="1" ht="15.75" customHeight="1" x14ac:dyDescent="0.2">
      <c r="A142" s="484">
        <f t="shared" si="12"/>
        <v>134</v>
      </c>
      <c r="B142" s="484" t="s">
        <v>56</v>
      </c>
      <c r="C142" s="516" t="s">
        <v>62</v>
      </c>
      <c r="D142" s="484" t="s">
        <v>63</v>
      </c>
      <c r="E142" s="486" t="s">
        <v>701</v>
      </c>
      <c r="F142" s="486" t="s">
        <v>298</v>
      </c>
      <c r="G142" s="510" t="s">
        <v>670</v>
      </c>
      <c r="H142" s="484">
        <v>98</v>
      </c>
      <c r="I142" s="484">
        <v>86</v>
      </c>
      <c r="J142" s="484">
        <v>128</v>
      </c>
      <c r="K142" s="482">
        <v>140627.04</v>
      </c>
      <c r="L142" s="482">
        <f>121877.98+2865.51</f>
        <v>124743.48999999999</v>
      </c>
      <c r="M142" s="482">
        <f t="shared" si="10"/>
        <v>15883.550000000017</v>
      </c>
      <c r="N142" s="484">
        <v>32</v>
      </c>
      <c r="O142" s="482">
        <v>97693.16</v>
      </c>
      <c r="P142" s="482">
        <v>97693.16</v>
      </c>
      <c r="Q142" s="482">
        <f t="shared" si="11"/>
        <v>0</v>
      </c>
    </row>
    <row r="143" spans="1:17" s="459" customFormat="1" ht="15.75" customHeight="1" x14ac:dyDescent="0.2">
      <c r="A143" s="484">
        <f t="shared" si="12"/>
        <v>135</v>
      </c>
      <c r="B143" s="484" t="s">
        <v>638</v>
      </c>
      <c r="C143" s="516" t="s">
        <v>67</v>
      </c>
      <c r="D143" s="484" t="s">
        <v>639</v>
      </c>
      <c r="E143" s="486" t="s">
        <v>690</v>
      </c>
      <c r="F143" s="486" t="s">
        <v>641</v>
      </c>
      <c r="G143" s="510" t="s">
        <v>670</v>
      </c>
      <c r="H143" s="484">
        <v>7</v>
      </c>
      <c r="I143" s="484">
        <v>1</v>
      </c>
      <c r="J143" s="484">
        <v>1</v>
      </c>
      <c r="K143" s="482">
        <v>0</v>
      </c>
      <c r="L143" s="482">
        <v>0</v>
      </c>
      <c r="M143" s="482">
        <f t="shared" si="10"/>
        <v>0</v>
      </c>
      <c r="N143" s="484">
        <v>0</v>
      </c>
      <c r="O143" s="482">
        <v>0</v>
      </c>
      <c r="P143" s="482">
        <v>0</v>
      </c>
      <c r="Q143" s="482">
        <f t="shared" si="11"/>
        <v>0</v>
      </c>
    </row>
    <row r="144" spans="1:17" s="459" customFormat="1" ht="15.75" customHeight="1" x14ac:dyDescent="0.2">
      <c r="A144" s="484">
        <f t="shared" si="12"/>
        <v>136</v>
      </c>
      <c r="B144" s="484" t="s">
        <v>299</v>
      </c>
      <c r="C144" s="516" t="s">
        <v>62</v>
      </c>
      <c r="D144" s="484"/>
      <c r="E144" s="486" t="s">
        <v>158</v>
      </c>
      <c r="F144" s="486" t="s">
        <v>300</v>
      </c>
      <c r="G144" s="510" t="s">
        <v>670</v>
      </c>
      <c r="H144" s="484">
        <v>23</v>
      </c>
      <c r="I144" s="484">
        <v>20</v>
      </c>
      <c r="J144" s="484">
        <v>24</v>
      </c>
      <c r="K144" s="482">
        <v>18541.13</v>
      </c>
      <c r="L144" s="482">
        <v>18541.13</v>
      </c>
      <c r="M144" s="482">
        <f t="shared" si="10"/>
        <v>0</v>
      </c>
      <c r="N144" s="484">
        <v>0</v>
      </c>
      <c r="O144" s="482">
        <v>0</v>
      </c>
      <c r="P144" s="482">
        <v>0</v>
      </c>
      <c r="Q144" s="482">
        <f t="shared" si="11"/>
        <v>0</v>
      </c>
    </row>
    <row r="145" spans="1:17" s="459" customFormat="1" ht="15.75" customHeight="1" x14ac:dyDescent="0.2">
      <c r="A145" s="484">
        <f t="shared" si="12"/>
        <v>137</v>
      </c>
      <c r="B145" s="484" t="s">
        <v>156</v>
      </c>
      <c r="C145" s="516" t="s">
        <v>67</v>
      </c>
      <c r="D145" s="484" t="s">
        <v>499</v>
      </c>
      <c r="E145" s="486" t="s">
        <v>158</v>
      </c>
      <c r="F145" s="486" t="s">
        <v>301</v>
      </c>
      <c r="G145" s="510" t="s">
        <v>670</v>
      </c>
      <c r="H145" s="484">
        <v>40</v>
      </c>
      <c r="I145" s="484">
        <v>32</v>
      </c>
      <c r="J145" s="484">
        <v>38</v>
      </c>
      <c r="K145" s="482">
        <v>36129.29</v>
      </c>
      <c r="L145" s="482">
        <v>36129.29</v>
      </c>
      <c r="M145" s="482">
        <f t="shared" si="10"/>
        <v>0</v>
      </c>
      <c r="N145" s="484">
        <v>37</v>
      </c>
      <c r="O145" s="482">
        <v>66837.119999999995</v>
      </c>
      <c r="P145" s="482">
        <v>66837.119999999995</v>
      </c>
      <c r="Q145" s="482">
        <f t="shared" si="11"/>
        <v>0</v>
      </c>
    </row>
    <row r="146" spans="1:17" s="459" customFormat="1" ht="15.75" customHeight="1" x14ac:dyDescent="0.2">
      <c r="A146" s="484">
        <f t="shared" si="12"/>
        <v>138</v>
      </c>
      <c r="B146" s="484" t="s">
        <v>302</v>
      </c>
      <c r="C146" s="516" t="s">
        <v>62</v>
      </c>
      <c r="D146" s="484"/>
      <c r="E146" s="486" t="s">
        <v>371</v>
      </c>
      <c r="F146" s="486" t="s">
        <v>303</v>
      </c>
      <c r="G146" s="510" t="s">
        <v>670</v>
      </c>
      <c r="H146" s="484">
        <v>17</v>
      </c>
      <c r="I146" s="484">
        <v>15</v>
      </c>
      <c r="J146" s="484">
        <v>18</v>
      </c>
      <c r="K146" s="482">
        <v>9697.18</v>
      </c>
      <c r="L146" s="482">
        <v>9697.18</v>
      </c>
      <c r="M146" s="482">
        <f t="shared" si="10"/>
        <v>0</v>
      </c>
      <c r="N146" s="484">
        <v>0</v>
      </c>
      <c r="O146" s="482">
        <v>0</v>
      </c>
      <c r="P146" s="482">
        <v>0</v>
      </c>
      <c r="Q146" s="482">
        <f t="shared" si="11"/>
        <v>0</v>
      </c>
    </row>
    <row r="147" spans="1:17" s="459" customFormat="1" ht="15.75" customHeight="1" x14ac:dyDescent="0.2">
      <c r="A147" s="484">
        <f t="shared" si="12"/>
        <v>139</v>
      </c>
      <c r="B147" s="484" t="s">
        <v>140</v>
      </c>
      <c r="C147" s="516" t="s">
        <v>62</v>
      </c>
      <c r="D147" s="484" t="s">
        <v>63</v>
      </c>
      <c r="E147" s="486" t="s">
        <v>158</v>
      </c>
      <c r="F147" s="486" t="s">
        <v>304</v>
      </c>
      <c r="G147" s="510" t="s">
        <v>670</v>
      </c>
      <c r="H147" s="484">
        <v>66</v>
      </c>
      <c r="I147" s="484">
        <v>56</v>
      </c>
      <c r="J147" s="484">
        <v>60</v>
      </c>
      <c r="K147" s="482">
        <v>49113.38</v>
      </c>
      <c r="L147" s="482">
        <v>49113.38</v>
      </c>
      <c r="M147" s="482">
        <f t="shared" si="10"/>
        <v>0</v>
      </c>
      <c r="N147" s="484">
        <v>19</v>
      </c>
      <c r="O147" s="482">
        <v>43411.7</v>
      </c>
      <c r="P147" s="482">
        <v>43411.7</v>
      </c>
      <c r="Q147" s="482">
        <f t="shared" si="11"/>
        <v>0</v>
      </c>
    </row>
    <row r="148" spans="1:17" s="459" customFormat="1" ht="15.75" customHeight="1" x14ac:dyDescent="0.2">
      <c r="A148" s="484">
        <f t="shared" si="12"/>
        <v>140</v>
      </c>
      <c r="B148" s="484" t="s">
        <v>305</v>
      </c>
      <c r="C148" s="516" t="s">
        <v>62</v>
      </c>
      <c r="D148" s="484"/>
      <c r="E148" s="486" t="s">
        <v>674</v>
      </c>
      <c r="F148" s="486" t="s">
        <v>513</v>
      </c>
      <c r="G148" s="510" t="s">
        <v>670</v>
      </c>
      <c r="H148" s="484">
        <v>15</v>
      </c>
      <c r="I148" s="484">
        <v>12</v>
      </c>
      <c r="J148" s="484">
        <v>13</v>
      </c>
      <c r="K148" s="482">
        <v>6542.9</v>
      </c>
      <c r="L148" s="482">
        <v>6542.9</v>
      </c>
      <c r="M148" s="482">
        <f t="shared" si="10"/>
        <v>0</v>
      </c>
      <c r="N148" s="484">
        <v>0</v>
      </c>
      <c r="O148" s="482">
        <v>0</v>
      </c>
      <c r="P148" s="482">
        <v>0</v>
      </c>
      <c r="Q148" s="482">
        <f t="shared" si="11"/>
        <v>0</v>
      </c>
    </row>
    <row r="149" spans="1:17" s="459" customFormat="1" ht="15.75" customHeight="1" x14ac:dyDescent="0.2">
      <c r="A149" s="484">
        <f t="shared" si="12"/>
        <v>141</v>
      </c>
      <c r="B149" s="484" t="s">
        <v>702</v>
      </c>
      <c r="C149" s="516" t="s">
        <v>62</v>
      </c>
      <c r="D149" s="484"/>
      <c r="E149" s="486" t="s">
        <v>158</v>
      </c>
      <c r="F149" s="486" t="s">
        <v>733</v>
      </c>
      <c r="G149" s="510" t="s">
        <v>670</v>
      </c>
      <c r="H149" s="484">
        <v>2</v>
      </c>
      <c r="I149" s="484">
        <v>1</v>
      </c>
      <c r="J149" s="484">
        <v>1</v>
      </c>
      <c r="K149" s="482">
        <v>649.87</v>
      </c>
      <c r="L149" s="482">
        <v>649.87</v>
      </c>
      <c r="M149" s="482">
        <f t="shared" si="10"/>
        <v>0</v>
      </c>
      <c r="N149" s="484">
        <v>0</v>
      </c>
      <c r="O149" s="482">
        <v>0</v>
      </c>
      <c r="P149" s="482">
        <v>0</v>
      </c>
      <c r="Q149" s="482">
        <f t="shared" si="11"/>
        <v>0</v>
      </c>
    </row>
    <row r="150" spans="1:17" s="459" customFormat="1" ht="15.75" customHeight="1" x14ac:dyDescent="0.2">
      <c r="A150" s="484">
        <f t="shared" si="12"/>
        <v>142</v>
      </c>
      <c r="B150" s="484" t="s">
        <v>471</v>
      </c>
      <c r="C150" s="516" t="s">
        <v>64</v>
      </c>
      <c r="D150" s="484" t="s">
        <v>65</v>
      </c>
      <c r="E150" s="486" t="s">
        <v>158</v>
      </c>
      <c r="F150" s="486" t="s">
        <v>472</v>
      </c>
      <c r="G150" s="510" t="s">
        <v>670</v>
      </c>
      <c r="H150" s="484">
        <v>0</v>
      </c>
      <c r="I150" s="484">
        <v>0</v>
      </c>
      <c r="J150" s="484">
        <v>0</v>
      </c>
      <c r="K150" s="482">
        <v>0</v>
      </c>
      <c r="L150" s="482">
        <v>0</v>
      </c>
      <c r="M150" s="482">
        <f t="shared" si="10"/>
        <v>0</v>
      </c>
      <c r="N150" s="484">
        <v>1</v>
      </c>
      <c r="O150" s="482">
        <v>0</v>
      </c>
      <c r="P150" s="482">
        <v>0</v>
      </c>
      <c r="Q150" s="482">
        <f t="shared" si="11"/>
        <v>0</v>
      </c>
    </row>
    <row r="151" spans="1:17" s="459" customFormat="1" ht="15.75" customHeight="1" x14ac:dyDescent="0.2">
      <c r="A151" s="484">
        <f t="shared" si="12"/>
        <v>143</v>
      </c>
      <c r="B151" s="484" t="s">
        <v>57</v>
      </c>
      <c r="C151" s="516" t="s">
        <v>62</v>
      </c>
      <c r="D151" s="484" t="s">
        <v>63</v>
      </c>
      <c r="E151" s="486" t="s">
        <v>698</v>
      </c>
      <c r="F151" s="486" t="s">
        <v>306</v>
      </c>
      <c r="G151" s="510" t="s">
        <v>670</v>
      </c>
      <c r="H151" s="484">
        <v>38</v>
      </c>
      <c r="I151" s="484">
        <v>18</v>
      </c>
      <c r="J151" s="484">
        <v>21</v>
      </c>
      <c r="K151" s="482">
        <v>19342.23</v>
      </c>
      <c r="L151" s="482">
        <v>19342.23</v>
      </c>
      <c r="M151" s="482">
        <f t="shared" si="10"/>
        <v>0</v>
      </c>
      <c r="N151" s="484">
        <v>21</v>
      </c>
      <c r="O151" s="482">
        <v>109281.48</v>
      </c>
      <c r="P151" s="482">
        <f>92362.92+3000</f>
        <v>95362.92</v>
      </c>
      <c r="Q151" s="482">
        <f t="shared" si="11"/>
        <v>13918.559999999998</v>
      </c>
    </row>
    <row r="152" spans="1:17" s="459" customFormat="1" ht="15.75" customHeight="1" x14ac:dyDescent="0.2">
      <c r="A152" s="484">
        <f t="shared" si="12"/>
        <v>144</v>
      </c>
      <c r="B152" s="484" t="s">
        <v>648</v>
      </c>
      <c r="C152" s="516" t="s">
        <v>62</v>
      </c>
      <c r="D152" s="484"/>
      <c r="E152" s="486" t="s">
        <v>158</v>
      </c>
      <c r="F152" s="486" t="s">
        <v>650</v>
      </c>
      <c r="G152" s="510" t="s">
        <v>670</v>
      </c>
      <c r="H152" s="484">
        <v>12</v>
      </c>
      <c r="I152" s="484">
        <v>8</v>
      </c>
      <c r="J152" s="484">
        <v>9</v>
      </c>
      <c r="K152" s="482">
        <v>4135.99</v>
      </c>
      <c r="L152" s="482">
        <v>1233.47</v>
      </c>
      <c r="M152" s="482">
        <f t="shared" si="10"/>
        <v>2902.5199999999995</v>
      </c>
      <c r="N152" s="484">
        <v>0</v>
      </c>
      <c r="O152" s="482">
        <v>0</v>
      </c>
      <c r="P152" s="482">
        <v>0</v>
      </c>
      <c r="Q152" s="482">
        <f t="shared" si="11"/>
        <v>0</v>
      </c>
    </row>
    <row r="153" spans="1:17" s="459" customFormat="1" ht="15.75" customHeight="1" x14ac:dyDescent="0.2">
      <c r="A153" s="484">
        <f t="shared" si="12"/>
        <v>145</v>
      </c>
      <c r="B153" s="484" t="s">
        <v>473</v>
      </c>
      <c r="C153" s="516" t="s">
        <v>62</v>
      </c>
      <c r="D153" s="484"/>
      <c r="E153" s="486" t="s">
        <v>158</v>
      </c>
      <c r="F153" s="486" t="s">
        <v>500</v>
      </c>
      <c r="G153" s="510" t="s">
        <v>670</v>
      </c>
      <c r="H153" s="484">
        <v>17</v>
      </c>
      <c r="I153" s="484">
        <v>12</v>
      </c>
      <c r="J153" s="484">
        <v>14</v>
      </c>
      <c r="K153" s="482">
        <f>9948.68+1377.07</f>
        <v>11325.75</v>
      </c>
      <c r="L153" s="482">
        <f>9948.68+1377.07</f>
        <v>11325.75</v>
      </c>
      <c r="M153" s="482">
        <f t="shared" si="10"/>
        <v>0</v>
      </c>
      <c r="N153" s="484">
        <v>4</v>
      </c>
      <c r="O153" s="482">
        <v>20865.919999999998</v>
      </c>
      <c r="P153" s="482">
        <v>20865.919999999998</v>
      </c>
      <c r="Q153" s="482">
        <f t="shared" si="11"/>
        <v>0</v>
      </c>
    </row>
    <row r="154" spans="1:17" s="459" customFormat="1" ht="15.75" customHeight="1" x14ac:dyDescent="0.2">
      <c r="A154" s="484">
        <f t="shared" si="12"/>
        <v>146</v>
      </c>
      <c r="B154" s="484" t="s">
        <v>129</v>
      </c>
      <c r="C154" s="516" t="s">
        <v>62</v>
      </c>
      <c r="D154" s="484" t="s">
        <v>63</v>
      </c>
      <c r="E154" s="486" t="s">
        <v>158</v>
      </c>
      <c r="F154" s="486" t="s">
        <v>307</v>
      </c>
      <c r="G154" s="510" t="s">
        <v>670</v>
      </c>
      <c r="H154" s="484">
        <v>0</v>
      </c>
      <c r="I154" s="484">
        <v>0</v>
      </c>
      <c r="J154" s="484">
        <v>0</v>
      </c>
      <c r="K154" s="482">
        <v>0</v>
      </c>
      <c r="L154" s="482">
        <v>0</v>
      </c>
      <c r="M154" s="482">
        <f t="shared" si="10"/>
        <v>0</v>
      </c>
      <c r="N154" s="484">
        <v>4</v>
      </c>
      <c r="O154" s="482">
        <f>2390.47+10607.41</f>
        <v>12997.88</v>
      </c>
      <c r="P154" s="482">
        <f>2390.47+10607.41</f>
        <v>12997.88</v>
      </c>
      <c r="Q154" s="482">
        <f t="shared" si="11"/>
        <v>0</v>
      </c>
    </row>
    <row r="155" spans="1:17" s="459" customFormat="1" ht="15.75" customHeight="1" x14ac:dyDescent="0.2">
      <c r="A155" s="484">
        <f t="shared" si="12"/>
        <v>147</v>
      </c>
      <c r="B155" s="484" t="s">
        <v>58</v>
      </c>
      <c r="C155" s="516" t="s">
        <v>62</v>
      </c>
      <c r="D155" s="484" t="s">
        <v>63</v>
      </c>
      <c r="E155" s="486" t="s">
        <v>158</v>
      </c>
      <c r="F155" s="486" t="s">
        <v>308</v>
      </c>
      <c r="G155" s="510" t="s">
        <v>670</v>
      </c>
      <c r="H155" s="484">
        <v>236</v>
      </c>
      <c r="I155" s="484">
        <v>225</v>
      </c>
      <c r="J155" s="484">
        <v>256</v>
      </c>
      <c r="K155" s="482">
        <v>246573.61</v>
      </c>
      <c r="L155" s="482">
        <f>219265.57+611.21</f>
        <v>219876.78</v>
      </c>
      <c r="M155" s="482">
        <f t="shared" si="10"/>
        <v>26696.829999999987</v>
      </c>
      <c r="N155" s="484">
        <v>62</v>
      </c>
      <c r="O155" s="482">
        <v>217678.14</v>
      </c>
      <c r="P155" s="482">
        <v>217678.14</v>
      </c>
      <c r="Q155" s="482">
        <f t="shared" si="11"/>
        <v>0</v>
      </c>
    </row>
    <row r="156" spans="1:17" s="459" customFormat="1" ht="15.75" customHeight="1" x14ac:dyDescent="0.2">
      <c r="A156" s="484">
        <f t="shared" si="12"/>
        <v>148</v>
      </c>
      <c r="B156" s="484" t="s">
        <v>59</v>
      </c>
      <c r="C156" s="516" t="s">
        <v>64</v>
      </c>
      <c r="D156" s="484" t="s">
        <v>66</v>
      </c>
      <c r="E156" s="486" t="s">
        <v>677</v>
      </c>
      <c r="F156" s="486" t="s">
        <v>309</v>
      </c>
      <c r="G156" s="510" t="s">
        <v>670</v>
      </c>
      <c r="H156" s="484">
        <v>42</v>
      </c>
      <c r="I156" s="484">
        <v>34</v>
      </c>
      <c r="J156" s="484">
        <v>53</v>
      </c>
      <c r="K156" s="482">
        <v>90310.61</v>
      </c>
      <c r="L156" s="482">
        <v>83144.350000000006</v>
      </c>
      <c r="M156" s="482">
        <f t="shared" si="10"/>
        <v>7166.2599999999948</v>
      </c>
      <c r="N156" s="484">
        <v>32</v>
      </c>
      <c r="O156" s="482">
        <v>128048.16</v>
      </c>
      <c r="P156" s="482">
        <f>108860.27+3000</f>
        <v>111860.27</v>
      </c>
      <c r="Q156" s="482">
        <f t="shared" si="11"/>
        <v>16187.89</v>
      </c>
    </row>
    <row r="157" spans="1:17" s="459" customFormat="1" ht="15.75" customHeight="1" x14ac:dyDescent="0.2">
      <c r="A157" s="484">
        <f t="shared" si="12"/>
        <v>149</v>
      </c>
      <c r="B157" s="484" t="s">
        <v>130</v>
      </c>
      <c r="C157" s="516" t="s">
        <v>62</v>
      </c>
      <c r="D157" s="484" t="s">
        <v>63</v>
      </c>
      <c r="E157" s="486" t="s">
        <v>158</v>
      </c>
      <c r="F157" s="486" t="s">
        <v>553</v>
      </c>
      <c r="G157" s="510" t="s">
        <v>670</v>
      </c>
      <c r="H157" s="484">
        <v>7</v>
      </c>
      <c r="I157" s="484">
        <v>2</v>
      </c>
      <c r="J157" s="484">
        <v>2</v>
      </c>
      <c r="K157" s="482">
        <v>299.54000000000002</v>
      </c>
      <c r="L157" s="482">
        <v>299.54000000000002</v>
      </c>
      <c r="M157" s="482">
        <f t="shared" si="10"/>
        <v>0</v>
      </c>
      <c r="N157" s="484">
        <v>5</v>
      </c>
      <c r="O157" s="482">
        <f>14754.22+5264.54</f>
        <v>20018.759999999998</v>
      </c>
      <c r="P157" s="482">
        <f>14754.22+5264.54</f>
        <v>20018.759999999998</v>
      </c>
      <c r="Q157" s="482">
        <f t="shared" si="11"/>
        <v>0</v>
      </c>
    </row>
    <row r="158" spans="1:17" s="459" customFormat="1" ht="15.75" customHeight="1" x14ac:dyDescent="0.2">
      <c r="A158" s="484">
        <f t="shared" si="12"/>
        <v>150</v>
      </c>
      <c r="B158" s="484" t="s">
        <v>97</v>
      </c>
      <c r="C158" s="516" t="s">
        <v>62</v>
      </c>
      <c r="D158" s="484" t="s">
        <v>63</v>
      </c>
      <c r="E158" s="486" t="s">
        <v>158</v>
      </c>
      <c r="F158" s="486" t="s">
        <v>310</v>
      </c>
      <c r="G158" s="510" t="s">
        <v>670</v>
      </c>
      <c r="H158" s="484">
        <v>7</v>
      </c>
      <c r="I158" s="484">
        <v>4</v>
      </c>
      <c r="J158" s="484">
        <v>4</v>
      </c>
      <c r="K158" s="482">
        <f>5524.96+2973.38</f>
        <v>8498.34</v>
      </c>
      <c r="L158" s="482">
        <f>5524.96+2973.38</f>
        <v>8498.34</v>
      </c>
      <c r="M158" s="482">
        <f t="shared" si="10"/>
        <v>0</v>
      </c>
      <c r="N158" s="484">
        <v>1</v>
      </c>
      <c r="O158" s="482">
        <v>808.76</v>
      </c>
      <c r="P158" s="482">
        <v>808.76</v>
      </c>
      <c r="Q158" s="482">
        <f t="shared" si="11"/>
        <v>0</v>
      </c>
    </row>
    <row r="159" spans="1:17" s="459" customFormat="1" ht="15.75" customHeight="1" x14ac:dyDescent="0.2">
      <c r="A159" s="484">
        <f t="shared" si="12"/>
        <v>151</v>
      </c>
      <c r="B159" s="484" t="s">
        <v>667</v>
      </c>
      <c r="C159" s="516" t="s">
        <v>62</v>
      </c>
      <c r="D159" s="484"/>
      <c r="E159" s="486" t="s">
        <v>158</v>
      </c>
      <c r="F159" s="486" t="s">
        <v>668</v>
      </c>
      <c r="G159" s="510" t="s">
        <v>670</v>
      </c>
      <c r="H159" s="484">
        <v>5</v>
      </c>
      <c r="I159" s="484">
        <v>2</v>
      </c>
      <c r="J159" s="484">
        <v>2</v>
      </c>
      <c r="K159" s="482">
        <v>0</v>
      </c>
      <c r="L159" s="482">
        <v>0</v>
      </c>
      <c r="M159" s="482">
        <f t="shared" si="10"/>
        <v>0</v>
      </c>
      <c r="N159" s="484">
        <v>0</v>
      </c>
      <c r="O159" s="482">
        <v>0</v>
      </c>
      <c r="P159" s="482">
        <v>0</v>
      </c>
      <c r="Q159" s="482">
        <f t="shared" si="11"/>
        <v>0</v>
      </c>
    </row>
    <row r="160" spans="1:17" s="459" customFormat="1" ht="15.75" customHeight="1" x14ac:dyDescent="0.2">
      <c r="A160" s="484">
        <f t="shared" si="12"/>
        <v>152</v>
      </c>
      <c r="B160" s="484" t="s">
        <v>514</v>
      </c>
      <c r="C160" s="516" t="s">
        <v>62</v>
      </c>
      <c r="D160" s="484"/>
      <c r="E160" s="486" t="s">
        <v>158</v>
      </c>
      <c r="F160" s="486" t="s">
        <v>515</v>
      </c>
      <c r="G160" s="510" t="s">
        <v>670</v>
      </c>
      <c r="H160" s="484">
        <v>24</v>
      </c>
      <c r="I160" s="484">
        <v>17</v>
      </c>
      <c r="J160" s="484">
        <v>24</v>
      </c>
      <c r="K160" s="482">
        <f>21122.21+4718.32</f>
        <v>25840.53</v>
      </c>
      <c r="L160" s="482">
        <f>21122.21+2235.34</f>
        <v>23357.55</v>
      </c>
      <c r="M160" s="482">
        <f t="shared" si="10"/>
        <v>2482.9799999999996</v>
      </c>
      <c r="N160" s="484">
        <v>0</v>
      </c>
      <c r="O160" s="482">
        <v>0</v>
      </c>
      <c r="P160" s="482">
        <v>0</v>
      </c>
      <c r="Q160" s="482">
        <f t="shared" si="11"/>
        <v>0</v>
      </c>
    </row>
    <row r="161" spans="1:17" s="459" customFormat="1" ht="15.75" customHeight="1" x14ac:dyDescent="0.2">
      <c r="A161" s="484">
        <f t="shared" si="12"/>
        <v>153</v>
      </c>
      <c r="B161" s="484" t="s">
        <v>132</v>
      </c>
      <c r="C161" s="516" t="s">
        <v>62</v>
      </c>
      <c r="D161" s="484" t="s">
        <v>63</v>
      </c>
      <c r="E161" s="486" t="s">
        <v>158</v>
      </c>
      <c r="F161" s="486" t="s">
        <v>311</v>
      </c>
      <c r="G161" s="510" t="s">
        <v>670</v>
      </c>
      <c r="H161" s="484">
        <v>19</v>
      </c>
      <c r="I161" s="484">
        <v>7</v>
      </c>
      <c r="J161" s="484">
        <v>8</v>
      </c>
      <c r="K161" s="482">
        <v>7071.18</v>
      </c>
      <c r="L161" s="482">
        <v>7071.18</v>
      </c>
      <c r="M161" s="482">
        <f t="shared" si="10"/>
        <v>0</v>
      </c>
      <c r="N161" s="484">
        <v>11</v>
      </c>
      <c r="O161" s="482">
        <v>7200.72</v>
      </c>
      <c r="P161" s="482">
        <v>7200.72</v>
      </c>
      <c r="Q161" s="482">
        <f t="shared" si="11"/>
        <v>0</v>
      </c>
    </row>
    <row r="162" spans="1:17" s="459" customFormat="1" ht="15.75" customHeight="1" x14ac:dyDescent="0.2">
      <c r="A162" s="484">
        <f t="shared" si="12"/>
        <v>154</v>
      </c>
      <c r="B162" s="484" t="s">
        <v>312</v>
      </c>
      <c r="C162" s="516" t="s">
        <v>62</v>
      </c>
      <c r="D162" s="484"/>
      <c r="E162" s="486" t="s">
        <v>158</v>
      </c>
      <c r="F162" s="486" t="s">
        <v>314</v>
      </c>
      <c r="G162" s="510" t="s">
        <v>670</v>
      </c>
      <c r="H162" s="484">
        <v>67</v>
      </c>
      <c r="I162" s="484">
        <v>1</v>
      </c>
      <c r="J162" s="484">
        <v>1</v>
      </c>
      <c r="K162" s="482">
        <v>0</v>
      </c>
      <c r="L162" s="482">
        <v>0</v>
      </c>
      <c r="M162" s="482">
        <f t="shared" si="10"/>
        <v>0</v>
      </c>
      <c r="N162" s="484">
        <v>0</v>
      </c>
      <c r="O162" s="482">
        <v>0</v>
      </c>
      <c r="P162" s="482">
        <v>0</v>
      </c>
      <c r="Q162" s="482">
        <f t="shared" si="11"/>
        <v>0</v>
      </c>
    </row>
    <row r="163" spans="1:17" s="459" customFormat="1" ht="15.75" customHeight="1" x14ac:dyDescent="0.2">
      <c r="A163" s="484">
        <f t="shared" si="12"/>
        <v>155</v>
      </c>
      <c r="B163" s="484" t="s">
        <v>505</v>
      </c>
      <c r="C163" s="516" t="s">
        <v>62</v>
      </c>
      <c r="D163" s="484"/>
      <c r="E163" s="486" t="s">
        <v>703</v>
      </c>
      <c r="F163" s="486" t="s">
        <v>704</v>
      </c>
      <c r="G163" s="510" t="s">
        <v>670</v>
      </c>
      <c r="H163" s="484">
        <v>7</v>
      </c>
      <c r="I163" s="484">
        <v>0</v>
      </c>
      <c r="J163" s="484">
        <v>0</v>
      </c>
      <c r="K163" s="482">
        <v>0</v>
      </c>
      <c r="L163" s="482">
        <v>0</v>
      </c>
      <c r="M163" s="482">
        <f t="shared" si="10"/>
        <v>0</v>
      </c>
      <c r="N163" s="484">
        <v>0</v>
      </c>
      <c r="O163" s="482">
        <v>0</v>
      </c>
      <c r="P163" s="482">
        <v>0</v>
      </c>
      <c r="Q163" s="482">
        <f t="shared" si="11"/>
        <v>0</v>
      </c>
    </row>
    <row r="164" spans="1:17" s="459" customFormat="1" ht="15.75" customHeight="1" x14ac:dyDescent="0.2">
      <c r="A164" s="484">
        <f t="shared" si="12"/>
        <v>156</v>
      </c>
      <c r="B164" s="484" t="s">
        <v>315</v>
      </c>
      <c r="C164" s="516" t="s">
        <v>62</v>
      </c>
      <c r="D164" s="484" t="s">
        <v>63</v>
      </c>
      <c r="E164" s="486" t="s">
        <v>158</v>
      </c>
      <c r="F164" s="486" t="s">
        <v>316</v>
      </c>
      <c r="G164" s="510" t="s">
        <v>670</v>
      </c>
      <c r="H164" s="484">
        <v>18</v>
      </c>
      <c r="I164" s="484">
        <v>10</v>
      </c>
      <c r="J164" s="484">
        <v>12</v>
      </c>
      <c r="K164" s="482">
        <v>11020.91</v>
      </c>
      <c r="L164" s="482">
        <v>11020.91</v>
      </c>
      <c r="M164" s="482">
        <f t="shared" si="10"/>
        <v>0</v>
      </c>
      <c r="N164" s="484">
        <v>4</v>
      </c>
      <c r="O164" s="482">
        <v>3889.02</v>
      </c>
      <c r="P164" s="482">
        <v>3889.02</v>
      </c>
      <c r="Q164" s="482">
        <f t="shared" si="11"/>
        <v>0</v>
      </c>
    </row>
    <row r="165" spans="1:17" s="459" customFormat="1" ht="15.75" customHeight="1" x14ac:dyDescent="0.2">
      <c r="A165" s="484">
        <f t="shared" si="12"/>
        <v>157</v>
      </c>
      <c r="B165" s="484" t="s">
        <v>317</v>
      </c>
      <c r="C165" s="516" t="s">
        <v>62</v>
      </c>
      <c r="D165" s="484"/>
      <c r="E165" s="486" t="s">
        <v>158</v>
      </c>
      <c r="F165" s="486" t="s">
        <v>474</v>
      </c>
      <c r="G165" s="510" t="s">
        <v>670</v>
      </c>
      <c r="H165" s="484">
        <v>12</v>
      </c>
      <c r="I165" s="484">
        <v>7</v>
      </c>
      <c r="J165" s="484">
        <v>8</v>
      </c>
      <c r="K165" s="482">
        <v>4210.97</v>
      </c>
      <c r="L165" s="482">
        <v>4210.97</v>
      </c>
      <c r="M165" s="482">
        <f t="shared" si="10"/>
        <v>0</v>
      </c>
      <c r="N165" s="484">
        <v>0</v>
      </c>
      <c r="O165" s="482">
        <v>0</v>
      </c>
      <c r="P165" s="482">
        <v>0</v>
      </c>
      <c r="Q165" s="482">
        <f t="shared" si="11"/>
        <v>0</v>
      </c>
    </row>
    <row r="166" spans="1:17" s="459" customFormat="1" ht="15.75" customHeight="1" x14ac:dyDescent="0.2">
      <c r="A166" s="484">
        <f t="shared" si="12"/>
        <v>158</v>
      </c>
      <c r="B166" s="484" t="s">
        <v>318</v>
      </c>
      <c r="C166" s="516" t="s">
        <v>62</v>
      </c>
      <c r="D166" s="484"/>
      <c r="E166" s="486" t="s">
        <v>158</v>
      </c>
      <c r="F166" s="486" t="s">
        <v>319</v>
      </c>
      <c r="G166" s="510" t="s">
        <v>670</v>
      </c>
      <c r="H166" s="484">
        <v>32</v>
      </c>
      <c r="I166" s="484">
        <v>19</v>
      </c>
      <c r="J166" s="484">
        <v>23</v>
      </c>
      <c r="K166" s="482">
        <v>24890.68</v>
      </c>
      <c r="L166" s="482">
        <v>24890.68</v>
      </c>
      <c r="M166" s="482">
        <f t="shared" si="10"/>
        <v>0</v>
      </c>
      <c r="N166" s="484">
        <v>0</v>
      </c>
      <c r="O166" s="482">
        <v>0</v>
      </c>
      <c r="P166" s="482">
        <v>0</v>
      </c>
      <c r="Q166" s="482">
        <f t="shared" si="11"/>
        <v>0</v>
      </c>
    </row>
    <row r="167" spans="1:17" s="459" customFormat="1" ht="15.75" customHeight="1" x14ac:dyDescent="0.2">
      <c r="A167" s="484">
        <f t="shared" si="12"/>
        <v>159</v>
      </c>
      <c r="B167" s="484" t="s">
        <v>60</v>
      </c>
      <c r="C167" s="516" t="s">
        <v>67</v>
      </c>
      <c r="D167" s="484" t="s">
        <v>68</v>
      </c>
      <c r="E167" s="486" t="s">
        <v>158</v>
      </c>
      <c r="F167" s="486" t="s">
        <v>320</v>
      </c>
      <c r="G167" s="510" t="s">
        <v>670</v>
      </c>
      <c r="H167" s="484">
        <v>75</v>
      </c>
      <c r="I167" s="484">
        <v>60</v>
      </c>
      <c r="J167" s="484">
        <v>88</v>
      </c>
      <c r="K167" s="482">
        <v>159674.60999999999</v>
      </c>
      <c r="L167" s="482">
        <v>159674.60999999999</v>
      </c>
      <c r="M167" s="482">
        <f t="shared" si="10"/>
        <v>0</v>
      </c>
      <c r="N167" s="484">
        <v>44</v>
      </c>
      <c r="O167" s="482">
        <v>110859.9</v>
      </c>
      <c r="P167" s="482">
        <v>110859.9</v>
      </c>
      <c r="Q167" s="482">
        <f t="shared" si="11"/>
        <v>0</v>
      </c>
    </row>
    <row r="168" spans="1:17" s="459" customFormat="1" ht="15.75" customHeight="1" x14ac:dyDescent="0.2">
      <c r="A168" s="484">
        <f t="shared" si="12"/>
        <v>160</v>
      </c>
      <c r="B168" s="484" t="s">
        <v>61</v>
      </c>
      <c r="C168" s="516" t="s">
        <v>67</v>
      </c>
      <c r="D168" s="484" t="s">
        <v>69</v>
      </c>
      <c r="E168" s="486" t="s">
        <v>158</v>
      </c>
      <c r="F168" s="486" t="s">
        <v>321</v>
      </c>
      <c r="G168" s="510" t="s">
        <v>670</v>
      </c>
      <c r="H168" s="484">
        <v>9</v>
      </c>
      <c r="I168" s="484">
        <v>5</v>
      </c>
      <c r="J168" s="484">
        <v>6</v>
      </c>
      <c r="K168" s="482">
        <v>12993.1</v>
      </c>
      <c r="L168" s="482">
        <v>12993.1</v>
      </c>
      <c r="M168" s="482">
        <f t="shared" si="10"/>
        <v>0</v>
      </c>
      <c r="N168" s="484">
        <v>7</v>
      </c>
      <c r="O168" s="482">
        <v>7602.26</v>
      </c>
      <c r="P168" s="482">
        <v>7602.26</v>
      </c>
      <c r="Q168" s="482">
        <f t="shared" si="11"/>
        <v>0</v>
      </c>
    </row>
    <row r="169" spans="1:17" s="459" customFormat="1" ht="15.75" customHeight="1" x14ac:dyDescent="0.2">
      <c r="A169" s="484">
        <f t="shared" si="12"/>
        <v>161</v>
      </c>
      <c r="B169" s="468" t="s">
        <v>21</v>
      </c>
      <c r="C169" s="518" t="s">
        <v>62</v>
      </c>
      <c r="D169" s="470"/>
      <c r="E169" s="468" t="s">
        <v>674</v>
      </c>
      <c r="F169" s="468" t="s">
        <v>734</v>
      </c>
      <c r="G169" s="468" t="s">
        <v>735</v>
      </c>
      <c r="H169" s="487">
        <v>1</v>
      </c>
      <c r="I169" s="487">
        <v>0</v>
      </c>
      <c r="J169" s="487">
        <v>0</v>
      </c>
      <c r="K169" s="488">
        <v>0</v>
      </c>
      <c r="L169" s="488">
        <v>0</v>
      </c>
      <c r="M169" s="488">
        <v>0</v>
      </c>
      <c r="N169" s="487">
        <v>3</v>
      </c>
      <c r="O169" s="488">
        <v>18538.8</v>
      </c>
      <c r="P169" s="488">
        <v>8045.1</v>
      </c>
      <c r="Q169" s="488">
        <v>10493.7</v>
      </c>
    </row>
    <row r="170" spans="1:17" s="459" customFormat="1" ht="15.75" customHeight="1" x14ac:dyDescent="0.2">
      <c r="A170" s="484">
        <f t="shared" si="12"/>
        <v>162</v>
      </c>
      <c r="B170" s="468" t="s">
        <v>147</v>
      </c>
      <c r="C170" s="518" t="s">
        <v>62</v>
      </c>
      <c r="D170" s="470"/>
      <c r="E170" s="486" t="s">
        <v>158</v>
      </c>
      <c r="F170" s="468" t="s">
        <v>736</v>
      </c>
      <c r="G170" s="468" t="s">
        <v>706</v>
      </c>
      <c r="H170" s="487">
        <v>1</v>
      </c>
      <c r="I170" s="487">
        <v>1</v>
      </c>
      <c r="J170" s="487">
        <v>1</v>
      </c>
      <c r="K170" s="488">
        <v>1762</v>
      </c>
      <c r="L170" s="488">
        <v>1762</v>
      </c>
      <c r="M170" s="488">
        <v>0</v>
      </c>
      <c r="N170" s="487">
        <v>3</v>
      </c>
      <c r="O170" s="488">
        <v>12040</v>
      </c>
      <c r="P170" s="488">
        <v>10751.3</v>
      </c>
      <c r="Q170" s="488">
        <v>1288.7</v>
      </c>
    </row>
    <row r="171" spans="1:17" s="459" customFormat="1" ht="15.75" customHeight="1" x14ac:dyDescent="0.2">
      <c r="A171" s="484">
        <f t="shared" si="12"/>
        <v>163</v>
      </c>
      <c r="B171" s="468" t="s">
        <v>526</v>
      </c>
      <c r="C171" s="518" t="s">
        <v>62</v>
      </c>
      <c r="D171" s="470"/>
      <c r="E171" s="468" t="s">
        <v>737</v>
      </c>
      <c r="F171" s="468" t="s">
        <v>738</v>
      </c>
      <c r="G171" s="468" t="s">
        <v>706</v>
      </c>
      <c r="H171" s="487">
        <v>0</v>
      </c>
      <c r="I171" s="487">
        <v>0</v>
      </c>
      <c r="J171" s="487">
        <v>0</v>
      </c>
      <c r="K171" s="488">
        <v>0</v>
      </c>
      <c r="L171" s="488">
        <v>0</v>
      </c>
      <c r="M171" s="488">
        <v>0</v>
      </c>
      <c r="N171" s="487">
        <v>0</v>
      </c>
      <c r="O171" s="489">
        <v>0</v>
      </c>
      <c r="P171" s="488">
        <v>0</v>
      </c>
      <c r="Q171" s="488">
        <v>0</v>
      </c>
    </row>
    <row r="172" spans="1:17" s="459" customFormat="1" ht="15.75" customHeight="1" x14ac:dyDescent="0.2">
      <c r="A172" s="484">
        <f t="shared" si="12"/>
        <v>164</v>
      </c>
      <c r="B172" s="468" t="s">
        <v>305</v>
      </c>
      <c r="C172" s="518" t="s">
        <v>62</v>
      </c>
      <c r="D172" s="470"/>
      <c r="E172" s="468" t="s">
        <v>674</v>
      </c>
      <c r="F172" s="468" t="s">
        <v>739</v>
      </c>
      <c r="G172" s="468" t="s">
        <v>706</v>
      </c>
      <c r="H172" s="487">
        <v>4</v>
      </c>
      <c r="I172" s="487">
        <v>4</v>
      </c>
      <c r="J172" s="487">
        <v>4</v>
      </c>
      <c r="K172" s="488">
        <v>10545.1</v>
      </c>
      <c r="L172" s="488">
        <v>10545.1</v>
      </c>
      <c r="M172" s="488">
        <v>0</v>
      </c>
      <c r="N172" s="487">
        <v>0</v>
      </c>
      <c r="O172" s="488">
        <v>0</v>
      </c>
      <c r="P172" s="488">
        <v>0</v>
      </c>
      <c r="Q172" s="488">
        <v>0</v>
      </c>
    </row>
    <row r="173" spans="1:17" s="459" customFormat="1" ht="15.75" customHeight="1" x14ac:dyDescent="0.2">
      <c r="A173" s="484">
        <f t="shared" si="12"/>
        <v>165</v>
      </c>
      <c r="B173" s="468" t="s">
        <v>407</v>
      </c>
      <c r="C173" s="518" t="s">
        <v>62</v>
      </c>
      <c r="D173" s="470"/>
      <c r="E173" s="468" t="s">
        <v>674</v>
      </c>
      <c r="F173" s="468" t="s">
        <v>740</v>
      </c>
      <c r="G173" s="468" t="s">
        <v>706</v>
      </c>
      <c r="H173" s="487">
        <v>4</v>
      </c>
      <c r="I173" s="487">
        <v>1</v>
      </c>
      <c r="J173" s="487">
        <v>1</v>
      </c>
      <c r="K173" s="488">
        <v>3866.1</v>
      </c>
      <c r="L173" s="488">
        <v>3866.1</v>
      </c>
      <c r="M173" s="488">
        <v>0</v>
      </c>
      <c r="N173" s="487">
        <v>0</v>
      </c>
      <c r="O173" s="488">
        <v>0</v>
      </c>
      <c r="P173" s="488">
        <v>0</v>
      </c>
      <c r="Q173" s="488">
        <v>0</v>
      </c>
    </row>
    <row r="174" spans="1:17" s="459" customFormat="1" ht="15.75" customHeight="1" x14ac:dyDescent="0.2">
      <c r="A174" s="484">
        <f t="shared" si="12"/>
        <v>166</v>
      </c>
      <c r="B174" s="468" t="s">
        <v>185</v>
      </c>
      <c r="C174" s="518" t="s">
        <v>62</v>
      </c>
      <c r="D174" s="470"/>
      <c r="E174" s="468" t="s">
        <v>674</v>
      </c>
      <c r="F174" s="468" t="s">
        <v>741</v>
      </c>
      <c r="G174" s="468" t="s">
        <v>706</v>
      </c>
      <c r="H174" s="487">
        <v>4</v>
      </c>
      <c r="I174" s="487">
        <v>4</v>
      </c>
      <c r="J174" s="487">
        <v>4</v>
      </c>
      <c r="K174" s="488">
        <v>14698.09</v>
      </c>
      <c r="L174" s="488">
        <v>12312.63</v>
      </c>
      <c r="M174" s="488">
        <v>2385.58</v>
      </c>
      <c r="N174" s="487">
        <v>0</v>
      </c>
      <c r="O174" s="488">
        <v>0</v>
      </c>
      <c r="P174" s="488">
        <v>0</v>
      </c>
      <c r="Q174" s="488">
        <v>0</v>
      </c>
    </row>
    <row r="175" spans="1:17" s="459" customFormat="1" ht="15.75" customHeight="1" x14ac:dyDescent="0.2">
      <c r="A175" s="484">
        <f t="shared" si="12"/>
        <v>167</v>
      </c>
      <c r="B175" s="468" t="s">
        <v>534</v>
      </c>
      <c r="C175" s="518" t="s">
        <v>62</v>
      </c>
      <c r="D175" s="470"/>
      <c r="E175" s="468" t="s">
        <v>674</v>
      </c>
      <c r="F175" s="468" t="s">
        <v>742</v>
      </c>
      <c r="G175" s="468" t="s">
        <v>706</v>
      </c>
      <c r="H175" s="487">
        <v>1</v>
      </c>
      <c r="I175" s="487">
        <v>0</v>
      </c>
      <c r="J175" s="487">
        <v>0</v>
      </c>
      <c r="K175" s="488">
        <v>0</v>
      </c>
      <c r="L175" s="488">
        <v>0</v>
      </c>
      <c r="M175" s="488">
        <v>0</v>
      </c>
      <c r="N175" s="487">
        <v>0</v>
      </c>
      <c r="O175" s="488">
        <v>0</v>
      </c>
      <c r="P175" s="488">
        <v>0</v>
      </c>
      <c r="Q175" s="488">
        <v>0</v>
      </c>
    </row>
    <row r="176" spans="1:17" s="459" customFormat="1" ht="15.75" customHeight="1" x14ac:dyDescent="0.2">
      <c r="A176" s="484">
        <f t="shared" si="12"/>
        <v>168</v>
      </c>
      <c r="B176" s="468" t="s">
        <v>104</v>
      </c>
      <c r="C176" s="518" t="s">
        <v>62</v>
      </c>
      <c r="D176" s="470"/>
      <c r="E176" s="490" t="s">
        <v>730</v>
      </c>
      <c r="F176" s="468" t="s">
        <v>743</v>
      </c>
      <c r="G176" s="468" t="s">
        <v>706</v>
      </c>
      <c r="H176" s="487">
        <v>0</v>
      </c>
      <c r="I176" s="487">
        <v>0</v>
      </c>
      <c r="J176" s="487">
        <v>0</v>
      </c>
      <c r="K176" s="488">
        <v>0</v>
      </c>
      <c r="L176" s="488">
        <v>0</v>
      </c>
      <c r="M176" s="488">
        <v>0</v>
      </c>
      <c r="N176" s="487">
        <v>1</v>
      </c>
      <c r="O176" s="488">
        <v>3187.89</v>
      </c>
      <c r="P176" s="488">
        <v>3187.89</v>
      </c>
      <c r="Q176" s="488">
        <v>0</v>
      </c>
    </row>
    <row r="177" spans="1:17" s="459" customFormat="1" ht="15.75" customHeight="1" x14ac:dyDescent="0.2">
      <c r="A177" s="484">
        <f t="shared" si="12"/>
        <v>169</v>
      </c>
      <c r="B177" s="468" t="s">
        <v>621</v>
      </c>
      <c r="C177" s="518" t="s">
        <v>62</v>
      </c>
      <c r="D177" s="470"/>
      <c r="E177" s="486" t="s">
        <v>158</v>
      </c>
      <c r="F177" s="468" t="s">
        <v>744</v>
      </c>
      <c r="G177" s="468" t="s">
        <v>706</v>
      </c>
      <c r="H177" s="487">
        <v>0</v>
      </c>
      <c r="I177" s="487">
        <v>0</v>
      </c>
      <c r="J177" s="487">
        <v>0</v>
      </c>
      <c r="K177" s="488">
        <v>0</v>
      </c>
      <c r="L177" s="488">
        <v>0</v>
      </c>
      <c r="M177" s="488">
        <v>0</v>
      </c>
      <c r="N177" s="487">
        <v>0</v>
      </c>
      <c r="O177" s="488">
        <v>0</v>
      </c>
      <c r="P177" s="488">
        <v>0</v>
      </c>
      <c r="Q177" s="488">
        <v>0</v>
      </c>
    </row>
    <row r="178" spans="1:17" s="459" customFormat="1" ht="15.75" customHeight="1" x14ac:dyDescent="0.2">
      <c r="A178" s="484">
        <f t="shared" si="12"/>
        <v>170</v>
      </c>
      <c r="B178" s="484" t="s">
        <v>47</v>
      </c>
      <c r="C178" s="516" t="s">
        <v>62</v>
      </c>
      <c r="D178" s="484"/>
      <c r="E178" s="486" t="s">
        <v>677</v>
      </c>
      <c r="F178" s="486" t="s">
        <v>448</v>
      </c>
      <c r="G178" s="510" t="s">
        <v>142</v>
      </c>
      <c r="H178" s="484">
        <v>8</v>
      </c>
      <c r="I178" s="484">
        <v>2</v>
      </c>
      <c r="J178" s="484">
        <v>2</v>
      </c>
      <c r="K178" s="482">
        <v>2522.1</v>
      </c>
      <c r="L178" s="482">
        <v>1233.4000000000001</v>
      </c>
      <c r="M178" s="482">
        <f t="shared" ref="M178:M209" si="13">K178-L178</f>
        <v>1288.6999999999998</v>
      </c>
      <c r="N178" s="484">
        <v>24</v>
      </c>
      <c r="O178" s="482">
        <v>43758.62</v>
      </c>
      <c r="P178" s="482">
        <v>42957.33</v>
      </c>
      <c r="Q178" s="482">
        <f t="shared" ref="Q178:Q209" si="14">O178-P178</f>
        <v>801.29000000000087</v>
      </c>
    </row>
    <row r="179" spans="1:17" s="459" customFormat="1" ht="15.75" customHeight="1" x14ac:dyDescent="0.2">
      <c r="A179" s="484">
        <f t="shared" si="12"/>
        <v>171</v>
      </c>
      <c r="B179" s="484" t="s">
        <v>55</v>
      </c>
      <c r="C179" s="516" t="s">
        <v>62</v>
      </c>
      <c r="D179" s="484"/>
      <c r="E179" s="486" t="s">
        <v>677</v>
      </c>
      <c r="F179" s="486" t="s">
        <v>449</v>
      </c>
      <c r="G179" s="510" t="s">
        <v>142</v>
      </c>
      <c r="H179" s="484">
        <v>9</v>
      </c>
      <c r="I179" s="484">
        <v>4</v>
      </c>
      <c r="J179" s="484">
        <v>4</v>
      </c>
      <c r="K179" s="482">
        <v>4284.1000000000004</v>
      </c>
      <c r="L179" s="482">
        <v>4284.1000000000004</v>
      </c>
      <c r="M179" s="482">
        <f t="shared" si="13"/>
        <v>0</v>
      </c>
      <c r="N179" s="484">
        <v>14</v>
      </c>
      <c r="O179" s="482">
        <v>29300.9</v>
      </c>
      <c r="P179" s="482">
        <v>29300.9</v>
      </c>
      <c r="Q179" s="482">
        <f t="shared" si="14"/>
        <v>0</v>
      </c>
    </row>
    <row r="180" spans="1:17" s="459" customFormat="1" ht="15.75" customHeight="1" x14ac:dyDescent="0.2">
      <c r="A180" s="484">
        <f t="shared" si="12"/>
        <v>172</v>
      </c>
      <c r="B180" s="484" t="s">
        <v>122</v>
      </c>
      <c r="C180" s="516" t="s">
        <v>62</v>
      </c>
      <c r="D180" s="484"/>
      <c r="E180" s="486" t="s">
        <v>699</v>
      </c>
      <c r="F180" s="486" t="s">
        <v>450</v>
      </c>
      <c r="G180" s="510" t="s">
        <v>142</v>
      </c>
      <c r="H180" s="484">
        <v>5</v>
      </c>
      <c r="I180" s="484">
        <v>2</v>
      </c>
      <c r="J180" s="484">
        <v>2</v>
      </c>
      <c r="K180" s="482">
        <v>2301.25</v>
      </c>
      <c r="L180" s="482">
        <v>2301.25</v>
      </c>
      <c r="M180" s="482">
        <f t="shared" si="13"/>
        <v>0</v>
      </c>
      <c r="N180" s="484">
        <v>6</v>
      </c>
      <c r="O180" s="482">
        <v>13201.89</v>
      </c>
      <c r="P180" s="482">
        <v>13201.89</v>
      </c>
      <c r="Q180" s="482">
        <f t="shared" si="14"/>
        <v>0</v>
      </c>
    </row>
    <row r="181" spans="1:17" s="459" customFormat="1" ht="15.75" customHeight="1" x14ac:dyDescent="0.2">
      <c r="A181" s="484">
        <f t="shared" si="12"/>
        <v>173</v>
      </c>
      <c r="B181" s="484" t="s">
        <v>144</v>
      </c>
      <c r="C181" s="516" t="s">
        <v>62</v>
      </c>
      <c r="D181" s="484"/>
      <c r="E181" s="486" t="s">
        <v>677</v>
      </c>
      <c r="F181" s="486" t="s">
        <v>451</v>
      </c>
      <c r="G181" s="510" t="s">
        <v>142</v>
      </c>
      <c r="H181" s="484">
        <v>8</v>
      </c>
      <c r="I181" s="484">
        <v>7</v>
      </c>
      <c r="J181" s="484">
        <v>7</v>
      </c>
      <c r="K181" s="482">
        <v>8121.62</v>
      </c>
      <c r="L181" s="482">
        <v>8121.62</v>
      </c>
      <c r="M181" s="482">
        <f t="shared" si="13"/>
        <v>0</v>
      </c>
      <c r="N181" s="484">
        <v>3</v>
      </c>
      <c r="O181" s="482">
        <v>3595.1</v>
      </c>
      <c r="P181" s="482">
        <v>3595.1</v>
      </c>
      <c r="Q181" s="482">
        <f t="shared" si="14"/>
        <v>0</v>
      </c>
    </row>
    <row r="182" spans="1:17" s="459" customFormat="1" ht="15.75" customHeight="1" x14ac:dyDescent="0.2">
      <c r="A182" s="484">
        <f t="shared" si="12"/>
        <v>174</v>
      </c>
      <c r="B182" s="484" t="s">
        <v>46</v>
      </c>
      <c r="C182" s="516" t="s">
        <v>62</v>
      </c>
      <c r="D182" s="484"/>
      <c r="E182" s="486" t="s">
        <v>678</v>
      </c>
      <c r="F182" s="486" t="s">
        <v>453</v>
      </c>
      <c r="G182" s="510" t="s">
        <v>142</v>
      </c>
      <c r="H182" s="484">
        <v>0</v>
      </c>
      <c r="I182" s="484">
        <v>0</v>
      </c>
      <c r="J182" s="484">
        <v>0</v>
      </c>
      <c r="K182" s="482">
        <v>0</v>
      </c>
      <c r="L182" s="482">
        <v>0</v>
      </c>
      <c r="M182" s="482">
        <f t="shared" si="13"/>
        <v>0</v>
      </c>
      <c r="N182" s="484">
        <v>0</v>
      </c>
      <c r="O182" s="482">
        <v>0</v>
      </c>
      <c r="P182" s="482">
        <v>0</v>
      </c>
      <c r="Q182" s="482">
        <f t="shared" si="14"/>
        <v>0</v>
      </c>
    </row>
    <row r="183" spans="1:17" s="459" customFormat="1" ht="15.75" customHeight="1" x14ac:dyDescent="0.2">
      <c r="A183" s="484">
        <f t="shared" si="12"/>
        <v>175</v>
      </c>
      <c r="B183" s="484" t="s">
        <v>133</v>
      </c>
      <c r="C183" s="516" t="s">
        <v>67</v>
      </c>
      <c r="D183" s="484" t="s">
        <v>494</v>
      </c>
      <c r="E183" s="486" t="s">
        <v>158</v>
      </c>
      <c r="F183" s="486" t="s">
        <v>593</v>
      </c>
      <c r="G183" s="510" t="s">
        <v>142</v>
      </c>
      <c r="H183" s="484">
        <v>0</v>
      </c>
      <c r="I183" s="484">
        <v>0</v>
      </c>
      <c r="J183" s="484">
        <v>0</v>
      </c>
      <c r="K183" s="482">
        <v>0</v>
      </c>
      <c r="L183" s="482">
        <v>0</v>
      </c>
      <c r="M183" s="482">
        <f t="shared" si="13"/>
        <v>0</v>
      </c>
      <c r="N183" s="484">
        <v>0</v>
      </c>
      <c r="O183" s="482">
        <v>0</v>
      </c>
      <c r="P183" s="482">
        <v>0</v>
      </c>
      <c r="Q183" s="482">
        <f t="shared" si="14"/>
        <v>0</v>
      </c>
    </row>
    <row r="184" spans="1:17" s="459" customFormat="1" ht="15.75" customHeight="1" x14ac:dyDescent="0.2">
      <c r="A184" s="484">
        <f t="shared" si="12"/>
        <v>176</v>
      </c>
      <c r="B184" s="484" t="s">
        <v>176</v>
      </c>
      <c r="C184" s="516" t="s">
        <v>62</v>
      </c>
      <c r="D184" s="484"/>
      <c r="E184" s="486" t="s">
        <v>677</v>
      </c>
      <c r="F184" s="486" t="s">
        <v>455</v>
      </c>
      <c r="G184" s="510" t="s">
        <v>142</v>
      </c>
      <c r="H184" s="484">
        <v>12</v>
      </c>
      <c r="I184" s="484">
        <v>10</v>
      </c>
      <c r="J184" s="484">
        <v>10</v>
      </c>
      <c r="K184" s="482">
        <v>11360.06</v>
      </c>
      <c r="L184" s="482">
        <v>11360.06</v>
      </c>
      <c r="M184" s="482">
        <f t="shared" si="13"/>
        <v>0</v>
      </c>
      <c r="N184" s="484">
        <v>0</v>
      </c>
      <c r="O184" s="482">
        <v>0</v>
      </c>
      <c r="P184" s="482">
        <v>0</v>
      </c>
      <c r="Q184" s="482">
        <f t="shared" si="14"/>
        <v>0</v>
      </c>
    </row>
    <row r="185" spans="1:17" s="459" customFormat="1" ht="15.75" customHeight="1" x14ac:dyDescent="0.2">
      <c r="A185" s="484">
        <f t="shared" si="12"/>
        <v>177</v>
      </c>
      <c r="B185" s="484" t="s">
        <v>235</v>
      </c>
      <c r="C185" s="516" t="s">
        <v>62</v>
      </c>
      <c r="D185" s="484"/>
      <c r="E185" s="486" t="s">
        <v>693</v>
      </c>
      <c r="F185" s="486" t="s">
        <v>457</v>
      </c>
      <c r="G185" s="510" t="s">
        <v>142</v>
      </c>
      <c r="H185" s="484">
        <v>4</v>
      </c>
      <c r="I185" s="484">
        <v>3</v>
      </c>
      <c r="J185" s="484">
        <v>3</v>
      </c>
      <c r="K185" s="482">
        <v>2269.65</v>
      </c>
      <c r="L185" s="482">
        <v>2269.65</v>
      </c>
      <c r="M185" s="482">
        <f t="shared" si="13"/>
        <v>0</v>
      </c>
      <c r="N185" s="484">
        <v>0</v>
      </c>
      <c r="O185" s="482">
        <v>0</v>
      </c>
      <c r="P185" s="482">
        <v>0</v>
      </c>
      <c r="Q185" s="482">
        <f t="shared" si="14"/>
        <v>0</v>
      </c>
    </row>
    <row r="186" spans="1:17" s="459" customFormat="1" ht="15.75" customHeight="1" x14ac:dyDescent="0.2">
      <c r="A186" s="484">
        <f t="shared" si="12"/>
        <v>178</v>
      </c>
      <c r="B186" s="484" t="s">
        <v>251</v>
      </c>
      <c r="C186" s="516" t="s">
        <v>62</v>
      </c>
      <c r="D186" s="484"/>
      <c r="E186" s="486" t="s">
        <v>677</v>
      </c>
      <c r="F186" s="486" t="s">
        <v>458</v>
      </c>
      <c r="G186" s="510" t="s">
        <v>142</v>
      </c>
      <c r="H186" s="484">
        <v>6</v>
      </c>
      <c r="I186" s="484">
        <v>3</v>
      </c>
      <c r="J186" s="484">
        <v>3</v>
      </c>
      <c r="K186" s="482">
        <v>3434.7</v>
      </c>
      <c r="L186" s="482">
        <v>3434.7</v>
      </c>
      <c r="M186" s="482">
        <f t="shared" si="13"/>
        <v>0</v>
      </c>
      <c r="N186" s="484">
        <v>0</v>
      </c>
      <c r="O186" s="482">
        <v>0</v>
      </c>
      <c r="P186" s="482">
        <v>0</v>
      </c>
      <c r="Q186" s="482">
        <f t="shared" si="14"/>
        <v>0</v>
      </c>
    </row>
    <row r="187" spans="1:17" s="459" customFormat="1" ht="15.75" customHeight="1" x14ac:dyDescent="0.2">
      <c r="A187" s="484">
        <f t="shared" si="12"/>
        <v>179</v>
      </c>
      <c r="B187" s="484" t="s">
        <v>30</v>
      </c>
      <c r="C187" s="516" t="s">
        <v>62</v>
      </c>
      <c r="D187" s="484"/>
      <c r="E187" s="486" t="s">
        <v>686</v>
      </c>
      <c r="F187" s="486" t="s">
        <v>460</v>
      </c>
      <c r="G187" s="510" t="s">
        <v>142</v>
      </c>
      <c r="H187" s="484">
        <v>1</v>
      </c>
      <c r="I187" s="484">
        <v>0</v>
      </c>
      <c r="J187" s="484">
        <v>0</v>
      </c>
      <c r="K187" s="482">
        <v>0</v>
      </c>
      <c r="L187" s="482">
        <v>0</v>
      </c>
      <c r="M187" s="482">
        <f t="shared" si="13"/>
        <v>0</v>
      </c>
      <c r="N187" s="484">
        <v>0</v>
      </c>
      <c r="O187" s="482">
        <v>0</v>
      </c>
      <c r="P187" s="482">
        <v>0</v>
      </c>
      <c r="Q187" s="482">
        <f t="shared" si="14"/>
        <v>0</v>
      </c>
    </row>
    <row r="188" spans="1:17" s="459" customFormat="1" ht="15.75" customHeight="1" x14ac:dyDescent="0.2">
      <c r="A188" s="484">
        <f t="shared" si="12"/>
        <v>180</v>
      </c>
      <c r="B188" s="484" t="s">
        <v>35</v>
      </c>
      <c r="C188" s="516" t="s">
        <v>62</v>
      </c>
      <c r="D188" s="484"/>
      <c r="E188" s="486" t="s">
        <v>690</v>
      </c>
      <c r="F188" s="486" t="s">
        <v>462</v>
      </c>
      <c r="G188" s="510" t="s">
        <v>142</v>
      </c>
      <c r="H188" s="484">
        <v>1</v>
      </c>
      <c r="I188" s="484">
        <v>0</v>
      </c>
      <c r="J188" s="484">
        <v>0</v>
      </c>
      <c r="K188" s="482">
        <v>0</v>
      </c>
      <c r="L188" s="482">
        <v>0</v>
      </c>
      <c r="M188" s="482">
        <f t="shared" si="13"/>
        <v>0</v>
      </c>
      <c r="N188" s="484">
        <v>0</v>
      </c>
      <c r="O188" s="482">
        <v>0</v>
      </c>
      <c r="P188" s="482">
        <v>0</v>
      </c>
      <c r="Q188" s="482">
        <f t="shared" si="14"/>
        <v>0</v>
      </c>
    </row>
    <row r="189" spans="1:17" s="459" customFormat="1" ht="15.75" customHeight="1" x14ac:dyDescent="0.2">
      <c r="A189" s="484">
        <f t="shared" si="12"/>
        <v>181</v>
      </c>
      <c r="B189" s="517" t="s">
        <v>134</v>
      </c>
      <c r="C189" s="521" t="s">
        <v>62</v>
      </c>
      <c r="D189" s="520"/>
      <c r="E189" s="486" t="s">
        <v>158</v>
      </c>
      <c r="F189" s="517" t="s">
        <v>408</v>
      </c>
      <c r="G189" s="517" t="s">
        <v>409</v>
      </c>
      <c r="H189" s="465">
        <v>26</v>
      </c>
      <c r="I189" s="465">
        <v>11</v>
      </c>
      <c r="J189" s="465">
        <v>11</v>
      </c>
      <c r="K189" s="466">
        <v>11668.56</v>
      </c>
      <c r="L189" s="466">
        <v>9901.2000000000007</v>
      </c>
      <c r="M189" s="482">
        <f t="shared" si="13"/>
        <v>1767.3599999999988</v>
      </c>
      <c r="N189" s="465">
        <v>10</v>
      </c>
      <c r="O189" s="466">
        <v>24976.5</v>
      </c>
      <c r="P189" s="466">
        <v>16876.099999999999</v>
      </c>
      <c r="Q189" s="482">
        <f t="shared" si="14"/>
        <v>8100.4000000000015</v>
      </c>
    </row>
    <row r="190" spans="1:17" s="459" customFormat="1" ht="15.75" customHeight="1" x14ac:dyDescent="0.2">
      <c r="A190" s="484">
        <f t="shared" si="12"/>
        <v>182</v>
      </c>
      <c r="B190" s="517" t="s">
        <v>335</v>
      </c>
      <c r="C190" s="521" t="s">
        <v>62</v>
      </c>
      <c r="D190" s="520"/>
      <c r="E190" s="486" t="s">
        <v>158</v>
      </c>
      <c r="F190" s="517" t="s">
        <v>410</v>
      </c>
      <c r="G190" s="517" t="s">
        <v>409</v>
      </c>
      <c r="H190" s="465">
        <v>16</v>
      </c>
      <c r="I190" s="465">
        <v>2</v>
      </c>
      <c r="J190" s="465">
        <v>2</v>
      </c>
      <c r="K190" s="466">
        <v>8050.29</v>
      </c>
      <c r="L190" s="466">
        <v>5675.4</v>
      </c>
      <c r="M190" s="482">
        <f t="shared" si="13"/>
        <v>2374.8900000000003</v>
      </c>
      <c r="N190" s="465">
        <v>13</v>
      </c>
      <c r="O190" s="466">
        <v>20140.7</v>
      </c>
      <c r="P190" s="466">
        <v>19588.400000000001</v>
      </c>
      <c r="Q190" s="482">
        <f t="shared" si="14"/>
        <v>552.29999999999927</v>
      </c>
    </row>
    <row r="191" spans="1:17" s="459" customFormat="1" ht="15.75" customHeight="1" x14ac:dyDescent="0.2">
      <c r="A191" s="484">
        <f t="shared" si="12"/>
        <v>183</v>
      </c>
      <c r="B191" s="517" t="s">
        <v>46</v>
      </c>
      <c r="C191" s="521" t="s">
        <v>62</v>
      </c>
      <c r="D191" s="520"/>
      <c r="E191" s="486" t="s">
        <v>678</v>
      </c>
      <c r="F191" s="517" t="s">
        <v>411</v>
      </c>
      <c r="G191" s="517" t="s">
        <v>409</v>
      </c>
      <c r="H191" s="465">
        <v>39</v>
      </c>
      <c r="I191" s="465">
        <v>25</v>
      </c>
      <c r="J191" s="465">
        <v>25</v>
      </c>
      <c r="K191" s="466">
        <v>43817.5</v>
      </c>
      <c r="L191" s="466">
        <v>39583.199999999997</v>
      </c>
      <c r="M191" s="482">
        <f t="shared" si="13"/>
        <v>4234.3000000000029</v>
      </c>
      <c r="N191" s="465">
        <v>22</v>
      </c>
      <c r="O191" s="466">
        <v>36901.160000000003</v>
      </c>
      <c r="P191" s="466">
        <v>32130.52</v>
      </c>
      <c r="Q191" s="482">
        <f t="shared" si="14"/>
        <v>4770.6400000000031</v>
      </c>
    </row>
    <row r="192" spans="1:17" s="459" customFormat="1" ht="15.75" customHeight="1" x14ac:dyDescent="0.2">
      <c r="A192" s="484">
        <f t="shared" si="12"/>
        <v>184</v>
      </c>
      <c r="B192" s="517" t="s">
        <v>36</v>
      </c>
      <c r="C192" s="521" t="s">
        <v>62</v>
      </c>
      <c r="D192" s="520"/>
      <c r="E192" s="486" t="s">
        <v>158</v>
      </c>
      <c r="F192" s="517" t="s">
        <v>412</v>
      </c>
      <c r="G192" s="517" t="s">
        <v>409</v>
      </c>
      <c r="H192" s="465">
        <v>27</v>
      </c>
      <c r="I192" s="465">
        <v>20</v>
      </c>
      <c r="J192" s="465">
        <v>20</v>
      </c>
      <c r="K192" s="466">
        <v>36461.949999999997</v>
      </c>
      <c r="L192" s="466">
        <v>33884.550000000003</v>
      </c>
      <c r="M192" s="482">
        <f t="shared" si="13"/>
        <v>2577.3999999999942</v>
      </c>
      <c r="N192" s="465">
        <v>24</v>
      </c>
      <c r="O192" s="466">
        <v>66160.12</v>
      </c>
      <c r="P192" s="466">
        <v>61373.52</v>
      </c>
      <c r="Q192" s="482">
        <f t="shared" si="14"/>
        <v>4786.5999999999985</v>
      </c>
    </row>
    <row r="193" spans="1:17" s="459" customFormat="1" ht="15.75" customHeight="1" x14ac:dyDescent="0.2">
      <c r="A193" s="484">
        <f t="shared" si="12"/>
        <v>185</v>
      </c>
      <c r="B193" s="517" t="s">
        <v>27</v>
      </c>
      <c r="C193" s="521" t="s">
        <v>62</v>
      </c>
      <c r="D193" s="520"/>
      <c r="E193" s="486" t="s">
        <v>158</v>
      </c>
      <c r="F193" s="517" t="s">
        <v>413</v>
      </c>
      <c r="G193" s="517" t="s">
        <v>409</v>
      </c>
      <c r="H193" s="465">
        <v>12</v>
      </c>
      <c r="I193" s="465">
        <v>7</v>
      </c>
      <c r="J193" s="465">
        <v>7</v>
      </c>
      <c r="K193" s="466">
        <v>13369.02</v>
      </c>
      <c r="L193" s="466">
        <v>11514.02</v>
      </c>
      <c r="M193" s="482">
        <f t="shared" si="13"/>
        <v>1855</v>
      </c>
      <c r="N193" s="465">
        <v>10</v>
      </c>
      <c r="O193" s="466">
        <v>19563.2</v>
      </c>
      <c r="P193" s="466">
        <v>19563.2</v>
      </c>
      <c r="Q193" s="482">
        <f t="shared" si="14"/>
        <v>0</v>
      </c>
    </row>
    <row r="194" spans="1:17" s="459" customFormat="1" ht="15.75" customHeight="1" x14ac:dyDescent="0.2">
      <c r="A194" s="484">
        <f t="shared" si="12"/>
        <v>186</v>
      </c>
      <c r="B194" s="517" t="s">
        <v>28</v>
      </c>
      <c r="C194" s="521" t="s">
        <v>62</v>
      </c>
      <c r="D194" s="520"/>
      <c r="E194" s="486" t="s">
        <v>158</v>
      </c>
      <c r="F194" s="517" t="s">
        <v>414</v>
      </c>
      <c r="G194" s="517" t="s">
        <v>409</v>
      </c>
      <c r="H194" s="465">
        <v>29</v>
      </c>
      <c r="I194" s="465">
        <v>20</v>
      </c>
      <c r="J194" s="465">
        <v>20</v>
      </c>
      <c r="K194" s="466">
        <v>30017.47</v>
      </c>
      <c r="L194" s="466">
        <v>28728.77</v>
      </c>
      <c r="M194" s="482">
        <f t="shared" si="13"/>
        <v>1288.7000000000007</v>
      </c>
      <c r="N194" s="465">
        <v>15</v>
      </c>
      <c r="O194" s="466">
        <v>24923.55</v>
      </c>
      <c r="P194" s="466">
        <v>18572.099999999999</v>
      </c>
      <c r="Q194" s="482">
        <f t="shared" si="14"/>
        <v>6351.4500000000007</v>
      </c>
    </row>
    <row r="195" spans="1:17" s="459" customFormat="1" ht="15.75" customHeight="1" x14ac:dyDescent="0.2">
      <c r="A195" s="484">
        <f t="shared" si="12"/>
        <v>187</v>
      </c>
      <c r="B195" s="468" t="s">
        <v>246</v>
      </c>
      <c r="C195" s="518" t="s">
        <v>62</v>
      </c>
      <c r="D195" s="470"/>
      <c r="E195" s="486" t="s">
        <v>158</v>
      </c>
      <c r="F195" s="468" t="s">
        <v>415</v>
      </c>
      <c r="G195" s="517" t="s">
        <v>409</v>
      </c>
      <c r="H195" s="465">
        <v>28</v>
      </c>
      <c r="I195" s="465">
        <v>7</v>
      </c>
      <c r="J195" s="465">
        <v>7</v>
      </c>
      <c r="K195" s="466">
        <v>7611.84</v>
      </c>
      <c r="L195" s="466">
        <v>6907.04</v>
      </c>
      <c r="M195" s="482">
        <f t="shared" si="13"/>
        <v>704.80000000000018</v>
      </c>
      <c r="N195" s="465">
        <v>0</v>
      </c>
      <c r="O195" s="466">
        <v>0</v>
      </c>
      <c r="P195" s="466">
        <v>0</v>
      </c>
      <c r="Q195" s="482">
        <f t="shared" si="14"/>
        <v>0</v>
      </c>
    </row>
    <row r="196" spans="1:17" s="459" customFormat="1" ht="15.75" customHeight="1" x14ac:dyDescent="0.2">
      <c r="A196" s="484">
        <f t="shared" si="12"/>
        <v>188</v>
      </c>
      <c r="B196" s="517" t="s">
        <v>330</v>
      </c>
      <c r="C196" s="518" t="s">
        <v>62</v>
      </c>
      <c r="D196" s="470"/>
      <c r="E196" s="486" t="s">
        <v>158</v>
      </c>
      <c r="F196" s="468" t="s">
        <v>416</v>
      </c>
      <c r="G196" s="517" t="s">
        <v>409</v>
      </c>
      <c r="H196" s="465">
        <v>7</v>
      </c>
      <c r="I196" s="465">
        <v>2</v>
      </c>
      <c r="J196" s="465">
        <v>2</v>
      </c>
      <c r="K196" s="466">
        <v>4050.2</v>
      </c>
      <c r="L196" s="466">
        <v>1841</v>
      </c>
      <c r="M196" s="482">
        <f t="shared" si="13"/>
        <v>2209.1999999999998</v>
      </c>
      <c r="N196" s="465">
        <v>0</v>
      </c>
      <c r="O196" s="466">
        <v>0</v>
      </c>
      <c r="P196" s="466">
        <v>0</v>
      </c>
      <c r="Q196" s="482">
        <f t="shared" si="14"/>
        <v>0</v>
      </c>
    </row>
    <row r="197" spans="1:17" s="459" customFormat="1" ht="15.75" customHeight="1" x14ac:dyDescent="0.2">
      <c r="A197" s="484">
        <f t="shared" si="12"/>
        <v>189</v>
      </c>
      <c r="B197" s="517" t="s">
        <v>402</v>
      </c>
      <c r="C197" s="518" t="s">
        <v>62</v>
      </c>
      <c r="D197" s="470"/>
      <c r="E197" s="486" t="s">
        <v>158</v>
      </c>
      <c r="F197" s="468" t="s">
        <v>417</v>
      </c>
      <c r="G197" s="517" t="s">
        <v>409</v>
      </c>
      <c r="H197" s="465">
        <v>22</v>
      </c>
      <c r="I197" s="465">
        <v>14</v>
      </c>
      <c r="J197" s="465">
        <v>14</v>
      </c>
      <c r="K197" s="466">
        <v>28917.64</v>
      </c>
      <c r="L197" s="466">
        <v>25256.639999999999</v>
      </c>
      <c r="M197" s="482">
        <f t="shared" si="13"/>
        <v>3661</v>
      </c>
      <c r="N197" s="465">
        <v>0</v>
      </c>
      <c r="O197" s="466">
        <v>0</v>
      </c>
      <c r="P197" s="466">
        <v>0</v>
      </c>
      <c r="Q197" s="482">
        <f t="shared" si="14"/>
        <v>0</v>
      </c>
    </row>
    <row r="198" spans="1:17" s="459" customFormat="1" ht="15.75" customHeight="1" x14ac:dyDescent="0.2">
      <c r="A198" s="484">
        <f t="shared" si="12"/>
        <v>190</v>
      </c>
      <c r="B198" s="517" t="s">
        <v>154</v>
      </c>
      <c r="C198" s="518" t="s">
        <v>62</v>
      </c>
      <c r="D198" s="470"/>
      <c r="E198" s="517" t="s">
        <v>158</v>
      </c>
      <c r="F198" s="468" t="s">
        <v>418</v>
      </c>
      <c r="G198" s="517" t="s">
        <v>409</v>
      </c>
      <c r="H198" s="465">
        <v>10</v>
      </c>
      <c r="I198" s="465">
        <v>1</v>
      </c>
      <c r="J198" s="465">
        <v>1</v>
      </c>
      <c r="K198" s="466">
        <v>925.05</v>
      </c>
      <c r="L198" s="466">
        <v>925.05</v>
      </c>
      <c r="M198" s="482">
        <f t="shared" si="13"/>
        <v>0</v>
      </c>
      <c r="N198" s="465">
        <v>8</v>
      </c>
      <c r="O198" s="466">
        <v>13569.2</v>
      </c>
      <c r="P198" s="466">
        <v>13569.2</v>
      </c>
      <c r="Q198" s="482">
        <f t="shared" si="14"/>
        <v>0</v>
      </c>
    </row>
    <row r="199" spans="1:17" s="459" customFormat="1" ht="15.75" customHeight="1" x14ac:dyDescent="0.2">
      <c r="A199" s="484">
        <f t="shared" si="12"/>
        <v>191</v>
      </c>
      <c r="B199" s="517" t="s">
        <v>153</v>
      </c>
      <c r="C199" s="518" t="s">
        <v>62</v>
      </c>
      <c r="D199" s="470"/>
      <c r="E199" s="486" t="s">
        <v>158</v>
      </c>
      <c r="F199" s="468" t="s">
        <v>419</v>
      </c>
      <c r="G199" s="517" t="s">
        <v>409</v>
      </c>
      <c r="H199" s="465">
        <v>4</v>
      </c>
      <c r="I199" s="465">
        <v>1</v>
      </c>
      <c r="J199" s="465">
        <v>1</v>
      </c>
      <c r="K199" s="466">
        <v>1635.8</v>
      </c>
      <c r="L199" s="466">
        <v>1635.8</v>
      </c>
      <c r="M199" s="482">
        <f t="shared" si="13"/>
        <v>0</v>
      </c>
      <c r="N199" s="465">
        <v>18</v>
      </c>
      <c r="O199" s="466">
        <v>63052.81</v>
      </c>
      <c r="P199" s="466">
        <v>63052.81</v>
      </c>
      <c r="Q199" s="482">
        <f t="shared" si="14"/>
        <v>0</v>
      </c>
    </row>
    <row r="200" spans="1:17" s="459" customFormat="1" ht="15.75" customHeight="1" x14ac:dyDescent="0.2">
      <c r="A200" s="484">
        <f t="shared" si="12"/>
        <v>192</v>
      </c>
      <c r="B200" s="517" t="s">
        <v>89</v>
      </c>
      <c r="C200" s="518" t="s">
        <v>62</v>
      </c>
      <c r="D200" s="470"/>
      <c r="E200" s="486" t="s">
        <v>158</v>
      </c>
      <c r="F200" s="468" t="s">
        <v>420</v>
      </c>
      <c r="G200" s="517" t="s">
        <v>409</v>
      </c>
      <c r="H200" s="465">
        <v>14</v>
      </c>
      <c r="I200" s="465">
        <v>7</v>
      </c>
      <c r="J200" s="465">
        <v>7</v>
      </c>
      <c r="K200" s="466">
        <v>11093.25</v>
      </c>
      <c r="L200" s="466">
        <v>9804.5499999999993</v>
      </c>
      <c r="M200" s="482">
        <f t="shared" si="13"/>
        <v>1288.7000000000007</v>
      </c>
      <c r="N200" s="465">
        <v>4</v>
      </c>
      <c r="O200" s="466">
        <v>12828.6</v>
      </c>
      <c r="P200" s="466">
        <v>12828.6</v>
      </c>
      <c r="Q200" s="482">
        <f t="shared" si="14"/>
        <v>0</v>
      </c>
    </row>
    <row r="201" spans="1:17" s="459" customFormat="1" ht="15.75" customHeight="1" x14ac:dyDescent="0.2">
      <c r="A201" s="484">
        <f t="shared" si="12"/>
        <v>193</v>
      </c>
      <c r="B201" s="517" t="s">
        <v>379</v>
      </c>
      <c r="C201" s="518" t="s">
        <v>62</v>
      </c>
      <c r="D201" s="470"/>
      <c r="E201" s="486" t="s">
        <v>158</v>
      </c>
      <c r="F201" s="468" t="s">
        <v>421</v>
      </c>
      <c r="G201" s="517" t="s">
        <v>409</v>
      </c>
      <c r="H201" s="465">
        <v>9</v>
      </c>
      <c r="I201" s="465">
        <v>5</v>
      </c>
      <c r="J201" s="465">
        <v>5</v>
      </c>
      <c r="K201" s="466">
        <v>6120.15</v>
      </c>
      <c r="L201" s="466">
        <v>6120.15</v>
      </c>
      <c r="M201" s="482">
        <f t="shared" si="13"/>
        <v>0</v>
      </c>
      <c r="N201" s="465">
        <v>0</v>
      </c>
      <c r="O201" s="466">
        <v>0</v>
      </c>
      <c r="P201" s="466">
        <v>0</v>
      </c>
      <c r="Q201" s="482">
        <f t="shared" si="14"/>
        <v>0</v>
      </c>
    </row>
    <row r="202" spans="1:17" s="459" customFormat="1" ht="15.75" customHeight="1" x14ac:dyDescent="0.2">
      <c r="A202" s="484">
        <f t="shared" ref="A202:A265" si="15">A201+1</f>
        <v>194</v>
      </c>
      <c r="B202" s="517" t="s">
        <v>264</v>
      </c>
      <c r="C202" s="518" t="s">
        <v>62</v>
      </c>
      <c r="D202" s="470"/>
      <c r="E202" s="486" t="s">
        <v>158</v>
      </c>
      <c r="F202" s="468" t="s">
        <v>422</v>
      </c>
      <c r="G202" s="517" t="s">
        <v>409</v>
      </c>
      <c r="H202" s="465">
        <v>3</v>
      </c>
      <c r="I202" s="465">
        <v>0</v>
      </c>
      <c r="J202" s="465">
        <v>0</v>
      </c>
      <c r="K202" s="466">
        <v>0</v>
      </c>
      <c r="L202" s="466">
        <v>0</v>
      </c>
      <c r="M202" s="482">
        <f t="shared" si="13"/>
        <v>0</v>
      </c>
      <c r="N202" s="465">
        <v>0</v>
      </c>
      <c r="O202" s="466">
        <v>0</v>
      </c>
      <c r="P202" s="466">
        <v>0</v>
      </c>
      <c r="Q202" s="482">
        <f t="shared" si="14"/>
        <v>0</v>
      </c>
    </row>
    <row r="203" spans="1:17" s="459" customFormat="1" ht="15.75" customHeight="1" x14ac:dyDescent="0.2">
      <c r="A203" s="484">
        <f t="shared" si="15"/>
        <v>195</v>
      </c>
      <c r="B203" s="517" t="s">
        <v>475</v>
      </c>
      <c r="C203" s="518" t="s">
        <v>67</v>
      </c>
      <c r="D203" s="520" t="s">
        <v>123</v>
      </c>
      <c r="E203" s="517" t="s">
        <v>158</v>
      </c>
      <c r="F203" s="468" t="s">
        <v>423</v>
      </c>
      <c r="G203" s="517" t="s">
        <v>409</v>
      </c>
      <c r="H203" s="465">
        <v>3</v>
      </c>
      <c r="I203" s="465">
        <v>0</v>
      </c>
      <c r="J203" s="465">
        <v>0</v>
      </c>
      <c r="K203" s="466">
        <v>0</v>
      </c>
      <c r="L203" s="466">
        <v>0</v>
      </c>
      <c r="M203" s="482">
        <f t="shared" si="13"/>
        <v>0</v>
      </c>
      <c r="N203" s="465">
        <v>0</v>
      </c>
      <c r="O203" s="466">
        <v>0</v>
      </c>
      <c r="P203" s="466">
        <v>0</v>
      </c>
      <c r="Q203" s="482">
        <f t="shared" si="14"/>
        <v>0</v>
      </c>
    </row>
    <row r="204" spans="1:17" s="459" customFormat="1" ht="15.75" customHeight="1" x14ac:dyDescent="0.2">
      <c r="A204" s="484">
        <f t="shared" si="15"/>
        <v>196</v>
      </c>
      <c r="B204" s="517" t="s">
        <v>137</v>
      </c>
      <c r="C204" s="518" t="s">
        <v>62</v>
      </c>
      <c r="D204" s="470"/>
      <c r="E204" s="517" t="s">
        <v>158</v>
      </c>
      <c r="F204" s="468" t="s">
        <v>424</v>
      </c>
      <c r="G204" s="517" t="s">
        <v>409</v>
      </c>
      <c r="H204" s="465">
        <v>5</v>
      </c>
      <c r="I204" s="465">
        <v>2</v>
      </c>
      <c r="J204" s="465">
        <v>2</v>
      </c>
      <c r="K204" s="466">
        <v>2243.8200000000002</v>
      </c>
      <c r="L204" s="466">
        <v>1691.52</v>
      </c>
      <c r="M204" s="482">
        <f t="shared" si="13"/>
        <v>552.30000000000018</v>
      </c>
      <c r="N204" s="465">
        <v>1</v>
      </c>
      <c r="O204" s="466">
        <v>2393.3000000000002</v>
      </c>
      <c r="P204" s="466">
        <v>0</v>
      </c>
      <c r="Q204" s="482">
        <f t="shared" si="14"/>
        <v>2393.3000000000002</v>
      </c>
    </row>
    <row r="205" spans="1:17" s="459" customFormat="1" ht="15.75" customHeight="1" x14ac:dyDescent="0.2">
      <c r="A205" s="484">
        <f t="shared" si="15"/>
        <v>197</v>
      </c>
      <c r="B205" s="517" t="s">
        <v>173</v>
      </c>
      <c r="C205" s="518" t="s">
        <v>67</v>
      </c>
      <c r="D205" s="484" t="s">
        <v>478</v>
      </c>
      <c r="E205" s="486" t="s">
        <v>158</v>
      </c>
      <c r="F205" s="468" t="s">
        <v>426</v>
      </c>
      <c r="G205" s="517" t="s">
        <v>409</v>
      </c>
      <c r="H205" s="465">
        <v>13</v>
      </c>
      <c r="I205" s="465">
        <v>8</v>
      </c>
      <c r="J205" s="465">
        <v>8</v>
      </c>
      <c r="K205" s="466">
        <v>13701.62</v>
      </c>
      <c r="L205" s="466">
        <v>7429.36</v>
      </c>
      <c r="M205" s="482">
        <f t="shared" si="13"/>
        <v>6272.2600000000011</v>
      </c>
      <c r="N205" s="465">
        <v>0</v>
      </c>
      <c r="O205" s="466">
        <v>0</v>
      </c>
      <c r="P205" s="466">
        <v>0</v>
      </c>
      <c r="Q205" s="482">
        <f t="shared" si="14"/>
        <v>0</v>
      </c>
    </row>
    <row r="206" spans="1:17" s="459" customFormat="1" ht="15.75" customHeight="1" x14ac:dyDescent="0.2">
      <c r="A206" s="484">
        <f t="shared" si="15"/>
        <v>198</v>
      </c>
      <c r="B206" s="517" t="s">
        <v>135</v>
      </c>
      <c r="C206" s="518" t="s">
        <v>62</v>
      </c>
      <c r="D206" s="470"/>
      <c r="E206" s="486" t="s">
        <v>158</v>
      </c>
      <c r="F206" s="468" t="s">
        <v>427</v>
      </c>
      <c r="G206" s="517" t="s">
        <v>409</v>
      </c>
      <c r="H206" s="465">
        <v>5</v>
      </c>
      <c r="I206" s="465">
        <v>2</v>
      </c>
      <c r="J206" s="465">
        <v>2</v>
      </c>
      <c r="K206" s="466">
        <v>2396.3200000000002</v>
      </c>
      <c r="L206" s="466">
        <v>2396.3200000000002</v>
      </c>
      <c r="M206" s="482">
        <f t="shared" si="13"/>
        <v>0</v>
      </c>
      <c r="N206" s="465">
        <v>10</v>
      </c>
      <c r="O206" s="466">
        <v>21917.97</v>
      </c>
      <c r="P206" s="466">
        <v>16256.42</v>
      </c>
      <c r="Q206" s="482">
        <f t="shared" si="14"/>
        <v>5661.5500000000011</v>
      </c>
    </row>
    <row r="207" spans="1:17" s="459" customFormat="1" ht="15.75" customHeight="1" x14ac:dyDescent="0.2">
      <c r="A207" s="484">
        <f t="shared" si="15"/>
        <v>199</v>
      </c>
      <c r="B207" s="517" t="s">
        <v>148</v>
      </c>
      <c r="C207" s="518" t="s">
        <v>62</v>
      </c>
      <c r="D207" s="470"/>
      <c r="E207" s="517" t="s">
        <v>719</v>
      </c>
      <c r="F207" s="468" t="s">
        <v>375</v>
      </c>
      <c r="G207" s="517" t="s">
        <v>409</v>
      </c>
      <c r="H207" s="465">
        <v>25</v>
      </c>
      <c r="I207" s="465">
        <v>20</v>
      </c>
      <c r="J207" s="465">
        <v>20</v>
      </c>
      <c r="K207" s="466">
        <v>58526.37</v>
      </c>
      <c r="L207" s="466">
        <v>37502.15</v>
      </c>
      <c r="M207" s="482">
        <f t="shared" si="13"/>
        <v>21024.22</v>
      </c>
      <c r="N207" s="465">
        <v>30</v>
      </c>
      <c r="O207" s="466">
        <v>92970.89</v>
      </c>
      <c r="P207" s="466">
        <v>92418.59</v>
      </c>
      <c r="Q207" s="482">
        <f t="shared" si="14"/>
        <v>552.30000000000291</v>
      </c>
    </row>
    <row r="208" spans="1:17" s="459" customFormat="1" ht="15.75" customHeight="1" x14ac:dyDescent="0.2">
      <c r="A208" s="484">
        <f t="shared" si="15"/>
        <v>200</v>
      </c>
      <c r="B208" s="517" t="s">
        <v>147</v>
      </c>
      <c r="C208" s="518" t="s">
        <v>62</v>
      </c>
      <c r="D208" s="470"/>
      <c r="E208" s="486" t="s">
        <v>158</v>
      </c>
      <c r="F208" s="468" t="s">
        <v>331</v>
      </c>
      <c r="G208" s="517" t="s">
        <v>409</v>
      </c>
      <c r="H208" s="465">
        <v>9</v>
      </c>
      <c r="I208" s="465">
        <v>2</v>
      </c>
      <c r="J208" s="465">
        <v>2</v>
      </c>
      <c r="K208" s="466">
        <v>4915.3999999999996</v>
      </c>
      <c r="L208" s="466">
        <v>4915.3999999999996</v>
      </c>
      <c r="M208" s="482">
        <f t="shared" si="13"/>
        <v>0</v>
      </c>
      <c r="N208" s="465">
        <v>10</v>
      </c>
      <c r="O208" s="466">
        <v>22395.4</v>
      </c>
      <c r="P208" s="466">
        <v>22395.4</v>
      </c>
      <c r="Q208" s="482">
        <f t="shared" si="14"/>
        <v>0</v>
      </c>
    </row>
    <row r="209" spans="1:17" s="459" customFormat="1" ht="15.75" customHeight="1" x14ac:dyDescent="0.2">
      <c r="A209" s="484">
        <f t="shared" si="15"/>
        <v>201</v>
      </c>
      <c r="B209" s="517" t="s">
        <v>124</v>
      </c>
      <c r="C209" s="518" t="s">
        <v>62</v>
      </c>
      <c r="D209" s="470"/>
      <c r="E209" s="517" t="s">
        <v>720</v>
      </c>
      <c r="F209" s="468" t="s">
        <v>329</v>
      </c>
      <c r="G209" s="517" t="s">
        <v>409</v>
      </c>
      <c r="H209" s="465">
        <v>17</v>
      </c>
      <c r="I209" s="465">
        <v>11</v>
      </c>
      <c r="J209" s="465">
        <v>11</v>
      </c>
      <c r="K209" s="466">
        <v>14887.37</v>
      </c>
      <c r="L209" s="466">
        <v>14887.37</v>
      </c>
      <c r="M209" s="482">
        <f t="shared" si="13"/>
        <v>0</v>
      </c>
      <c r="N209" s="465">
        <v>26</v>
      </c>
      <c r="O209" s="466">
        <v>35829.449999999997</v>
      </c>
      <c r="P209" s="466">
        <v>35829.449999999997</v>
      </c>
      <c r="Q209" s="482">
        <f t="shared" si="14"/>
        <v>0</v>
      </c>
    </row>
    <row r="210" spans="1:17" s="459" customFormat="1" ht="15.75" customHeight="1" x14ac:dyDescent="0.2">
      <c r="A210" s="484">
        <f t="shared" si="15"/>
        <v>202</v>
      </c>
      <c r="B210" s="517" t="s">
        <v>168</v>
      </c>
      <c r="C210" s="518" t="s">
        <v>62</v>
      </c>
      <c r="D210" s="470"/>
      <c r="E210" s="468" t="s">
        <v>371</v>
      </c>
      <c r="F210" s="468" t="s">
        <v>353</v>
      </c>
      <c r="G210" s="517" t="s">
        <v>409</v>
      </c>
      <c r="H210" s="465">
        <v>7</v>
      </c>
      <c r="I210" s="465">
        <v>1</v>
      </c>
      <c r="J210" s="465">
        <v>1</v>
      </c>
      <c r="K210" s="466">
        <v>1409.6</v>
      </c>
      <c r="L210" s="466">
        <v>1409.6</v>
      </c>
      <c r="M210" s="482">
        <f t="shared" ref="M210:M241" si="16">K210-L210</f>
        <v>0</v>
      </c>
      <c r="N210" s="465">
        <v>0</v>
      </c>
      <c r="O210" s="466">
        <v>0</v>
      </c>
      <c r="P210" s="466">
        <v>0</v>
      </c>
      <c r="Q210" s="482">
        <f t="shared" ref="Q210:Q241" si="17">O210-P210</f>
        <v>0</v>
      </c>
    </row>
    <row r="211" spans="1:17" s="459" customFormat="1" ht="15.75" customHeight="1" x14ac:dyDescent="0.2">
      <c r="A211" s="484">
        <f t="shared" si="15"/>
        <v>203</v>
      </c>
      <c r="B211" s="517" t="s">
        <v>429</v>
      </c>
      <c r="C211" s="518" t="s">
        <v>62</v>
      </c>
      <c r="D211" s="470"/>
      <c r="E211" s="486" t="s">
        <v>158</v>
      </c>
      <c r="F211" s="468" t="s">
        <v>430</v>
      </c>
      <c r="G211" s="517" t="s">
        <v>409</v>
      </c>
      <c r="H211" s="465">
        <v>8</v>
      </c>
      <c r="I211" s="465">
        <v>3</v>
      </c>
      <c r="J211" s="465">
        <v>3</v>
      </c>
      <c r="K211" s="466">
        <v>5178.84</v>
      </c>
      <c r="L211" s="466">
        <v>5178.84</v>
      </c>
      <c r="M211" s="482">
        <f t="shared" si="16"/>
        <v>0</v>
      </c>
      <c r="N211" s="465">
        <v>7</v>
      </c>
      <c r="O211" s="466">
        <v>6995.76</v>
      </c>
      <c r="P211" s="466">
        <v>6995.76</v>
      </c>
      <c r="Q211" s="482">
        <f t="shared" si="17"/>
        <v>0</v>
      </c>
    </row>
    <row r="212" spans="1:17" s="459" customFormat="1" ht="15.75" customHeight="1" x14ac:dyDescent="0.2">
      <c r="A212" s="484">
        <f t="shared" si="15"/>
        <v>204</v>
      </c>
      <c r="B212" s="517" t="s">
        <v>130</v>
      </c>
      <c r="C212" s="518" t="s">
        <v>62</v>
      </c>
      <c r="D212" s="470"/>
      <c r="E212" s="486" t="s">
        <v>158</v>
      </c>
      <c r="F212" s="468" t="s">
        <v>431</v>
      </c>
      <c r="G212" s="517" t="s">
        <v>409</v>
      </c>
      <c r="H212" s="465">
        <v>5</v>
      </c>
      <c r="I212" s="465">
        <v>4</v>
      </c>
      <c r="J212" s="465">
        <v>4</v>
      </c>
      <c r="K212" s="466">
        <v>5204.28</v>
      </c>
      <c r="L212" s="466">
        <v>5204.28</v>
      </c>
      <c r="M212" s="482">
        <f t="shared" si="16"/>
        <v>0</v>
      </c>
      <c r="N212" s="465">
        <v>5</v>
      </c>
      <c r="O212" s="466">
        <v>10391.459999999999</v>
      </c>
      <c r="P212" s="466">
        <v>10391.459999999999</v>
      </c>
      <c r="Q212" s="482">
        <f t="shared" si="17"/>
        <v>0</v>
      </c>
    </row>
    <row r="213" spans="1:17" s="459" customFormat="1" ht="15.75" customHeight="1" x14ac:dyDescent="0.2">
      <c r="A213" s="484">
        <f t="shared" si="15"/>
        <v>205</v>
      </c>
      <c r="B213" s="517" t="s">
        <v>32</v>
      </c>
      <c r="C213" s="518" t="s">
        <v>62</v>
      </c>
      <c r="D213" s="470"/>
      <c r="E213" s="486" t="s">
        <v>158</v>
      </c>
      <c r="F213" s="468" t="s">
        <v>432</v>
      </c>
      <c r="G213" s="517" t="s">
        <v>409</v>
      </c>
      <c r="H213" s="465">
        <v>15</v>
      </c>
      <c r="I213" s="465">
        <v>10</v>
      </c>
      <c r="J213" s="465">
        <v>10</v>
      </c>
      <c r="K213" s="466">
        <v>16181.42</v>
      </c>
      <c r="L213" s="466">
        <v>11468.46</v>
      </c>
      <c r="M213" s="482">
        <f t="shared" si="16"/>
        <v>4712.9600000000009</v>
      </c>
      <c r="N213" s="465">
        <v>9</v>
      </c>
      <c r="O213" s="466">
        <v>18778.12</v>
      </c>
      <c r="P213" s="466">
        <v>17086.599999999999</v>
      </c>
      <c r="Q213" s="482">
        <f t="shared" si="17"/>
        <v>1691.5200000000004</v>
      </c>
    </row>
    <row r="214" spans="1:17" s="459" customFormat="1" ht="15.75" customHeight="1" x14ac:dyDescent="0.2">
      <c r="A214" s="484">
        <f t="shared" si="15"/>
        <v>206</v>
      </c>
      <c r="B214" s="517" t="s">
        <v>343</v>
      </c>
      <c r="C214" s="518" t="s">
        <v>62</v>
      </c>
      <c r="D214" s="470"/>
      <c r="E214" s="486" t="s">
        <v>158</v>
      </c>
      <c r="F214" s="468" t="s">
        <v>433</v>
      </c>
      <c r="G214" s="517" t="s">
        <v>409</v>
      </c>
      <c r="H214" s="465">
        <v>16</v>
      </c>
      <c r="I214" s="465">
        <v>10</v>
      </c>
      <c r="J214" s="465">
        <v>10</v>
      </c>
      <c r="K214" s="466">
        <v>18037.599999999999</v>
      </c>
      <c r="L214" s="466">
        <v>18037.599999999999</v>
      </c>
      <c r="M214" s="482">
        <f t="shared" si="16"/>
        <v>0</v>
      </c>
      <c r="N214" s="465">
        <v>0</v>
      </c>
      <c r="O214" s="466">
        <v>0</v>
      </c>
      <c r="P214" s="466">
        <v>0</v>
      </c>
      <c r="Q214" s="482">
        <f t="shared" si="17"/>
        <v>0</v>
      </c>
    </row>
    <row r="215" spans="1:17" s="459" customFormat="1" ht="15.75" customHeight="1" x14ac:dyDescent="0.2">
      <c r="A215" s="484">
        <f t="shared" si="15"/>
        <v>207</v>
      </c>
      <c r="B215" s="517" t="s">
        <v>290</v>
      </c>
      <c r="C215" s="518" t="s">
        <v>62</v>
      </c>
      <c r="D215" s="470"/>
      <c r="E215" s="468" t="s">
        <v>371</v>
      </c>
      <c r="F215" s="468" t="s">
        <v>434</v>
      </c>
      <c r="G215" s="517" t="s">
        <v>409</v>
      </c>
      <c r="H215" s="465">
        <v>5</v>
      </c>
      <c r="I215" s="465">
        <v>1</v>
      </c>
      <c r="J215" s="465">
        <v>1</v>
      </c>
      <c r="K215" s="466">
        <v>1585.8</v>
      </c>
      <c r="L215" s="466">
        <v>1585.8</v>
      </c>
      <c r="M215" s="482">
        <f t="shared" si="16"/>
        <v>0</v>
      </c>
      <c r="N215" s="465">
        <v>0</v>
      </c>
      <c r="O215" s="466">
        <v>0</v>
      </c>
      <c r="P215" s="466">
        <v>0</v>
      </c>
      <c r="Q215" s="482">
        <f t="shared" si="17"/>
        <v>0</v>
      </c>
    </row>
    <row r="216" spans="1:17" s="459" customFormat="1" ht="15.75" customHeight="1" x14ac:dyDescent="0.2">
      <c r="A216" s="484">
        <f t="shared" si="15"/>
        <v>208</v>
      </c>
      <c r="B216" s="517" t="s">
        <v>315</v>
      </c>
      <c r="C216" s="518" t="s">
        <v>62</v>
      </c>
      <c r="D216" s="470"/>
      <c r="E216" s="486" t="s">
        <v>158</v>
      </c>
      <c r="F216" s="468" t="s">
        <v>435</v>
      </c>
      <c r="G216" s="517" t="s">
        <v>409</v>
      </c>
      <c r="H216" s="465">
        <v>19</v>
      </c>
      <c r="I216" s="465">
        <v>3</v>
      </c>
      <c r="J216" s="465">
        <v>3</v>
      </c>
      <c r="K216" s="466">
        <v>4741</v>
      </c>
      <c r="L216" s="466">
        <v>4741</v>
      </c>
      <c r="M216" s="482">
        <f t="shared" si="16"/>
        <v>0</v>
      </c>
      <c r="N216" s="465">
        <v>5</v>
      </c>
      <c r="O216" s="466">
        <v>7208.02</v>
      </c>
      <c r="P216" s="466">
        <v>7208.02</v>
      </c>
      <c r="Q216" s="482">
        <f t="shared" si="17"/>
        <v>0</v>
      </c>
    </row>
    <row r="217" spans="1:17" s="459" customFormat="1" ht="15.75" customHeight="1" x14ac:dyDescent="0.2">
      <c r="A217" s="484">
        <f t="shared" si="15"/>
        <v>209</v>
      </c>
      <c r="B217" s="517" t="s">
        <v>216</v>
      </c>
      <c r="C217" s="518" t="s">
        <v>67</v>
      </c>
      <c r="D217" s="470" t="s">
        <v>436</v>
      </c>
      <c r="E217" s="486" t="s">
        <v>158</v>
      </c>
      <c r="F217" s="468" t="s">
        <v>437</v>
      </c>
      <c r="G217" s="517" t="s">
        <v>409</v>
      </c>
      <c r="H217" s="465">
        <v>20</v>
      </c>
      <c r="I217" s="465">
        <v>7</v>
      </c>
      <c r="J217" s="465">
        <v>7</v>
      </c>
      <c r="K217" s="466">
        <v>13299.66</v>
      </c>
      <c r="L217" s="466">
        <v>12747.36</v>
      </c>
      <c r="M217" s="482">
        <f t="shared" si="16"/>
        <v>552.29999999999927</v>
      </c>
      <c r="N217" s="465">
        <v>0</v>
      </c>
      <c r="O217" s="466">
        <v>0</v>
      </c>
      <c r="P217" s="466">
        <v>0</v>
      </c>
      <c r="Q217" s="482">
        <f t="shared" si="17"/>
        <v>0</v>
      </c>
    </row>
    <row r="218" spans="1:17" s="459" customFormat="1" ht="15.75" customHeight="1" x14ac:dyDescent="0.2">
      <c r="A218" s="484">
        <f t="shared" si="15"/>
        <v>210</v>
      </c>
      <c r="B218" s="517" t="s">
        <v>438</v>
      </c>
      <c r="C218" s="518" t="s">
        <v>62</v>
      </c>
      <c r="D218" s="470"/>
      <c r="E218" s="486" t="s">
        <v>158</v>
      </c>
      <c r="F218" s="468" t="s">
        <v>439</v>
      </c>
      <c r="G218" s="517" t="s">
        <v>409</v>
      </c>
      <c r="H218" s="465">
        <v>7</v>
      </c>
      <c r="I218" s="465">
        <v>1</v>
      </c>
      <c r="J218" s="465">
        <v>1</v>
      </c>
      <c r="K218" s="466">
        <v>3497.9</v>
      </c>
      <c r="L218" s="466">
        <v>0</v>
      </c>
      <c r="M218" s="482">
        <f t="shared" si="16"/>
        <v>3497.9</v>
      </c>
      <c r="N218" s="465">
        <v>0</v>
      </c>
      <c r="O218" s="466">
        <v>0</v>
      </c>
      <c r="P218" s="466">
        <v>0</v>
      </c>
      <c r="Q218" s="482">
        <f t="shared" si="17"/>
        <v>0</v>
      </c>
    </row>
    <row r="219" spans="1:17" s="459" customFormat="1" ht="15.75" customHeight="1" x14ac:dyDescent="0.2">
      <c r="A219" s="484">
        <f t="shared" si="15"/>
        <v>211</v>
      </c>
      <c r="B219" s="517" t="s">
        <v>440</v>
      </c>
      <c r="C219" s="518" t="s">
        <v>62</v>
      </c>
      <c r="D219" s="470"/>
      <c r="E219" s="486" t="s">
        <v>158</v>
      </c>
      <c r="F219" s="468" t="s">
        <v>441</v>
      </c>
      <c r="G219" s="517" t="s">
        <v>409</v>
      </c>
      <c r="H219" s="465">
        <v>7</v>
      </c>
      <c r="I219" s="465">
        <v>3</v>
      </c>
      <c r="J219" s="465">
        <v>3</v>
      </c>
      <c r="K219" s="466">
        <v>3171.6</v>
      </c>
      <c r="L219" s="466">
        <v>3171.6</v>
      </c>
      <c r="M219" s="482">
        <f t="shared" si="16"/>
        <v>0</v>
      </c>
      <c r="N219" s="465">
        <v>0</v>
      </c>
      <c r="O219" s="466">
        <v>0</v>
      </c>
      <c r="P219" s="466">
        <v>0</v>
      </c>
      <c r="Q219" s="482">
        <f t="shared" si="17"/>
        <v>0</v>
      </c>
    </row>
    <row r="220" spans="1:17" s="459" customFormat="1" ht="15.75" customHeight="1" x14ac:dyDescent="0.2">
      <c r="A220" s="484">
        <f t="shared" si="15"/>
        <v>212</v>
      </c>
      <c r="B220" s="517" t="s">
        <v>222</v>
      </c>
      <c r="C220" s="518" t="s">
        <v>64</v>
      </c>
      <c r="D220" s="484" t="s">
        <v>486</v>
      </c>
      <c r="E220" s="486" t="s">
        <v>158</v>
      </c>
      <c r="F220" s="468" t="s">
        <v>443</v>
      </c>
      <c r="G220" s="517" t="s">
        <v>409</v>
      </c>
      <c r="H220" s="465">
        <v>1</v>
      </c>
      <c r="I220" s="465">
        <v>0</v>
      </c>
      <c r="J220" s="465">
        <v>0</v>
      </c>
      <c r="K220" s="466">
        <v>0</v>
      </c>
      <c r="L220" s="466">
        <v>0</v>
      </c>
      <c r="M220" s="482">
        <f t="shared" si="16"/>
        <v>0</v>
      </c>
      <c r="N220" s="465">
        <v>0</v>
      </c>
      <c r="O220" s="466">
        <v>0</v>
      </c>
      <c r="P220" s="466">
        <v>0</v>
      </c>
      <c r="Q220" s="482">
        <f t="shared" si="17"/>
        <v>0</v>
      </c>
    </row>
    <row r="221" spans="1:17" s="459" customFormat="1" ht="15.75" customHeight="1" x14ac:dyDescent="0.2">
      <c r="A221" s="484">
        <f t="shared" si="15"/>
        <v>213</v>
      </c>
      <c r="B221" s="517" t="s">
        <v>444</v>
      </c>
      <c r="C221" s="518" t="s">
        <v>62</v>
      </c>
      <c r="D221" s="470"/>
      <c r="E221" s="486" t="s">
        <v>158</v>
      </c>
      <c r="F221" s="468" t="s">
        <v>445</v>
      </c>
      <c r="G221" s="517" t="s">
        <v>409</v>
      </c>
      <c r="H221" s="465">
        <v>5</v>
      </c>
      <c r="I221" s="465">
        <v>5</v>
      </c>
      <c r="J221" s="465">
        <v>5</v>
      </c>
      <c r="K221" s="466">
        <v>3802.9</v>
      </c>
      <c r="L221" s="466">
        <v>1409.6</v>
      </c>
      <c r="M221" s="482">
        <f t="shared" si="16"/>
        <v>2393.3000000000002</v>
      </c>
      <c r="N221" s="465">
        <v>0</v>
      </c>
      <c r="O221" s="466">
        <v>0</v>
      </c>
      <c r="P221" s="466">
        <v>0</v>
      </c>
      <c r="Q221" s="482">
        <f t="shared" si="17"/>
        <v>0</v>
      </c>
    </row>
    <row r="222" spans="1:17" s="459" customFormat="1" ht="15.75" customHeight="1" x14ac:dyDescent="0.2">
      <c r="A222" s="484">
        <f t="shared" si="15"/>
        <v>214</v>
      </c>
      <c r="B222" s="517" t="s">
        <v>129</v>
      </c>
      <c r="C222" s="518" t="s">
        <v>62</v>
      </c>
      <c r="D222" s="470"/>
      <c r="E222" s="486" t="s">
        <v>158</v>
      </c>
      <c r="F222" s="468" t="s">
        <v>446</v>
      </c>
      <c r="G222" s="517" t="s">
        <v>409</v>
      </c>
      <c r="H222" s="465">
        <v>9</v>
      </c>
      <c r="I222" s="465">
        <v>5</v>
      </c>
      <c r="J222" s="465">
        <v>5</v>
      </c>
      <c r="K222" s="466">
        <v>6080.63</v>
      </c>
      <c r="L222" s="466">
        <v>3015.4</v>
      </c>
      <c r="M222" s="482">
        <f t="shared" si="16"/>
        <v>3065.23</v>
      </c>
      <c r="N222" s="465">
        <v>12</v>
      </c>
      <c r="O222" s="466">
        <v>25243.58</v>
      </c>
      <c r="P222" s="466">
        <v>16183.86</v>
      </c>
      <c r="Q222" s="482">
        <f t="shared" si="17"/>
        <v>9059.7200000000012</v>
      </c>
    </row>
    <row r="223" spans="1:17" s="459" customFormat="1" ht="15.75" customHeight="1" x14ac:dyDescent="0.2">
      <c r="A223" s="484">
        <f t="shared" si="15"/>
        <v>215</v>
      </c>
      <c r="B223" s="468" t="s">
        <v>104</v>
      </c>
      <c r="C223" s="518" t="s">
        <v>62</v>
      </c>
      <c r="D223" s="470"/>
      <c r="E223" s="490" t="s">
        <v>730</v>
      </c>
      <c r="F223" s="468" t="s">
        <v>447</v>
      </c>
      <c r="G223" s="517" t="s">
        <v>409</v>
      </c>
      <c r="H223" s="465">
        <v>0</v>
      </c>
      <c r="I223" s="465">
        <v>0</v>
      </c>
      <c r="J223" s="465">
        <v>0</v>
      </c>
      <c r="K223" s="466">
        <v>0</v>
      </c>
      <c r="L223" s="466">
        <v>0</v>
      </c>
      <c r="M223" s="482">
        <f t="shared" si="16"/>
        <v>0</v>
      </c>
      <c r="N223" s="465">
        <v>7</v>
      </c>
      <c r="O223" s="466">
        <v>5726.5</v>
      </c>
      <c r="P223" s="466">
        <v>5726.5</v>
      </c>
      <c r="Q223" s="482">
        <f t="shared" si="17"/>
        <v>0</v>
      </c>
    </row>
    <row r="224" spans="1:17" s="459" customFormat="1" ht="15.75" customHeight="1" x14ac:dyDescent="0.2">
      <c r="A224" s="484">
        <f t="shared" si="15"/>
        <v>216</v>
      </c>
      <c r="B224" s="468" t="s">
        <v>156</v>
      </c>
      <c r="C224" s="518" t="s">
        <v>67</v>
      </c>
      <c r="D224" s="470" t="s">
        <v>745</v>
      </c>
      <c r="E224" s="486" t="s">
        <v>158</v>
      </c>
      <c r="F224" s="468" t="s">
        <v>502</v>
      </c>
      <c r="G224" s="517" t="s">
        <v>409</v>
      </c>
      <c r="H224" s="465">
        <v>4</v>
      </c>
      <c r="I224" s="465">
        <v>0</v>
      </c>
      <c r="J224" s="465">
        <v>0</v>
      </c>
      <c r="K224" s="466">
        <v>0</v>
      </c>
      <c r="L224" s="466">
        <v>0</v>
      </c>
      <c r="M224" s="482">
        <f t="shared" si="16"/>
        <v>0</v>
      </c>
      <c r="N224" s="465">
        <v>5</v>
      </c>
      <c r="O224" s="466">
        <v>8865.2999999999993</v>
      </c>
      <c r="P224" s="466">
        <v>8865.2999999999993</v>
      </c>
      <c r="Q224" s="482">
        <f t="shared" si="17"/>
        <v>0</v>
      </c>
    </row>
    <row r="225" spans="1:17" s="459" customFormat="1" ht="15.75" customHeight="1" x14ac:dyDescent="0.2">
      <c r="A225" s="484">
        <f t="shared" si="15"/>
        <v>217</v>
      </c>
      <c r="B225" s="468" t="s">
        <v>133</v>
      </c>
      <c r="C225" s="518" t="s">
        <v>67</v>
      </c>
      <c r="D225" s="484" t="s">
        <v>494</v>
      </c>
      <c r="E225" s="486" t="s">
        <v>158</v>
      </c>
      <c r="F225" s="468" t="s">
        <v>503</v>
      </c>
      <c r="G225" s="517" t="s">
        <v>409</v>
      </c>
      <c r="H225" s="465">
        <v>11</v>
      </c>
      <c r="I225" s="465">
        <v>5</v>
      </c>
      <c r="J225" s="465">
        <v>5</v>
      </c>
      <c r="K225" s="466">
        <v>13731.4</v>
      </c>
      <c r="L225" s="466">
        <v>13731.4</v>
      </c>
      <c r="M225" s="482">
        <f t="shared" si="16"/>
        <v>0</v>
      </c>
      <c r="N225" s="465">
        <v>18</v>
      </c>
      <c r="O225" s="466">
        <v>45265.08</v>
      </c>
      <c r="P225" s="466">
        <v>42255.08</v>
      </c>
      <c r="Q225" s="482">
        <f t="shared" si="17"/>
        <v>3010</v>
      </c>
    </row>
    <row r="226" spans="1:17" ht="15.75" customHeight="1" x14ac:dyDescent="0.2">
      <c r="A226" s="484">
        <f t="shared" si="15"/>
        <v>218</v>
      </c>
      <c r="B226" s="468" t="s">
        <v>114</v>
      </c>
      <c r="C226" s="518" t="s">
        <v>62</v>
      </c>
      <c r="D226" s="470"/>
      <c r="E226" s="486" t="s">
        <v>691</v>
      </c>
      <c r="F226" s="468" t="s">
        <v>504</v>
      </c>
      <c r="G226" s="517" t="s">
        <v>409</v>
      </c>
      <c r="H226" s="465">
        <v>3</v>
      </c>
      <c r="I226" s="465">
        <v>0</v>
      </c>
      <c r="J226" s="465">
        <v>0</v>
      </c>
      <c r="K226" s="466">
        <v>0</v>
      </c>
      <c r="L226" s="466">
        <v>0</v>
      </c>
      <c r="M226" s="482">
        <f t="shared" si="16"/>
        <v>0</v>
      </c>
      <c r="N226" s="465">
        <v>4</v>
      </c>
      <c r="O226" s="466">
        <v>3524</v>
      </c>
      <c r="P226" s="466">
        <v>3524</v>
      </c>
      <c r="Q226" s="482">
        <f t="shared" si="17"/>
        <v>0</v>
      </c>
    </row>
    <row r="227" spans="1:17" ht="15.75" customHeight="1" x14ac:dyDescent="0.2">
      <c r="A227" s="484">
        <f t="shared" si="15"/>
        <v>219</v>
      </c>
      <c r="B227" s="468" t="s">
        <v>505</v>
      </c>
      <c r="C227" s="518" t="s">
        <v>62</v>
      </c>
      <c r="D227" s="470"/>
      <c r="E227" s="486" t="s">
        <v>158</v>
      </c>
      <c r="F227" s="468" t="s">
        <v>506</v>
      </c>
      <c r="G227" s="517" t="s">
        <v>409</v>
      </c>
      <c r="H227" s="465">
        <v>3</v>
      </c>
      <c r="I227" s="465">
        <v>0</v>
      </c>
      <c r="J227" s="465">
        <v>0</v>
      </c>
      <c r="K227" s="466">
        <v>0</v>
      </c>
      <c r="L227" s="466">
        <v>0</v>
      </c>
      <c r="M227" s="482">
        <f t="shared" si="16"/>
        <v>0</v>
      </c>
      <c r="N227" s="465">
        <v>0</v>
      </c>
      <c r="O227" s="466">
        <v>0</v>
      </c>
      <c r="P227" s="466">
        <v>0</v>
      </c>
      <c r="Q227" s="482">
        <f t="shared" si="17"/>
        <v>0</v>
      </c>
    </row>
    <row r="228" spans="1:17" ht="15.75" customHeight="1" x14ac:dyDescent="0.2">
      <c r="A228" s="484">
        <f t="shared" si="15"/>
        <v>220</v>
      </c>
      <c r="B228" s="468" t="s">
        <v>473</v>
      </c>
      <c r="C228" s="518" t="s">
        <v>62</v>
      </c>
      <c r="D228" s="470"/>
      <c r="E228" s="486" t="s">
        <v>158</v>
      </c>
      <c r="F228" s="468" t="s">
        <v>558</v>
      </c>
      <c r="G228" s="517" t="s">
        <v>409</v>
      </c>
      <c r="H228" s="465">
        <v>3</v>
      </c>
      <c r="I228" s="465">
        <v>0</v>
      </c>
      <c r="J228" s="465">
        <v>0</v>
      </c>
      <c r="K228" s="466">
        <v>0</v>
      </c>
      <c r="L228" s="466">
        <v>0</v>
      </c>
      <c r="M228" s="482">
        <f t="shared" si="16"/>
        <v>0</v>
      </c>
      <c r="N228" s="465">
        <v>0</v>
      </c>
      <c r="O228" s="466">
        <v>0</v>
      </c>
      <c r="P228" s="466">
        <v>0</v>
      </c>
      <c r="Q228" s="482">
        <f t="shared" si="17"/>
        <v>0</v>
      </c>
    </row>
    <row r="229" spans="1:17" ht="15.75" customHeight="1" x14ac:dyDescent="0.2">
      <c r="A229" s="484">
        <f t="shared" si="15"/>
        <v>221</v>
      </c>
      <c r="B229" s="468" t="s">
        <v>376</v>
      </c>
      <c r="C229" s="518" t="s">
        <v>62</v>
      </c>
      <c r="D229" s="470"/>
      <c r="E229" s="486" t="s">
        <v>158</v>
      </c>
      <c r="F229" s="468" t="s">
        <v>559</v>
      </c>
      <c r="G229" s="517" t="s">
        <v>409</v>
      </c>
      <c r="H229" s="465">
        <v>3</v>
      </c>
      <c r="I229" s="465">
        <v>0</v>
      </c>
      <c r="J229" s="465">
        <v>0</v>
      </c>
      <c r="K229" s="466">
        <v>0</v>
      </c>
      <c r="L229" s="466">
        <v>0</v>
      </c>
      <c r="M229" s="482">
        <f t="shared" si="16"/>
        <v>0</v>
      </c>
      <c r="N229" s="465">
        <v>0</v>
      </c>
      <c r="O229" s="466">
        <v>0</v>
      </c>
      <c r="P229" s="466">
        <v>0</v>
      </c>
      <c r="Q229" s="482">
        <f t="shared" si="17"/>
        <v>0</v>
      </c>
    </row>
    <row r="230" spans="1:17" ht="15.75" customHeight="1" x14ac:dyDescent="0.2">
      <c r="A230" s="484">
        <f t="shared" si="15"/>
        <v>222</v>
      </c>
      <c r="B230" s="468" t="s">
        <v>119</v>
      </c>
      <c r="C230" s="518" t="s">
        <v>62</v>
      </c>
      <c r="D230" s="470"/>
      <c r="E230" s="486" t="s">
        <v>158</v>
      </c>
      <c r="F230" s="468" t="s">
        <v>560</v>
      </c>
      <c r="G230" s="517" t="s">
        <v>409</v>
      </c>
      <c r="H230" s="465">
        <v>8</v>
      </c>
      <c r="I230" s="465">
        <v>1</v>
      </c>
      <c r="J230" s="465">
        <v>1</v>
      </c>
      <c r="K230" s="466">
        <v>1691.52</v>
      </c>
      <c r="L230" s="466">
        <v>1691.52</v>
      </c>
      <c r="M230" s="482">
        <f t="shared" si="16"/>
        <v>0</v>
      </c>
      <c r="N230" s="465">
        <v>14</v>
      </c>
      <c r="O230" s="466">
        <v>20900.5</v>
      </c>
      <c r="P230" s="466">
        <v>20900.5</v>
      </c>
      <c r="Q230" s="482">
        <f t="shared" si="17"/>
        <v>0</v>
      </c>
    </row>
    <row r="231" spans="1:17" ht="15.75" customHeight="1" x14ac:dyDescent="0.2">
      <c r="A231" s="484">
        <f t="shared" si="15"/>
        <v>223</v>
      </c>
      <c r="B231" s="468" t="s">
        <v>47</v>
      </c>
      <c r="C231" s="518" t="s">
        <v>62</v>
      </c>
      <c r="D231" s="470"/>
      <c r="E231" s="486" t="s">
        <v>677</v>
      </c>
      <c r="F231" s="468" t="s">
        <v>589</v>
      </c>
      <c r="G231" s="517" t="s">
        <v>409</v>
      </c>
      <c r="H231" s="465">
        <v>0</v>
      </c>
      <c r="I231" s="465">
        <v>0</v>
      </c>
      <c r="J231" s="465">
        <v>0</v>
      </c>
      <c r="K231" s="466">
        <v>0</v>
      </c>
      <c r="L231" s="466">
        <v>0</v>
      </c>
      <c r="M231" s="482">
        <f t="shared" si="16"/>
        <v>0</v>
      </c>
      <c r="N231" s="465">
        <v>1</v>
      </c>
      <c r="O231" s="466">
        <v>6554.64</v>
      </c>
      <c r="P231" s="466">
        <v>6554.64</v>
      </c>
      <c r="Q231" s="482">
        <f t="shared" si="17"/>
        <v>0</v>
      </c>
    </row>
    <row r="232" spans="1:17" ht="15.75" customHeight="1" x14ac:dyDescent="0.2">
      <c r="A232" s="484">
        <f t="shared" si="15"/>
        <v>224</v>
      </c>
      <c r="B232" s="468" t="s">
        <v>37</v>
      </c>
      <c r="C232" s="518" t="s">
        <v>62</v>
      </c>
      <c r="D232" s="470"/>
      <c r="E232" s="486" t="s">
        <v>158</v>
      </c>
      <c r="F232" s="468" t="s">
        <v>590</v>
      </c>
      <c r="G232" s="517" t="s">
        <v>409</v>
      </c>
      <c r="H232" s="465">
        <v>4</v>
      </c>
      <c r="I232" s="465">
        <v>0</v>
      </c>
      <c r="J232" s="465">
        <v>0</v>
      </c>
      <c r="K232" s="466">
        <v>0</v>
      </c>
      <c r="L232" s="466">
        <v>0</v>
      </c>
      <c r="M232" s="482">
        <f t="shared" si="16"/>
        <v>0</v>
      </c>
      <c r="N232" s="465">
        <v>0</v>
      </c>
      <c r="O232" s="466">
        <v>0</v>
      </c>
      <c r="P232" s="466">
        <v>0</v>
      </c>
      <c r="Q232" s="482">
        <f t="shared" si="17"/>
        <v>0</v>
      </c>
    </row>
    <row r="233" spans="1:17" ht="15.75" customHeight="1" x14ac:dyDescent="0.2">
      <c r="A233" s="484">
        <f t="shared" si="15"/>
        <v>225</v>
      </c>
      <c r="B233" s="468" t="s">
        <v>97</v>
      </c>
      <c r="C233" s="518" t="s">
        <v>62</v>
      </c>
      <c r="D233" s="470"/>
      <c r="E233" s="486" t="s">
        <v>158</v>
      </c>
      <c r="F233" s="468" t="s">
        <v>591</v>
      </c>
      <c r="G233" s="517" t="s">
        <v>409</v>
      </c>
      <c r="H233" s="465">
        <v>4</v>
      </c>
      <c r="I233" s="465">
        <v>2</v>
      </c>
      <c r="J233" s="465">
        <v>2</v>
      </c>
      <c r="K233" s="466">
        <v>3626.7</v>
      </c>
      <c r="L233" s="466">
        <v>3626.7</v>
      </c>
      <c r="M233" s="482">
        <f t="shared" si="16"/>
        <v>0</v>
      </c>
      <c r="N233" s="465">
        <v>3</v>
      </c>
      <c r="O233" s="466">
        <v>4570.8999999999996</v>
      </c>
      <c r="P233" s="466">
        <v>4570.8999999999996</v>
      </c>
      <c r="Q233" s="482">
        <f t="shared" si="17"/>
        <v>0</v>
      </c>
    </row>
    <row r="234" spans="1:17" ht="15.75" customHeight="1" x14ac:dyDescent="0.2">
      <c r="A234" s="484">
        <f t="shared" si="15"/>
        <v>226</v>
      </c>
      <c r="B234" s="468" t="s">
        <v>613</v>
      </c>
      <c r="C234" s="518" t="s">
        <v>62</v>
      </c>
      <c r="D234" s="470"/>
      <c r="E234" s="486" t="s">
        <v>158</v>
      </c>
      <c r="F234" s="468" t="s">
        <v>614</v>
      </c>
      <c r="G234" s="517" t="s">
        <v>409</v>
      </c>
      <c r="H234" s="465">
        <v>6</v>
      </c>
      <c r="I234" s="465">
        <v>2</v>
      </c>
      <c r="J234" s="465">
        <v>2</v>
      </c>
      <c r="K234" s="466">
        <v>1585.8</v>
      </c>
      <c r="L234" s="466">
        <v>1585.8</v>
      </c>
      <c r="M234" s="482">
        <f t="shared" si="16"/>
        <v>0</v>
      </c>
      <c r="N234" s="465">
        <v>3</v>
      </c>
      <c r="O234" s="466">
        <v>616.70000000000005</v>
      </c>
      <c r="P234" s="466">
        <v>616.70000000000005</v>
      </c>
      <c r="Q234" s="482">
        <f t="shared" si="17"/>
        <v>0</v>
      </c>
    </row>
    <row r="235" spans="1:17" ht="15.75" customHeight="1" x14ac:dyDescent="0.2">
      <c r="A235" s="484">
        <f t="shared" si="15"/>
        <v>227</v>
      </c>
      <c r="B235" s="468" t="s">
        <v>615</v>
      </c>
      <c r="C235" s="518" t="s">
        <v>62</v>
      </c>
      <c r="D235" s="470"/>
      <c r="E235" s="486" t="s">
        <v>158</v>
      </c>
      <c r="F235" s="468" t="s">
        <v>616</v>
      </c>
      <c r="G235" s="517" t="s">
        <v>409</v>
      </c>
      <c r="H235" s="465">
        <v>6</v>
      </c>
      <c r="I235" s="465">
        <v>0</v>
      </c>
      <c r="J235" s="465">
        <v>0</v>
      </c>
      <c r="K235" s="466">
        <v>0</v>
      </c>
      <c r="L235" s="466">
        <v>0</v>
      </c>
      <c r="M235" s="482">
        <f t="shared" si="16"/>
        <v>0</v>
      </c>
      <c r="N235" s="465">
        <v>0</v>
      </c>
      <c r="O235" s="466">
        <v>0</v>
      </c>
      <c r="P235" s="466">
        <v>0</v>
      </c>
      <c r="Q235" s="482">
        <f t="shared" si="17"/>
        <v>0</v>
      </c>
    </row>
    <row r="236" spans="1:17" ht="15.75" customHeight="1" x14ac:dyDescent="0.2">
      <c r="A236" s="484">
        <f t="shared" si="15"/>
        <v>228</v>
      </c>
      <c r="B236" s="468" t="s">
        <v>357</v>
      </c>
      <c r="C236" s="519" t="s">
        <v>64</v>
      </c>
      <c r="D236" s="470" t="s">
        <v>585</v>
      </c>
      <c r="E236" s="486" t="s">
        <v>158</v>
      </c>
      <c r="F236" s="468" t="s">
        <v>618</v>
      </c>
      <c r="G236" s="517" t="s">
        <v>409</v>
      </c>
      <c r="H236" s="465">
        <v>6</v>
      </c>
      <c r="I236" s="465">
        <v>1</v>
      </c>
      <c r="J236" s="465">
        <v>1</v>
      </c>
      <c r="K236" s="466">
        <v>1057.2</v>
      </c>
      <c r="L236" s="466">
        <v>0</v>
      </c>
      <c r="M236" s="482">
        <f t="shared" si="16"/>
        <v>1057.2</v>
      </c>
      <c r="N236" s="465">
        <v>3</v>
      </c>
      <c r="O236" s="466">
        <v>5236.2</v>
      </c>
      <c r="P236" s="466">
        <v>1762</v>
      </c>
      <c r="Q236" s="482">
        <f t="shared" si="17"/>
        <v>3474.2</v>
      </c>
    </row>
    <row r="237" spans="1:17" ht="15.75" customHeight="1" x14ac:dyDescent="0.2">
      <c r="A237" s="484">
        <f t="shared" si="15"/>
        <v>229</v>
      </c>
      <c r="B237" s="468" t="s">
        <v>621</v>
      </c>
      <c r="C237" s="518" t="s">
        <v>62</v>
      </c>
      <c r="D237" s="470"/>
      <c r="E237" s="486" t="s">
        <v>158</v>
      </c>
      <c r="F237" s="468" t="s">
        <v>625</v>
      </c>
      <c r="G237" s="517" t="s">
        <v>409</v>
      </c>
      <c r="H237" s="465">
        <v>12</v>
      </c>
      <c r="I237" s="465">
        <v>5</v>
      </c>
      <c r="J237" s="465">
        <v>5</v>
      </c>
      <c r="K237" s="466">
        <v>4878.6499999999996</v>
      </c>
      <c r="L237" s="466">
        <v>0</v>
      </c>
      <c r="M237" s="482">
        <f t="shared" si="16"/>
        <v>4878.6499999999996</v>
      </c>
      <c r="N237" s="465">
        <v>0</v>
      </c>
      <c r="O237" s="466">
        <v>0</v>
      </c>
      <c r="P237" s="466">
        <v>0</v>
      </c>
      <c r="Q237" s="482">
        <f t="shared" si="17"/>
        <v>0</v>
      </c>
    </row>
    <row r="238" spans="1:17" ht="15.75" customHeight="1" x14ac:dyDescent="0.2">
      <c r="A238" s="484">
        <f t="shared" si="15"/>
        <v>230</v>
      </c>
      <c r="B238" s="484" t="s">
        <v>146</v>
      </c>
      <c r="C238" s="516" t="s">
        <v>62</v>
      </c>
      <c r="D238" s="484"/>
      <c r="E238" s="486" t="s">
        <v>158</v>
      </c>
      <c r="F238" s="486" t="s">
        <v>325</v>
      </c>
      <c r="G238" s="510" t="s">
        <v>721</v>
      </c>
      <c r="H238" s="484">
        <v>15</v>
      </c>
      <c r="I238" s="484">
        <v>7</v>
      </c>
      <c r="J238" s="484">
        <v>7</v>
      </c>
      <c r="K238" s="482">
        <v>8953.4000000000015</v>
      </c>
      <c r="L238" s="482">
        <v>8953.4000000000015</v>
      </c>
      <c r="M238" s="482">
        <f t="shared" si="16"/>
        <v>0</v>
      </c>
      <c r="N238" s="484">
        <v>6</v>
      </c>
      <c r="O238" s="482">
        <v>5374.1</v>
      </c>
      <c r="P238" s="482">
        <v>5374.1</v>
      </c>
      <c r="Q238" s="482">
        <f t="shared" si="17"/>
        <v>0</v>
      </c>
    </row>
    <row r="239" spans="1:17" ht="15.75" customHeight="1" x14ac:dyDescent="0.2">
      <c r="A239" s="484">
        <f t="shared" si="15"/>
        <v>231</v>
      </c>
      <c r="B239" s="484" t="s">
        <v>166</v>
      </c>
      <c r="C239" s="516" t="s">
        <v>62</v>
      </c>
      <c r="D239" s="484"/>
      <c r="E239" s="486" t="s">
        <v>158</v>
      </c>
      <c r="F239" s="486" t="s">
        <v>327</v>
      </c>
      <c r="G239" s="510" t="s">
        <v>721</v>
      </c>
      <c r="H239" s="484">
        <v>5</v>
      </c>
      <c r="I239" s="484">
        <v>2</v>
      </c>
      <c r="J239" s="484">
        <v>2</v>
      </c>
      <c r="K239" s="482">
        <v>5462.2000000000007</v>
      </c>
      <c r="L239" s="482">
        <v>5462.2000000000007</v>
      </c>
      <c r="M239" s="482">
        <f t="shared" si="16"/>
        <v>0</v>
      </c>
      <c r="N239" s="484">
        <v>0</v>
      </c>
      <c r="O239" s="482">
        <v>0</v>
      </c>
      <c r="P239" s="482">
        <v>0</v>
      </c>
      <c r="Q239" s="482">
        <f t="shared" si="17"/>
        <v>0</v>
      </c>
    </row>
    <row r="240" spans="1:17" ht="15.75" customHeight="1" x14ac:dyDescent="0.2">
      <c r="A240" s="484">
        <f t="shared" si="15"/>
        <v>232</v>
      </c>
      <c r="B240" s="484" t="s">
        <v>173</v>
      </c>
      <c r="C240" s="516" t="s">
        <v>67</v>
      </c>
      <c r="D240" s="484" t="s">
        <v>478</v>
      </c>
      <c r="E240" s="486" t="s">
        <v>158</v>
      </c>
      <c r="F240" s="486" t="s">
        <v>329</v>
      </c>
      <c r="G240" s="510" t="s">
        <v>721</v>
      </c>
      <c r="H240" s="484">
        <v>8</v>
      </c>
      <c r="I240" s="484">
        <v>5</v>
      </c>
      <c r="J240" s="484">
        <v>5</v>
      </c>
      <c r="K240" s="482">
        <v>10645.26</v>
      </c>
      <c r="L240" s="482">
        <v>10645.26</v>
      </c>
      <c r="M240" s="482">
        <f t="shared" si="16"/>
        <v>0</v>
      </c>
      <c r="N240" s="484">
        <v>0</v>
      </c>
      <c r="O240" s="482">
        <v>0</v>
      </c>
      <c r="P240" s="482">
        <v>0</v>
      </c>
      <c r="Q240" s="482">
        <f t="shared" si="17"/>
        <v>0</v>
      </c>
    </row>
    <row r="241" spans="1:17" ht="15.75" customHeight="1" x14ac:dyDescent="0.2">
      <c r="A241" s="484">
        <f t="shared" si="15"/>
        <v>233</v>
      </c>
      <c r="B241" s="484" t="s">
        <v>330</v>
      </c>
      <c r="C241" s="516" t="s">
        <v>62</v>
      </c>
      <c r="D241" s="484"/>
      <c r="E241" s="486" t="s">
        <v>158</v>
      </c>
      <c r="F241" s="486" t="s">
        <v>331</v>
      </c>
      <c r="G241" s="510" t="s">
        <v>721</v>
      </c>
      <c r="H241" s="484">
        <v>16</v>
      </c>
      <c r="I241" s="484">
        <v>10</v>
      </c>
      <c r="J241" s="484">
        <v>10</v>
      </c>
      <c r="K241" s="482">
        <v>12533.899999999998</v>
      </c>
      <c r="L241" s="482">
        <v>12533.899999999998</v>
      </c>
      <c r="M241" s="482">
        <f t="shared" si="16"/>
        <v>0</v>
      </c>
      <c r="N241" s="484">
        <v>0</v>
      </c>
      <c r="O241" s="482">
        <v>0</v>
      </c>
      <c r="P241" s="482">
        <v>0</v>
      </c>
      <c r="Q241" s="482">
        <f t="shared" si="17"/>
        <v>0</v>
      </c>
    </row>
    <row r="242" spans="1:17" ht="15.75" customHeight="1" x14ac:dyDescent="0.2">
      <c r="A242" s="484">
        <f t="shared" si="15"/>
        <v>234</v>
      </c>
      <c r="B242" s="484" t="s">
        <v>147</v>
      </c>
      <c r="C242" s="516" t="s">
        <v>62</v>
      </c>
      <c r="D242" s="484"/>
      <c r="E242" s="486" t="s">
        <v>158</v>
      </c>
      <c r="F242" s="486" t="s">
        <v>332</v>
      </c>
      <c r="G242" s="510" t="s">
        <v>721</v>
      </c>
      <c r="H242" s="484">
        <v>15</v>
      </c>
      <c r="I242" s="484">
        <v>7</v>
      </c>
      <c r="J242" s="484">
        <v>7</v>
      </c>
      <c r="K242" s="482">
        <v>13239.05</v>
      </c>
      <c r="L242" s="482">
        <v>13239.05</v>
      </c>
      <c r="M242" s="482">
        <f t="shared" ref="M242:M273" si="18">K242-L242</f>
        <v>0</v>
      </c>
      <c r="N242" s="484">
        <v>5</v>
      </c>
      <c r="O242" s="482">
        <v>13962.4</v>
      </c>
      <c r="P242" s="482">
        <v>13962.4</v>
      </c>
      <c r="Q242" s="482">
        <f t="shared" ref="Q242:Q273" si="19">O242-P242</f>
        <v>0</v>
      </c>
    </row>
    <row r="243" spans="1:17" ht="15.75" customHeight="1" x14ac:dyDescent="0.2">
      <c r="A243" s="484">
        <f t="shared" si="15"/>
        <v>235</v>
      </c>
      <c r="B243" s="484" t="s">
        <v>554</v>
      </c>
      <c r="C243" s="516" t="s">
        <v>67</v>
      </c>
      <c r="D243" s="484" t="s">
        <v>746</v>
      </c>
      <c r="E243" s="486" t="s">
        <v>158</v>
      </c>
      <c r="F243" s="486" t="s">
        <v>556</v>
      </c>
      <c r="G243" s="510" t="s">
        <v>721</v>
      </c>
      <c r="H243" s="484">
        <v>2</v>
      </c>
      <c r="I243" s="484">
        <v>0</v>
      </c>
      <c r="J243" s="484">
        <v>0</v>
      </c>
      <c r="K243" s="482">
        <v>0</v>
      </c>
      <c r="L243" s="482">
        <v>0</v>
      </c>
      <c r="M243" s="482">
        <f t="shared" si="18"/>
        <v>0</v>
      </c>
      <c r="N243" s="484">
        <v>0</v>
      </c>
      <c r="O243" s="482">
        <v>0</v>
      </c>
      <c r="P243" s="482">
        <v>0</v>
      </c>
      <c r="Q243" s="482">
        <f t="shared" si="19"/>
        <v>0</v>
      </c>
    </row>
    <row r="244" spans="1:17" ht="15.75" customHeight="1" x14ac:dyDescent="0.2">
      <c r="A244" s="484">
        <f t="shared" si="15"/>
        <v>236</v>
      </c>
      <c r="B244" s="484" t="s">
        <v>88</v>
      </c>
      <c r="C244" s="516" t="s">
        <v>62</v>
      </c>
      <c r="D244" s="484"/>
      <c r="E244" s="486" t="s">
        <v>158</v>
      </c>
      <c r="F244" s="486" t="s">
        <v>333</v>
      </c>
      <c r="G244" s="510" t="s">
        <v>721</v>
      </c>
      <c r="H244" s="484">
        <v>2</v>
      </c>
      <c r="I244" s="484">
        <v>2</v>
      </c>
      <c r="J244" s="484">
        <v>2</v>
      </c>
      <c r="K244" s="482">
        <v>2290.6</v>
      </c>
      <c r="L244" s="482">
        <v>2290.6</v>
      </c>
      <c r="M244" s="482">
        <f t="shared" si="18"/>
        <v>0</v>
      </c>
      <c r="N244" s="484">
        <v>1</v>
      </c>
      <c r="O244" s="482">
        <v>1145.3</v>
      </c>
      <c r="P244" s="482">
        <v>1145.3</v>
      </c>
      <c r="Q244" s="482">
        <f t="shared" si="19"/>
        <v>0</v>
      </c>
    </row>
    <row r="245" spans="1:17" ht="15.75" customHeight="1" x14ac:dyDescent="0.2">
      <c r="A245" s="484">
        <f t="shared" si="15"/>
        <v>237</v>
      </c>
      <c r="B245" s="484" t="s">
        <v>182</v>
      </c>
      <c r="C245" s="516" t="s">
        <v>62</v>
      </c>
      <c r="D245" s="484"/>
      <c r="E245" s="486" t="s">
        <v>158</v>
      </c>
      <c r="F245" s="486" t="s">
        <v>334</v>
      </c>
      <c r="G245" s="510" t="s">
        <v>721</v>
      </c>
      <c r="H245" s="484">
        <v>5</v>
      </c>
      <c r="I245" s="484">
        <v>1</v>
      </c>
      <c r="J245" s="484">
        <v>1</v>
      </c>
      <c r="K245" s="482">
        <v>1233.4000000000001</v>
      </c>
      <c r="L245" s="482">
        <v>1233.4000000000001</v>
      </c>
      <c r="M245" s="482">
        <f t="shared" si="18"/>
        <v>0</v>
      </c>
      <c r="N245" s="484">
        <v>0</v>
      </c>
      <c r="O245" s="482">
        <v>0</v>
      </c>
      <c r="P245" s="482">
        <v>0</v>
      </c>
      <c r="Q245" s="482">
        <f t="shared" si="19"/>
        <v>0</v>
      </c>
    </row>
    <row r="246" spans="1:17" ht="15.75" customHeight="1" x14ac:dyDescent="0.2">
      <c r="A246" s="484">
        <f t="shared" si="15"/>
        <v>238</v>
      </c>
      <c r="B246" s="484" t="s">
        <v>335</v>
      </c>
      <c r="C246" s="516" t="s">
        <v>62</v>
      </c>
      <c r="D246" s="484"/>
      <c r="E246" s="486" t="s">
        <v>158</v>
      </c>
      <c r="F246" s="486" t="s">
        <v>336</v>
      </c>
      <c r="G246" s="510" t="s">
        <v>721</v>
      </c>
      <c r="H246" s="484">
        <v>15</v>
      </c>
      <c r="I246" s="484">
        <v>8</v>
      </c>
      <c r="J246" s="484">
        <v>8</v>
      </c>
      <c r="K246" s="482">
        <v>12008.049999999997</v>
      </c>
      <c r="L246" s="482">
        <v>12008.049999999997</v>
      </c>
      <c r="M246" s="482">
        <f t="shared" si="18"/>
        <v>0</v>
      </c>
      <c r="N246" s="484">
        <v>8</v>
      </c>
      <c r="O246" s="482">
        <v>6739.65</v>
      </c>
      <c r="P246" s="482">
        <v>6739.65</v>
      </c>
      <c r="Q246" s="482">
        <f t="shared" si="19"/>
        <v>0</v>
      </c>
    </row>
    <row r="247" spans="1:17" ht="15.75" customHeight="1" x14ac:dyDescent="0.2">
      <c r="A247" s="484">
        <f t="shared" si="15"/>
        <v>239</v>
      </c>
      <c r="B247" s="484" t="s">
        <v>27</v>
      </c>
      <c r="C247" s="516" t="s">
        <v>62</v>
      </c>
      <c r="D247" s="484"/>
      <c r="E247" s="486" t="s">
        <v>158</v>
      </c>
      <c r="F247" s="486" t="s">
        <v>337</v>
      </c>
      <c r="G247" s="510" t="s">
        <v>721</v>
      </c>
      <c r="H247" s="484">
        <v>13</v>
      </c>
      <c r="I247" s="484">
        <v>12</v>
      </c>
      <c r="J247" s="484">
        <v>12</v>
      </c>
      <c r="K247" s="482">
        <v>12823.4</v>
      </c>
      <c r="L247" s="482">
        <v>12823.4</v>
      </c>
      <c r="M247" s="482">
        <f t="shared" si="18"/>
        <v>0</v>
      </c>
      <c r="N247" s="484">
        <v>0</v>
      </c>
      <c r="O247" s="482">
        <v>0</v>
      </c>
      <c r="P247" s="482">
        <v>0</v>
      </c>
      <c r="Q247" s="482">
        <f t="shared" si="19"/>
        <v>0</v>
      </c>
    </row>
    <row r="248" spans="1:17" ht="15.75" customHeight="1" x14ac:dyDescent="0.2">
      <c r="A248" s="484">
        <f t="shared" si="15"/>
        <v>240</v>
      </c>
      <c r="B248" s="484" t="s">
        <v>190</v>
      </c>
      <c r="C248" s="516" t="s">
        <v>62</v>
      </c>
      <c r="D248" s="484"/>
      <c r="E248" s="486" t="s">
        <v>675</v>
      </c>
      <c r="F248" s="486" t="s">
        <v>339</v>
      </c>
      <c r="G248" s="510" t="s">
        <v>721</v>
      </c>
      <c r="H248" s="484">
        <v>22</v>
      </c>
      <c r="I248" s="484">
        <v>11</v>
      </c>
      <c r="J248" s="484">
        <v>11</v>
      </c>
      <c r="K248" s="482">
        <v>20433.8</v>
      </c>
      <c r="L248" s="482">
        <v>20433.8</v>
      </c>
      <c r="M248" s="482">
        <f t="shared" si="18"/>
        <v>0</v>
      </c>
      <c r="N248" s="484">
        <v>0</v>
      </c>
      <c r="O248" s="482">
        <v>0</v>
      </c>
      <c r="P248" s="482">
        <v>0</v>
      </c>
      <c r="Q248" s="482">
        <f t="shared" si="19"/>
        <v>0</v>
      </c>
    </row>
    <row r="249" spans="1:17" ht="15.75" customHeight="1" x14ac:dyDescent="0.2">
      <c r="A249" s="484">
        <f t="shared" si="15"/>
        <v>241</v>
      </c>
      <c r="B249" s="484" t="s">
        <v>89</v>
      </c>
      <c r="C249" s="516" t="s">
        <v>62</v>
      </c>
      <c r="D249" s="484"/>
      <c r="E249" s="486" t="s">
        <v>158</v>
      </c>
      <c r="F249" s="486" t="s">
        <v>340</v>
      </c>
      <c r="G249" s="510" t="s">
        <v>721</v>
      </c>
      <c r="H249" s="484">
        <v>7</v>
      </c>
      <c r="I249" s="484">
        <v>6</v>
      </c>
      <c r="J249" s="484">
        <v>6</v>
      </c>
      <c r="K249" s="482">
        <v>8633.7999999999993</v>
      </c>
      <c r="L249" s="482">
        <v>8633.7999999999993</v>
      </c>
      <c r="M249" s="482">
        <f t="shared" si="18"/>
        <v>0</v>
      </c>
      <c r="N249" s="484">
        <v>4</v>
      </c>
      <c r="O249" s="482">
        <v>9250.5</v>
      </c>
      <c r="P249" s="482">
        <v>9250.5</v>
      </c>
      <c r="Q249" s="482">
        <f t="shared" si="19"/>
        <v>0</v>
      </c>
    </row>
    <row r="250" spans="1:17" ht="15.75" customHeight="1" x14ac:dyDescent="0.2">
      <c r="A250" s="484">
        <f t="shared" si="15"/>
        <v>242</v>
      </c>
      <c r="B250" s="484" t="s">
        <v>196</v>
      </c>
      <c r="C250" s="516" t="s">
        <v>62</v>
      </c>
      <c r="D250" s="484"/>
      <c r="E250" s="486" t="s">
        <v>683</v>
      </c>
      <c r="F250" s="486" t="s">
        <v>342</v>
      </c>
      <c r="G250" s="510" t="s">
        <v>721</v>
      </c>
      <c r="H250" s="484">
        <v>7</v>
      </c>
      <c r="I250" s="484">
        <v>5</v>
      </c>
      <c r="J250" s="484">
        <v>5</v>
      </c>
      <c r="K250" s="482">
        <v>4933.6000000000004</v>
      </c>
      <c r="L250" s="482">
        <v>4933.6000000000004</v>
      </c>
      <c r="M250" s="482">
        <f t="shared" si="18"/>
        <v>0</v>
      </c>
      <c r="N250" s="484">
        <v>0</v>
      </c>
      <c r="O250" s="482">
        <v>0</v>
      </c>
      <c r="P250" s="482">
        <v>0</v>
      </c>
      <c r="Q250" s="482">
        <f t="shared" si="19"/>
        <v>0</v>
      </c>
    </row>
    <row r="251" spans="1:17" ht="15.75" customHeight="1" x14ac:dyDescent="0.2">
      <c r="A251" s="484">
        <f t="shared" si="15"/>
        <v>243</v>
      </c>
      <c r="B251" s="484" t="s">
        <v>631</v>
      </c>
      <c r="C251" s="516" t="s">
        <v>62</v>
      </c>
      <c r="D251" s="484"/>
      <c r="E251" s="486" t="s">
        <v>158</v>
      </c>
      <c r="F251" s="486" t="s">
        <v>642</v>
      </c>
      <c r="G251" s="510" t="s">
        <v>721</v>
      </c>
      <c r="H251" s="484">
        <v>3</v>
      </c>
      <c r="I251" s="484">
        <v>0</v>
      </c>
      <c r="J251" s="484">
        <v>0</v>
      </c>
      <c r="K251" s="482">
        <v>0</v>
      </c>
      <c r="L251" s="482">
        <v>0</v>
      </c>
      <c r="M251" s="482">
        <f t="shared" si="18"/>
        <v>0</v>
      </c>
      <c r="N251" s="484">
        <v>0</v>
      </c>
      <c r="O251" s="482">
        <v>0</v>
      </c>
      <c r="P251" s="482">
        <v>0</v>
      </c>
      <c r="Q251" s="482">
        <f t="shared" si="19"/>
        <v>0</v>
      </c>
    </row>
    <row r="252" spans="1:17" ht="15.75" customHeight="1" x14ac:dyDescent="0.2">
      <c r="A252" s="484">
        <f t="shared" si="15"/>
        <v>244</v>
      </c>
      <c r="B252" s="484" t="s">
        <v>343</v>
      </c>
      <c r="C252" s="516" t="s">
        <v>62</v>
      </c>
      <c r="D252" s="484"/>
      <c r="E252" s="486" t="s">
        <v>158</v>
      </c>
      <c r="F252" s="486" t="s">
        <v>344</v>
      </c>
      <c r="G252" s="510" t="s">
        <v>721</v>
      </c>
      <c r="H252" s="484">
        <v>10</v>
      </c>
      <c r="I252" s="484">
        <v>2</v>
      </c>
      <c r="J252" s="484">
        <v>2</v>
      </c>
      <c r="K252" s="482">
        <v>2466.8000000000002</v>
      </c>
      <c r="L252" s="482">
        <v>2466.8000000000002</v>
      </c>
      <c r="M252" s="482">
        <f t="shared" si="18"/>
        <v>0</v>
      </c>
      <c r="N252" s="484">
        <v>0</v>
      </c>
      <c r="O252" s="482">
        <v>0</v>
      </c>
      <c r="P252" s="482">
        <v>0</v>
      </c>
      <c r="Q252" s="482">
        <f t="shared" si="19"/>
        <v>0</v>
      </c>
    </row>
    <row r="253" spans="1:17" ht="15.75" customHeight="1" x14ac:dyDescent="0.2">
      <c r="A253" s="484">
        <f t="shared" si="15"/>
        <v>245</v>
      </c>
      <c r="B253" s="484" t="s">
        <v>154</v>
      </c>
      <c r="C253" s="516" t="s">
        <v>62</v>
      </c>
      <c r="D253" s="484"/>
      <c r="E253" s="486" t="s">
        <v>158</v>
      </c>
      <c r="F253" s="486" t="s">
        <v>345</v>
      </c>
      <c r="G253" s="510" t="s">
        <v>721</v>
      </c>
      <c r="H253" s="484">
        <v>7</v>
      </c>
      <c r="I253" s="484">
        <v>7</v>
      </c>
      <c r="J253" s="484">
        <v>7</v>
      </c>
      <c r="K253" s="482">
        <v>9690.15</v>
      </c>
      <c r="L253" s="482">
        <v>9690.15</v>
      </c>
      <c r="M253" s="482">
        <f t="shared" si="18"/>
        <v>0</v>
      </c>
      <c r="N253" s="484">
        <v>7</v>
      </c>
      <c r="O253" s="482">
        <v>9770</v>
      </c>
      <c r="P253" s="482">
        <v>9770</v>
      </c>
      <c r="Q253" s="482">
        <f t="shared" si="19"/>
        <v>0</v>
      </c>
    </row>
    <row r="254" spans="1:17" ht="15.75" customHeight="1" x14ac:dyDescent="0.2">
      <c r="A254" s="484">
        <f t="shared" si="15"/>
        <v>246</v>
      </c>
      <c r="B254" s="484" t="s">
        <v>346</v>
      </c>
      <c r="C254" s="516" t="s">
        <v>62</v>
      </c>
      <c r="D254" s="484"/>
      <c r="E254" s="486" t="s">
        <v>158</v>
      </c>
      <c r="F254" s="486" t="s">
        <v>347</v>
      </c>
      <c r="G254" s="510" t="s">
        <v>721</v>
      </c>
      <c r="H254" s="484">
        <v>4</v>
      </c>
      <c r="I254" s="484">
        <v>0</v>
      </c>
      <c r="J254" s="484">
        <v>0</v>
      </c>
      <c r="K254" s="482">
        <v>0</v>
      </c>
      <c r="L254" s="482">
        <v>0</v>
      </c>
      <c r="M254" s="482">
        <f t="shared" si="18"/>
        <v>0</v>
      </c>
      <c r="N254" s="484">
        <v>0</v>
      </c>
      <c r="O254" s="482">
        <v>0</v>
      </c>
      <c r="P254" s="482">
        <v>0</v>
      </c>
      <c r="Q254" s="482">
        <f t="shared" si="19"/>
        <v>0</v>
      </c>
    </row>
    <row r="255" spans="1:17" ht="15.75" customHeight="1" x14ac:dyDescent="0.2">
      <c r="A255" s="484">
        <f t="shared" si="15"/>
        <v>247</v>
      </c>
      <c r="B255" s="484" t="s">
        <v>348</v>
      </c>
      <c r="C255" s="516" t="s">
        <v>62</v>
      </c>
      <c r="D255" s="484"/>
      <c r="E255" s="486" t="s">
        <v>158</v>
      </c>
      <c r="F255" s="486" t="s">
        <v>349</v>
      </c>
      <c r="G255" s="510" t="s">
        <v>721</v>
      </c>
      <c r="H255" s="484">
        <v>6</v>
      </c>
      <c r="I255" s="484">
        <v>0</v>
      </c>
      <c r="J255" s="484">
        <v>0</v>
      </c>
      <c r="K255" s="482">
        <v>0</v>
      </c>
      <c r="L255" s="482">
        <v>0</v>
      </c>
      <c r="M255" s="482">
        <f t="shared" si="18"/>
        <v>0</v>
      </c>
      <c r="N255" s="484">
        <v>0</v>
      </c>
      <c r="O255" s="482">
        <v>0</v>
      </c>
      <c r="P255" s="482">
        <v>0</v>
      </c>
      <c r="Q255" s="482">
        <f t="shared" si="19"/>
        <v>0</v>
      </c>
    </row>
    <row r="256" spans="1:17" ht="15.75" customHeight="1" x14ac:dyDescent="0.2">
      <c r="A256" s="484">
        <f t="shared" si="15"/>
        <v>248</v>
      </c>
      <c r="B256" s="484" t="s">
        <v>350</v>
      </c>
      <c r="C256" s="516" t="s">
        <v>62</v>
      </c>
      <c r="D256" s="484"/>
      <c r="E256" s="486" t="s">
        <v>158</v>
      </c>
      <c r="F256" s="486" t="s">
        <v>351</v>
      </c>
      <c r="G256" s="510" t="s">
        <v>721</v>
      </c>
      <c r="H256" s="484">
        <v>1</v>
      </c>
      <c r="I256" s="484">
        <v>1</v>
      </c>
      <c r="J256" s="484">
        <v>1</v>
      </c>
      <c r="K256" s="482">
        <v>528.6</v>
      </c>
      <c r="L256" s="482">
        <v>528.6</v>
      </c>
      <c r="M256" s="482">
        <f t="shared" si="18"/>
        <v>0</v>
      </c>
      <c r="N256" s="484">
        <v>4</v>
      </c>
      <c r="O256" s="482">
        <v>5065.75</v>
      </c>
      <c r="P256" s="482">
        <v>5065.75</v>
      </c>
      <c r="Q256" s="482">
        <f t="shared" si="19"/>
        <v>0</v>
      </c>
    </row>
    <row r="257" spans="1:17" ht="15.75" customHeight="1" x14ac:dyDescent="0.2">
      <c r="A257" s="484">
        <f t="shared" si="15"/>
        <v>249</v>
      </c>
      <c r="B257" s="484" t="s">
        <v>222</v>
      </c>
      <c r="C257" s="516" t="s">
        <v>64</v>
      </c>
      <c r="D257" s="484" t="s">
        <v>486</v>
      </c>
      <c r="E257" s="486" t="s">
        <v>158</v>
      </c>
      <c r="F257" s="486" t="s">
        <v>353</v>
      </c>
      <c r="G257" s="510" t="s">
        <v>721</v>
      </c>
      <c r="H257" s="484">
        <v>6</v>
      </c>
      <c r="I257" s="484">
        <v>2</v>
      </c>
      <c r="J257" s="484">
        <v>2</v>
      </c>
      <c r="K257" s="482">
        <v>3524</v>
      </c>
      <c r="L257" s="482">
        <v>3524</v>
      </c>
      <c r="M257" s="482">
        <f t="shared" si="18"/>
        <v>0</v>
      </c>
      <c r="N257" s="484">
        <v>0</v>
      </c>
      <c r="O257" s="482">
        <v>0</v>
      </c>
      <c r="P257" s="482">
        <v>0</v>
      </c>
      <c r="Q257" s="482">
        <f t="shared" si="19"/>
        <v>0</v>
      </c>
    </row>
    <row r="258" spans="1:17" ht="15.75" customHeight="1" x14ac:dyDescent="0.2">
      <c r="A258" s="484">
        <f t="shared" si="15"/>
        <v>250</v>
      </c>
      <c r="B258" s="484" t="s">
        <v>232</v>
      </c>
      <c r="C258" s="516" t="s">
        <v>62</v>
      </c>
      <c r="D258" s="484"/>
      <c r="E258" s="486" t="s">
        <v>158</v>
      </c>
      <c r="F258" s="486" t="s">
        <v>722</v>
      </c>
      <c r="G258" s="510" t="s">
        <v>721</v>
      </c>
      <c r="H258" s="484">
        <v>2</v>
      </c>
      <c r="I258" s="484">
        <v>0</v>
      </c>
      <c r="J258" s="484">
        <v>0</v>
      </c>
      <c r="K258" s="482">
        <v>0</v>
      </c>
      <c r="L258" s="482">
        <v>0</v>
      </c>
      <c r="M258" s="482">
        <f t="shared" si="18"/>
        <v>0</v>
      </c>
      <c r="N258" s="484">
        <v>0</v>
      </c>
      <c r="O258" s="482">
        <v>0</v>
      </c>
      <c r="P258" s="482">
        <v>0</v>
      </c>
      <c r="Q258" s="482">
        <f t="shared" si="19"/>
        <v>0</v>
      </c>
    </row>
    <row r="259" spans="1:17" ht="15.75" customHeight="1" x14ac:dyDescent="0.2">
      <c r="A259" s="484">
        <f t="shared" si="15"/>
        <v>251</v>
      </c>
      <c r="B259" s="484" t="s">
        <v>238</v>
      </c>
      <c r="C259" s="516" t="s">
        <v>62</v>
      </c>
      <c r="D259" s="484"/>
      <c r="E259" s="486" t="s">
        <v>158</v>
      </c>
      <c r="F259" s="486" t="s">
        <v>354</v>
      </c>
      <c r="G259" s="510" t="s">
        <v>721</v>
      </c>
      <c r="H259" s="484">
        <v>9</v>
      </c>
      <c r="I259" s="484">
        <v>6</v>
      </c>
      <c r="J259" s="484">
        <v>6</v>
      </c>
      <c r="K259" s="482">
        <v>8060.55</v>
      </c>
      <c r="L259" s="482">
        <v>8060.55</v>
      </c>
      <c r="M259" s="482">
        <f t="shared" si="18"/>
        <v>0</v>
      </c>
      <c r="N259" s="484">
        <v>0</v>
      </c>
      <c r="O259" s="482">
        <v>0</v>
      </c>
      <c r="P259" s="482">
        <v>0</v>
      </c>
      <c r="Q259" s="482">
        <f t="shared" si="19"/>
        <v>0</v>
      </c>
    </row>
    <row r="260" spans="1:17" ht="15.75" customHeight="1" x14ac:dyDescent="0.2">
      <c r="A260" s="484">
        <f t="shared" si="15"/>
        <v>252</v>
      </c>
      <c r="B260" s="484" t="s">
        <v>355</v>
      </c>
      <c r="C260" s="516" t="s">
        <v>62</v>
      </c>
      <c r="D260" s="484"/>
      <c r="E260" s="486" t="s">
        <v>158</v>
      </c>
      <c r="F260" s="486" t="s">
        <v>356</v>
      </c>
      <c r="G260" s="510" t="s">
        <v>721</v>
      </c>
      <c r="H260" s="484">
        <v>7</v>
      </c>
      <c r="I260" s="484">
        <v>3</v>
      </c>
      <c r="J260" s="484">
        <v>3</v>
      </c>
      <c r="K260" s="482">
        <v>3971.2</v>
      </c>
      <c r="L260" s="482">
        <v>3971.2</v>
      </c>
      <c r="M260" s="482">
        <f t="shared" si="18"/>
        <v>0</v>
      </c>
      <c r="N260" s="484">
        <v>0</v>
      </c>
      <c r="O260" s="482">
        <v>0</v>
      </c>
      <c r="P260" s="482">
        <v>0</v>
      </c>
      <c r="Q260" s="482">
        <f t="shared" si="19"/>
        <v>0</v>
      </c>
    </row>
    <row r="261" spans="1:17" ht="15.75" customHeight="1" x14ac:dyDescent="0.2">
      <c r="A261" s="484">
        <f t="shared" si="15"/>
        <v>253</v>
      </c>
      <c r="B261" s="484" t="s">
        <v>357</v>
      </c>
      <c r="C261" s="516" t="s">
        <v>64</v>
      </c>
      <c r="D261" s="470" t="s">
        <v>585</v>
      </c>
      <c r="E261" s="486" t="s">
        <v>158</v>
      </c>
      <c r="F261" s="486" t="s">
        <v>507</v>
      </c>
      <c r="G261" s="510" t="s">
        <v>721</v>
      </c>
      <c r="H261" s="484">
        <v>3</v>
      </c>
      <c r="I261" s="484">
        <v>2</v>
      </c>
      <c r="J261" s="484">
        <v>2</v>
      </c>
      <c r="K261" s="482">
        <v>3129.7</v>
      </c>
      <c r="L261" s="482">
        <v>3129.7</v>
      </c>
      <c r="M261" s="482">
        <f t="shared" si="18"/>
        <v>0</v>
      </c>
      <c r="N261" s="484">
        <v>0</v>
      </c>
      <c r="O261" s="482">
        <v>0</v>
      </c>
      <c r="P261" s="482">
        <v>0</v>
      </c>
      <c r="Q261" s="482">
        <f t="shared" si="19"/>
        <v>0</v>
      </c>
    </row>
    <row r="262" spans="1:17" ht="15.75" customHeight="1" x14ac:dyDescent="0.2">
      <c r="A262" s="484">
        <f t="shared" si="15"/>
        <v>254</v>
      </c>
      <c r="B262" s="484" t="s">
        <v>36</v>
      </c>
      <c r="C262" s="516" t="s">
        <v>62</v>
      </c>
      <c r="D262" s="484"/>
      <c r="E262" s="486" t="s">
        <v>158</v>
      </c>
      <c r="F262" s="486" t="s">
        <v>630</v>
      </c>
      <c r="G262" s="510" t="s">
        <v>721</v>
      </c>
      <c r="H262" s="484">
        <v>2</v>
      </c>
      <c r="I262" s="484">
        <v>1</v>
      </c>
      <c r="J262" s="484">
        <v>1</v>
      </c>
      <c r="K262" s="482">
        <v>552.29999999999995</v>
      </c>
      <c r="L262" s="482">
        <v>552.29999999999995</v>
      </c>
      <c r="M262" s="482">
        <f t="shared" si="18"/>
        <v>0</v>
      </c>
      <c r="N262" s="484">
        <v>0</v>
      </c>
      <c r="O262" s="482">
        <v>0</v>
      </c>
      <c r="P262" s="482">
        <v>0</v>
      </c>
      <c r="Q262" s="482">
        <f t="shared" si="19"/>
        <v>0</v>
      </c>
    </row>
    <row r="263" spans="1:17" ht="15.75" customHeight="1" x14ac:dyDescent="0.2">
      <c r="A263" s="484">
        <f t="shared" si="15"/>
        <v>255</v>
      </c>
      <c r="B263" s="484" t="s">
        <v>359</v>
      </c>
      <c r="C263" s="516" t="s">
        <v>62</v>
      </c>
      <c r="D263" s="484"/>
      <c r="E263" s="486" t="s">
        <v>158</v>
      </c>
      <c r="F263" s="486" t="s">
        <v>360</v>
      </c>
      <c r="G263" s="510" t="s">
        <v>721</v>
      </c>
      <c r="H263" s="484">
        <v>5</v>
      </c>
      <c r="I263" s="484">
        <v>5</v>
      </c>
      <c r="J263" s="484">
        <v>5</v>
      </c>
      <c r="K263" s="482">
        <v>4933.5999999999995</v>
      </c>
      <c r="L263" s="482">
        <v>4933.5999999999995</v>
      </c>
      <c r="M263" s="482">
        <f t="shared" si="18"/>
        <v>0</v>
      </c>
      <c r="N263" s="484">
        <v>0</v>
      </c>
      <c r="O263" s="482">
        <v>0</v>
      </c>
      <c r="P263" s="482">
        <v>0</v>
      </c>
      <c r="Q263" s="482">
        <f t="shared" si="19"/>
        <v>0</v>
      </c>
    </row>
    <row r="264" spans="1:17" ht="15.75" customHeight="1" x14ac:dyDescent="0.2">
      <c r="A264" s="484">
        <f t="shared" si="15"/>
        <v>256</v>
      </c>
      <c r="B264" s="484" t="s">
        <v>118</v>
      </c>
      <c r="C264" s="516" t="s">
        <v>62</v>
      </c>
      <c r="D264" s="484"/>
      <c r="E264" s="486" t="s">
        <v>675</v>
      </c>
      <c r="F264" s="486" t="s">
        <v>361</v>
      </c>
      <c r="G264" s="510" t="s">
        <v>721</v>
      </c>
      <c r="H264" s="484">
        <v>1</v>
      </c>
      <c r="I264" s="484">
        <v>1</v>
      </c>
      <c r="J264" s="484">
        <v>1</v>
      </c>
      <c r="K264" s="482">
        <v>1012.55</v>
      </c>
      <c r="L264" s="482">
        <v>1012.55</v>
      </c>
      <c r="M264" s="482">
        <f t="shared" si="18"/>
        <v>0</v>
      </c>
      <c r="N264" s="484">
        <v>0</v>
      </c>
      <c r="O264" s="482">
        <v>0</v>
      </c>
      <c r="P264" s="482">
        <v>0</v>
      </c>
      <c r="Q264" s="482">
        <f t="shared" si="19"/>
        <v>0</v>
      </c>
    </row>
    <row r="265" spans="1:17" ht="15.75" customHeight="1" x14ac:dyDescent="0.2">
      <c r="A265" s="484">
        <f t="shared" si="15"/>
        <v>257</v>
      </c>
      <c r="B265" s="484" t="s">
        <v>246</v>
      </c>
      <c r="C265" s="516" t="s">
        <v>62</v>
      </c>
      <c r="D265" s="484"/>
      <c r="E265" s="486" t="s">
        <v>158</v>
      </c>
      <c r="F265" s="486" t="s">
        <v>362</v>
      </c>
      <c r="G265" s="510" t="s">
        <v>721</v>
      </c>
      <c r="H265" s="484">
        <v>5</v>
      </c>
      <c r="I265" s="484">
        <v>3</v>
      </c>
      <c r="J265" s="484">
        <v>3</v>
      </c>
      <c r="K265" s="482">
        <v>2522.1000000000004</v>
      </c>
      <c r="L265" s="482">
        <v>2522.1000000000004</v>
      </c>
      <c r="M265" s="482">
        <f t="shared" si="18"/>
        <v>0</v>
      </c>
      <c r="N265" s="484">
        <v>0</v>
      </c>
      <c r="O265" s="482">
        <v>0</v>
      </c>
      <c r="P265" s="482">
        <v>0</v>
      </c>
      <c r="Q265" s="482">
        <f t="shared" si="19"/>
        <v>0</v>
      </c>
    </row>
    <row r="266" spans="1:17" ht="15.75" customHeight="1" x14ac:dyDescent="0.2">
      <c r="A266" s="484">
        <f t="shared" ref="A266:A300" si="20">A265+1</f>
        <v>258</v>
      </c>
      <c r="B266" s="484" t="s">
        <v>643</v>
      </c>
      <c r="C266" s="516" t="s">
        <v>62</v>
      </c>
      <c r="D266" s="484"/>
      <c r="E266" s="486" t="s">
        <v>158</v>
      </c>
      <c r="F266" s="486" t="s">
        <v>644</v>
      </c>
      <c r="G266" s="510" t="s">
        <v>721</v>
      </c>
      <c r="H266" s="484">
        <v>2</v>
      </c>
      <c r="I266" s="484">
        <v>0</v>
      </c>
      <c r="J266" s="484">
        <v>0</v>
      </c>
      <c r="K266" s="482">
        <v>0</v>
      </c>
      <c r="L266" s="482">
        <v>0</v>
      </c>
      <c r="M266" s="482">
        <f t="shared" si="18"/>
        <v>0</v>
      </c>
      <c r="N266" s="484">
        <v>0</v>
      </c>
      <c r="O266" s="482">
        <v>0</v>
      </c>
      <c r="P266" s="482">
        <v>0</v>
      </c>
      <c r="Q266" s="482">
        <f t="shared" si="19"/>
        <v>0</v>
      </c>
    </row>
    <row r="267" spans="1:17" ht="15.75" customHeight="1" x14ac:dyDescent="0.2">
      <c r="A267" s="484">
        <f t="shared" si="20"/>
        <v>259</v>
      </c>
      <c r="B267" s="484" t="s">
        <v>43</v>
      </c>
      <c r="C267" s="516" t="s">
        <v>62</v>
      </c>
      <c r="D267" s="484"/>
      <c r="E267" s="486" t="s">
        <v>158</v>
      </c>
      <c r="F267" s="486" t="s">
        <v>363</v>
      </c>
      <c r="G267" s="510" t="s">
        <v>721</v>
      </c>
      <c r="H267" s="484">
        <v>4</v>
      </c>
      <c r="I267" s="484">
        <v>1</v>
      </c>
      <c r="J267" s="484">
        <v>1</v>
      </c>
      <c r="K267" s="482">
        <v>660.75</v>
      </c>
      <c r="L267" s="482">
        <v>660.75</v>
      </c>
      <c r="M267" s="482">
        <f t="shared" si="18"/>
        <v>0</v>
      </c>
      <c r="N267" s="484">
        <v>0</v>
      </c>
      <c r="O267" s="482">
        <v>0</v>
      </c>
      <c r="P267" s="482">
        <v>0</v>
      </c>
      <c r="Q267" s="482">
        <f t="shared" si="19"/>
        <v>0</v>
      </c>
    </row>
    <row r="268" spans="1:17" ht="15.75" customHeight="1" x14ac:dyDescent="0.2">
      <c r="A268" s="484">
        <f t="shared" si="20"/>
        <v>260</v>
      </c>
      <c r="B268" s="484" t="s">
        <v>364</v>
      </c>
      <c r="C268" s="516" t="s">
        <v>62</v>
      </c>
      <c r="D268" s="484"/>
      <c r="E268" s="486" t="s">
        <v>158</v>
      </c>
      <c r="F268" s="486" t="s">
        <v>365</v>
      </c>
      <c r="G268" s="510" t="s">
        <v>721</v>
      </c>
      <c r="H268" s="484">
        <v>8</v>
      </c>
      <c r="I268" s="484">
        <v>3</v>
      </c>
      <c r="J268" s="484">
        <v>3</v>
      </c>
      <c r="K268" s="482">
        <v>7069.3</v>
      </c>
      <c r="L268" s="482">
        <v>7069.3</v>
      </c>
      <c r="M268" s="482">
        <f t="shared" si="18"/>
        <v>0</v>
      </c>
      <c r="N268" s="484">
        <v>3</v>
      </c>
      <c r="O268" s="482">
        <v>9692.9599999999991</v>
      </c>
      <c r="P268" s="482">
        <v>9692.9599999999991</v>
      </c>
      <c r="Q268" s="482">
        <f t="shared" si="19"/>
        <v>0</v>
      </c>
    </row>
    <row r="269" spans="1:17" ht="15.75" customHeight="1" x14ac:dyDescent="0.2">
      <c r="A269" s="484">
        <f t="shared" si="20"/>
        <v>261</v>
      </c>
      <c r="B269" s="484" t="s">
        <v>46</v>
      </c>
      <c r="C269" s="516" t="s">
        <v>62</v>
      </c>
      <c r="D269" s="484"/>
      <c r="E269" s="486" t="s">
        <v>678</v>
      </c>
      <c r="F269" s="486" t="s">
        <v>367</v>
      </c>
      <c r="G269" s="510" t="s">
        <v>721</v>
      </c>
      <c r="H269" s="484">
        <v>0</v>
      </c>
      <c r="I269" s="484">
        <v>0</v>
      </c>
      <c r="J269" s="484">
        <v>0</v>
      </c>
      <c r="K269" s="482">
        <v>0</v>
      </c>
      <c r="L269" s="482">
        <v>0</v>
      </c>
      <c r="M269" s="482">
        <f t="shared" si="18"/>
        <v>0</v>
      </c>
      <c r="N269" s="484">
        <v>2</v>
      </c>
      <c r="O269" s="482">
        <v>4669.3</v>
      </c>
      <c r="P269" s="482">
        <v>4669.3</v>
      </c>
      <c r="Q269" s="482">
        <f t="shared" si="19"/>
        <v>0</v>
      </c>
    </row>
    <row r="270" spans="1:17" ht="15.75" customHeight="1" x14ac:dyDescent="0.2">
      <c r="A270" s="484">
        <f t="shared" si="20"/>
        <v>262</v>
      </c>
      <c r="B270" s="484" t="s">
        <v>270</v>
      </c>
      <c r="C270" s="516" t="s">
        <v>62</v>
      </c>
      <c r="D270" s="484"/>
      <c r="E270" s="486" t="s">
        <v>158</v>
      </c>
      <c r="F270" s="486" t="s">
        <v>539</v>
      </c>
      <c r="G270" s="510" t="s">
        <v>721</v>
      </c>
      <c r="H270" s="484">
        <v>3</v>
      </c>
      <c r="I270" s="484">
        <v>1</v>
      </c>
      <c r="J270" s="484">
        <v>1</v>
      </c>
      <c r="K270" s="482">
        <v>1012.55</v>
      </c>
      <c r="L270" s="482">
        <v>1012.55</v>
      </c>
      <c r="M270" s="482">
        <f t="shared" si="18"/>
        <v>0</v>
      </c>
      <c r="N270" s="484">
        <v>0</v>
      </c>
      <c r="O270" s="482">
        <v>0</v>
      </c>
      <c r="P270" s="482">
        <v>0</v>
      </c>
      <c r="Q270" s="482">
        <f t="shared" si="19"/>
        <v>0</v>
      </c>
    </row>
    <row r="271" spans="1:17" ht="15.75" customHeight="1" x14ac:dyDescent="0.2">
      <c r="A271" s="484">
        <f t="shared" si="20"/>
        <v>263</v>
      </c>
      <c r="B271" s="484" t="s">
        <v>621</v>
      </c>
      <c r="C271" s="516" t="s">
        <v>62</v>
      </c>
      <c r="D271" s="484"/>
      <c r="E271" s="486" t="s">
        <v>158</v>
      </c>
      <c r="F271" s="486" t="s">
        <v>622</v>
      </c>
      <c r="G271" s="510" t="s">
        <v>721</v>
      </c>
      <c r="H271" s="484">
        <v>5</v>
      </c>
      <c r="I271" s="484">
        <v>1</v>
      </c>
      <c r="J271" s="484">
        <v>1</v>
      </c>
      <c r="K271" s="482">
        <v>1012.55</v>
      </c>
      <c r="L271" s="482">
        <v>1012.55</v>
      </c>
      <c r="M271" s="482">
        <f t="shared" si="18"/>
        <v>0</v>
      </c>
      <c r="N271" s="484">
        <v>0</v>
      </c>
      <c r="O271" s="482">
        <v>0</v>
      </c>
      <c r="P271" s="482">
        <v>0</v>
      </c>
      <c r="Q271" s="482">
        <f t="shared" si="19"/>
        <v>0</v>
      </c>
    </row>
    <row r="272" spans="1:17" ht="15.75" customHeight="1" x14ac:dyDescent="0.2">
      <c r="A272" s="484">
        <f t="shared" si="20"/>
        <v>264</v>
      </c>
      <c r="B272" s="484" t="s">
        <v>723</v>
      </c>
      <c r="C272" s="516" t="s">
        <v>62</v>
      </c>
      <c r="D272" s="484"/>
      <c r="E272" s="486" t="s">
        <v>158</v>
      </c>
      <c r="F272" s="486" t="s">
        <v>724</v>
      </c>
      <c r="G272" s="510" t="s">
        <v>721</v>
      </c>
      <c r="H272" s="484">
        <v>2</v>
      </c>
      <c r="I272" s="484">
        <v>0</v>
      </c>
      <c r="J272" s="484">
        <v>0</v>
      </c>
      <c r="K272" s="482">
        <v>0</v>
      </c>
      <c r="L272" s="482">
        <v>0</v>
      </c>
      <c r="M272" s="482">
        <f t="shared" si="18"/>
        <v>0</v>
      </c>
      <c r="N272" s="484">
        <v>0</v>
      </c>
      <c r="O272" s="482">
        <v>0</v>
      </c>
      <c r="P272" s="482">
        <v>0</v>
      </c>
      <c r="Q272" s="482">
        <f t="shared" si="19"/>
        <v>0</v>
      </c>
    </row>
    <row r="273" spans="1:17" ht="15.75" customHeight="1" x14ac:dyDescent="0.2">
      <c r="A273" s="484">
        <f t="shared" si="20"/>
        <v>265</v>
      </c>
      <c r="B273" s="484" t="s">
        <v>96</v>
      </c>
      <c r="C273" s="516" t="s">
        <v>62</v>
      </c>
      <c r="D273" s="484"/>
      <c r="E273" s="486" t="s">
        <v>671</v>
      </c>
      <c r="F273" s="486" t="s">
        <v>540</v>
      </c>
      <c r="G273" s="510" t="s">
        <v>721</v>
      </c>
      <c r="H273" s="484">
        <v>1</v>
      </c>
      <c r="I273" s="484">
        <v>0</v>
      </c>
      <c r="J273" s="484">
        <v>0</v>
      </c>
      <c r="K273" s="482">
        <v>0</v>
      </c>
      <c r="L273" s="482">
        <v>0</v>
      </c>
      <c r="M273" s="482">
        <f t="shared" si="18"/>
        <v>0</v>
      </c>
      <c r="N273" s="484">
        <v>1</v>
      </c>
      <c r="O273" s="482">
        <v>0</v>
      </c>
      <c r="P273" s="482">
        <v>0</v>
      </c>
      <c r="Q273" s="482">
        <f t="shared" si="19"/>
        <v>0</v>
      </c>
    </row>
    <row r="274" spans="1:17" ht="15.75" customHeight="1" x14ac:dyDescent="0.2">
      <c r="A274" s="484">
        <f t="shared" si="20"/>
        <v>266</v>
      </c>
      <c r="B274" s="484" t="s">
        <v>124</v>
      </c>
      <c r="C274" s="516" t="s">
        <v>62</v>
      </c>
      <c r="D274" s="484"/>
      <c r="E274" s="486" t="s">
        <v>158</v>
      </c>
      <c r="F274" s="486" t="s">
        <v>368</v>
      </c>
      <c r="G274" s="510" t="s">
        <v>721</v>
      </c>
      <c r="H274" s="484">
        <v>27</v>
      </c>
      <c r="I274" s="484">
        <v>18</v>
      </c>
      <c r="J274" s="484">
        <v>18</v>
      </c>
      <c r="K274" s="482">
        <v>17959.7</v>
      </c>
      <c r="L274" s="482">
        <v>17959.7</v>
      </c>
      <c r="M274" s="482">
        <f t="shared" ref="M274:M300" si="21">K274-L274</f>
        <v>0</v>
      </c>
      <c r="N274" s="484">
        <v>8</v>
      </c>
      <c r="O274" s="482">
        <v>4753.3999999999996</v>
      </c>
      <c r="P274" s="482">
        <v>4753.3999999999996</v>
      </c>
      <c r="Q274" s="482">
        <f t="shared" ref="Q274:Q300" si="22">O274-P274</f>
        <v>0</v>
      </c>
    </row>
    <row r="275" spans="1:17" ht="15.75" customHeight="1" x14ac:dyDescent="0.2">
      <c r="A275" s="484">
        <f t="shared" si="20"/>
        <v>267</v>
      </c>
      <c r="B275" s="484" t="s">
        <v>51</v>
      </c>
      <c r="C275" s="516" t="s">
        <v>62</v>
      </c>
      <c r="D275" s="484"/>
      <c r="E275" s="486" t="s">
        <v>158</v>
      </c>
      <c r="F275" s="486" t="s">
        <v>369</v>
      </c>
      <c r="G275" s="510" t="s">
        <v>721</v>
      </c>
      <c r="H275" s="484">
        <v>0</v>
      </c>
      <c r="I275" s="484">
        <v>0</v>
      </c>
      <c r="J275" s="484">
        <v>0</v>
      </c>
      <c r="K275" s="482">
        <v>0</v>
      </c>
      <c r="L275" s="482">
        <v>0</v>
      </c>
      <c r="M275" s="482">
        <f t="shared" si="21"/>
        <v>0</v>
      </c>
      <c r="N275" s="484">
        <v>1</v>
      </c>
      <c r="O275" s="482">
        <v>2290.6</v>
      </c>
      <c r="P275" s="482">
        <v>2290.6</v>
      </c>
      <c r="Q275" s="482">
        <f t="shared" si="22"/>
        <v>0</v>
      </c>
    </row>
    <row r="276" spans="1:17" ht="15.75" customHeight="1" x14ac:dyDescent="0.2">
      <c r="A276" s="484">
        <f t="shared" si="20"/>
        <v>268</v>
      </c>
      <c r="B276" s="484" t="s">
        <v>286</v>
      </c>
      <c r="C276" s="516" t="s">
        <v>62</v>
      </c>
      <c r="D276" s="484"/>
      <c r="E276" s="486" t="s">
        <v>158</v>
      </c>
      <c r="F276" s="486" t="s">
        <v>476</v>
      </c>
      <c r="G276" s="510" t="s">
        <v>721</v>
      </c>
      <c r="H276" s="484">
        <v>8</v>
      </c>
      <c r="I276" s="484">
        <v>4</v>
      </c>
      <c r="J276" s="484">
        <v>4</v>
      </c>
      <c r="K276" s="482">
        <v>3195.3</v>
      </c>
      <c r="L276" s="482">
        <v>3195.3</v>
      </c>
      <c r="M276" s="482">
        <f t="shared" si="21"/>
        <v>0</v>
      </c>
      <c r="N276" s="484">
        <v>0</v>
      </c>
      <c r="O276" s="482">
        <v>0</v>
      </c>
      <c r="P276" s="482">
        <v>0</v>
      </c>
      <c r="Q276" s="482">
        <f t="shared" si="22"/>
        <v>0</v>
      </c>
    </row>
    <row r="277" spans="1:17" ht="15.75" customHeight="1" x14ac:dyDescent="0.2">
      <c r="A277" s="484">
        <f t="shared" si="20"/>
        <v>269</v>
      </c>
      <c r="B277" s="484" t="s">
        <v>290</v>
      </c>
      <c r="C277" s="516" t="s">
        <v>62</v>
      </c>
      <c r="D277" s="484"/>
      <c r="E277" s="486" t="s">
        <v>371</v>
      </c>
      <c r="F277" s="486" t="s">
        <v>372</v>
      </c>
      <c r="G277" s="510" t="s">
        <v>721</v>
      </c>
      <c r="H277" s="484">
        <v>9</v>
      </c>
      <c r="I277" s="484">
        <v>8</v>
      </c>
      <c r="J277" s="484">
        <v>8</v>
      </c>
      <c r="K277" s="482">
        <v>6532.7999999999993</v>
      </c>
      <c r="L277" s="482">
        <v>6532.7999999999993</v>
      </c>
      <c r="M277" s="482">
        <f t="shared" si="21"/>
        <v>0</v>
      </c>
      <c r="N277" s="484">
        <v>0</v>
      </c>
      <c r="O277" s="482">
        <v>0</v>
      </c>
      <c r="P277" s="482">
        <v>0</v>
      </c>
      <c r="Q277" s="482">
        <f t="shared" si="22"/>
        <v>0</v>
      </c>
    </row>
    <row r="278" spans="1:17" ht="15.75" customHeight="1" x14ac:dyDescent="0.2">
      <c r="A278" s="484">
        <f t="shared" si="20"/>
        <v>270</v>
      </c>
      <c r="B278" s="484" t="s">
        <v>134</v>
      </c>
      <c r="C278" s="516" t="s">
        <v>62</v>
      </c>
      <c r="D278" s="484"/>
      <c r="E278" s="486" t="s">
        <v>158</v>
      </c>
      <c r="F278" s="486" t="s">
        <v>373</v>
      </c>
      <c r="G278" s="510" t="s">
        <v>721</v>
      </c>
      <c r="H278" s="484">
        <v>3</v>
      </c>
      <c r="I278" s="484">
        <v>1</v>
      </c>
      <c r="J278" s="484">
        <v>1</v>
      </c>
      <c r="K278" s="482">
        <v>1938.2</v>
      </c>
      <c r="L278" s="482">
        <v>1938.2</v>
      </c>
      <c r="M278" s="482">
        <f t="shared" si="21"/>
        <v>0</v>
      </c>
      <c r="N278" s="484">
        <v>2</v>
      </c>
      <c r="O278" s="482">
        <v>2643</v>
      </c>
      <c r="P278" s="482">
        <v>2643</v>
      </c>
      <c r="Q278" s="482">
        <f t="shared" si="22"/>
        <v>0</v>
      </c>
    </row>
    <row r="279" spans="1:17" ht="15.75" customHeight="1" x14ac:dyDescent="0.2">
      <c r="A279" s="484">
        <f t="shared" si="20"/>
        <v>271</v>
      </c>
      <c r="B279" s="484" t="s">
        <v>135</v>
      </c>
      <c r="C279" s="516" t="s">
        <v>62</v>
      </c>
      <c r="D279" s="484"/>
      <c r="E279" s="486" t="s">
        <v>158</v>
      </c>
      <c r="F279" s="486" t="s">
        <v>374</v>
      </c>
      <c r="G279" s="510" t="s">
        <v>721</v>
      </c>
      <c r="H279" s="484">
        <v>21</v>
      </c>
      <c r="I279" s="484">
        <v>5</v>
      </c>
      <c r="J279" s="484">
        <v>5</v>
      </c>
      <c r="K279" s="482">
        <v>10476.200000000001</v>
      </c>
      <c r="L279" s="482">
        <v>9376.32</v>
      </c>
      <c r="M279" s="482">
        <f t="shared" si="21"/>
        <v>1099.880000000001</v>
      </c>
      <c r="N279" s="484">
        <v>93</v>
      </c>
      <c r="O279" s="482">
        <v>46103.200000000004</v>
      </c>
      <c r="P279" s="482">
        <v>46103.200000000004</v>
      </c>
      <c r="Q279" s="482">
        <f t="shared" si="22"/>
        <v>0</v>
      </c>
    </row>
    <row r="280" spans="1:17" ht="15.75" customHeight="1" x14ac:dyDescent="0.2">
      <c r="A280" s="484">
        <f t="shared" si="20"/>
        <v>272</v>
      </c>
      <c r="B280" s="484" t="s">
        <v>508</v>
      </c>
      <c r="C280" s="516" t="s">
        <v>64</v>
      </c>
      <c r="D280" s="484" t="s">
        <v>551</v>
      </c>
      <c r="E280" s="486" t="s">
        <v>158</v>
      </c>
      <c r="F280" s="486" t="s">
        <v>510</v>
      </c>
      <c r="G280" s="510" t="s">
        <v>721</v>
      </c>
      <c r="H280" s="484">
        <v>3</v>
      </c>
      <c r="I280" s="484">
        <v>2</v>
      </c>
      <c r="J280" s="484">
        <v>2</v>
      </c>
      <c r="K280" s="482">
        <v>4418.3999999999996</v>
      </c>
      <c r="L280" s="482">
        <v>4418.3999999999996</v>
      </c>
      <c r="M280" s="482">
        <f t="shared" si="21"/>
        <v>0</v>
      </c>
      <c r="N280" s="484">
        <v>0</v>
      </c>
      <c r="O280" s="482">
        <v>0</v>
      </c>
      <c r="P280" s="482">
        <v>0</v>
      </c>
      <c r="Q280" s="482">
        <f t="shared" si="22"/>
        <v>0</v>
      </c>
    </row>
    <row r="281" spans="1:17" ht="15.75" customHeight="1" x14ac:dyDescent="0.2">
      <c r="A281" s="484">
        <f t="shared" si="20"/>
        <v>273</v>
      </c>
      <c r="B281" s="484" t="s">
        <v>299</v>
      </c>
      <c r="C281" s="516" t="s">
        <v>62</v>
      </c>
      <c r="D281" s="484"/>
      <c r="E281" s="486" t="s">
        <v>158</v>
      </c>
      <c r="F281" s="486" t="s">
        <v>375</v>
      </c>
      <c r="G281" s="510" t="s">
        <v>721</v>
      </c>
      <c r="H281" s="484">
        <v>3</v>
      </c>
      <c r="I281" s="484">
        <v>1</v>
      </c>
      <c r="J281" s="484">
        <v>1</v>
      </c>
      <c r="K281" s="482">
        <v>704.8</v>
      </c>
      <c r="L281" s="482">
        <v>704.8</v>
      </c>
      <c r="M281" s="482">
        <f t="shared" si="21"/>
        <v>0</v>
      </c>
      <c r="N281" s="484">
        <v>0</v>
      </c>
      <c r="O281" s="482">
        <v>0</v>
      </c>
      <c r="P281" s="482">
        <v>0</v>
      </c>
      <c r="Q281" s="482">
        <f t="shared" si="22"/>
        <v>0</v>
      </c>
    </row>
    <row r="282" spans="1:17" ht="15.75" customHeight="1" x14ac:dyDescent="0.2">
      <c r="A282" s="484">
        <f t="shared" si="20"/>
        <v>274</v>
      </c>
      <c r="B282" s="484" t="s">
        <v>302</v>
      </c>
      <c r="C282" s="516" t="s">
        <v>62</v>
      </c>
      <c r="D282" s="484"/>
      <c r="E282" s="486" t="s">
        <v>158</v>
      </c>
      <c r="F282" s="486" t="s">
        <v>725</v>
      </c>
      <c r="G282" s="510" t="s">
        <v>721</v>
      </c>
      <c r="H282" s="484">
        <v>1</v>
      </c>
      <c r="I282" s="484">
        <v>0</v>
      </c>
      <c r="J282" s="484">
        <v>0</v>
      </c>
      <c r="K282" s="482">
        <v>0</v>
      </c>
      <c r="L282" s="482">
        <v>0</v>
      </c>
      <c r="M282" s="482">
        <f t="shared" si="21"/>
        <v>0</v>
      </c>
      <c r="N282" s="484">
        <v>0</v>
      </c>
      <c r="O282" s="482">
        <v>0</v>
      </c>
      <c r="P282" s="482">
        <v>0</v>
      </c>
      <c r="Q282" s="482">
        <f t="shared" si="22"/>
        <v>0</v>
      </c>
    </row>
    <row r="283" spans="1:17" ht="15.75" customHeight="1" x14ac:dyDescent="0.2">
      <c r="A283" s="484">
        <f t="shared" si="20"/>
        <v>275</v>
      </c>
      <c r="B283" s="484" t="s">
        <v>702</v>
      </c>
      <c r="C283" s="516" t="s">
        <v>62</v>
      </c>
      <c r="D283" s="484"/>
      <c r="E283" s="486" t="s">
        <v>158</v>
      </c>
      <c r="F283" s="486" t="s">
        <v>726</v>
      </c>
      <c r="G283" s="510" t="s">
        <v>721</v>
      </c>
      <c r="H283" s="484">
        <v>1</v>
      </c>
      <c r="I283" s="484">
        <v>0</v>
      </c>
      <c r="J283" s="484">
        <v>0</v>
      </c>
      <c r="K283" s="482">
        <v>0</v>
      </c>
      <c r="L283" s="482">
        <v>0</v>
      </c>
      <c r="M283" s="482">
        <f t="shared" si="21"/>
        <v>0</v>
      </c>
      <c r="N283" s="484">
        <v>0</v>
      </c>
      <c r="O283" s="482">
        <v>0</v>
      </c>
      <c r="P283" s="482">
        <v>0</v>
      </c>
      <c r="Q283" s="482">
        <f t="shared" si="22"/>
        <v>0</v>
      </c>
    </row>
    <row r="284" spans="1:17" ht="15.75" customHeight="1" x14ac:dyDescent="0.2">
      <c r="A284" s="484">
        <f t="shared" si="20"/>
        <v>276</v>
      </c>
      <c r="B284" s="484" t="s">
        <v>376</v>
      </c>
      <c r="C284" s="516" t="s">
        <v>62</v>
      </c>
      <c r="D284" s="484"/>
      <c r="E284" s="486" t="s">
        <v>158</v>
      </c>
      <c r="F284" s="486" t="s">
        <v>377</v>
      </c>
      <c r="G284" s="510" t="s">
        <v>721</v>
      </c>
      <c r="H284" s="484">
        <v>8</v>
      </c>
      <c r="I284" s="484">
        <v>6</v>
      </c>
      <c r="J284" s="484">
        <v>6</v>
      </c>
      <c r="K284" s="482">
        <v>6722.05</v>
      </c>
      <c r="L284" s="482">
        <v>6722.05</v>
      </c>
      <c r="M284" s="482">
        <f t="shared" si="21"/>
        <v>0</v>
      </c>
      <c r="N284" s="484">
        <v>0</v>
      </c>
      <c r="O284" s="482">
        <v>0</v>
      </c>
      <c r="P284" s="482">
        <v>0</v>
      </c>
      <c r="Q284" s="482">
        <f t="shared" si="22"/>
        <v>0</v>
      </c>
    </row>
    <row r="285" spans="1:17" ht="15.75" customHeight="1" x14ac:dyDescent="0.2">
      <c r="A285" s="484">
        <f t="shared" si="20"/>
        <v>277</v>
      </c>
      <c r="B285" s="484" t="s">
        <v>129</v>
      </c>
      <c r="C285" s="516" t="s">
        <v>62</v>
      </c>
      <c r="D285" s="484"/>
      <c r="E285" s="486" t="s">
        <v>158</v>
      </c>
      <c r="F285" s="486" t="s">
        <v>378</v>
      </c>
      <c r="G285" s="510" t="s">
        <v>721</v>
      </c>
      <c r="H285" s="484">
        <v>52</v>
      </c>
      <c r="I285" s="484">
        <v>36</v>
      </c>
      <c r="J285" s="484">
        <v>36</v>
      </c>
      <c r="K285" s="482">
        <v>56334.050000000017</v>
      </c>
      <c r="L285" s="482">
        <v>56334.05000000001</v>
      </c>
      <c r="M285" s="482">
        <f t="shared" si="21"/>
        <v>0</v>
      </c>
      <c r="N285" s="484">
        <v>40</v>
      </c>
      <c r="O285" s="482">
        <v>75401.060000000012</v>
      </c>
      <c r="P285" s="482">
        <v>75401.06</v>
      </c>
      <c r="Q285" s="482">
        <f t="shared" si="22"/>
        <v>0</v>
      </c>
    </row>
    <row r="286" spans="1:17" ht="15.75" customHeight="1" x14ac:dyDescent="0.2">
      <c r="A286" s="484">
        <f t="shared" si="20"/>
        <v>278</v>
      </c>
      <c r="B286" s="484" t="s">
        <v>379</v>
      </c>
      <c r="C286" s="516" t="s">
        <v>62</v>
      </c>
      <c r="D286" s="484"/>
      <c r="E286" s="486" t="s">
        <v>158</v>
      </c>
      <c r="F286" s="486" t="s">
        <v>380</v>
      </c>
      <c r="G286" s="510" t="s">
        <v>721</v>
      </c>
      <c r="H286" s="484">
        <v>5</v>
      </c>
      <c r="I286" s="484">
        <v>2</v>
      </c>
      <c r="J286" s="484">
        <v>2</v>
      </c>
      <c r="K286" s="482">
        <v>1717.35</v>
      </c>
      <c r="L286" s="482">
        <v>1717.35</v>
      </c>
      <c r="M286" s="482">
        <f t="shared" si="21"/>
        <v>0</v>
      </c>
      <c r="N286" s="484">
        <v>0</v>
      </c>
      <c r="O286" s="482">
        <v>0</v>
      </c>
      <c r="P286" s="482">
        <v>0</v>
      </c>
      <c r="Q286" s="482">
        <f t="shared" si="22"/>
        <v>0</v>
      </c>
    </row>
    <row r="287" spans="1:17" ht="15.75" customHeight="1" x14ac:dyDescent="0.2">
      <c r="A287" s="484">
        <f t="shared" si="20"/>
        <v>279</v>
      </c>
      <c r="B287" s="484" t="s">
        <v>130</v>
      </c>
      <c r="C287" s="516" t="s">
        <v>62</v>
      </c>
      <c r="D287" s="484"/>
      <c r="E287" s="486" t="s">
        <v>158</v>
      </c>
      <c r="F287" s="486" t="s">
        <v>557</v>
      </c>
      <c r="G287" s="510" t="s">
        <v>721</v>
      </c>
      <c r="H287" s="484">
        <v>2</v>
      </c>
      <c r="I287" s="484">
        <v>0</v>
      </c>
      <c r="J287" s="484">
        <v>0</v>
      </c>
      <c r="K287" s="482">
        <v>0</v>
      </c>
      <c r="L287" s="482">
        <v>0</v>
      </c>
      <c r="M287" s="482">
        <f t="shared" si="21"/>
        <v>0</v>
      </c>
      <c r="N287" s="484">
        <v>2</v>
      </c>
      <c r="O287" s="482">
        <v>3700.2</v>
      </c>
      <c r="P287" s="482">
        <v>3700.2</v>
      </c>
      <c r="Q287" s="482">
        <f t="shared" si="22"/>
        <v>0</v>
      </c>
    </row>
    <row r="288" spans="1:17" ht="15.75" customHeight="1" x14ac:dyDescent="0.2">
      <c r="A288" s="484">
        <f t="shared" si="20"/>
        <v>280</v>
      </c>
      <c r="B288" s="484" t="s">
        <v>382</v>
      </c>
      <c r="C288" s="516" t="s">
        <v>62</v>
      </c>
      <c r="D288" s="484"/>
      <c r="E288" s="486" t="s">
        <v>703</v>
      </c>
      <c r="F288" s="486" t="s">
        <v>384</v>
      </c>
      <c r="G288" s="510" t="s">
        <v>721</v>
      </c>
      <c r="H288" s="484">
        <v>1</v>
      </c>
      <c r="I288" s="484">
        <v>1</v>
      </c>
      <c r="J288" s="484">
        <v>1</v>
      </c>
      <c r="K288" s="482">
        <v>704.8</v>
      </c>
      <c r="L288" s="482">
        <v>704.8</v>
      </c>
      <c r="M288" s="482">
        <f t="shared" si="21"/>
        <v>0</v>
      </c>
      <c r="N288" s="484">
        <v>0</v>
      </c>
      <c r="O288" s="482">
        <v>0</v>
      </c>
      <c r="P288" s="482">
        <v>0</v>
      </c>
      <c r="Q288" s="482">
        <f t="shared" si="22"/>
        <v>0</v>
      </c>
    </row>
    <row r="289" spans="1:17" ht="15.75" customHeight="1" x14ac:dyDescent="0.2">
      <c r="A289" s="484">
        <f t="shared" si="20"/>
        <v>281</v>
      </c>
      <c r="B289" s="484" t="s">
        <v>385</v>
      </c>
      <c r="C289" s="516" t="s">
        <v>62</v>
      </c>
      <c r="D289" s="484"/>
      <c r="E289" s="486" t="s">
        <v>675</v>
      </c>
      <c r="F289" s="486" t="s">
        <v>386</v>
      </c>
      <c r="G289" s="510" t="s">
        <v>721</v>
      </c>
      <c r="H289" s="484">
        <v>14</v>
      </c>
      <c r="I289" s="484">
        <v>7</v>
      </c>
      <c r="J289" s="484">
        <v>7</v>
      </c>
      <c r="K289" s="482">
        <v>4184.75</v>
      </c>
      <c r="L289" s="482">
        <v>4184.75</v>
      </c>
      <c r="M289" s="482">
        <f t="shared" si="21"/>
        <v>0</v>
      </c>
      <c r="N289" s="484">
        <v>18</v>
      </c>
      <c r="O289" s="482">
        <v>9602.9</v>
      </c>
      <c r="P289" s="482">
        <v>9602.9</v>
      </c>
      <c r="Q289" s="482">
        <f t="shared" si="22"/>
        <v>0</v>
      </c>
    </row>
    <row r="290" spans="1:17" ht="15.75" customHeight="1" x14ac:dyDescent="0.2">
      <c r="A290" s="484">
        <f t="shared" si="20"/>
        <v>282</v>
      </c>
      <c r="B290" s="513" t="s">
        <v>19</v>
      </c>
      <c r="C290" s="515" t="s">
        <v>62</v>
      </c>
      <c r="D290" s="289"/>
      <c r="E290" s="490" t="s">
        <v>671</v>
      </c>
      <c r="F290" s="514" t="s">
        <v>394</v>
      </c>
      <c r="G290" s="289" t="s">
        <v>395</v>
      </c>
      <c r="H290" s="289">
        <v>1</v>
      </c>
      <c r="I290" s="289">
        <v>0</v>
      </c>
      <c r="J290" s="491">
        <v>0</v>
      </c>
      <c r="K290" s="512">
        <v>0</v>
      </c>
      <c r="L290" s="512">
        <v>0</v>
      </c>
      <c r="M290" s="482">
        <f t="shared" si="21"/>
        <v>0</v>
      </c>
      <c r="N290" s="371">
        <v>0</v>
      </c>
      <c r="O290" s="492">
        <v>0</v>
      </c>
      <c r="P290" s="492">
        <v>0</v>
      </c>
      <c r="Q290" s="482">
        <f t="shared" si="22"/>
        <v>0</v>
      </c>
    </row>
    <row r="291" spans="1:17" ht="15.75" customHeight="1" x14ac:dyDescent="0.2">
      <c r="A291" s="484">
        <f t="shared" si="20"/>
        <v>283</v>
      </c>
      <c r="B291" s="513" t="s">
        <v>90</v>
      </c>
      <c r="C291" s="515" t="s">
        <v>62</v>
      </c>
      <c r="D291" s="513" t="s">
        <v>63</v>
      </c>
      <c r="E291" s="490" t="s">
        <v>689</v>
      </c>
      <c r="F291" s="514" t="s">
        <v>396</v>
      </c>
      <c r="G291" s="513" t="s">
        <v>395</v>
      </c>
      <c r="H291" s="513">
        <v>9</v>
      </c>
      <c r="I291" s="513">
        <v>9</v>
      </c>
      <c r="J291" s="513">
        <v>9</v>
      </c>
      <c r="K291" s="512">
        <v>11276.8</v>
      </c>
      <c r="L291" s="512">
        <v>11276.8</v>
      </c>
      <c r="M291" s="482">
        <f t="shared" si="21"/>
        <v>0</v>
      </c>
      <c r="N291" s="513">
        <v>20</v>
      </c>
      <c r="O291" s="512">
        <v>28791.88</v>
      </c>
      <c r="P291" s="512">
        <v>28791.88</v>
      </c>
      <c r="Q291" s="482">
        <f t="shared" si="22"/>
        <v>0</v>
      </c>
    </row>
    <row r="292" spans="1:17" ht="15.75" customHeight="1" x14ac:dyDescent="0.2">
      <c r="A292" s="484">
        <f t="shared" si="20"/>
        <v>284</v>
      </c>
      <c r="B292" s="289" t="s">
        <v>133</v>
      </c>
      <c r="C292" s="493" t="s">
        <v>67</v>
      </c>
      <c r="D292" s="484" t="s">
        <v>494</v>
      </c>
      <c r="E292" s="486" t="s">
        <v>158</v>
      </c>
      <c r="F292" s="514" t="s">
        <v>398</v>
      </c>
      <c r="G292" s="513" t="s">
        <v>395</v>
      </c>
      <c r="H292" s="513">
        <v>12</v>
      </c>
      <c r="I292" s="513">
        <v>5</v>
      </c>
      <c r="J292" s="513">
        <v>5</v>
      </c>
      <c r="K292" s="512">
        <v>7688.8</v>
      </c>
      <c r="L292" s="512">
        <v>7688.8</v>
      </c>
      <c r="M292" s="482">
        <f t="shared" si="21"/>
        <v>0</v>
      </c>
      <c r="N292" s="513">
        <v>9</v>
      </c>
      <c r="O292" s="512">
        <v>12473.03</v>
      </c>
      <c r="P292" s="512">
        <v>12473.03</v>
      </c>
      <c r="Q292" s="482">
        <f t="shared" si="22"/>
        <v>0</v>
      </c>
    </row>
    <row r="293" spans="1:17" ht="15.75" customHeight="1" x14ac:dyDescent="0.2">
      <c r="A293" s="484">
        <f t="shared" si="20"/>
        <v>285</v>
      </c>
      <c r="B293" s="513" t="s">
        <v>399</v>
      </c>
      <c r="C293" s="515" t="s">
        <v>62</v>
      </c>
      <c r="D293" s="513"/>
      <c r="E293" s="490" t="s">
        <v>694</v>
      </c>
      <c r="F293" s="514" t="s">
        <v>401</v>
      </c>
      <c r="G293" s="513" t="s">
        <v>395</v>
      </c>
      <c r="H293" s="513">
        <v>31</v>
      </c>
      <c r="I293" s="513">
        <v>10</v>
      </c>
      <c r="J293" s="513">
        <v>10</v>
      </c>
      <c r="K293" s="512">
        <v>11834.6</v>
      </c>
      <c r="L293" s="512">
        <v>11834.6</v>
      </c>
      <c r="M293" s="482">
        <f t="shared" si="21"/>
        <v>0</v>
      </c>
      <c r="N293" s="513">
        <v>0</v>
      </c>
      <c r="O293" s="512">
        <v>0</v>
      </c>
      <c r="P293" s="512">
        <v>0</v>
      </c>
      <c r="Q293" s="482">
        <f t="shared" si="22"/>
        <v>0</v>
      </c>
    </row>
    <row r="294" spans="1:17" ht="15.75" customHeight="1" x14ac:dyDescent="0.2">
      <c r="A294" s="484">
        <f t="shared" si="20"/>
        <v>286</v>
      </c>
      <c r="B294" s="513" t="s">
        <v>402</v>
      </c>
      <c r="C294" s="515" t="s">
        <v>62</v>
      </c>
      <c r="D294" s="513"/>
      <c r="E294" s="486" t="s">
        <v>158</v>
      </c>
      <c r="F294" s="514" t="s">
        <v>403</v>
      </c>
      <c r="G294" s="513" t="s">
        <v>395</v>
      </c>
      <c r="H294" s="513">
        <v>2</v>
      </c>
      <c r="I294" s="513">
        <v>2</v>
      </c>
      <c r="J294" s="513">
        <v>2</v>
      </c>
      <c r="K294" s="512">
        <v>3815.95</v>
      </c>
      <c r="L294" s="512">
        <v>3815.95</v>
      </c>
      <c r="M294" s="482">
        <f t="shared" si="21"/>
        <v>0</v>
      </c>
      <c r="N294" s="513">
        <v>0</v>
      </c>
      <c r="O294" s="512">
        <v>0</v>
      </c>
      <c r="P294" s="512">
        <v>0</v>
      </c>
      <c r="Q294" s="482">
        <f t="shared" si="22"/>
        <v>0</v>
      </c>
    </row>
    <row r="295" spans="1:17" ht="15.75" customHeight="1" x14ac:dyDescent="0.2">
      <c r="A295" s="484">
        <f t="shared" si="20"/>
        <v>287</v>
      </c>
      <c r="B295" s="513" t="s">
        <v>48</v>
      </c>
      <c r="C295" s="515" t="s">
        <v>62</v>
      </c>
      <c r="D295" s="513"/>
      <c r="E295" s="490" t="s">
        <v>671</v>
      </c>
      <c r="F295" s="514" t="s">
        <v>404</v>
      </c>
      <c r="G295" s="513" t="s">
        <v>395</v>
      </c>
      <c r="H295" s="513">
        <v>47</v>
      </c>
      <c r="I295" s="513">
        <v>11</v>
      </c>
      <c r="J295" s="513">
        <v>11</v>
      </c>
      <c r="K295" s="512">
        <v>16179.5</v>
      </c>
      <c r="L295" s="512">
        <v>16179.5</v>
      </c>
      <c r="M295" s="482">
        <f t="shared" si="21"/>
        <v>0</v>
      </c>
      <c r="N295" s="513">
        <v>21</v>
      </c>
      <c r="O295" s="512">
        <v>53288.82</v>
      </c>
      <c r="P295" s="512">
        <v>53288.82</v>
      </c>
      <c r="Q295" s="482">
        <f t="shared" si="22"/>
        <v>0</v>
      </c>
    </row>
    <row r="296" spans="1:17" ht="15.75" customHeight="1" x14ac:dyDescent="0.2">
      <c r="A296" s="484">
        <f t="shared" si="20"/>
        <v>288</v>
      </c>
      <c r="B296" s="513" t="s">
        <v>39</v>
      </c>
      <c r="C296" s="515" t="s">
        <v>62</v>
      </c>
      <c r="D296" s="513"/>
      <c r="E296" s="490" t="s">
        <v>694</v>
      </c>
      <c r="F296" s="514" t="s">
        <v>405</v>
      </c>
      <c r="G296" s="513" t="s">
        <v>395</v>
      </c>
      <c r="H296" s="513">
        <v>33</v>
      </c>
      <c r="I296" s="513">
        <v>3</v>
      </c>
      <c r="J296" s="513">
        <v>3</v>
      </c>
      <c r="K296" s="512">
        <v>3866.1</v>
      </c>
      <c r="L296" s="512">
        <v>3866.1</v>
      </c>
      <c r="M296" s="482">
        <f t="shared" si="21"/>
        <v>0</v>
      </c>
      <c r="N296" s="513">
        <v>13</v>
      </c>
      <c r="O296" s="512">
        <v>23040.3</v>
      </c>
      <c r="P296" s="512">
        <v>23040.3</v>
      </c>
      <c r="Q296" s="482">
        <f t="shared" si="22"/>
        <v>0</v>
      </c>
    </row>
    <row r="297" spans="1:17" ht="15.75" customHeight="1" x14ac:dyDescent="0.2">
      <c r="A297" s="484">
        <f t="shared" si="20"/>
        <v>289</v>
      </c>
      <c r="B297" s="513" t="s">
        <v>127</v>
      </c>
      <c r="C297" s="515" t="s">
        <v>62</v>
      </c>
      <c r="D297" s="513"/>
      <c r="E297" s="486" t="s">
        <v>158</v>
      </c>
      <c r="F297" s="514" t="s">
        <v>406</v>
      </c>
      <c r="G297" s="513" t="s">
        <v>395</v>
      </c>
      <c r="H297" s="513">
        <v>0</v>
      </c>
      <c r="I297" s="513">
        <v>0</v>
      </c>
      <c r="J297" s="513">
        <v>0</v>
      </c>
      <c r="K297" s="512">
        <v>0</v>
      </c>
      <c r="L297" s="512">
        <v>0</v>
      </c>
      <c r="M297" s="482">
        <f t="shared" si="21"/>
        <v>0</v>
      </c>
      <c r="N297" s="513">
        <v>1</v>
      </c>
      <c r="O297" s="512">
        <v>264.3</v>
      </c>
      <c r="P297" s="512">
        <v>264.3</v>
      </c>
      <c r="Q297" s="482">
        <f t="shared" si="22"/>
        <v>0</v>
      </c>
    </row>
    <row r="298" spans="1:17" ht="15.75" customHeight="1" x14ac:dyDescent="0.2">
      <c r="A298" s="484">
        <f t="shared" si="20"/>
        <v>290</v>
      </c>
      <c r="B298" s="513" t="s">
        <v>561</v>
      </c>
      <c r="C298" s="515" t="s">
        <v>62</v>
      </c>
      <c r="D298" s="513"/>
      <c r="E298" s="490" t="s">
        <v>671</v>
      </c>
      <c r="F298" s="514" t="s">
        <v>562</v>
      </c>
      <c r="G298" s="513" t="s">
        <v>395</v>
      </c>
      <c r="H298" s="513">
        <v>31</v>
      </c>
      <c r="I298" s="513">
        <v>0</v>
      </c>
      <c r="J298" s="513">
        <v>0</v>
      </c>
      <c r="K298" s="512">
        <v>0</v>
      </c>
      <c r="L298" s="512">
        <v>0</v>
      </c>
      <c r="M298" s="482">
        <f t="shared" si="21"/>
        <v>0</v>
      </c>
      <c r="N298" s="513">
        <v>0</v>
      </c>
      <c r="O298" s="512">
        <v>0</v>
      </c>
      <c r="P298" s="512">
        <v>0</v>
      </c>
      <c r="Q298" s="482">
        <f t="shared" si="22"/>
        <v>0</v>
      </c>
    </row>
    <row r="299" spans="1:17" ht="15.75" customHeight="1" x14ac:dyDescent="0.2">
      <c r="A299" s="484">
        <f t="shared" si="20"/>
        <v>291</v>
      </c>
      <c r="B299" s="513" t="s">
        <v>563</v>
      </c>
      <c r="C299" s="515" t="s">
        <v>62</v>
      </c>
      <c r="D299" s="513"/>
      <c r="E299" s="490" t="s">
        <v>671</v>
      </c>
      <c r="F299" s="514" t="s">
        <v>564</v>
      </c>
      <c r="G299" s="513" t="s">
        <v>395</v>
      </c>
      <c r="H299" s="513">
        <v>35</v>
      </c>
      <c r="I299" s="513">
        <v>0</v>
      </c>
      <c r="J299" s="513">
        <v>1</v>
      </c>
      <c r="K299" s="512">
        <v>2643</v>
      </c>
      <c r="L299" s="512">
        <v>2643</v>
      </c>
      <c r="M299" s="482">
        <f t="shared" si="21"/>
        <v>0</v>
      </c>
      <c r="N299" s="513">
        <v>0</v>
      </c>
      <c r="O299" s="512">
        <v>0</v>
      </c>
      <c r="P299" s="512">
        <v>0</v>
      </c>
      <c r="Q299" s="482">
        <f t="shared" si="22"/>
        <v>0</v>
      </c>
    </row>
    <row r="300" spans="1:17" ht="15.75" customHeight="1" x14ac:dyDescent="0.2">
      <c r="A300" s="484">
        <f t="shared" si="20"/>
        <v>292</v>
      </c>
      <c r="B300" s="513" t="s">
        <v>53</v>
      </c>
      <c r="C300" s="515" t="s">
        <v>62</v>
      </c>
      <c r="D300" s="513"/>
      <c r="E300" s="486" t="s">
        <v>158</v>
      </c>
      <c r="F300" s="514" t="s">
        <v>634</v>
      </c>
      <c r="G300" s="513" t="s">
        <v>395</v>
      </c>
      <c r="H300" s="513">
        <v>16</v>
      </c>
      <c r="I300" s="513">
        <v>1</v>
      </c>
      <c r="J300" s="513">
        <v>1</v>
      </c>
      <c r="K300" s="512">
        <v>920.5</v>
      </c>
      <c r="L300" s="512">
        <v>920.5</v>
      </c>
      <c r="M300" s="482">
        <f t="shared" si="21"/>
        <v>0</v>
      </c>
      <c r="N300" s="371">
        <v>0</v>
      </c>
      <c r="O300" s="492">
        <v>0</v>
      </c>
      <c r="P300" s="492">
        <v>0</v>
      </c>
      <c r="Q300" s="482">
        <f t="shared" si="22"/>
        <v>0</v>
      </c>
    </row>
  </sheetData>
  <autoFilter ref="A8:IV300"/>
  <pageMargins left="0.75" right="0.75" top="1" bottom="1" header="0.5" footer="0.5"/>
  <pageSetup paperSize="9" orientation="portrait" verticalDpi="0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5"/>
  <sheetViews>
    <sheetView topLeftCell="A282" workbookViewId="0">
      <selection activeCell="B296" sqref="B296"/>
    </sheetView>
  </sheetViews>
  <sheetFormatPr defaultRowHeight="12.75" x14ac:dyDescent="0.2"/>
  <cols>
    <col min="1" max="1" width="4.42578125" style="485" customWidth="1"/>
    <col min="2" max="2" width="41" style="441" customWidth="1"/>
    <col min="3" max="3" width="14" style="441" customWidth="1"/>
    <col min="4" max="4" width="25.5703125" style="441" customWidth="1"/>
    <col min="5" max="5" width="34.28515625" style="441" customWidth="1"/>
    <col min="6" max="6" width="22.28515625" style="441" customWidth="1"/>
    <col min="7" max="7" width="34.7109375" style="441" customWidth="1"/>
    <col min="8" max="10" width="9.140625" style="441"/>
    <col min="11" max="12" width="10.5703125" style="441" customWidth="1"/>
    <col min="13" max="13" width="9.5703125" style="441" customWidth="1"/>
    <col min="14" max="14" width="9.28515625" style="441" customWidth="1"/>
    <col min="15" max="16" width="11.28515625" style="441" customWidth="1"/>
    <col min="17" max="17" width="9.5703125" style="441" customWidth="1"/>
    <col min="18" max="256" width="9.140625" style="441"/>
    <col min="257" max="257" width="4.42578125" style="441" customWidth="1"/>
    <col min="258" max="258" width="41" style="441" customWidth="1"/>
    <col min="259" max="259" width="14" style="441" customWidth="1"/>
    <col min="260" max="260" width="25.5703125" style="441" customWidth="1"/>
    <col min="261" max="261" width="34.28515625" style="441" customWidth="1"/>
    <col min="262" max="262" width="22.28515625" style="441" customWidth="1"/>
    <col min="263" max="263" width="34.7109375" style="441" customWidth="1"/>
    <col min="264" max="266" width="9.140625" style="441"/>
    <col min="267" max="268" width="10.5703125" style="441" customWidth="1"/>
    <col min="269" max="269" width="9.5703125" style="441" customWidth="1"/>
    <col min="270" max="270" width="9.28515625" style="441" customWidth="1"/>
    <col min="271" max="272" width="11.28515625" style="441" customWidth="1"/>
    <col min="273" max="273" width="9.5703125" style="441" customWidth="1"/>
    <col min="274" max="512" width="9.140625" style="441"/>
    <col min="513" max="513" width="4.42578125" style="441" customWidth="1"/>
    <col min="514" max="514" width="41" style="441" customWidth="1"/>
    <col min="515" max="515" width="14" style="441" customWidth="1"/>
    <col min="516" max="516" width="25.5703125" style="441" customWidth="1"/>
    <col min="517" max="517" width="34.28515625" style="441" customWidth="1"/>
    <col min="518" max="518" width="22.28515625" style="441" customWidth="1"/>
    <col min="519" max="519" width="34.7109375" style="441" customWidth="1"/>
    <col min="520" max="522" width="9.140625" style="441"/>
    <col min="523" max="524" width="10.5703125" style="441" customWidth="1"/>
    <col min="525" max="525" width="9.5703125" style="441" customWidth="1"/>
    <col min="526" max="526" width="9.28515625" style="441" customWidth="1"/>
    <col min="527" max="528" width="11.28515625" style="441" customWidth="1"/>
    <col min="529" max="529" width="9.5703125" style="441" customWidth="1"/>
    <col min="530" max="768" width="9.140625" style="441"/>
    <col min="769" max="769" width="4.42578125" style="441" customWidth="1"/>
    <col min="770" max="770" width="41" style="441" customWidth="1"/>
    <col min="771" max="771" width="14" style="441" customWidth="1"/>
    <col min="772" max="772" width="25.5703125" style="441" customWidth="1"/>
    <col min="773" max="773" width="34.28515625" style="441" customWidth="1"/>
    <col min="774" max="774" width="22.28515625" style="441" customWidth="1"/>
    <col min="775" max="775" width="34.7109375" style="441" customWidth="1"/>
    <col min="776" max="778" width="9.140625" style="441"/>
    <col min="779" max="780" width="10.5703125" style="441" customWidth="1"/>
    <col min="781" max="781" width="9.5703125" style="441" customWidth="1"/>
    <col min="782" max="782" width="9.28515625" style="441" customWidth="1"/>
    <col min="783" max="784" width="11.28515625" style="441" customWidth="1"/>
    <col min="785" max="785" width="9.5703125" style="441" customWidth="1"/>
    <col min="786" max="1024" width="9.140625" style="441"/>
    <col min="1025" max="1025" width="4.42578125" style="441" customWidth="1"/>
    <col min="1026" max="1026" width="41" style="441" customWidth="1"/>
    <col min="1027" max="1027" width="14" style="441" customWidth="1"/>
    <col min="1028" max="1028" width="25.5703125" style="441" customWidth="1"/>
    <col min="1029" max="1029" width="34.28515625" style="441" customWidth="1"/>
    <col min="1030" max="1030" width="22.28515625" style="441" customWidth="1"/>
    <col min="1031" max="1031" width="34.7109375" style="441" customWidth="1"/>
    <col min="1032" max="1034" width="9.140625" style="441"/>
    <col min="1035" max="1036" width="10.5703125" style="441" customWidth="1"/>
    <col min="1037" max="1037" width="9.5703125" style="441" customWidth="1"/>
    <col min="1038" max="1038" width="9.28515625" style="441" customWidth="1"/>
    <col min="1039" max="1040" width="11.28515625" style="441" customWidth="1"/>
    <col min="1041" max="1041" width="9.5703125" style="441" customWidth="1"/>
    <col min="1042" max="1280" width="9.140625" style="441"/>
    <col min="1281" max="1281" width="4.42578125" style="441" customWidth="1"/>
    <col min="1282" max="1282" width="41" style="441" customWidth="1"/>
    <col min="1283" max="1283" width="14" style="441" customWidth="1"/>
    <col min="1284" max="1284" width="25.5703125" style="441" customWidth="1"/>
    <col min="1285" max="1285" width="34.28515625" style="441" customWidth="1"/>
    <col min="1286" max="1286" width="22.28515625" style="441" customWidth="1"/>
    <col min="1287" max="1287" width="34.7109375" style="441" customWidth="1"/>
    <col min="1288" max="1290" width="9.140625" style="441"/>
    <col min="1291" max="1292" width="10.5703125" style="441" customWidth="1"/>
    <col min="1293" max="1293" width="9.5703125" style="441" customWidth="1"/>
    <col min="1294" max="1294" width="9.28515625" style="441" customWidth="1"/>
    <col min="1295" max="1296" width="11.28515625" style="441" customWidth="1"/>
    <col min="1297" max="1297" width="9.5703125" style="441" customWidth="1"/>
    <col min="1298" max="1536" width="9.140625" style="441"/>
    <col min="1537" max="1537" width="4.42578125" style="441" customWidth="1"/>
    <col min="1538" max="1538" width="41" style="441" customWidth="1"/>
    <col min="1539" max="1539" width="14" style="441" customWidth="1"/>
    <col min="1540" max="1540" width="25.5703125" style="441" customWidth="1"/>
    <col min="1541" max="1541" width="34.28515625" style="441" customWidth="1"/>
    <col min="1542" max="1542" width="22.28515625" style="441" customWidth="1"/>
    <col min="1543" max="1543" width="34.7109375" style="441" customWidth="1"/>
    <col min="1544" max="1546" width="9.140625" style="441"/>
    <col min="1547" max="1548" width="10.5703125" style="441" customWidth="1"/>
    <col min="1549" max="1549" width="9.5703125" style="441" customWidth="1"/>
    <col min="1550" max="1550" width="9.28515625" style="441" customWidth="1"/>
    <col min="1551" max="1552" width="11.28515625" style="441" customWidth="1"/>
    <col min="1553" max="1553" width="9.5703125" style="441" customWidth="1"/>
    <col min="1554" max="1792" width="9.140625" style="441"/>
    <col min="1793" max="1793" width="4.42578125" style="441" customWidth="1"/>
    <col min="1794" max="1794" width="41" style="441" customWidth="1"/>
    <col min="1795" max="1795" width="14" style="441" customWidth="1"/>
    <col min="1796" max="1796" width="25.5703125" style="441" customWidth="1"/>
    <col min="1797" max="1797" width="34.28515625" style="441" customWidth="1"/>
    <col min="1798" max="1798" width="22.28515625" style="441" customWidth="1"/>
    <col min="1799" max="1799" width="34.7109375" style="441" customWidth="1"/>
    <col min="1800" max="1802" width="9.140625" style="441"/>
    <col min="1803" max="1804" width="10.5703125" style="441" customWidth="1"/>
    <col min="1805" max="1805" width="9.5703125" style="441" customWidth="1"/>
    <col min="1806" max="1806" width="9.28515625" style="441" customWidth="1"/>
    <col min="1807" max="1808" width="11.28515625" style="441" customWidth="1"/>
    <col min="1809" max="1809" width="9.5703125" style="441" customWidth="1"/>
    <col min="1810" max="2048" width="9.140625" style="441"/>
    <col min="2049" max="2049" width="4.42578125" style="441" customWidth="1"/>
    <col min="2050" max="2050" width="41" style="441" customWidth="1"/>
    <col min="2051" max="2051" width="14" style="441" customWidth="1"/>
    <col min="2052" max="2052" width="25.5703125" style="441" customWidth="1"/>
    <col min="2053" max="2053" width="34.28515625" style="441" customWidth="1"/>
    <col min="2054" max="2054" width="22.28515625" style="441" customWidth="1"/>
    <col min="2055" max="2055" width="34.7109375" style="441" customWidth="1"/>
    <col min="2056" max="2058" width="9.140625" style="441"/>
    <col min="2059" max="2060" width="10.5703125" style="441" customWidth="1"/>
    <col min="2061" max="2061" width="9.5703125" style="441" customWidth="1"/>
    <col min="2062" max="2062" width="9.28515625" style="441" customWidth="1"/>
    <col min="2063" max="2064" width="11.28515625" style="441" customWidth="1"/>
    <col min="2065" max="2065" width="9.5703125" style="441" customWidth="1"/>
    <col min="2066" max="2304" width="9.140625" style="441"/>
    <col min="2305" max="2305" width="4.42578125" style="441" customWidth="1"/>
    <col min="2306" max="2306" width="41" style="441" customWidth="1"/>
    <col min="2307" max="2307" width="14" style="441" customWidth="1"/>
    <col min="2308" max="2308" width="25.5703125" style="441" customWidth="1"/>
    <col min="2309" max="2309" width="34.28515625" style="441" customWidth="1"/>
    <col min="2310" max="2310" width="22.28515625" style="441" customWidth="1"/>
    <col min="2311" max="2311" width="34.7109375" style="441" customWidth="1"/>
    <col min="2312" max="2314" width="9.140625" style="441"/>
    <col min="2315" max="2316" width="10.5703125" style="441" customWidth="1"/>
    <col min="2317" max="2317" width="9.5703125" style="441" customWidth="1"/>
    <col min="2318" max="2318" width="9.28515625" style="441" customWidth="1"/>
    <col min="2319" max="2320" width="11.28515625" style="441" customWidth="1"/>
    <col min="2321" max="2321" width="9.5703125" style="441" customWidth="1"/>
    <col min="2322" max="2560" width="9.140625" style="441"/>
    <col min="2561" max="2561" width="4.42578125" style="441" customWidth="1"/>
    <col min="2562" max="2562" width="41" style="441" customWidth="1"/>
    <col min="2563" max="2563" width="14" style="441" customWidth="1"/>
    <col min="2564" max="2564" width="25.5703125" style="441" customWidth="1"/>
    <col min="2565" max="2565" width="34.28515625" style="441" customWidth="1"/>
    <col min="2566" max="2566" width="22.28515625" style="441" customWidth="1"/>
    <col min="2567" max="2567" width="34.7109375" style="441" customWidth="1"/>
    <col min="2568" max="2570" width="9.140625" style="441"/>
    <col min="2571" max="2572" width="10.5703125" style="441" customWidth="1"/>
    <col min="2573" max="2573" width="9.5703125" style="441" customWidth="1"/>
    <col min="2574" max="2574" width="9.28515625" style="441" customWidth="1"/>
    <col min="2575" max="2576" width="11.28515625" style="441" customWidth="1"/>
    <col min="2577" max="2577" width="9.5703125" style="441" customWidth="1"/>
    <col min="2578" max="2816" width="9.140625" style="441"/>
    <col min="2817" max="2817" width="4.42578125" style="441" customWidth="1"/>
    <col min="2818" max="2818" width="41" style="441" customWidth="1"/>
    <col min="2819" max="2819" width="14" style="441" customWidth="1"/>
    <col min="2820" max="2820" width="25.5703125" style="441" customWidth="1"/>
    <col min="2821" max="2821" width="34.28515625" style="441" customWidth="1"/>
    <col min="2822" max="2822" width="22.28515625" style="441" customWidth="1"/>
    <col min="2823" max="2823" width="34.7109375" style="441" customWidth="1"/>
    <col min="2824" max="2826" width="9.140625" style="441"/>
    <col min="2827" max="2828" width="10.5703125" style="441" customWidth="1"/>
    <col min="2829" max="2829" width="9.5703125" style="441" customWidth="1"/>
    <col min="2830" max="2830" width="9.28515625" style="441" customWidth="1"/>
    <col min="2831" max="2832" width="11.28515625" style="441" customWidth="1"/>
    <col min="2833" max="2833" width="9.5703125" style="441" customWidth="1"/>
    <col min="2834" max="3072" width="9.140625" style="441"/>
    <col min="3073" max="3073" width="4.42578125" style="441" customWidth="1"/>
    <col min="3074" max="3074" width="41" style="441" customWidth="1"/>
    <col min="3075" max="3075" width="14" style="441" customWidth="1"/>
    <col min="3076" max="3076" width="25.5703125" style="441" customWidth="1"/>
    <col min="3077" max="3077" width="34.28515625" style="441" customWidth="1"/>
    <col min="3078" max="3078" width="22.28515625" style="441" customWidth="1"/>
    <col min="3079" max="3079" width="34.7109375" style="441" customWidth="1"/>
    <col min="3080" max="3082" width="9.140625" style="441"/>
    <col min="3083" max="3084" width="10.5703125" style="441" customWidth="1"/>
    <col min="3085" max="3085" width="9.5703125" style="441" customWidth="1"/>
    <col min="3086" max="3086" width="9.28515625" style="441" customWidth="1"/>
    <col min="3087" max="3088" width="11.28515625" style="441" customWidth="1"/>
    <col min="3089" max="3089" width="9.5703125" style="441" customWidth="1"/>
    <col min="3090" max="3328" width="9.140625" style="441"/>
    <col min="3329" max="3329" width="4.42578125" style="441" customWidth="1"/>
    <col min="3330" max="3330" width="41" style="441" customWidth="1"/>
    <col min="3331" max="3331" width="14" style="441" customWidth="1"/>
    <col min="3332" max="3332" width="25.5703125" style="441" customWidth="1"/>
    <col min="3333" max="3333" width="34.28515625" style="441" customWidth="1"/>
    <col min="3334" max="3334" width="22.28515625" style="441" customWidth="1"/>
    <col min="3335" max="3335" width="34.7109375" style="441" customWidth="1"/>
    <col min="3336" max="3338" width="9.140625" style="441"/>
    <col min="3339" max="3340" width="10.5703125" style="441" customWidth="1"/>
    <col min="3341" max="3341" width="9.5703125" style="441" customWidth="1"/>
    <col min="3342" max="3342" width="9.28515625" style="441" customWidth="1"/>
    <col min="3343" max="3344" width="11.28515625" style="441" customWidth="1"/>
    <col min="3345" max="3345" width="9.5703125" style="441" customWidth="1"/>
    <col min="3346" max="3584" width="9.140625" style="441"/>
    <col min="3585" max="3585" width="4.42578125" style="441" customWidth="1"/>
    <col min="3586" max="3586" width="41" style="441" customWidth="1"/>
    <col min="3587" max="3587" width="14" style="441" customWidth="1"/>
    <col min="3588" max="3588" width="25.5703125" style="441" customWidth="1"/>
    <col min="3589" max="3589" width="34.28515625" style="441" customWidth="1"/>
    <col min="3590" max="3590" width="22.28515625" style="441" customWidth="1"/>
    <col min="3591" max="3591" width="34.7109375" style="441" customWidth="1"/>
    <col min="3592" max="3594" width="9.140625" style="441"/>
    <col min="3595" max="3596" width="10.5703125" style="441" customWidth="1"/>
    <col min="3597" max="3597" width="9.5703125" style="441" customWidth="1"/>
    <col min="3598" max="3598" width="9.28515625" style="441" customWidth="1"/>
    <col min="3599" max="3600" width="11.28515625" style="441" customWidth="1"/>
    <col min="3601" max="3601" width="9.5703125" style="441" customWidth="1"/>
    <col min="3602" max="3840" width="9.140625" style="441"/>
    <col min="3841" max="3841" width="4.42578125" style="441" customWidth="1"/>
    <col min="3842" max="3842" width="41" style="441" customWidth="1"/>
    <col min="3843" max="3843" width="14" style="441" customWidth="1"/>
    <col min="3844" max="3844" width="25.5703125" style="441" customWidth="1"/>
    <col min="3845" max="3845" width="34.28515625" style="441" customWidth="1"/>
    <col min="3846" max="3846" width="22.28515625" style="441" customWidth="1"/>
    <col min="3847" max="3847" width="34.7109375" style="441" customWidth="1"/>
    <col min="3848" max="3850" width="9.140625" style="441"/>
    <col min="3851" max="3852" width="10.5703125" style="441" customWidth="1"/>
    <col min="3853" max="3853" width="9.5703125" style="441" customWidth="1"/>
    <col min="3854" max="3854" width="9.28515625" style="441" customWidth="1"/>
    <col min="3855" max="3856" width="11.28515625" style="441" customWidth="1"/>
    <col min="3857" max="3857" width="9.5703125" style="441" customWidth="1"/>
    <col min="3858" max="4096" width="9.140625" style="441"/>
    <col min="4097" max="4097" width="4.42578125" style="441" customWidth="1"/>
    <col min="4098" max="4098" width="41" style="441" customWidth="1"/>
    <col min="4099" max="4099" width="14" style="441" customWidth="1"/>
    <col min="4100" max="4100" width="25.5703125" style="441" customWidth="1"/>
    <col min="4101" max="4101" width="34.28515625" style="441" customWidth="1"/>
    <col min="4102" max="4102" width="22.28515625" style="441" customWidth="1"/>
    <col min="4103" max="4103" width="34.7109375" style="441" customWidth="1"/>
    <col min="4104" max="4106" width="9.140625" style="441"/>
    <col min="4107" max="4108" width="10.5703125" style="441" customWidth="1"/>
    <col min="4109" max="4109" width="9.5703125" style="441" customWidth="1"/>
    <col min="4110" max="4110" width="9.28515625" style="441" customWidth="1"/>
    <col min="4111" max="4112" width="11.28515625" style="441" customWidth="1"/>
    <col min="4113" max="4113" width="9.5703125" style="441" customWidth="1"/>
    <col min="4114" max="4352" width="9.140625" style="441"/>
    <col min="4353" max="4353" width="4.42578125" style="441" customWidth="1"/>
    <col min="4354" max="4354" width="41" style="441" customWidth="1"/>
    <col min="4355" max="4355" width="14" style="441" customWidth="1"/>
    <col min="4356" max="4356" width="25.5703125" style="441" customWidth="1"/>
    <col min="4357" max="4357" width="34.28515625" style="441" customWidth="1"/>
    <col min="4358" max="4358" width="22.28515625" style="441" customWidth="1"/>
    <col min="4359" max="4359" width="34.7109375" style="441" customWidth="1"/>
    <col min="4360" max="4362" width="9.140625" style="441"/>
    <col min="4363" max="4364" width="10.5703125" style="441" customWidth="1"/>
    <col min="4365" max="4365" width="9.5703125" style="441" customWidth="1"/>
    <col min="4366" max="4366" width="9.28515625" style="441" customWidth="1"/>
    <col min="4367" max="4368" width="11.28515625" style="441" customWidth="1"/>
    <col min="4369" max="4369" width="9.5703125" style="441" customWidth="1"/>
    <col min="4370" max="4608" width="9.140625" style="441"/>
    <col min="4609" max="4609" width="4.42578125" style="441" customWidth="1"/>
    <col min="4610" max="4610" width="41" style="441" customWidth="1"/>
    <col min="4611" max="4611" width="14" style="441" customWidth="1"/>
    <col min="4612" max="4612" width="25.5703125" style="441" customWidth="1"/>
    <col min="4613" max="4613" width="34.28515625" style="441" customWidth="1"/>
    <col min="4614" max="4614" width="22.28515625" style="441" customWidth="1"/>
    <col min="4615" max="4615" width="34.7109375" style="441" customWidth="1"/>
    <col min="4616" max="4618" width="9.140625" style="441"/>
    <col min="4619" max="4620" width="10.5703125" style="441" customWidth="1"/>
    <col min="4621" max="4621" width="9.5703125" style="441" customWidth="1"/>
    <col min="4622" max="4622" width="9.28515625" style="441" customWidth="1"/>
    <col min="4623" max="4624" width="11.28515625" style="441" customWidth="1"/>
    <col min="4625" max="4625" width="9.5703125" style="441" customWidth="1"/>
    <col min="4626" max="4864" width="9.140625" style="441"/>
    <col min="4865" max="4865" width="4.42578125" style="441" customWidth="1"/>
    <col min="4866" max="4866" width="41" style="441" customWidth="1"/>
    <col min="4867" max="4867" width="14" style="441" customWidth="1"/>
    <col min="4868" max="4868" width="25.5703125" style="441" customWidth="1"/>
    <col min="4869" max="4869" width="34.28515625" style="441" customWidth="1"/>
    <col min="4870" max="4870" width="22.28515625" style="441" customWidth="1"/>
    <col min="4871" max="4871" width="34.7109375" style="441" customWidth="1"/>
    <col min="4872" max="4874" width="9.140625" style="441"/>
    <col min="4875" max="4876" width="10.5703125" style="441" customWidth="1"/>
    <col min="4877" max="4877" width="9.5703125" style="441" customWidth="1"/>
    <col min="4878" max="4878" width="9.28515625" style="441" customWidth="1"/>
    <col min="4879" max="4880" width="11.28515625" style="441" customWidth="1"/>
    <col min="4881" max="4881" width="9.5703125" style="441" customWidth="1"/>
    <col min="4882" max="5120" width="9.140625" style="441"/>
    <col min="5121" max="5121" width="4.42578125" style="441" customWidth="1"/>
    <col min="5122" max="5122" width="41" style="441" customWidth="1"/>
    <col min="5123" max="5123" width="14" style="441" customWidth="1"/>
    <col min="5124" max="5124" width="25.5703125" style="441" customWidth="1"/>
    <col min="5125" max="5125" width="34.28515625" style="441" customWidth="1"/>
    <col min="5126" max="5126" width="22.28515625" style="441" customWidth="1"/>
    <col min="5127" max="5127" width="34.7109375" style="441" customWidth="1"/>
    <col min="5128" max="5130" width="9.140625" style="441"/>
    <col min="5131" max="5132" width="10.5703125" style="441" customWidth="1"/>
    <col min="5133" max="5133" width="9.5703125" style="441" customWidth="1"/>
    <col min="5134" max="5134" width="9.28515625" style="441" customWidth="1"/>
    <col min="5135" max="5136" width="11.28515625" style="441" customWidth="1"/>
    <col min="5137" max="5137" width="9.5703125" style="441" customWidth="1"/>
    <col min="5138" max="5376" width="9.140625" style="441"/>
    <col min="5377" max="5377" width="4.42578125" style="441" customWidth="1"/>
    <col min="5378" max="5378" width="41" style="441" customWidth="1"/>
    <col min="5379" max="5379" width="14" style="441" customWidth="1"/>
    <col min="5380" max="5380" width="25.5703125" style="441" customWidth="1"/>
    <col min="5381" max="5381" width="34.28515625" style="441" customWidth="1"/>
    <col min="5382" max="5382" width="22.28515625" style="441" customWidth="1"/>
    <col min="5383" max="5383" width="34.7109375" style="441" customWidth="1"/>
    <col min="5384" max="5386" width="9.140625" style="441"/>
    <col min="5387" max="5388" width="10.5703125" style="441" customWidth="1"/>
    <col min="5389" max="5389" width="9.5703125" style="441" customWidth="1"/>
    <col min="5390" max="5390" width="9.28515625" style="441" customWidth="1"/>
    <col min="5391" max="5392" width="11.28515625" style="441" customWidth="1"/>
    <col min="5393" max="5393" width="9.5703125" style="441" customWidth="1"/>
    <col min="5394" max="5632" width="9.140625" style="441"/>
    <col min="5633" max="5633" width="4.42578125" style="441" customWidth="1"/>
    <col min="5634" max="5634" width="41" style="441" customWidth="1"/>
    <col min="5635" max="5635" width="14" style="441" customWidth="1"/>
    <col min="5636" max="5636" width="25.5703125" style="441" customWidth="1"/>
    <col min="5637" max="5637" width="34.28515625" style="441" customWidth="1"/>
    <col min="5638" max="5638" width="22.28515625" style="441" customWidth="1"/>
    <col min="5639" max="5639" width="34.7109375" style="441" customWidth="1"/>
    <col min="5640" max="5642" width="9.140625" style="441"/>
    <col min="5643" max="5644" width="10.5703125" style="441" customWidth="1"/>
    <col min="5645" max="5645" width="9.5703125" style="441" customWidth="1"/>
    <col min="5646" max="5646" width="9.28515625" style="441" customWidth="1"/>
    <col min="5647" max="5648" width="11.28515625" style="441" customWidth="1"/>
    <col min="5649" max="5649" width="9.5703125" style="441" customWidth="1"/>
    <col min="5650" max="5888" width="9.140625" style="441"/>
    <col min="5889" max="5889" width="4.42578125" style="441" customWidth="1"/>
    <col min="5890" max="5890" width="41" style="441" customWidth="1"/>
    <col min="5891" max="5891" width="14" style="441" customWidth="1"/>
    <col min="5892" max="5892" width="25.5703125" style="441" customWidth="1"/>
    <col min="5893" max="5893" width="34.28515625" style="441" customWidth="1"/>
    <col min="5894" max="5894" width="22.28515625" style="441" customWidth="1"/>
    <col min="5895" max="5895" width="34.7109375" style="441" customWidth="1"/>
    <col min="5896" max="5898" width="9.140625" style="441"/>
    <col min="5899" max="5900" width="10.5703125" style="441" customWidth="1"/>
    <col min="5901" max="5901" width="9.5703125" style="441" customWidth="1"/>
    <col min="5902" max="5902" width="9.28515625" style="441" customWidth="1"/>
    <col min="5903" max="5904" width="11.28515625" style="441" customWidth="1"/>
    <col min="5905" max="5905" width="9.5703125" style="441" customWidth="1"/>
    <col min="5906" max="6144" width="9.140625" style="441"/>
    <col min="6145" max="6145" width="4.42578125" style="441" customWidth="1"/>
    <col min="6146" max="6146" width="41" style="441" customWidth="1"/>
    <col min="6147" max="6147" width="14" style="441" customWidth="1"/>
    <col min="6148" max="6148" width="25.5703125" style="441" customWidth="1"/>
    <col min="6149" max="6149" width="34.28515625" style="441" customWidth="1"/>
    <col min="6150" max="6150" width="22.28515625" style="441" customWidth="1"/>
    <col min="6151" max="6151" width="34.7109375" style="441" customWidth="1"/>
    <col min="6152" max="6154" width="9.140625" style="441"/>
    <col min="6155" max="6156" width="10.5703125" style="441" customWidth="1"/>
    <col min="6157" max="6157" width="9.5703125" style="441" customWidth="1"/>
    <col min="6158" max="6158" width="9.28515625" style="441" customWidth="1"/>
    <col min="6159" max="6160" width="11.28515625" style="441" customWidth="1"/>
    <col min="6161" max="6161" width="9.5703125" style="441" customWidth="1"/>
    <col min="6162" max="6400" width="9.140625" style="441"/>
    <col min="6401" max="6401" width="4.42578125" style="441" customWidth="1"/>
    <col min="6402" max="6402" width="41" style="441" customWidth="1"/>
    <col min="6403" max="6403" width="14" style="441" customWidth="1"/>
    <col min="6404" max="6404" width="25.5703125" style="441" customWidth="1"/>
    <col min="6405" max="6405" width="34.28515625" style="441" customWidth="1"/>
    <col min="6406" max="6406" width="22.28515625" style="441" customWidth="1"/>
    <col min="6407" max="6407" width="34.7109375" style="441" customWidth="1"/>
    <col min="6408" max="6410" width="9.140625" style="441"/>
    <col min="6411" max="6412" width="10.5703125" style="441" customWidth="1"/>
    <col min="6413" max="6413" width="9.5703125" style="441" customWidth="1"/>
    <col min="6414" max="6414" width="9.28515625" style="441" customWidth="1"/>
    <col min="6415" max="6416" width="11.28515625" style="441" customWidth="1"/>
    <col min="6417" max="6417" width="9.5703125" style="441" customWidth="1"/>
    <col min="6418" max="6656" width="9.140625" style="441"/>
    <col min="6657" max="6657" width="4.42578125" style="441" customWidth="1"/>
    <col min="6658" max="6658" width="41" style="441" customWidth="1"/>
    <col min="6659" max="6659" width="14" style="441" customWidth="1"/>
    <col min="6660" max="6660" width="25.5703125" style="441" customWidth="1"/>
    <col min="6661" max="6661" width="34.28515625" style="441" customWidth="1"/>
    <col min="6662" max="6662" width="22.28515625" style="441" customWidth="1"/>
    <col min="6663" max="6663" width="34.7109375" style="441" customWidth="1"/>
    <col min="6664" max="6666" width="9.140625" style="441"/>
    <col min="6667" max="6668" width="10.5703125" style="441" customWidth="1"/>
    <col min="6669" max="6669" width="9.5703125" style="441" customWidth="1"/>
    <col min="6670" max="6670" width="9.28515625" style="441" customWidth="1"/>
    <col min="6671" max="6672" width="11.28515625" style="441" customWidth="1"/>
    <col min="6673" max="6673" width="9.5703125" style="441" customWidth="1"/>
    <col min="6674" max="6912" width="9.140625" style="441"/>
    <col min="6913" max="6913" width="4.42578125" style="441" customWidth="1"/>
    <col min="6914" max="6914" width="41" style="441" customWidth="1"/>
    <col min="6915" max="6915" width="14" style="441" customWidth="1"/>
    <col min="6916" max="6916" width="25.5703125" style="441" customWidth="1"/>
    <col min="6917" max="6917" width="34.28515625" style="441" customWidth="1"/>
    <col min="6918" max="6918" width="22.28515625" style="441" customWidth="1"/>
    <col min="6919" max="6919" width="34.7109375" style="441" customWidth="1"/>
    <col min="6920" max="6922" width="9.140625" style="441"/>
    <col min="6923" max="6924" width="10.5703125" style="441" customWidth="1"/>
    <col min="6925" max="6925" width="9.5703125" style="441" customWidth="1"/>
    <col min="6926" max="6926" width="9.28515625" style="441" customWidth="1"/>
    <col min="6927" max="6928" width="11.28515625" style="441" customWidth="1"/>
    <col min="6929" max="6929" width="9.5703125" style="441" customWidth="1"/>
    <col min="6930" max="7168" width="9.140625" style="441"/>
    <col min="7169" max="7169" width="4.42578125" style="441" customWidth="1"/>
    <col min="7170" max="7170" width="41" style="441" customWidth="1"/>
    <col min="7171" max="7171" width="14" style="441" customWidth="1"/>
    <col min="7172" max="7172" width="25.5703125" style="441" customWidth="1"/>
    <col min="7173" max="7173" width="34.28515625" style="441" customWidth="1"/>
    <col min="7174" max="7174" width="22.28515625" style="441" customWidth="1"/>
    <col min="7175" max="7175" width="34.7109375" style="441" customWidth="1"/>
    <col min="7176" max="7178" width="9.140625" style="441"/>
    <col min="7179" max="7180" width="10.5703125" style="441" customWidth="1"/>
    <col min="7181" max="7181" width="9.5703125" style="441" customWidth="1"/>
    <col min="7182" max="7182" width="9.28515625" style="441" customWidth="1"/>
    <col min="7183" max="7184" width="11.28515625" style="441" customWidth="1"/>
    <col min="7185" max="7185" width="9.5703125" style="441" customWidth="1"/>
    <col min="7186" max="7424" width="9.140625" style="441"/>
    <col min="7425" max="7425" width="4.42578125" style="441" customWidth="1"/>
    <col min="7426" max="7426" width="41" style="441" customWidth="1"/>
    <col min="7427" max="7427" width="14" style="441" customWidth="1"/>
    <col min="7428" max="7428" width="25.5703125" style="441" customWidth="1"/>
    <col min="7429" max="7429" width="34.28515625" style="441" customWidth="1"/>
    <col min="7430" max="7430" width="22.28515625" style="441" customWidth="1"/>
    <col min="7431" max="7431" width="34.7109375" style="441" customWidth="1"/>
    <col min="7432" max="7434" width="9.140625" style="441"/>
    <col min="7435" max="7436" width="10.5703125" style="441" customWidth="1"/>
    <col min="7437" max="7437" width="9.5703125" style="441" customWidth="1"/>
    <col min="7438" max="7438" width="9.28515625" style="441" customWidth="1"/>
    <col min="7439" max="7440" width="11.28515625" style="441" customWidth="1"/>
    <col min="7441" max="7441" width="9.5703125" style="441" customWidth="1"/>
    <col min="7442" max="7680" width="9.140625" style="441"/>
    <col min="7681" max="7681" width="4.42578125" style="441" customWidth="1"/>
    <col min="7682" max="7682" width="41" style="441" customWidth="1"/>
    <col min="7683" max="7683" width="14" style="441" customWidth="1"/>
    <col min="7684" max="7684" width="25.5703125" style="441" customWidth="1"/>
    <col min="7685" max="7685" width="34.28515625" style="441" customWidth="1"/>
    <col min="7686" max="7686" width="22.28515625" style="441" customWidth="1"/>
    <col min="7687" max="7687" width="34.7109375" style="441" customWidth="1"/>
    <col min="7688" max="7690" width="9.140625" style="441"/>
    <col min="7691" max="7692" width="10.5703125" style="441" customWidth="1"/>
    <col min="7693" max="7693" width="9.5703125" style="441" customWidth="1"/>
    <col min="7694" max="7694" width="9.28515625" style="441" customWidth="1"/>
    <col min="7695" max="7696" width="11.28515625" style="441" customWidth="1"/>
    <col min="7697" max="7697" width="9.5703125" style="441" customWidth="1"/>
    <col min="7698" max="7936" width="9.140625" style="441"/>
    <col min="7937" max="7937" width="4.42578125" style="441" customWidth="1"/>
    <col min="7938" max="7938" width="41" style="441" customWidth="1"/>
    <col min="7939" max="7939" width="14" style="441" customWidth="1"/>
    <col min="7940" max="7940" width="25.5703125" style="441" customWidth="1"/>
    <col min="7941" max="7941" width="34.28515625" style="441" customWidth="1"/>
    <col min="7942" max="7942" width="22.28515625" style="441" customWidth="1"/>
    <col min="7943" max="7943" width="34.7109375" style="441" customWidth="1"/>
    <col min="7944" max="7946" width="9.140625" style="441"/>
    <col min="7947" max="7948" width="10.5703125" style="441" customWidth="1"/>
    <col min="7949" max="7949" width="9.5703125" style="441" customWidth="1"/>
    <col min="7950" max="7950" width="9.28515625" style="441" customWidth="1"/>
    <col min="7951" max="7952" width="11.28515625" style="441" customWidth="1"/>
    <col min="7953" max="7953" width="9.5703125" style="441" customWidth="1"/>
    <col min="7954" max="8192" width="9.140625" style="441"/>
    <col min="8193" max="8193" width="4.42578125" style="441" customWidth="1"/>
    <col min="8194" max="8194" width="41" style="441" customWidth="1"/>
    <col min="8195" max="8195" width="14" style="441" customWidth="1"/>
    <col min="8196" max="8196" width="25.5703125" style="441" customWidth="1"/>
    <col min="8197" max="8197" width="34.28515625" style="441" customWidth="1"/>
    <col min="8198" max="8198" width="22.28515625" style="441" customWidth="1"/>
    <col min="8199" max="8199" width="34.7109375" style="441" customWidth="1"/>
    <col min="8200" max="8202" width="9.140625" style="441"/>
    <col min="8203" max="8204" width="10.5703125" style="441" customWidth="1"/>
    <col min="8205" max="8205" width="9.5703125" style="441" customWidth="1"/>
    <col min="8206" max="8206" width="9.28515625" style="441" customWidth="1"/>
    <col min="8207" max="8208" width="11.28515625" style="441" customWidth="1"/>
    <col min="8209" max="8209" width="9.5703125" style="441" customWidth="1"/>
    <col min="8210" max="8448" width="9.140625" style="441"/>
    <col min="8449" max="8449" width="4.42578125" style="441" customWidth="1"/>
    <col min="8450" max="8450" width="41" style="441" customWidth="1"/>
    <col min="8451" max="8451" width="14" style="441" customWidth="1"/>
    <col min="8452" max="8452" width="25.5703125" style="441" customWidth="1"/>
    <col min="8453" max="8453" width="34.28515625" style="441" customWidth="1"/>
    <col min="8454" max="8454" width="22.28515625" style="441" customWidth="1"/>
    <col min="8455" max="8455" width="34.7109375" style="441" customWidth="1"/>
    <col min="8456" max="8458" width="9.140625" style="441"/>
    <col min="8459" max="8460" width="10.5703125" style="441" customWidth="1"/>
    <col min="8461" max="8461" width="9.5703125" style="441" customWidth="1"/>
    <col min="8462" max="8462" width="9.28515625" style="441" customWidth="1"/>
    <col min="8463" max="8464" width="11.28515625" style="441" customWidth="1"/>
    <col min="8465" max="8465" width="9.5703125" style="441" customWidth="1"/>
    <col min="8466" max="8704" width="9.140625" style="441"/>
    <col min="8705" max="8705" width="4.42578125" style="441" customWidth="1"/>
    <col min="8706" max="8706" width="41" style="441" customWidth="1"/>
    <col min="8707" max="8707" width="14" style="441" customWidth="1"/>
    <col min="8708" max="8708" width="25.5703125" style="441" customWidth="1"/>
    <col min="8709" max="8709" width="34.28515625" style="441" customWidth="1"/>
    <col min="8710" max="8710" width="22.28515625" style="441" customWidth="1"/>
    <col min="8711" max="8711" width="34.7109375" style="441" customWidth="1"/>
    <col min="8712" max="8714" width="9.140625" style="441"/>
    <col min="8715" max="8716" width="10.5703125" style="441" customWidth="1"/>
    <col min="8717" max="8717" width="9.5703125" style="441" customWidth="1"/>
    <col min="8718" max="8718" width="9.28515625" style="441" customWidth="1"/>
    <col min="8719" max="8720" width="11.28515625" style="441" customWidth="1"/>
    <col min="8721" max="8721" width="9.5703125" style="441" customWidth="1"/>
    <col min="8722" max="8960" width="9.140625" style="441"/>
    <col min="8961" max="8961" width="4.42578125" style="441" customWidth="1"/>
    <col min="8962" max="8962" width="41" style="441" customWidth="1"/>
    <col min="8963" max="8963" width="14" style="441" customWidth="1"/>
    <col min="8964" max="8964" width="25.5703125" style="441" customWidth="1"/>
    <col min="8965" max="8965" width="34.28515625" style="441" customWidth="1"/>
    <col min="8966" max="8966" width="22.28515625" style="441" customWidth="1"/>
    <col min="8967" max="8967" width="34.7109375" style="441" customWidth="1"/>
    <col min="8968" max="8970" width="9.140625" style="441"/>
    <col min="8971" max="8972" width="10.5703125" style="441" customWidth="1"/>
    <col min="8973" max="8973" width="9.5703125" style="441" customWidth="1"/>
    <col min="8974" max="8974" width="9.28515625" style="441" customWidth="1"/>
    <col min="8975" max="8976" width="11.28515625" style="441" customWidth="1"/>
    <col min="8977" max="8977" width="9.5703125" style="441" customWidth="1"/>
    <col min="8978" max="9216" width="9.140625" style="441"/>
    <col min="9217" max="9217" width="4.42578125" style="441" customWidth="1"/>
    <col min="9218" max="9218" width="41" style="441" customWidth="1"/>
    <col min="9219" max="9219" width="14" style="441" customWidth="1"/>
    <col min="9220" max="9220" width="25.5703125" style="441" customWidth="1"/>
    <col min="9221" max="9221" width="34.28515625" style="441" customWidth="1"/>
    <col min="9222" max="9222" width="22.28515625" style="441" customWidth="1"/>
    <col min="9223" max="9223" width="34.7109375" style="441" customWidth="1"/>
    <col min="9224" max="9226" width="9.140625" style="441"/>
    <col min="9227" max="9228" width="10.5703125" style="441" customWidth="1"/>
    <col min="9229" max="9229" width="9.5703125" style="441" customWidth="1"/>
    <col min="9230" max="9230" width="9.28515625" style="441" customWidth="1"/>
    <col min="9231" max="9232" width="11.28515625" style="441" customWidth="1"/>
    <col min="9233" max="9233" width="9.5703125" style="441" customWidth="1"/>
    <col min="9234" max="9472" width="9.140625" style="441"/>
    <col min="9473" max="9473" width="4.42578125" style="441" customWidth="1"/>
    <col min="9474" max="9474" width="41" style="441" customWidth="1"/>
    <col min="9475" max="9475" width="14" style="441" customWidth="1"/>
    <col min="9476" max="9476" width="25.5703125" style="441" customWidth="1"/>
    <col min="9477" max="9477" width="34.28515625" style="441" customWidth="1"/>
    <col min="9478" max="9478" width="22.28515625" style="441" customWidth="1"/>
    <col min="9479" max="9479" width="34.7109375" style="441" customWidth="1"/>
    <col min="9480" max="9482" width="9.140625" style="441"/>
    <col min="9483" max="9484" width="10.5703125" style="441" customWidth="1"/>
    <col min="9485" max="9485" width="9.5703125" style="441" customWidth="1"/>
    <col min="9486" max="9486" width="9.28515625" style="441" customWidth="1"/>
    <col min="9487" max="9488" width="11.28515625" style="441" customWidth="1"/>
    <col min="9489" max="9489" width="9.5703125" style="441" customWidth="1"/>
    <col min="9490" max="9728" width="9.140625" style="441"/>
    <col min="9729" max="9729" width="4.42578125" style="441" customWidth="1"/>
    <col min="9730" max="9730" width="41" style="441" customWidth="1"/>
    <col min="9731" max="9731" width="14" style="441" customWidth="1"/>
    <col min="9732" max="9732" width="25.5703125" style="441" customWidth="1"/>
    <col min="9733" max="9733" width="34.28515625" style="441" customWidth="1"/>
    <col min="9734" max="9734" width="22.28515625" style="441" customWidth="1"/>
    <col min="9735" max="9735" width="34.7109375" style="441" customWidth="1"/>
    <col min="9736" max="9738" width="9.140625" style="441"/>
    <col min="9739" max="9740" width="10.5703125" style="441" customWidth="1"/>
    <col min="9741" max="9741" width="9.5703125" style="441" customWidth="1"/>
    <col min="9742" max="9742" width="9.28515625" style="441" customWidth="1"/>
    <col min="9743" max="9744" width="11.28515625" style="441" customWidth="1"/>
    <col min="9745" max="9745" width="9.5703125" style="441" customWidth="1"/>
    <col min="9746" max="9984" width="9.140625" style="441"/>
    <col min="9985" max="9985" width="4.42578125" style="441" customWidth="1"/>
    <col min="9986" max="9986" width="41" style="441" customWidth="1"/>
    <col min="9987" max="9987" width="14" style="441" customWidth="1"/>
    <col min="9988" max="9988" width="25.5703125" style="441" customWidth="1"/>
    <col min="9989" max="9989" width="34.28515625" style="441" customWidth="1"/>
    <col min="9990" max="9990" width="22.28515625" style="441" customWidth="1"/>
    <col min="9991" max="9991" width="34.7109375" style="441" customWidth="1"/>
    <col min="9992" max="9994" width="9.140625" style="441"/>
    <col min="9995" max="9996" width="10.5703125" style="441" customWidth="1"/>
    <col min="9997" max="9997" width="9.5703125" style="441" customWidth="1"/>
    <col min="9998" max="9998" width="9.28515625" style="441" customWidth="1"/>
    <col min="9999" max="10000" width="11.28515625" style="441" customWidth="1"/>
    <col min="10001" max="10001" width="9.5703125" style="441" customWidth="1"/>
    <col min="10002" max="10240" width="9.140625" style="441"/>
    <col min="10241" max="10241" width="4.42578125" style="441" customWidth="1"/>
    <col min="10242" max="10242" width="41" style="441" customWidth="1"/>
    <col min="10243" max="10243" width="14" style="441" customWidth="1"/>
    <col min="10244" max="10244" width="25.5703125" style="441" customWidth="1"/>
    <col min="10245" max="10245" width="34.28515625" style="441" customWidth="1"/>
    <col min="10246" max="10246" width="22.28515625" style="441" customWidth="1"/>
    <col min="10247" max="10247" width="34.7109375" style="441" customWidth="1"/>
    <col min="10248" max="10250" width="9.140625" style="441"/>
    <col min="10251" max="10252" width="10.5703125" style="441" customWidth="1"/>
    <col min="10253" max="10253" width="9.5703125" style="441" customWidth="1"/>
    <col min="10254" max="10254" width="9.28515625" style="441" customWidth="1"/>
    <col min="10255" max="10256" width="11.28515625" style="441" customWidth="1"/>
    <col min="10257" max="10257" width="9.5703125" style="441" customWidth="1"/>
    <col min="10258" max="10496" width="9.140625" style="441"/>
    <col min="10497" max="10497" width="4.42578125" style="441" customWidth="1"/>
    <col min="10498" max="10498" width="41" style="441" customWidth="1"/>
    <col min="10499" max="10499" width="14" style="441" customWidth="1"/>
    <col min="10500" max="10500" width="25.5703125" style="441" customWidth="1"/>
    <col min="10501" max="10501" width="34.28515625" style="441" customWidth="1"/>
    <col min="10502" max="10502" width="22.28515625" style="441" customWidth="1"/>
    <col min="10503" max="10503" width="34.7109375" style="441" customWidth="1"/>
    <col min="10504" max="10506" width="9.140625" style="441"/>
    <col min="10507" max="10508" width="10.5703125" style="441" customWidth="1"/>
    <col min="10509" max="10509" width="9.5703125" style="441" customWidth="1"/>
    <col min="10510" max="10510" width="9.28515625" style="441" customWidth="1"/>
    <col min="10511" max="10512" width="11.28515625" style="441" customWidth="1"/>
    <col min="10513" max="10513" width="9.5703125" style="441" customWidth="1"/>
    <col min="10514" max="10752" width="9.140625" style="441"/>
    <col min="10753" max="10753" width="4.42578125" style="441" customWidth="1"/>
    <col min="10754" max="10754" width="41" style="441" customWidth="1"/>
    <col min="10755" max="10755" width="14" style="441" customWidth="1"/>
    <col min="10756" max="10756" width="25.5703125" style="441" customWidth="1"/>
    <col min="10757" max="10757" width="34.28515625" style="441" customWidth="1"/>
    <col min="10758" max="10758" width="22.28515625" style="441" customWidth="1"/>
    <col min="10759" max="10759" width="34.7109375" style="441" customWidth="1"/>
    <col min="10760" max="10762" width="9.140625" style="441"/>
    <col min="10763" max="10764" width="10.5703125" style="441" customWidth="1"/>
    <col min="10765" max="10765" width="9.5703125" style="441" customWidth="1"/>
    <col min="10766" max="10766" width="9.28515625" style="441" customWidth="1"/>
    <col min="10767" max="10768" width="11.28515625" style="441" customWidth="1"/>
    <col min="10769" max="10769" width="9.5703125" style="441" customWidth="1"/>
    <col min="10770" max="11008" width="9.140625" style="441"/>
    <col min="11009" max="11009" width="4.42578125" style="441" customWidth="1"/>
    <col min="11010" max="11010" width="41" style="441" customWidth="1"/>
    <col min="11011" max="11011" width="14" style="441" customWidth="1"/>
    <col min="11012" max="11012" width="25.5703125" style="441" customWidth="1"/>
    <col min="11013" max="11013" width="34.28515625" style="441" customWidth="1"/>
    <col min="11014" max="11014" width="22.28515625" style="441" customWidth="1"/>
    <col min="11015" max="11015" width="34.7109375" style="441" customWidth="1"/>
    <col min="11016" max="11018" width="9.140625" style="441"/>
    <col min="11019" max="11020" width="10.5703125" style="441" customWidth="1"/>
    <col min="11021" max="11021" width="9.5703125" style="441" customWidth="1"/>
    <col min="11022" max="11022" width="9.28515625" style="441" customWidth="1"/>
    <col min="11023" max="11024" width="11.28515625" style="441" customWidth="1"/>
    <col min="11025" max="11025" width="9.5703125" style="441" customWidth="1"/>
    <col min="11026" max="11264" width="9.140625" style="441"/>
    <col min="11265" max="11265" width="4.42578125" style="441" customWidth="1"/>
    <col min="11266" max="11266" width="41" style="441" customWidth="1"/>
    <col min="11267" max="11267" width="14" style="441" customWidth="1"/>
    <col min="11268" max="11268" width="25.5703125" style="441" customWidth="1"/>
    <col min="11269" max="11269" width="34.28515625" style="441" customWidth="1"/>
    <col min="11270" max="11270" width="22.28515625" style="441" customWidth="1"/>
    <col min="11271" max="11271" width="34.7109375" style="441" customWidth="1"/>
    <col min="11272" max="11274" width="9.140625" style="441"/>
    <col min="11275" max="11276" width="10.5703125" style="441" customWidth="1"/>
    <col min="11277" max="11277" width="9.5703125" style="441" customWidth="1"/>
    <col min="11278" max="11278" width="9.28515625" style="441" customWidth="1"/>
    <col min="11279" max="11280" width="11.28515625" style="441" customWidth="1"/>
    <col min="11281" max="11281" width="9.5703125" style="441" customWidth="1"/>
    <col min="11282" max="11520" width="9.140625" style="441"/>
    <col min="11521" max="11521" width="4.42578125" style="441" customWidth="1"/>
    <col min="11522" max="11522" width="41" style="441" customWidth="1"/>
    <col min="11523" max="11523" width="14" style="441" customWidth="1"/>
    <col min="11524" max="11524" width="25.5703125" style="441" customWidth="1"/>
    <col min="11525" max="11525" width="34.28515625" style="441" customWidth="1"/>
    <col min="11526" max="11526" width="22.28515625" style="441" customWidth="1"/>
    <col min="11527" max="11527" width="34.7109375" style="441" customWidth="1"/>
    <col min="11528" max="11530" width="9.140625" style="441"/>
    <col min="11531" max="11532" width="10.5703125" style="441" customWidth="1"/>
    <col min="11533" max="11533" width="9.5703125" style="441" customWidth="1"/>
    <col min="11534" max="11534" width="9.28515625" style="441" customWidth="1"/>
    <col min="11535" max="11536" width="11.28515625" style="441" customWidth="1"/>
    <col min="11537" max="11537" width="9.5703125" style="441" customWidth="1"/>
    <col min="11538" max="11776" width="9.140625" style="441"/>
    <col min="11777" max="11777" width="4.42578125" style="441" customWidth="1"/>
    <col min="11778" max="11778" width="41" style="441" customWidth="1"/>
    <col min="11779" max="11779" width="14" style="441" customWidth="1"/>
    <col min="11780" max="11780" width="25.5703125" style="441" customWidth="1"/>
    <col min="11781" max="11781" width="34.28515625" style="441" customWidth="1"/>
    <col min="11782" max="11782" width="22.28515625" style="441" customWidth="1"/>
    <col min="11783" max="11783" width="34.7109375" style="441" customWidth="1"/>
    <col min="11784" max="11786" width="9.140625" style="441"/>
    <col min="11787" max="11788" width="10.5703125" style="441" customWidth="1"/>
    <col min="11789" max="11789" width="9.5703125" style="441" customWidth="1"/>
    <col min="11790" max="11790" width="9.28515625" style="441" customWidth="1"/>
    <col min="11791" max="11792" width="11.28515625" style="441" customWidth="1"/>
    <col min="11793" max="11793" width="9.5703125" style="441" customWidth="1"/>
    <col min="11794" max="12032" width="9.140625" style="441"/>
    <col min="12033" max="12033" width="4.42578125" style="441" customWidth="1"/>
    <col min="12034" max="12034" width="41" style="441" customWidth="1"/>
    <col min="12035" max="12035" width="14" style="441" customWidth="1"/>
    <col min="12036" max="12036" width="25.5703125" style="441" customWidth="1"/>
    <col min="12037" max="12037" width="34.28515625" style="441" customWidth="1"/>
    <col min="12038" max="12038" width="22.28515625" style="441" customWidth="1"/>
    <col min="12039" max="12039" width="34.7109375" style="441" customWidth="1"/>
    <col min="12040" max="12042" width="9.140625" style="441"/>
    <col min="12043" max="12044" width="10.5703125" style="441" customWidth="1"/>
    <col min="12045" max="12045" width="9.5703125" style="441" customWidth="1"/>
    <col min="12046" max="12046" width="9.28515625" style="441" customWidth="1"/>
    <col min="12047" max="12048" width="11.28515625" style="441" customWidth="1"/>
    <col min="12049" max="12049" width="9.5703125" style="441" customWidth="1"/>
    <col min="12050" max="12288" width="9.140625" style="441"/>
    <col min="12289" max="12289" width="4.42578125" style="441" customWidth="1"/>
    <col min="12290" max="12290" width="41" style="441" customWidth="1"/>
    <col min="12291" max="12291" width="14" style="441" customWidth="1"/>
    <col min="12292" max="12292" width="25.5703125" style="441" customWidth="1"/>
    <col min="12293" max="12293" width="34.28515625" style="441" customWidth="1"/>
    <col min="12294" max="12294" width="22.28515625" style="441" customWidth="1"/>
    <col min="12295" max="12295" width="34.7109375" style="441" customWidth="1"/>
    <col min="12296" max="12298" width="9.140625" style="441"/>
    <col min="12299" max="12300" width="10.5703125" style="441" customWidth="1"/>
    <col min="12301" max="12301" width="9.5703125" style="441" customWidth="1"/>
    <col min="12302" max="12302" width="9.28515625" style="441" customWidth="1"/>
    <col min="12303" max="12304" width="11.28515625" style="441" customWidth="1"/>
    <col min="12305" max="12305" width="9.5703125" style="441" customWidth="1"/>
    <col min="12306" max="12544" width="9.140625" style="441"/>
    <col min="12545" max="12545" width="4.42578125" style="441" customWidth="1"/>
    <col min="12546" max="12546" width="41" style="441" customWidth="1"/>
    <col min="12547" max="12547" width="14" style="441" customWidth="1"/>
    <col min="12548" max="12548" width="25.5703125" style="441" customWidth="1"/>
    <col min="12549" max="12549" width="34.28515625" style="441" customWidth="1"/>
    <col min="12550" max="12550" width="22.28515625" style="441" customWidth="1"/>
    <col min="12551" max="12551" width="34.7109375" style="441" customWidth="1"/>
    <col min="12552" max="12554" width="9.140625" style="441"/>
    <col min="12555" max="12556" width="10.5703125" style="441" customWidth="1"/>
    <col min="12557" max="12557" width="9.5703125" style="441" customWidth="1"/>
    <col min="12558" max="12558" width="9.28515625" style="441" customWidth="1"/>
    <col min="12559" max="12560" width="11.28515625" style="441" customWidth="1"/>
    <col min="12561" max="12561" width="9.5703125" style="441" customWidth="1"/>
    <col min="12562" max="12800" width="9.140625" style="441"/>
    <col min="12801" max="12801" width="4.42578125" style="441" customWidth="1"/>
    <col min="12802" max="12802" width="41" style="441" customWidth="1"/>
    <col min="12803" max="12803" width="14" style="441" customWidth="1"/>
    <col min="12804" max="12804" width="25.5703125" style="441" customWidth="1"/>
    <col min="12805" max="12805" width="34.28515625" style="441" customWidth="1"/>
    <col min="12806" max="12806" width="22.28515625" style="441" customWidth="1"/>
    <col min="12807" max="12807" width="34.7109375" style="441" customWidth="1"/>
    <col min="12808" max="12810" width="9.140625" style="441"/>
    <col min="12811" max="12812" width="10.5703125" style="441" customWidth="1"/>
    <col min="12813" max="12813" width="9.5703125" style="441" customWidth="1"/>
    <col min="12814" max="12814" width="9.28515625" style="441" customWidth="1"/>
    <col min="12815" max="12816" width="11.28515625" style="441" customWidth="1"/>
    <col min="12817" max="12817" width="9.5703125" style="441" customWidth="1"/>
    <col min="12818" max="13056" width="9.140625" style="441"/>
    <col min="13057" max="13057" width="4.42578125" style="441" customWidth="1"/>
    <col min="13058" max="13058" width="41" style="441" customWidth="1"/>
    <col min="13059" max="13059" width="14" style="441" customWidth="1"/>
    <col min="13060" max="13060" width="25.5703125" style="441" customWidth="1"/>
    <col min="13061" max="13061" width="34.28515625" style="441" customWidth="1"/>
    <col min="13062" max="13062" width="22.28515625" style="441" customWidth="1"/>
    <col min="13063" max="13063" width="34.7109375" style="441" customWidth="1"/>
    <col min="13064" max="13066" width="9.140625" style="441"/>
    <col min="13067" max="13068" width="10.5703125" style="441" customWidth="1"/>
    <col min="13069" max="13069" width="9.5703125" style="441" customWidth="1"/>
    <col min="13070" max="13070" width="9.28515625" style="441" customWidth="1"/>
    <col min="13071" max="13072" width="11.28515625" style="441" customWidth="1"/>
    <col min="13073" max="13073" width="9.5703125" style="441" customWidth="1"/>
    <col min="13074" max="13312" width="9.140625" style="441"/>
    <col min="13313" max="13313" width="4.42578125" style="441" customWidth="1"/>
    <col min="13314" max="13314" width="41" style="441" customWidth="1"/>
    <col min="13315" max="13315" width="14" style="441" customWidth="1"/>
    <col min="13316" max="13316" width="25.5703125" style="441" customWidth="1"/>
    <col min="13317" max="13317" width="34.28515625" style="441" customWidth="1"/>
    <col min="13318" max="13318" width="22.28515625" style="441" customWidth="1"/>
    <col min="13319" max="13319" width="34.7109375" style="441" customWidth="1"/>
    <col min="13320" max="13322" width="9.140625" style="441"/>
    <col min="13323" max="13324" width="10.5703125" style="441" customWidth="1"/>
    <col min="13325" max="13325" width="9.5703125" style="441" customWidth="1"/>
    <col min="13326" max="13326" width="9.28515625" style="441" customWidth="1"/>
    <col min="13327" max="13328" width="11.28515625" style="441" customWidth="1"/>
    <col min="13329" max="13329" width="9.5703125" style="441" customWidth="1"/>
    <col min="13330" max="13568" width="9.140625" style="441"/>
    <col min="13569" max="13569" width="4.42578125" style="441" customWidth="1"/>
    <col min="13570" max="13570" width="41" style="441" customWidth="1"/>
    <col min="13571" max="13571" width="14" style="441" customWidth="1"/>
    <col min="13572" max="13572" width="25.5703125" style="441" customWidth="1"/>
    <col min="13573" max="13573" width="34.28515625" style="441" customWidth="1"/>
    <col min="13574" max="13574" width="22.28515625" style="441" customWidth="1"/>
    <col min="13575" max="13575" width="34.7109375" style="441" customWidth="1"/>
    <col min="13576" max="13578" width="9.140625" style="441"/>
    <col min="13579" max="13580" width="10.5703125" style="441" customWidth="1"/>
    <col min="13581" max="13581" width="9.5703125" style="441" customWidth="1"/>
    <col min="13582" max="13582" width="9.28515625" style="441" customWidth="1"/>
    <col min="13583" max="13584" width="11.28515625" style="441" customWidth="1"/>
    <col min="13585" max="13585" width="9.5703125" style="441" customWidth="1"/>
    <col min="13586" max="13824" width="9.140625" style="441"/>
    <col min="13825" max="13825" width="4.42578125" style="441" customWidth="1"/>
    <col min="13826" max="13826" width="41" style="441" customWidth="1"/>
    <col min="13827" max="13827" width="14" style="441" customWidth="1"/>
    <col min="13828" max="13828" width="25.5703125" style="441" customWidth="1"/>
    <col min="13829" max="13829" width="34.28515625" style="441" customWidth="1"/>
    <col min="13830" max="13830" width="22.28515625" style="441" customWidth="1"/>
    <col min="13831" max="13831" width="34.7109375" style="441" customWidth="1"/>
    <col min="13832" max="13834" width="9.140625" style="441"/>
    <col min="13835" max="13836" width="10.5703125" style="441" customWidth="1"/>
    <col min="13837" max="13837" width="9.5703125" style="441" customWidth="1"/>
    <col min="13838" max="13838" width="9.28515625" style="441" customWidth="1"/>
    <col min="13839" max="13840" width="11.28515625" style="441" customWidth="1"/>
    <col min="13841" max="13841" width="9.5703125" style="441" customWidth="1"/>
    <col min="13842" max="14080" width="9.140625" style="441"/>
    <col min="14081" max="14081" width="4.42578125" style="441" customWidth="1"/>
    <col min="14082" max="14082" width="41" style="441" customWidth="1"/>
    <col min="14083" max="14083" width="14" style="441" customWidth="1"/>
    <col min="14084" max="14084" width="25.5703125" style="441" customWidth="1"/>
    <col min="14085" max="14085" width="34.28515625" style="441" customWidth="1"/>
    <col min="14086" max="14086" width="22.28515625" style="441" customWidth="1"/>
    <col min="14087" max="14087" width="34.7109375" style="441" customWidth="1"/>
    <col min="14088" max="14090" width="9.140625" style="441"/>
    <col min="14091" max="14092" width="10.5703125" style="441" customWidth="1"/>
    <col min="14093" max="14093" width="9.5703125" style="441" customWidth="1"/>
    <col min="14094" max="14094" width="9.28515625" style="441" customWidth="1"/>
    <col min="14095" max="14096" width="11.28515625" style="441" customWidth="1"/>
    <col min="14097" max="14097" width="9.5703125" style="441" customWidth="1"/>
    <col min="14098" max="14336" width="9.140625" style="441"/>
    <col min="14337" max="14337" width="4.42578125" style="441" customWidth="1"/>
    <col min="14338" max="14338" width="41" style="441" customWidth="1"/>
    <col min="14339" max="14339" width="14" style="441" customWidth="1"/>
    <col min="14340" max="14340" width="25.5703125" style="441" customWidth="1"/>
    <col min="14341" max="14341" width="34.28515625" style="441" customWidth="1"/>
    <col min="14342" max="14342" width="22.28515625" style="441" customWidth="1"/>
    <col min="14343" max="14343" width="34.7109375" style="441" customWidth="1"/>
    <col min="14344" max="14346" width="9.140625" style="441"/>
    <col min="14347" max="14348" width="10.5703125" style="441" customWidth="1"/>
    <col min="14349" max="14349" width="9.5703125" style="441" customWidth="1"/>
    <col min="14350" max="14350" width="9.28515625" style="441" customWidth="1"/>
    <col min="14351" max="14352" width="11.28515625" style="441" customWidth="1"/>
    <col min="14353" max="14353" width="9.5703125" style="441" customWidth="1"/>
    <col min="14354" max="14592" width="9.140625" style="441"/>
    <col min="14593" max="14593" width="4.42578125" style="441" customWidth="1"/>
    <col min="14594" max="14594" width="41" style="441" customWidth="1"/>
    <col min="14595" max="14595" width="14" style="441" customWidth="1"/>
    <col min="14596" max="14596" width="25.5703125" style="441" customWidth="1"/>
    <col min="14597" max="14597" width="34.28515625" style="441" customWidth="1"/>
    <col min="14598" max="14598" width="22.28515625" style="441" customWidth="1"/>
    <col min="14599" max="14599" width="34.7109375" style="441" customWidth="1"/>
    <col min="14600" max="14602" width="9.140625" style="441"/>
    <col min="14603" max="14604" width="10.5703125" style="441" customWidth="1"/>
    <col min="14605" max="14605" width="9.5703125" style="441" customWidth="1"/>
    <col min="14606" max="14606" width="9.28515625" style="441" customWidth="1"/>
    <col min="14607" max="14608" width="11.28515625" style="441" customWidth="1"/>
    <col min="14609" max="14609" width="9.5703125" style="441" customWidth="1"/>
    <col min="14610" max="14848" width="9.140625" style="441"/>
    <col min="14849" max="14849" width="4.42578125" style="441" customWidth="1"/>
    <col min="14850" max="14850" width="41" style="441" customWidth="1"/>
    <col min="14851" max="14851" width="14" style="441" customWidth="1"/>
    <col min="14852" max="14852" width="25.5703125" style="441" customWidth="1"/>
    <col min="14853" max="14853" width="34.28515625" style="441" customWidth="1"/>
    <col min="14854" max="14854" width="22.28515625" style="441" customWidth="1"/>
    <col min="14855" max="14855" width="34.7109375" style="441" customWidth="1"/>
    <col min="14856" max="14858" width="9.140625" style="441"/>
    <col min="14859" max="14860" width="10.5703125" style="441" customWidth="1"/>
    <col min="14861" max="14861" width="9.5703125" style="441" customWidth="1"/>
    <col min="14862" max="14862" width="9.28515625" style="441" customWidth="1"/>
    <col min="14863" max="14864" width="11.28515625" style="441" customWidth="1"/>
    <col min="14865" max="14865" width="9.5703125" style="441" customWidth="1"/>
    <col min="14866" max="15104" width="9.140625" style="441"/>
    <col min="15105" max="15105" width="4.42578125" style="441" customWidth="1"/>
    <col min="15106" max="15106" width="41" style="441" customWidth="1"/>
    <col min="15107" max="15107" width="14" style="441" customWidth="1"/>
    <col min="15108" max="15108" width="25.5703125" style="441" customWidth="1"/>
    <col min="15109" max="15109" width="34.28515625" style="441" customWidth="1"/>
    <col min="15110" max="15110" width="22.28515625" style="441" customWidth="1"/>
    <col min="15111" max="15111" width="34.7109375" style="441" customWidth="1"/>
    <col min="15112" max="15114" width="9.140625" style="441"/>
    <col min="15115" max="15116" width="10.5703125" style="441" customWidth="1"/>
    <col min="15117" max="15117" width="9.5703125" style="441" customWidth="1"/>
    <col min="15118" max="15118" width="9.28515625" style="441" customWidth="1"/>
    <col min="15119" max="15120" width="11.28515625" style="441" customWidth="1"/>
    <col min="15121" max="15121" width="9.5703125" style="441" customWidth="1"/>
    <col min="15122" max="15360" width="9.140625" style="441"/>
    <col min="15361" max="15361" width="4.42578125" style="441" customWidth="1"/>
    <col min="15362" max="15362" width="41" style="441" customWidth="1"/>
    <col min="15363" max="15363" width="14" style="441" customWidth="1"/>
    <col min="15364" max="15364" width="25.5703125" style="441" customWidth="1"/>
    <col min="15365" max="15365" width="34.28515625" style="441" customWidth="1"/>
    <col min="15366" max="15366" width="22.28515625" style="441" customWidth="1"/>
    <col min="15367" max="15367" width="34.7109375" style="441" customWidth="1"/>
    <col min="15368" max="15370" width="9.140625" style="441"/>
    <col min="15371" max="15372" width="10.5703125" style="441" customWidth="1"/>
    <col min="15373" max="15373" width="9.5703125" style="441" customWidth="1"/>
    <col min="15374" max="15374" width="9.28515625" style="441" customWidth="1"/>
    <col min="15375" max="15376" width="11.28515625" style="441" customWidth="1"/>
    <col min="15377" max="15377" width="9.5703125" style="441" customWidth="1"/>
    <col min="15378" max="15616" width="9.140625" style="441"/>
    <col min="15617" max="15617" width="4.42578125" style="441" customWidth="1"/>
    <col min="15618" max="15618" width="41" style="441" customWidth="1"/>
    <col min="15619" max="15619" width="14" style="441" customWidth="1"/>
    <col min="15620" max="15620" width="25.5703125" style="441" customWidth="1"/>
    <col min="15621" max="15621" width="34.28515625" style="441" customWidth="1"/>
    <col min="15622" max="15622" width="22.28515625" style="441" customWidth="1"/>
    <col min="15623" max="15623" width="34.7109375" style="441" customWidth="1"/>
    <col min="15624" max="15626" width="9.140625" style="441"/>
    <col min="15627" max="15628" width="10.5703125" style="441" customWidth="1"/>
    <col min="15629" max="15629" width="9.5703125" style="441" customWidth="1"/>
    <col min="15630" max="15630" width="9.28515625" style="441" customWidth="1"/>
    <col min="15631" max="15632" width="11.28515625" style="441" customWidth="1"/>
    <col min="15633" max="15633" width="9.5703125" style="441" customWidth="1"/>
    <col min="15634" max="15872" width="9.140625" style="441"/>
    <col min="15873" max="15873" width="4.42578125" style="441" customWidth="1"/>
    <col min="15874" max="15874" width="41" style="441" customWidth="1"/>
    <col min="15875" max="15875" width="14" style="441" customWidth="1"/>
    <col min="15876" max="15876" width="25.5703125" style="441" customWidth="1"/>
    <col min="15877" max="15877" width="34.28515625" style="441" customWidth="1"/>
    <col min="15878" max="15878" width="22.28515625" style="441" customWidth="1"/>
    <col min="15879" max="15879" width="34.7109375" style="441" customWidth="1"/>
    <col min="15880" max="15882" width="9.140625" style="441"/>
    <col min="15883" max="15884" width="10.5703125" style="441" customWidth="1"/>
    <col min="15885" max="15885" width="9.5703125" style="441" customWidth="1"/>
    <col min="15886" max="15886" width="9.28515625" style="441" customWidth="1"/>
    <col min="15887" max="15888" width="11.28515625" style="441" customWidth="1"/>
    <col min="15889" max="15889" width="9.5703125" style="441" customWidth="1"/>
    <col min="15890" max="16128" width="9.140625" style="441"/>
    <col min="16129" max="16129" width="4.42578125" style="441" customWidth="1"/>
    <col min="16130" max="16130" width="41" style="441" customWidth="1"/>
    <col min="16131" max="16131" width="14" style="441" customWidth="1"/>
    <col min="16132" max="16132" width="25.5703125" style="441" customWidth="1"/>
    <col min="16133" max="16133" width="34.28515625" style="441" customWidth="1"/>
    <col min="16134" max="16134" width="22.28515625" style="441" customWidth="1"/>
    <col min="16135" max="16135" width="34.7109375" style="441" customWidth="1"/>
    <col min="16136" max="16138" width="9.140625" style="441"/>
    <col min="16139" max="16140" width="10.5703125" style="441" customWidth="1"/>
    <col min="16141" max="16141" width="9.5703125" style="441" customWidth="1"/>
    <col min="16142" max="16142" width="9.28515625" style="441" customWidth="1"/>
    <col min="16143" max="16144" width="11.28515625" style="441" customWidth="1"/>
    <col min="16145" max="16145" width="9.5703125" style="441" customWidth="1"/>
    <col min="16146" max="16384" width="9.140625" style="441"/>
  </cols>
  <sheetData>
    <row r="1" spans="1:17" ht="114.75" x14ac:dyDescent="0.2">
      <c r="A1" s="437"/>
      <c r="B1" s="438"/>
      <c r="C1" s="438"/>
      <c r="D1" s="438"/>
      <c r="E1" s="438"/>
      <c r="F1" s="438"/>
      <c r="G1" s="438"/>
      <c r="H1" s="438"/>
      <c r="I1" s="438"/>
      <c r="J1" s="438"/>
      <c r="K1" s="439"/>
      <c r="L1" s="439"/>
      <c r="M1" s="439"/>
      <c r="N1" s="438"/>
      <c r="O1" s="440" t="s">
        <v>15</v>
      </c>
      <c r="P1" s="440"/>
      <c r="Q1" s="440"/>
    </row>
    <row r="2" spans="1:17" x14ac:dyDescent="0.2">
      <c r="A2" s="437"/>
      <c r="B2" s="438"/>
      <c r="C2" s="438"/>
      <c r="D2" s="438"/>
      <c r="E2" s="438"/>
      <c r="F2" s="438"/>
      <c r="G2" s="438"/>
      <c r="H2" s="438"/>
      <c r="I2" s="438"/>
      <c r="J2" s="438"/>
      <c r="K2" s="439"/>
      <c r="L2" s="439"/>
      <c r="M2" s="439"/>
      <c r="N2" s="438"/>
      <c r="O2" s="439"/>
      <c r="P2" s="439"/>
      <c r="Q2" s="439"/>
    </row>
    <row r="3" spans="1:17" ht="24" customHeight="1" x14ac:dyDescent="0.2">
      <c r="A3" s="442" t="s">
        <v>669</v>
      </c>
      <c r="B3" s="442"/>
      <c r="C3" s="442"/>
      <c r="D3" s="442"/>
      <c r="E3" s="442"/>
      <c r="F3" s="442"/>
      <c r="G3" s="442"/>
      <c r="H3" s="442"/>
      <c r="I3" s="442"/>
      <c r="J3" s="442"/>
      <c r="K3" s="442"/>
      <c r="L3" s="442"/>
      <c r="M3" s="442"/>
      <c r="N3" s="442"/>
      <c r="O3" s="442"/>
      <c r="P3" s="442"/>
      <c r="Q3" s="442"/>
    </row>
    <row r="4" spans="1:17" ht="18.75" x14ac:dyDescent="0.2">
      <c r="A4" s="443" t="s">
        <v>16</v>
      </c>
      <c r="B4" s="443"/>
      <c r="C4" s="443"/>
      <c r="D4" s="443"/>
      <c r="E4" s="443"/>
      <c r="F4" s="443"/>
      <c r="G4" s="443"/>
      <c r="H4" s="443"/>
      <c r="I4" s="443"/>
      <c r="J4" s="443"/>
      <c r="K4" s="443"/>
      <c r="L4" s="443"/>
      <c r="M4" s="443"/>
      <c r="N4" s="443"/>
      <c r="O4" s="443"/>
      <c r="P4" s="443"/>
      <c r="Q4" s="443"/>
    </row>
    <row r="5" spans="1:17" ht="18.75" customHeight="1" x14ac:dyDescent="0.2">
      <c r="A5" s="444" t="s">
        <v>14</v>
      </c>
      <c r="B5" s="444"/>
      <c r="C5" s="444"/>
      <c r="D5" s="444"/>
      <c r="E5" s="444"/>
      <c r="F5" s="444"/>
      <c r="G5" s="444"/>
      <c r="H5" s="444"/>
      <c r="I5" s="444"/>
      <c r="J5" s="444"/>
      <c r="K5" s="444"/>
      <c r="L5" s="444"/>
      <c r="M5" s="444"/>
      <c r="N5" s="444"/>
      <c r="O5" s="444"/>
      <c r="P5" s="444"/>
      <c r="Q5" s="444"/>
    </row>
    <row r="6" spans="1:17" ht="26.25" customHeight="1" x14ac:dyDescent="0.2">
      <c r="A6" s="445" t="s">
        <v>17</v>
      </c>
      <c r="B6" s="445"/>
      <c r="C6" s="445"/>
      <c r="D6" s="445"/>
      <c r="E6" s="445"/>
      <c r="F6" s="445"/>
      <c r="G6" s="445"/>
      <c r="H6" s="445"/>
      <c r="I6" s="445"/>
      <c r="J6" s="445"/>
      <c r="K6" s="445"/>
      <c r="L6" s="445"/>
      <c r="M6" s="445"/>
      <c r="N6" s="445"/>
      <c r="O6" s="445"/>
      <c r="P6" s="445"/>
      <c r="Q6" s="445"/>
    </row>
    <row r="7" spans="1:17" ht="51" x14ac:dyDescent="0.2">
      <c r="A7" s="446" t="s">
        <v>0</v>
      </c>
      <c r="B7" s="447" t="s">
        <v>10</v>
      </c>
      <c r="C7" s="448"/>
      <c r="D7" s="448"/>
      <c r="E7" s="448"/>
      <c r="F7" s="448"/>
      <c r="G7" s="449"/>
      <c r="H7" s="447" t="s">
        <v>322</v>
      </c>
      <c r="I7" s="448"/>
      <c r="J7" s="448"/>
      <c r="K7" s="448"/>
      <c r="L7" s="448"/>
      <c r="M7" s="448"/>
      <c r="N7" s="447" t="s">
        <v>324</v>
      </c>
      <c r="O7" s="448"/>
      <c r="P7" s="448"/>
      <c r="Q7" s="449"/>
    </row>
    <row r="8" spans="1:17" ht="204" x14ac:dyDescent="0.2">
      <c r="A8" s="450"/>
      <c r="B8" s="451" t="s">
        <v>4</v>
      </c>
      <c r="C8" s="451" t="s">
        <v>1</v>
      </c>
      <c r="D8" s="451" t="s">
        <v>3</v>
      </c>
      <c r="E8" s="451" t="s">
        <v>2</v>
      </c>
      <c r="F8" s="451" t="s">
        <v>6</v>
      </c>
      <c r="G8" s="451" t="s">
        <v>5</v>
      </c>
      <c r="H8" s="451" t="s">
        <v>7</v>
      </c>
      <c r="I8" s="452" t="s">
        <v>8</v>
      </c>
      <c r="J8" s="452" t="s">
        <v>9</v>
      </c>
      <c r="K8" s="453" t="s">
        <v>11</v>
      </c>
      <c r="L8" s="453" t="s">
        <v>12</v>
      </c>
      <c r="M8" s="453" t="s">
        <v>13</v>
      </c>
      <c r="N8" s="452" t="s">
        <v>9</v>
      </c>
      <c r="O8" s="453" t="s">
        <v>11</v>
      </c>
      <c r="P8" s="453" t="s">
        <v>12</v>
      </c>
      <c r="Q8" s="454" t="s">
        <v>13</v>
      </c>
    </row>
    <row r="9" spans="1:17" s="458" customFormat="1" x14ac:dyDescent="0.2">
      <c r="A9" s="455">
        <v>1</v>
      </c>
      <c r="B9" s="456" t="s">
        <v>120</v>
      </c>
      <c r="C9" s="455" t="s">
        <v>62</v>
      </c>
      <c r="D9" s="455" t="s">
        <v>63</v>
      </c>
      <c r="E9" s="455" t="s">
        <v>158</v>
      </c>
      <c r="F9" s="456" t="s">
        <v>160</v>
      </c>
      <c r="G9" s="456" t="s">
        <v>670</v>
      </c>
      <c r="H9" s="456">
        <v>3</v>
      </c>
      <c r="I9" s="456">
        <v>3</v>
      </c>
      <c r="J9" s="456">
        <v>3</v>
      </c>
      <c r="K9" s="457">
        <v>1493.3</v>
      </c>
      <c r="L9" s="457">
        <v>1493.3</v>
      </c>
      <c r="M9" s="457">
        <v>0</v>
      </c>
      <c r="N9" s="456">
        <v>8</v>
      </c>
      <c r="O9" s="457">
        <v>28053.94</v>
      </c>
      <c r="P9" s="457">
        <v>28053.94</v>
      </c>
      <c r="Q9" s="457">
        <v>0</v>
      </c>
    </row>
    <row r="10" spans="1:17" s="459" customFormat="1" x14ac:dyDescent="0.2">
      <c r="A10" s="455">
        <f>A9+1</f>
        <v>2</v>
      </c>
      <c r="B10" s="456" t="s">
        <v>133</v>
      </c>
      <c r="C10" s="455" t="s">
        <v>62</v>
      </c>
      <c r="D10" s="455" t="s">
        <v>63</v>
      </c>
      <c r="E10" s="455" t="s">
        <v>158</v>
      </c>
      <c r="F10" s="456" t="s">
        <v>582</v>
      </c>
      <c r="G10" s="456" t="s">
        <v>670</v>
      </c>
      <c r="H10" s="456">
        <v>0</v>
      </c>
      <c r="I10" s="456">
        <v>0</v>
      </c>
      <c r="J10" s="456">
        <v>0</v>
      </c>
      <c r="K10" s="457">
        <v>0</v>
      </c>
      <c r="L10" s="457">
        <v>0</v>
      </c>
      <c r="M10" s="457">
        <v>0</v>
      </c>
      <c r="N10" s="456">
        <v>2</v>
      </c>
      <c r="O10" s="457">
        <v>0</v>
      </c>
      <c r="P10" s="457">
        <v>0</v>
      </c>
      <c r="Q10" s="457">
        <v>0</v>
      </c>
    </row>
    <row r="11" spans="1:17" s="459" customFormat="1" x14ac:dyDescent="0.2">
      <c r="A11" s="455">
        <f t="shared" ref="A11:A74" si="0">A10+1</f>
        <v>3</v>
      </c>
      <c r="B11" s="456" t="s">
        <v>18</v>
      </c>
      <c r="C11" s="455" t="s">
        <v>62</v>
      </c>
      <c r="D11" s="455" t="s">
        <v>63</v>
      </c>
      <c r="E11" s="455" t="s">
        <v>158</v>
      </c>
      <c r="F11" s="456" t="s">
        <v>565</v>
      </c>
      <c r="G11" s="456" t="s">
        <v>670</v>
      </c>
      <c r="H11" s="456">
        <v>5</v>
      </c>
      <c r="I11" s="456">
        <v>1</v>
      </c>
      <c r="J11" s="456">
        <v>1</v>
      </c>
      <c r="K11" s="457">
        <v>3936.79</v>
      </c>
      <c r="L11" s="457">
        <v>3936.79</v>
      </c>
      <c r="M11" s="457">
        <v>0</v>
      </c>
      <c r="N11" s="456">
        <v>2</v>
      </c>
      <c r="O11" s="457">
        <v>3205.88</v>
      </c>
      <c r="P11" s="457">
        <v>3205.88</v>
      </c>
      <c r="Q11" s="457">
        <v>0</v>
      </c>
    </row>
    <row r="12" spans="1:17" s="459" customFormat="1" x14ac:dyDescent="0.2">
      <c r="A12" s="455">
        <f t="shared" si="0"/>
        <v>4</v>
      </c>
      <c r="B12" s="456" t="s">
        <v>19</v>
      </c>
      <c r="C12" s="455" t="s">
        <v>62</v>
      </c>
      <c r="D12" s="455" t="s">
        <v>63</v>
      </c>
      <c r="E12" s="455" t="s">
        <v>671</v>
      </c>
      <c r="F12" s="456" t="s">
        <v>162</v>
      </c>
      <c r="G12" s="456" t="s">
        <v>670</v>
      </c>
      <c r="H12" s="456">
        <v>115</v>
      </c>
      <c r="I12" s="456">
        <v>91</v>
      </c>
      <c r="J12" s="456">
        <v>120</v>
      </c>
      <c r="K12" s="457">
        <v>121382.82</v>
      </c>
      <c r="L12" s="457">
        <v>98370.9</v>
      </c>
      <c r="M12" s="457">
        <v>23011.919999999998</v>
      </c>
      <c r="N12" s="456">
        <v>27</v>
      </c>
      <c r="O12" s="457">
        <v>87506.880000000005</v>
      </c>
      <c r="P12" s="457">
        <v>81565.89</v>
      </c>
      <c r="Q12" s="457">
        <v>5940.99</v>
      </c>
    </row>
    <row r="13" spans="1:17" s="459" customFormat="1" x14ac:dyDescent="0.2">
      <c r="A13" s="455">
        <f t="shared" si="0"/>
        <v>5</v>
      </c>
      <c r="B13" s="456" t="s">
        <v>672</v>
      </c>
      <c r="C13" s="455" t="s">
        <v>62</v>
      </c>
      <c r="D13" s="455"/>
      <c r="E13" s="455" t="s">
        <v>158</v>
      </c>
      <c r="F13" s="456" t="s">
        <v>673</v>
      </c>
      <c r="G13" s="456" t="s">
        <v>670</v>
      </c>
      <c r="H13" s="456">
        <v>0</v>
      </c>
      <c r="I13" s="456">
        <v>0</v>
      </c>
      <c r="J13" s="456">
        <v>0</v>
      </c>
      <c r="K13" s="457">
        <v>0</v>
      </c>
      <c r="L13" s="457">
        <v>0</v>
      </c>
      <c r="M13" s="457">
        <v>0</v>
      </c>
      <c r="N13" s="456">
        <v>1</v>
      </c>
      <c r="O13" s="457">
        <v>5462.2</v>
      </c>
      <c r="P13" s="457">
        <v>5462.2</v>
      </c>
      <c r="Q13" s="457">
        <v>0</v>
      </c>
    </row>
    <row r="14" spans="1:17" s="459" customFormat="1" x14ac:dyDescent="0.2">
      <c r="A14" s="455">
        <f t="shared" si="0"/>
        <v>6</v>
      </c>
      <c r="B14" s="456" t="s">
        <v>86</v>
      </c>
      <c r="C14" s="455" t="s">
        <v>62</v>
      </c>
      <c r="D14" s="455" t="s">
        <v>63</v>
      </c>
      <c r="E14" s="455" t="s">
        <v>158</v>
      </c>
      <c r="F14" s="456" t="s">
        <v>165</v>
      </c>
      <c r="G14" s="456" t="s">
        <v>670</v>
      </c>
      <c r="H14" s="456">
        <v>50</v>
      </c>
      <c r="I14" s="456">
        <v>31</v>
      </c>
      <c r="J14" s="456">
        <v>33</v>
      </c>
      <c r="K14" s="457">
        <v>26897.93</v>
      </c>
      <c r="L14" s="457">
        <v>26897.93</v>
      </c>
      <c r="M14" s="457">
        <v>0</v>
      </c>
      <c r="N14" s="456">
        <v>20</v>
      </c>
      <c r="O14" s="457">
        <f>58106.78+607.89</f>
        <v>58714.67</v>
      </c>
      <c r="P14" s="457">
        <f>58106.78+607.89</f>
        <v>58714.67</v>
      </c>
      <c r="Q14" s="457">
        <v>0</v>
      </c>
    </row>
    <row r="15" spans="1:17" s="459" customFormat="1" x14ac:dyDescent="0.2">
      <c r="A15" s="455">
        <f t="shared" si="0"/>
        <v>7</v>
      </c>
      <c r="B15" s="456" t="s">
        <v>166</v>
      </c>
      <c r="C15" s="455" t="s">
        <v>62</v>
      </c>
      <c r="D15" s="455"/>
      <c r="E15" s="455" t="s">
        <v>158</v>
      </c>
      <c r="F15" s="456" t="s">
        <v>167</v>
      </c>
      <c r="G15" s="456" t="s">
        <v>670</v>
      </c>
      <c r="H15" s="456">
        <v>19</v>
      </c>
      <c r="I15" s="456">
        <v>16</v>
      </c>
      <c r="J15" s="456">
        <v>17</v>
      </c>
      <c r="K15" s="457">
        <v>12377.17</v>
      </c>
      <c r="L15" s="457">
        <v>12377.17</v>
      </c>
      <c r="M15" s="457">
        <v>0</v>
      </c>
      <c r="N15" s="456">
        <v>0</v>
      </c>
      <c r="O15" s="457">
        <v>0</v>
      </c>
      <c r="P15" s="457">
        <v>0</v>
      </c>
      <c r="Q15" s="457">
        <v>0</v>
      </c>
    </row>
    <row r="16" spans="1:17" s="459" customFormat="1" x14ac:dyDescent="0.2">
      <c r="A16" s="455">
        <f t="shared" si="0"/>
        <v>8</v>
      </c>
      <c r="B16" s="456" t="s">
        <v>168</v>
      </c>
      <c r="C16" s="455" t="s">
        <v>62</v>
      </c>
      <c r="D16" s="455"/>
      <c r="E16" s="455" t="s">
        <v>371</v>
      </c>
      <c r="F16" s="456" t="s">
        <v>169</v>
      </c>
      <c r="G16" s="456" t="s">
        <v>670</v>
      </c>
      <c r="H16" s="456">
        <v>44</v>
      </c>
      <c r="I16" s="456">
        <v>38</v>
      </c>
      <c r="J16" s="456">
        <v>45</v>
      </c>
      <c r="K16" s="457">
        <v>34087.32</v>
      </c>
      <c r="L16" s="457">
        <v>34087.32</v>
      </c>
      <c r="M16" s="457">
        <v>0</v>
      </c>
      <c r="N16" s="456">
        <v>0</v>
      </c>
      <c r="O16" s="457">
        <v>0</v>
      </c>
      <c r="P16" s="457">
        <v>0</v>
      </c>
      <c r="Q16" s="457">
        <v>0</v>
      </c>
    </row>
    <row r="17" spans="1:17" s="459" customFormat="1" x14ac:dyDescent="0.2">
      <c r="A17" s="455">
        <f t="shared" si="0"/>
        <v>9</v>
      </c>
      <c r="B17" s="456" t="s">
        <v>21</v>
      </c>
      <c r="C17" s="455" t="s">
        <v>62</v>
      </c>
      <c r="D17" s="455" t="s">
        <v>63</v>
      </c>
      <c r="E17" s="455" t="s">
        <v>674</v>
      </c>
      <c r="F17" s="456" t="s">
        <v>170</v>
      </c>
      <c r="G17" s="456" t="s">
        <v>670</v>
      </c>
      <c r="H17" s="456">
        <v>54</v>
      </c>
      <c r="I17" s="456">
        <v>46</v>
      </c>
      <c r="J17" s="456">
        <v>55</v>
      </c>
      <c r="K17" s="457">
        <v>62209.16</v>
      </c>
      <c r="L17" s="457">
        <v>62209.16</v>
      </c>
      <c r="M17" s="457">
        <v>0</v>
      </c>
      <c r="N17" s="456">
        <v>41</v>
      </c>
      <c r="O17" s="457">
        <v>148889.4</v>
      </c>
      <c r="P17" s="457">
        <v>148889.4</v>
      </c>
      <c r="Q17" s="457">
        <v>0</v>
      </c>
    </row>
    <row r="18" spans="1:17" s="459" customFormat="1" x14ac:dyDescent="0.2">
      <c r="A18" s="455">
        <f t="shared" si="0"/>
        <v>10</v>
      </c>
      <c r="B18" s="456" t="s">
        <v>22</v>
      </c>
      <c r="C18" s="455" t="s">
        <v>62</v>
      </c>
      <c r="D18" s="455" t="s">
        <v>63</v>
      </c>
      <c r="E18" s="455" t="s">
        <v>158</v>
      </c>
      <c r="F18" s="456" t="s">
        <v>171</v>
      </c>
      <c r="G18" s="456" t="s">
        <v>670</v>
      </c>
      <c r="H18" s="456">
        <v>41</v>
      </c>
      <c r="I18" s="456">
        <v>35</v>
      </c>
      <c r="J18" s="456">
        <v>48</v>
      </c>
      <c r="K18" s="457">
        <v>51085.36</v>
      </c>
      <c r="L18" s="457">
        <v>51085.36</v>
      </c>
      <c r="M18" s="457">
        <v>0</v>
      </c>
      <c r="N18" s="456">
        <v>44</v>
      </c>
      <c r="O18" s="457">
        <v>101080.14</v>
      </c>
      <c r="P18" s="457">
        <v>101080.14</v>
      </c>
      <c r="Q18" s="457">
        <v>0</v>
      </c>
    </row>
    <row r="19" spans="1:17" s="459" customFormat="1" x14ac:dyDescent="0.2">
      <c r="A19" s="455">
        <f t="shared" si="0"/>
        <v>11</v>
      </c>
      <c r="B19" s="456" t="s">
        <v>20</v>
      </c>
      <c r="C19" s="455" t="s">
        <v>62</v>
      </c>
      <c r="D19" s="455" t="s">
        <v>63</v>
      </c>
      <c r="E19" s="455" t="s">
        <v>158</v>
      </c>
      <c r="F19" s="456" t="s">
        <v>163</v>
      </c>
      <c r="G19" s="456" t="s">
        <v>670</v>
      </c>
      <c r="H19" s="456">
        <v>0</v>
      </c>
      <c r="I19" s="456">
        <v>0</v>
      </c>
      <c r="J19" s="456">
        <v>0</v>
      </c>
      <c r="K19" s="457">
        <v>0</v>
      </c>
      <c r="L19" s="457">
        <v>0</v>
      </c>
      <c r="M19" s="457">
        <v>0</v>
      </c>
      <c r="N19" s="456">
        <v>0</v>
      </c>
      <c r="O19" s="457">
        <v>6138.73</v>
      </c>
      <c r="P19" s="457">
        <v>6138.73</v>
      </c>
      <c r="Q19" s="457">
        <v>0</v>
      </c>
    </row>
    <row r="20" spans="1:17" s="459" customFormat="1" x14ac:dyDescent="0.2">
      <c r="A20" s="455">
        <f t="shared" si="0"/>
        <v>12</v>
      </c>
      <c r="B20" s="456" t="s">
        <v>100</v>
      </c>
      <c r="C20" s="455" t="s">
        <v>62</v>
      </c>
      <c r="D20" s="455" t="s">
        <v>63</v>
      </c>
      <c r="E20" s="455" t="s">
        <v>675</v>
      </c>
      <c r="F20" s="456" t="s">
        <v>164</v>
      </c>
      <c r="G20" s="456" t="s">
        <v>670</v>
      </c>
      <c r="H20" s="456">
        <v>17</v>
      </c>
      <c r="I20" s="456">
        <v>14</v>
      </c>
      <c r="J20" s="456">
        <v>18</v>
      </c>
      <c r="K20" s="457">
        <v>28244.77</v>
      </c>
      <c r="L20" s="457">
        <v>28244.77</v>
      </c>
      <c r="M20" s="457">
        <v>0</v>
      </c>
      <c r="N20" s="456">
        <v>13</v>
      </c>
      <c r="O20" s="457">
        <f>40299.47-6.51</f>
        <v>40292.959999999999</v>
      </c>
      <c r="P20" s="457">
        <f>40299.47-6.51</f>
        <v>40292.959999999999</v>
      </c>
      <c r="Q20" s="457">
        <v>0</v>
      </c>
    </row>
    <row r="21" spans="1:17" s="459" customFormat="1" x14ac:dyDescent="0.2">
      <c r="A21" s="455">
        <f t="shared" si="0"/>
        <v>13</v>
      </c>
      <c r="B21" s="456" t="s">
        <v>23</v>
      </c>
      <c r="C21" s="455" t="s">
        <v>62</v>
      </c>
      <c r="D21" s="455" t="s">
        <v>63</v>
      </c>
      <c r="E21" s="455" t="s">
        <v>158</v>
      </c>
      <c r="F21" s="456" t="s">
        <v>136</v>
      </c>
      <c r="G21" s="456" t="s">
        <v>670</v>
      </c>
      <c r="H21" s="456">
        <v>2</v>
      </c>
      <c r="I21" s="456">
        <v>0</v>
      </c>
      <c r="J21" s="456">
        <v>0</v>
      </c>
      <c r="K21" s="457">
        <v>0</v>
      </c>
      <c r="L21" s="457">
        <v>0</v>
      </c>
      <c r="M21" s="457">
        <v>0</v>
      </c>
      <c r="N21" s="456">
        <v>0</v>
      </c>
      <c r="O21" s="457">
        <v>0</v>
      </c>
      <c r="P21" s="457">
        <v>0</v>
      </c>
      <c r="Q21" s="457">
        <v>0</v>
      </c>
    </row>
    <row r="22" spans="1:17" s="459" customFormat="1" x14ac:dyDescent="0.2">
      <c r="A22" s="455">
        <f t="shared" si="0"/>
        <v>14</v>
      </c>
      <c r="B22" s="456" t="s">
        <v>24</v>
      </c>
      <c r="C22" s="455" t="s">
        <v>62</v>
      </c>
      <c r="D22" s="455" t="s">
        <v>63</v>
      </c>
      <c r="E22" s="455" t="s">
        <v>158</v>
      </c>
      <c r="F22" s="456" t="s">
        <v>172</v>
      </c>
      <c r="G22" s="456" t="s">
        <v>670</v>
      </c>
      <c r="H22" s="456">
        <v>58</v>
      </c>
      <c r="I22" s="456">
        <v>48</v>
      </c>
      <c r="J22" s="456">
        <v>62</v>
      </c>
      <c r="K22" s="457">
        <v>43142.82</v>
      </c>
      <c r="L22" s="457">
        <v>43142.82</v>
      </c>
      <c r="M22" s="457">
        <v>0</v>
      </c>
      <c r="N22" s="456">
        <v>33</v>
      </c>
      <c r="O22" s="457">
        <v>91426.1</v>
      </c>
      <c r="P22" s="457">
        <v>91426.1</v>
      </c>
      <c r="Q22" s="457">
        <v>0</v>
      </c>
    </row>
    <row r="23" spans="1:17" s="459" customFormat="1" x14ac:dyDescent="0.2">
      <c r="A23" s="455">
        <f t="shared" si="0"/>
        <v>15</v>
      </c>
      <c r="B23" s="456" t="s">
        <v>102</v>
      </c>
      <c r="C23" s="455" t="s">
        <v>67</v>
      </c>
      <c r="D23" s="455" t="s">
        <v>583</v>
      </c>
      <c r="E23" s="455" t="s">
        <v>158</v>
      </c>
      <c r="F23" s="456" t="s">
        <v>477</v>
      </c>
      <c r="G23" s="456" t="s">
        <v>670</v>
      </c>
      <c r="H23" s="456">
        <v>4</v>
      </c>
      <c r="I23" s="456">
        <v>1</v>
      </c>
      <c r="J23" s="456">
        <v>1</v>
      </c>
      <c r="K23" s="457">
        <v>528.6</v>
      </c>
      <c r="L23" s="457">
        <v>528.6</v>
      </c>
      <c r="M23" s="457">
        <v>0</v>
      </c>
      <c r="N23" s="456">
        <v>4</v>
      </c>
      <c r="O23" s="457">
        <v>9770.18</v>
      </c>
      <c r="P23" s="457">
        <v>9770.18</v>
      </c>
      <c r="Q23" s="457">
        <v>0</v>
      </c>
    </row>
    <row r="24" spans="1:17" s="459" customFormat="1" x14ac:dyDescent="0.2">
      <c r="A24" s="455">
        <f t="shared" si="0"/>
        <v>16</v>
      </c>
      <c r="B24" s="456" t="s">
        <v>173</v>
      </c>
      <c r="C24" s="455" t="s">
        <v>67</v>
      </c>
      <c r="D24" s="455" t="s">
        <v>478</v>
      </c>
      <c r="E24" s="455" t="s">
        <v>158</v>
      </c>
      <c r="F24" s="456" t="s">
        <v>175</v>
      </c>
      <c r="G24" s="456" t="s">
        <v>670</v>
      </c>
      <c r="H24" s="456">
        <v>32</v>
      </c>
      <c r="I24" s="456">
        <v>24</v>
      </c>
      <c r="J24" s="456">
        <v>28</v>
      </c>
      <c r="K24" s="457">
        <v>19933.77</v>
      </c>
      <c r="L24" s="457">
        <v>13307.42</v>
      </c>
      <c r="M24" s="457">
        <v>6626.35</v>
      </c>
      <c r="N24" s="456">
        <v>0</v>
      </c>
      <c r="O24" s="457">
        <v>0</v>
      </c>
      <c r="P24" s="457">
        <v>0</v>
      </c>
      <c r="Q24" s="457">
        <v>0</v>
      </c>
    </row>
    <row r="25" spans="1:17" s="459" customFormat="1" ht="11.25" customHeight="1" x14ac:dyDescent="0.2">
      <c r="A25" s="455">
        <f t="shared" si="0"/>
        <v>17</v>
      </c>
      <c r="B25" s="456" t="s">
        <v>25</v>
      </c>
      <c r="C25" s="455" t="s">
        <v>62</v>
      </c>
      <c r="D25" s="455" t="s">
        <v>63</v>
      </c>
      <c r="E25" s="455" t="s">
        <v>676</v>
      </c>
      <c r="F25" s="456" t="s">
        <v>584</v>
      </c>
      <c r="G25" s="456" t="s">
        <v>670</v>
      </c>
      <c r="H25" s="456">
        <v>58</v>
      </c>
      <c r="I25" s="456">
        <v>0</v>
      </c>
      <c r="J25" s="456">
        <v>0</v>
      </c>
      <c r="K25" s="457">
        <v>0</v>
      </c>
      <c r="L25" s="457">
        <v>0</v>
      </c>
      <c r="M25" s="457">
        <v>0</v>
      </c>
      <c r="N25" s="456">
        <v>0</v>
      </c>
      <c r="O25" s="457">
        <v>0</v>
      </c>
      <c r="P25" s="457">
        <v>0</v>
      </c>
      <c r="Q25" s="457">
        <v>0</v>
      </c>
    </row>
    <row r="26" spans="1:17" s="459" customFormat="1" x14ac:dyDescent="0.2">
      <c r="A26" s="455">
        <f t="shared" si="0"/>
        <v>18</v>
      </c>
      <c r="B26" s="456" t="s">
        <v>600</v>
      </c>
      <c r="C26" s="455" t="s">
        <v>62</v>
      </c>
      <c r="D26" s="455" t="s">
        <v>63</v>
      </c>
      <c r="E26" s="455" t="s">
        <v>158</v>
      </c>
      <c r="F26" s="456" t="s">
        <v>103</v>
      </c>
      <c r="G26" s="456" t="s">
        <v>670</v>
      </c>
      <c r="H26" s="456">
        <v>0</v>
      </c>
      <c r="I26" s="456">
        <v>0</v>
      </c>
      <c r="J26" s="456">
        <v>0</v>
      </c>
      <c r="K26" s="457">
        <v>0</v>
      </c>
      <c r="L26" s="457">
        <v>0</v>
      </c>
      <c r="M26" s="457">
        <v>0</v>
      </c>
      <c r="N26" s="456">
        <v>15</v>
      </c>
      <c r="O26" s="457">
        <v>62481.86</v>
      </c>
      <c r="P26" s="457">
        <v>62481.86</v>
      </c>
      <c r="Q26" s="457">
        <v>0</v>
      </c>
    </row>
    <row r="27" spans="1:17" s="459" customFormat="1" x14ac:dyDescent="0.2">
      <c r="A27" s="455">
        <f t="shared" si="0"/>
        <v>19</v>
      </c>
      <c r="B27" s="456" t="s">
        <v>479</v>
      </c>
      <c r="C27" s="455" t="s">
        <v>67</v>
      </c>
      <c r="D27" s="455" t="s">
        <v>480</v>
      </c>
      <c r="E27" s="455" t="s">
        <v>158</v>
      </c>
      <c r="F27" s="456" t="s">
        <v>481</v>
      </c>
      <c r="G27" s="456" t="s">
        <v>670</v>
      </c>
      <c r="H27" s="456">
        <v>14</v>
      </c>
      <c r="I27" s="456">
        <v>7</v>
      </c>
      <c r="J27" s="456">
        <v>7</v>
      </c>
      <c r="K27" s="457">
        <v>3449.4</v>
      </c>
      <c r="L27" s="457">
        <v>3449.4</v>
      </c>
      <c r="M27" s="457">
        <v>0</v>
      </c>
      <c r="N27" s="456">
        <v>0</v>
      </c>
      <c r="O27" s="457">
        <v>0</v>
      </c>
      <c r="P27" s="457">
        <v>0</v>
      </c>
      <c r="Q27" s="457">
        <v>0</v>
      </c>
    </row>
    <row r="28" spans="1:17" s="459" customFormat="1" x14ac:dyDescent="0.2">
      <c r="A28" s="455">
        <f t="shared" si="0"/>
        <v>20</v>
      </c>
      <c r="B28" s="456" t="s">
        <v>176</v>
      </c>
      <c r="C28" s="455" t="s">
        <v>62</v>
      </c>
      <c r="D28" s="455"/>
      <c r="E28" s="455" t="s">
        <v>677</v>
      </c>
      <c r="F28" s="456" t="s">
        <v>178</v>
      </c>
      <c r="G28" s="456" t="s">
        <v>670</v>
      </c>
      <c r="H28" s="456">
        <v>20</v>
      </c>
      <c r="I28" s="456">
        <v>15</v>
      </c>
      <c r="J28" s="456">
        <v>16</v>
      </c>
      <c r="K28" s="457">
        <v>14354.65</v>
      </c>
      <c r="L28" s="457">
        <v>7259.44</v>
      </c>
      <c r="M28" s="457">
        <v>7095.21</v>
      </c>
      <c r="N28" s="456">
        <v>0</v>
      </c>
      <c r="O28" s="457">
        <v>0</v>
      </c>
      <c r="P28" s="457">
        <v>0</v>
      </c>
      <c r="Q28" s="457">
        <v>0</v>
      </c>
    </row>
    <row r="29" spans="1:17" s="459" customFormat="1" x14ac:dyDescent="0.2">
      <c r="A29" s="455">
        <f t="shared" si="0"/>
        <v>21</v>
      </c>
      <c r="B29" s="456" t="s">
        <v>152</v>
      </c>
      <c r="C29" s="455" t="s">
        <v>62</v>
      </c>
      <c r="D29" s="455" t="s">
        <v>63</v>
      </c>
      <c r="E29" s="455" t="s">
        <v>158</v>
      </c>
      <c r="F29" s="456" t="s">
        <v>179</v>
      </c>
      <c r="G29" s="456" t="s">
        <v>670</v>
      </c>
      <c r="H29" s="456">
        <v>31</v>
      </c>
      <c r="I29" s="456">
        <v>16</v>
      </c>
      <c r="J29" s="456">
        <v>18</v>
      </c>
      <c r="K29" s="457">
        <v>38119.06</v>
      </c>
      <c r="L29" s="457">
        <v>38119.06</v>
      </c>
      <c r="M29" s="457">
        <v>0</v>
      </c>
      <c r="N29" s="456">
        <v>16</v>
      </c>
      <c r="O29" s="457">
        <v>10875.99</v>
      </c>
      <c r="P29" s="457">
        <v>10875.99</v>
      </c>
      <c r="Q29" s="457">
        <v>0</v>
      </c>
    </row>
    <row r="30" spans="1:17" s="459" customFormat="1" x14ac:dyDescent="0.2">
      <c r="A30" s="455">
        <f t="shared" si="0"/>
        <v>22</v>
      </c>
      <c r="B30" s="456" t="s">
        <v>88</v>
      </c>
      <c r="C30" s="455" t="s">
        <v>62</v>
      </c>
      <c r="D30" s="455" t="s">
        <v>63</v>
      </c>
      <c r="E30" s="455" t="s">
        <v>158</v>
      </c>
      <c r="F30" s="456" t="s">
        <v>180</v>
      </c>
      <c r="G30" s="456" t="s">
        <v>670</v>
      </c>
      <c r="H30" s="456">
        <v>9</v>
      </c>
      <c r="I30" s="456">
        <v>5</v>
      </c>
      <c r="J30" s="456">
        <v>5</v>
      </c>
      <c r="K30" s="457">
        <v>7768.25</v>
      </c>
      <c r="L30" s="457">
        <v>2706.43</v>
      </c>
      <c r="M30" s="457">
        <v>5061.82</v>
      </c>
      <c r="N30" s="456">
        <v>2</v>
      </c>
      <c r="O30" s="457">
        <v>22884.99</v>
      </c>
      <c r="P30" s="457">
        <v>22884.99</v>
      </c>
      <c r="Q30" s="457">
        <v>0</v>
      </c>
    </row>
    <row r="31" spans="1:17" s="459" customFormat="1" x14ac:dyDescent="0.2">
      <c r="A31" s="455">
        <f t="shared" si="0"/>
        <v>23</v>
      </c>
      <c r="B31" s="456" t="s">
        <v>26</v>
      </c>
      <c r="C31" s="455" t="s">
        <v>62</v>
      </c>
      <c r="D31" s="455" t="s">
        <v>63</v>
      </c>
      <c r="E31" s="455" t="s">
        <v>158</v>
      </c>
      <c r="F31" s="456" t="s">
        <v>181</v>
      </c>
      <c r="G31" s="456" t="s">
        <v>670</v>
      </c>
      <c r="H31" s="456">
        <v>30</v>
      </c>
      <c r="I31" s="456">
        <v>24</v>
      </c>
      <c r="J31" s="456">
        <v>34</v>
      </c>
      <c r="K31" s="457">
        <v>65045.440000000002</v>
      </c>
      <c r="L31" s="457">
        <v>65045.440000000002</v>
      </c>
      <c r="M31" s="457">
        <v>0</v>
      </c>
      <c r="N31" s="456">
        <v>16</v>
      </c>
      <c r="O31" s="457">
        <v>27881.98</v>
      </c>
      <c r="P31" s="457">
        <v>25134.73</v>
      </c>
      <c r="Q31" s="457">
        <v>2747.25</v>
      </c>
    </row>
    <row r="32" spans="1:17" s="459" customFormat="1" x14ac:dyDescent="0.2">
      <c r="A32" s="455">
        <f t="shared" si="0"/>
        <v>24</v>
      </c>
      <c r="B32" s="456" t="s">
        <v>182</v>
      </c>
      <c r="C32" s="455" t="s">
        <v>62</v>
      </c>
      <c r="D32" s="455"/>
      <c r="E32" s="455" t="s">
        <v>158</v>
      </c>
      <c r="F32" s="456" t="s">
        <v>183</v>
      </c>
      <c r="G32" s="456" t="s">
        <v>670</v>
      </c>
      <c r="H32" s="456">
        <v>41</v>
      </c>
      <c r="I32" s="456">
        <v>23</v>
      </c>
      <c r="J32" s="456">
        <v>28</v>
      </c>
      <c r="K32" s="457">
        <v>23283.040000000001</v>
      </c>
      <c r="L32" s="457">
        <v>23283.040000000001</v>
      </c>
      <c r="M32" s="457">
        <v>0</v>
      </c>
      <c r="N32" s="456">
        <v>0</v>
      </c>
      <c r="O32" s="457">
        <v>0</v>
      </c>
      <c r="P32" s="457">
        <v>0</v>
      </c>
      <c r="Q32" s="457">
        <v>0</v>
      </c>
    </row>
    <row r="33" spans="1:17" s="459" customFormat="1" x14ac:dyDescent="0.2">
      <c r="A33" s="455">
        <f t="shared" si="0"/>
        <v>25</v>
      </c>
      <c r="B33" s="456" t="s">
        <v>137</v>
      </c>
      <c r="C33" s="455" t="s">
        <v>62</v>
      </c>
      <c r="D33" s="455" t="s">
        <v>63</v>
      </c>
      <c r="E33" s="455" t="s">
        <v>158</v>
      </c>
      <c r="F33" s="456" t="s">
        <v>184</v>
      </c>
      <c r="G33" s="456" t="s">
        <v>670</v>
      </c>
      <c r="H33" s="456">
        <v>11</v>
      </c>
      <c r="I33" s="456">
        <v>4</v>
      </c>
      <c r="J33" s="456">
        <v>4</v>
      </c>
      <c r="K33" s="457">
        <v>8691.83</v>
      </c>
      <c r="L33" s="457">
        <v>8691.83</v>
      </c>
      <c r="M33" s="457">
        <v>0</v>
      </c>
      <c r="N33" s="456">
        <v>5</v>
      </c>
      <c r="O33" s="457">
        <v>9148.83</v>
      </c>
      <c r="P33" s="457">
        <v>9148.83</v>
      </c>
      <c r="Q33" s="457">
        <v>0</v>
      </c>
    </row>
    <row r="34" spans="1:17" s="459" customFormat="1" x14ac:dyDescent="0.2">
      <c r="A34" s="455">
        <f t="shared" si="0"/>
        <v>26</v>
      </c>
      <c r="B34" s="456" t="s">
        <v>185</v>
      </c>
      <c r="C34" s="455" t="s">
        <v>62</v>
      </c>
      <c r="D34" s="455"/>
      <c r="E34" s="455" t="s">
        <v>674</v>
      </c>
      <c r="F34" s="456" t="s">
        <v>463</v>
      </c>
      <c r="G34" s="456" t="s">
        <v>670</v>
      </c>
      <c r="H34" s="456">
        <v>13</v>
      </c>
      <c r="I34" s="456">
        <v>9</v>
      </c>
      <c r="J34" s="456">
        <v>11</v>
      </c>
      <c r="K34" s="457">
        <v>2746.17</v>
      </c>
      <c r="L34" s="457">
        <v>2746.17</v>
      </c>
      <c r="M34" s="457">
        <v>0</v>
      </c>
      <c r="N34" s="456">
        <v>0</v>
      </c>
      <c r="O34" s="457">
        <v>0</v>
      </c>
      <c r="P34" s="457">
        <v>0</v>
      </c>
      <c r="Q34" s="457">
        <v>0</v>
      </c>
    </row>
    <row r="35" spans="1:17" s="459" customFormat="1" x14ac:dyDescent="0.2">
      <c r="A35" s="455">
        <f t="shared" si="0"/>
        <v>27</v>
      </c>
      <c r="B35" s="456" t="s">
        <v>27</v>
      </c>
      <c r="C35" s="455" t="s">
        <v>62</v>
      </c>
      <c r="D35" s="455" t="s">
        <v>63</v>
      </c>
      <c r="E35" s="455" t="s">
        <v>158</v>
      </c>
      <c r="F35" s="456" t="s">
        <v>187</v>
      </c>
      <c r="G35" s="456" t="s">
        <v>670</v>
      </c>
      <c r="H35" s="456">
        <v>19</v>
      </c>
      <c r="I35" s="456">
        <v>13</v>
      </c>
      <c r="J35" s="456">
        <v>14</v>
      </c>
      <c r="K35" s="457">
        <v>11368.12</v>
      </c>
      <c r="L35" s="457">
        <v>11368.12</v>
      </c>
      <c r="M35" s="457">
        <v>0</v>
      </c>
      <c r="N35" s="456">
        <v>7</v>
      </c>
      <c r="O35" s="457">
        <v>35186.089999999997</v>
      </c>
      <c r="P35" s="457">
        <v>35186.089999999997</v>
      </c>
      <c r="Q35" s="457">
        <v>0</v>
      </c>
    </row>
    <row r="36" spans="1:17" s="459" customFormat="1" x14ac:dyDescent="0.2">
      <c r="A36" s="455">
        <f t="shared" si="0"/>
        <v>28</v>
      </c>
      <c r="B36" s="456" t="s">
        <v>601</v>
      </c>
      <c r="C36" s="455" t="s">
        <v>62</v>
      </c>
      <c r="D36" s="455" t="s">
        <v>63</v>
      </c>
      <c r="E36" s="455" t="s">
        <v>678</v>
      </c>
      <c r="F36" s="456" t="s">
        <v>679</v>
      </c>
      <c r="G36" s="456" t="s">
        <v>670</v>
      </c>
      <c r="H36" s="456">
        <v>4</v>
      </c>
      <c r="I36" s="456">
        <v>0</v>
      </c>
      <c r="J36" s="456">
        <v>0</v>
      </c>
      <c r="K36" s="457">
        <v>0</v>
      </c>
      <c r="L36" s="457">
        <v>0</v>
      </c>
      <c r="M36" s="457">
        <v>0</v>
      </c>
      <c r="N36" s="456">
        <v>0</v>
      </c>
      <c r="O36" s="457">
        <v>0</v>
      </c>
      <c r="P36" s="457">
        <v>0</v>
      </c>
      <c r="Q36" s="457">
        <v>0</v>
      </c>
    </row>
    <row r="37" spans="1:17" s="459" customFormat="1" x14ac:dyDescent="0.2">
      <c r="A37" s="455">
        <f t="shared" si="0"/>
        <v>29</v>
      </c>
      <c r="B37" s="456" t="s">
        <v>654</v>
      </c>
      <c r="C37" s="455" t="s">
        <v>67</v>
      </c>
      <c r="D37" s="455" t="s">
        <v>680</v>
      </c>
      <c r="E37" s="455" t="s">
        <v>681</v>
      </c>
      <c r="F37" s="456" t="s">
        <v>656</v>
      </c>
      <c r="G37" s="456" t="s">
        <v>670</v>
      </c>
      <c r="H37" s="456">
        <v>6</v>
      </c>
      <c r="I37" s="456">
        <v>0</v>
      </c>
      <c r="J37" s="456">
        <v>0</v>
      </c>
      <c r="K37" s="457">
        <v>0</v>
      </c>
      <c r="L37" s="457">
        <v>0</v>
      </c>
      <c r="M37" s="457">
        <v>0</v>
      </c>
      <c r="N37" s="456">
        <v>0</v>
      </c>
      <c r="O37" s="457">
        <v>0</v>
      </c>
      <c r="P37" s="457">
        <v>0</v>
      </c>
      <c r="Q37" s="457">
        <v>0</v>
      </c>
    </row>
    <row r="38" spans="1:17" s="459" customFormat="1" x14ac:dyDescent="0.2">
      <c r="A38" s="455">
        <f t="shared" si="0"/>
        <v>30</v>
      </c>
      <c r="B38" s="456" t="s">
        <v>482</v>
      </c>
      <c r="C38" s="455" t="s">
        <v>64</v>
      </c>
      <c r="D38" s="455" t="s">
        <v>483</v>
      </c>
      <c r="E38" s="455" t="s">
        <v>158</v>
      </c>
      <c r="F38" s="456" t="s">
        <v>484</v>
      </c>
      <c r="G38" s="456" t="s">
        <v>670</v>
      </c>
      <c r="H38" s="456">
        <v>11</v>
      </c>
      <c r="I38" s="456">
        <v>0</v>
      </c>
      <c r="J38" s="456">
        <v>0</v>
      </c>
      <c r="K38" s="457">
        <v>0</v>
      </c>
      <c r="L38" s="457">
        <v>0</v>
      </c>
      <c r="M38" s="457">
        <v>0</v>
      </c>
      <c r="N38" s="456">
        <v>0</v>
      </c>
      <c r="O38" s="457">
        <v>0</v>
      </c>
      <c r="P38" s="457">
        <v>0</v>
      </c>
      <c r="Q38" s="457">
        <v>0</v>
      </c>
    </row>
    <row r="39" spans="1:17" s="459" customFormat="1" x14ac:dyDescent="0.2">
      <c r="A39" s="455">
        <f t="shared" si="0"/>
        <v>31</v>
      </c>
      <c r="B39" s="456" t="s">
        <v>104</v>
      </c>
      <c r="C39" s="455" t="s">
        <v>62</v>
      </c>
      <c r="D39" s="455" t="s">
        <v>63</v>
      </c>
      <c r="E39" s="455" t="s">
        <v>105</v>
      </c>
      <c r="F39" s="456" t="s">
        <v>188</v>
      </c>
      <c r="G39" s="456" t="s">
        <v>670</v>
      </c>
      <c r="H39" s="456">
        <v>9</v>
      </c>
      <c r="I39" s="456">
        <v>7</v>
      </c>
      <c r="J39" s="456">
        <v>9</v>
      </c>
      <c r="K39" s="457">
        <v>19587.169999999998</v>
      </c>
      <c r="L39" s="457">
        <v>19587.169999999998</v>
      </c>
      <c r="M39" s="457">
        <v>0</v>
      </c>
      <c r="N39" s="456">
        <v>26</v>
      </c>
      <c r="O39" s="457">
        <f>49255.29+5920.32</f>
        <v>55175.61</v>
      </c>
      <c r="P39" s="457">
        <f>49255.29+5920.32</f>
        <v>55175.61</v>
      </c>
      <c r="Q39" s="457">
        <v>0</v>
      </c>
    </row>
    <row r="40" spans="1:17" s="459" customFormat="1" x14ac:dyDescent="0.2">
      <c r="A40" s="455">
        <f t="shared" si="0"/>
        <v>32</v>
      </c>
      <c r="B40" s="456" t="s">
        <v>517</v>
      </c>
      <c r="C40" s="455" t="s">
        <v>62</v>
      </c>
      <c r="D40" s="455"/>
      <c r="E40" s="455" t="s">
        <v>158</v>
      </c>
      <c r="F40" s="456" t="s">
        <v>567</v>
      </c>
      <c r="G40" s="456" t="s">
        <v>670</v>
      </c>
      <c r="H40" s="456">
        <v>22</v>
      </c>
      <c r="I40" s="456">
        <v>15</v>
      </c>
      <c r="J40" s="456">
        <v>16</v>
      </c>
      <c r="K40" s="457">
        <v>8593.74</v>
      </c>
      <c r="L40" s="457">
        <v>8593.74</v>
      </c>
      <c r="M40" s="457">
        <v>0</v>
      </c>
      <c r="N40" s="456">
        <v>0</v>
      </c>
      <c r="O40" s="457">
        <v>0</v>
      </c>
      <c r="P40" s="457">
        <v>0</v>
      </c>
      <c r="Q40" s="457">
        <v>0</v>
      </c>
    </row>
    <row r="41" spans="1:17" s="459" customFormat="1" x14ac:dyDescent="0.2">
      <c r="A41" s="455">
        <f t="shared" si="0"/>
        <v>33</v>
      </c>
      <c r="B41" s="456" t="s">
        <v>28</v>
      </c>
      <c r="C41" s="455" t="s">
        <v>62</v>
      </c>
      <c r="D41" s="455" t="s">
        <v>63</v>
      </c>
      <c r="E41" s="455" t="s">
        <v>158</v>
      </c>
      <c r="F41" s="456" t="s">
        <v>189</v>
      </c>
      <c r="G41" s="456" t="s">
        <v>670</v>
      </c>
      <c r="H41" s="456">
        <v>13</v>
      </c>
      <c r="I41" s="456">
        <v>9</v>
      </c>
      <c r="J41" s="456">
        <v>10</v>
      </c>
      <c r="K41" s="457">
        <v>13276.34</v>
      </c>
      <c r="L41" s="457">
        <v>10155.84</v>
      </c>
      <c r="M41" s="457">
        <v>3120.5</v>
      </c>
      <c r="N41" s="456">
        <v>8</v>
      </c>
      <c r="O41" s="457">
        <v>18393.25</v>
      </c>
      <c r="P41" s="457">
        <v>18393.25</v>
      </c>
      <c r="Q41" s="457">
        <v>0</v>
      </c>
    </row>
    <row r="42" spans="1:17" s="459" customFormat="1" x14ac:dyDescent="0.2">
      <c r="A42" s="455">
        <f t="shared" si="0"/>
        <v>34</v>
      </c>
      <c r="B42" s="456" t="s">
        <v>190</v>
      </c>
      <c r="C42" s="455" t="s">
        <v>62</v>
      </c>
      <c r="D42" s="455"/>
      <c r="E42" s="455" t="s">
        <v>675</v>
      </c>
      <c r="F42" s="456" t="s">
        <v>191</v>
      </c>
      <c r="G42" s="456" t="s">
        <v>670</v>
      </c>
      <c r="H42" s="456">
        <v>20</v>
      </c>
      <c r="I42" s="456">
        <v>16</v>
      </c>
      <c r="J42" s="456">
        <v>16</v>
      </c>
      <c r="K42" s="457">
        <v>15430.42</v>
      </c>
      <c r="L42" s="457">
        <v>13185.23</v>
      </c>
      <c r="M42" s="457">
        <v>2245.19</v>
      </c>
      <c r="N42" s="456">
        <v>0</v>
      </c>
      <c r="O42" s="457">
        <v>0</v>
      </c>
      <c r="P42" s="457">
        <v>0</v>
      </c>
      <c r="Q42" s="457">
        <v>0</v>
      </c>
    </row>
    <row r="43" spans="1:17" s="459" customFormat="1" ht="25.5" x14ac:dyDescent="0.2">
      <c r="A43" s="455">
        <f t="shared" si="0"/>
        <v>35</v>
      </c>
      <c r="B43" s="456" t="s">
        <v>192</v>
      </c>
      <c r="C43" s="455" t="s">
        <v>64</v>
      </c>
      <c r="D43" s="455" t="s">
        <v>682</v>
      </c>
      <c r="E43" s="455" t="s">
        <v>158</v>
      </c>
      <c r="F43" s="456" t="s">
        <v>194</v>
      </c>
      <c r="G43" s="456" t="s">
        <v>670</v>
      </c>
      <c r="H43" s="456">
        <v>1</v>
      </c>
      <c r="I43" s="456">
        <v>0</v>
      </c>
      <c r="J43" s="456">
        <v>0</v>
      </c>
      <c r="K43" s="457">
        <v>0</v>
      </c>
      <c r="L43" s="457">
        <v>0</v>
      </c>
      <c r="M43" s="457">
        <v>0</v>
      </c>
      <c r="N43" s="456">
        <v>0</v>
      </c>
      <c r="O43" s="457">
        <v>0</v>
      </c>
      <c r="P43" s="457">
        <v>0</v>
      </c>
      <c r="Q43" s="457">
        <v>0</v>
      </c>
    </row>
    <row r="44" spans="1:17" s="459" customFormat="1" x14ac:dyDescent="0.2">
      <c r="A44" s="455">
        <f t="shared" si="0"/>
        <v>36</v>
      </c>
      <c r="B44" s="456" t="s">
        <v>89</v>
      </c>
      <c r="C44" s="455" t="s">
        <v>62</v>
      </c>
      <c r="D44" s="455" t="s">
        <v>63</v>
      </c>
      <c r="E44" s="455" t="s">
        <v>158</v>
      </c>
      <c r="F44" s="456" t="s">
        <v>195</v>
      </c>
      <c r="G44" s="456" t="s">
        <v>670</v>
      </c>
      <c r="H44" s="456">
        <v>39</v>
      </c>
      <c r="I44" s="456">
        <v>36</v>
      </c>
      <c r="J44" s="456">
        <v>38</v>
      </c>
      <c r="K44" s="457">
        <v>34420.629999999997</v>
      </c>
      <c r="L44" s="457">
        <v>34420.629999999997</v>
      </c>
      <c r="M44" s="457">
        <v>0</v>
      </c>
      <c r="N44" s="456">
        <v>7</v>
      </c>
      <c r="O44" s="457">
        <v>39298.120000000003</v>
      </c>
      <c r="P44" s="457">
        <v>39298.120000000003</v>
      </c>
      <c r="Q44" s="457">
        <v>0</v>
      </c>
    </row>
    <row r="45" spans="1:17" s="459" customFormat="1" x14ac:dyDescent="0.2">
      <c r="A45" s="455">
        <f t="shared" si="0"/>
        <v>37</v>
      </c>
      <c r="B45" s="456" t="s">
        <v>196</v>
      </c>
      <c r="C45" s="455" t="s">
        <v>62</v>
      </c>
      <c r="D45" s="455"/>
      <c r="E45" s="455" t="s">
        <v>683</v>
      </c>
      <c r="F45" s="456" t="s">
        <v>198</v>
      </c>
      <c r="G45" s="456" t="s">
        <v>670</v>
      </c>
      <c r="H45" s="456">
        <v>25</v>
      </c>
      <c r="I45" s="456">
        <v>16</v>
      </c>
      <c r="J45" s="456">
        <v>17</v>
      </c>
      <c r="K45" s="457">
        <v>29345.31</v>
      </c>
      <c r="L45" s="457">
        <v>18951.14</v>
      </c>
      <c r="M45" s="457">
        <v>10394.17</v>
      </c>
      <c r="N45" s="456">
        <v>0</v>
      </c>
      <c r="O45" s="457">
        <v>0</v>
      </c>
      <c r="P45" s="457">
        <v>0</v>
      </c>
      <c r="Q45" s="457">
        <v>0</v>
      </c>
    </row>
    <row r="46" spans="1:17" s="459" customFormat="1" x14ac:dyDescent="0.2">
      <c r="A46" s="455">
        <f t="shared" si="0"/>
        <v>38</v>
      </c>
      <c r="B46" s="456" t="s">
        <v>106</v>
      </c>
      <c r="C46" s="455" t="s">
        <v>62</v>
      </c>
      <c r="D46" s="455" t="s">
        <v>63</v>
      </c>
      <c r="E46" s="455" t="s">
        <v>158</v>
      </c>
      <c r="F46" s="456" t="s">
        <v>199</v>
      </c>
      <c r="G46" s="456" t="s">
        <v>670</v>
      </c>
      <c r="H46" s="456">
        <v>53</v>
      </c>
      <c r="I46" s="456">
        <v>46</v>
      </c>
      <c r="J46" s="456">
        <v>65</v>
      </c>
      <c r="K46" s="457">
        <v>84398.3</v>
      </c>
      <c r="L46" s="457">
        <v>84398.3</v>
      </c>
      <c r="M46" s="457">
        <v>0</v>
      </c>
      <c r="N46" s="456">
        <v>27</v>
      </c>
      <c r="O46" s="457">
        <v>150774.95000000001</v>
      </c>
      <c r="P46" s="457">
        <v>150774.95000000001</v>
      </c>
      <c r="Q46" s="457">
        <v>0</v>
      </c>
    </row>
    <row r="47" spans="1:17" s="459" customFormat="1" x14ac:dyDescent="0.2">
      <c r="A47" s="455">
        <f t="shared" si="0"/>
        <v>39</v>
      </c>
      <c r="B47" s="456" t="s">
        <v>107</v>
      </c>
      <c r="C47" s="455" t="s">
        <v>62</v>
      </c>
      <c r="D47" s="455" t="s">
        <v>63</v>
      </c>
      <c r="E47" s="455" t="s">
        <v>158</v>
      </c>
      <c r="F47" s="456" t="s">
        <v>138</v>
      </c>
      <c r="G47" s="456" t="s">
        <v>670</v>
      </c>
      <c r="H47" s="456">
        <v>8</v>
      </c>
      <c r="I47" s="456">
        <v>0</v>
      </c>
      <c r="J47" s="456">
        <v>0</v>
      </c>
      <c r="K47" s="457">
        <v>0</v>
      </c>
      <c r="L47" s="457">
        <v>0</v>
      </c>
      <c r="M47" s="457">
        <v>0</v>
      </c>
      <c r="N47" s="456">
        <v>0</v>
      </c>
      <c r="O47" s="457">
        <v>0</v>
      </c>
      <c r="P47" s="457">
        <v>0</v>
      </c>
      <c r="Q47" s="457">
        <v>0</v>
      </c>
    </row>
    <row r="48" spans="1:17" s="459" customFormat="1" x14ac:dyDescent="0.2">
      <c r="A48" s="455">
        <f t="shared" si="0"/>
        <v>40</v>
      </c>
      <c r="B48" s="456" t="s">
        <v>29</v>
      </c>
      <c r="C48" s="455" t="s">
        <v>62</v>
      </c>
      <c r="D48" s="455" t="s">
        <v>63</v>
      </c>
      <c r="E48" s="455" t="s">
        <v>158</v>
      </c>
      <c r="F48" s="456" t="s">
        <v>200</v>
      </c>
      <c r="G48" s="456" t="s">
        <v>670</v>
      </c>
      <c r="H48" s="456">
        <v>29</v>
      </c>
      <c r="I48" s="456">
        <v>25</v>
      </c>
      <c r="J48" s="456">
        <v>39</v>
      </c>
      <c r="K48" s="457">
        <v>38488.660000000003</v>
      </c>
      <c r="L48" s="457">
        <v>38488.660000000003</v>
      </c>
      <c r="M48" s="457">
        <v>0</v>
      </c>
      <c r="N48" s="456">
        <v>21</v>
      </c>
      <c r="O48" s="457">
        <v>29336.76</v>
      </c>
      <c r="P48" s="457">
        <v>29336.76</v>
      </c>
      <c r="Q48" s="457">
        <v>0</v>
      </c>
    </row>
    <row r="49" spans="1:17" s="459" customFormat="1" x14ac:dyDescent="0.2">
      <c r="A49" s="455">
        <f t="shared" si="0"/>
        <v>41</v>
      </c>
      <c r="B49" s="456" t="s">
        <v>201</v>
      </c>
      <c r="C49" s="455" t="s">
        <v>67</v>
      </c>
      <c r="D49" s="455" t="s">
        <v>485</v>
      </c>
      <c r="E49" s="455" t="s">
        <v>158</v>
      </c>
      <c r="F49" s="456" t="s">
        <v>202</v>
      </c>
      <c r="G49" s="456" t="s">
        <v>670</v>
      </c>
      <c r="H49" s="456">
        <v>31</v>
      </c>
      <c r="I49" s="456">
        <v>24</v>
      </c>
      <c r="J49" s="456">
        <v>25</v>
      </c>
      <c r="K49" s="457">
        <v>40390.18</v>
      </c>
      <c r="L49" s="457">
        <v>40390.18</v>
      </c>
      <c r="M49" s="457">
        <v>0</v>
      </c>
      <c r="N49" s="456">
        <v>1</v>
      </c>
      <c r="O49" s="457">
        <v>1717.95</v>
      </c>
      <c r="P49" s="457">
        <v>1717.95</v>
      </c>
      <c r="Q49" s="457">
        <v>0</v>
      </c>
    </row>
    <row r="50" spans="1:17" s="459" customFormat="1" x14ac:dyDescent="0.2">
      <c r="A50" s="455">
        <f t="shared" si="0"/>
        <v>42</v>
      </c>
      <c r="B50" s="456" t="s">
        <v>95</v>
      </c>
      <c r="C50" s="455" t="s">
        <v>62</v>
      </c>
      <c r="D50" s="455" t="s">
        <v>63</v>
      </c>
      <c r="E50" s="455" t="s">
        <v>158</v>
      </c>
      <c r="F50" s="456" t="s">
        <v>161</v>
      </c>
      <c r="G50" s="456" t="s">
        <v>670</v>
      </c>
      <c r="H50" s="456">
        <v>53</v>
      </c>
      <c r="I50" s="456">
        <v>44</v>
      </c>
      <c r="J50" s="456">
        <v>58</v>
      </c>
      <c r="K50" s="457">
        <v>77731.58</v>
      </c>
      <c r="L50" s="457">
        <v>70400.34</v>
      </c>
      <c r="M50" s="457">
        <v>7331.24</v>
      </c>
      <c r="N50" s="456">
        <v>30</v>
      </c>
      <c r="O50" s="457">
        <v>98356.77</v>
      </c>
      <c r="P50" s="457">
        <v>90695.42</v>
      </c>
      <c r="Q50" s="457">
        <v>7661.35</v>
      </c>
    </row>
    <row r="51" spans="1:17" s="459" customFormat="1" ht="25.5" x14ac:dyDescent="0.2">
      <c r="A51" s="455">
        <f t="shared" si="0"/>
        <v>43</v>
      </c>
      <c r="B51" s="456" t="s">
        <v>684</v>
      </c>
      <c r="C51" s="455" t="s">
        <v>64</v>
      </c>
      <c r="D51" s="455" t="s">
        <v>486</v>
      </c>
      <c r="E51" s="455" t="s">
        <v>158</v>
      </c>
      <c r="F51" s="456" t="s">
        <v>685</v>
      </c>
      <c r="G51" s="456" t="s">
        <v>670</v>
      </c>
      <c r="H51" s="456">
        <v>7</v>
      </c>
      <c r="I51" s="456">
        <v>1</v>
      </c>
      <c r="J51" s="456">
        <v>1</v>
      </c>
      <c r="K51" s="457">
        <v>0</v>
      </c>
      <c r="L51" s="457">
        <v>0</v>
      </c>
      <c r="M51" s="457">
        <v>0</v>
      </c>
      <c r="N51" s="456">
        <v>0</v>
      </c>
      <c r="O51" s="457">
        <v>0</v>
      </c>
      <c r="P51" s="457">
        <v>0</v>
      </c>
      <c r="Q51" s="457">
        <v>0</v>
      </c>
    </row>
    <row r="52" spans="1:17" s="459" customFormat="1" x14ac:dyDescent="0.2">
      <c r="A52" s="455">
        <f t="shared" si="0"/>
        <v>44</v>
      </c>
      <c r="B52" s="456" t="s">
        <v>30</v>
      </c>
      <c r="C52" s="455" t="s">
        <v>62</v>
      </c>
      <c r="D52" s="455" t="s">
        <v>63</v>
      </c>
      <c r="E52" s="455" t="s">
        <v>686</v>
      </c>
      <c r="F52" s="456" t="s">
        <v>204</v>
      </c>
      <c r="G52" s="456" t="s">
        <v>670</v>
      </c>
      <c r="H52" s="456">
        <v>26</v>
      </c>
      <c r="I52" s="456">
        <v>19</v>
      </c>
      <c r="J52" s="456">
        <v>27</v>
      </c>
      <c r="K52" s="457">
        <v>59887.42</v>
      </c>
      <c r="L52" s="457">
        <v>59887.42</v>
      </c>
      <c r="M52" s="457">
        <v>0</v>
      </c>
      <c r="N52" s="456">
        <v>20</v>
      </c>
      <c r="O52" s="457">
        <v>87105.46</v>
      </c>
      <c r="P52" s="457">
        <v>87105.46</v>
      </c>
      <c r="Q52" s="457">
        <v>0</v>
      </c>
    </row>
    <row r="53" spans="1:17" s="459" customFormat="1" x14ac:dyDescent="0.2">
      <c r="A53" s="455">
        <f t="shared" si="0"/>
        <v>45</v>
      </c>
      <c r="B53" s="456" t="s">
        <v>31</v>
      </c>
      <c r="C53" s="455" t="s">
        <v>62</v>
      </c>
      <c r="D53" s="455" t="s">
        <v>63</v>
      </c>
      <c r="E53" s="455" t="s">
        <v>158</v>
      </c>
      <c r="F53" s="456" t="s">
        <v>206</v>
      </c>
      <c r="G53" s="456" t="s">
        <v>670</v>
      </c>
      <c r="H53" s="456">
        <v>59</v>
      </c>
      <c r="I53" s="456">
        <v>54</v>
      </c>
      <c r="J53" s="456">
        <v>64</v>
      </c>
      <c r="K53" s="457">
        <v>109795.51</v>
      </c>
      <c r="L53" s="457">
        <v>104800.98</v>
      </c>
      <c r="M53" s="457">
        <v>4994.53</v>
      </c>
      <c r="N53" s="456">
        <v>22</v>
      </c>
      <c r="O53" s="457">
        <v>88399.12</v>
      </c>
      <c r="P53" s="457">
        <v>86548.91</v>
      </c>
      <c r="Q53" s="457">
        <v>1850.21</v>
      </c>
    </row>
    <row r="54" spans="1:17" s="459" customFormat="1" x14ac:dyDescent="0.2">
      <c r="A54" s="455">
        <f t="shared" si="0"/>
        <v>46</v>
      </c>
      <c r="B54" s="456" t="s">
        <v>605</v>
      </c>
      <c r="C54" s="455" t="s">
        <v>62</v>
      </c>
      <c r="D54" s="455" t="s">
        <v>63</v>
      </c>
      <c r="E54" s="455" t="s">
        <v>158</v>
      </c>
      <c r="F54" s="456" t="s">
        <v>619</v>
      </c>
      <c r="G54" s="456" t="s">
        <v>670</v>
      </c>
      <c r="H54" s="456">
        <v>4</v>
      </c>
      <c r="I54" s="456">
        <v>0</v>
      </c>
      <c r="J54" s="456">
        <v>0</v>
      </c>
      <c r="K54" s="457">
        <v>0</v>
      </c>
      <c r="L54" s="457">
        <v>0</v>
      </c>
      <c r="M54" s="457">
        <v>0</v>
      </c>
      <c r="N54" s="456">
        <v>0</v>
      </c>
      <c r="O54" s="457">
        <v>1200.69</v>
      </c>
      <c r="P54" s="457">
        <v>1200.69</v>
      </c>
      <c r="Q54" s="457">
        <v>0</v>
      </c>
    </row>
    <row r="55" spans="1:17" s="459" customFormat="1" x14ac:dyDescent="0.2">
      <c r="A55" s="455">
        <f t="shared" si="0"/>
        <v>47</v>
      </c>
      <c r="B55" s="456" t="s">
        <v>631</v>
      </c>
      <c r="C55" s="455" t="s">
        <v>62</v>
      </c>
      <c r="D55" s="455"/>
      <c r="E55" s="455" t="s">
        <v>687</v>
      </c>
      <c r="F55" s="456" t="s">
        <v>688</v>
      </c>
      <c r="G55" s="456" t="s">
        <v>670</v>
      </c>
      <c r="H55" s="456">
        <v>11</v>
      </c>
      <c r="I55" s="456">
        <v>1</v>
      </c>
      <c r="J55" s="456">
        <v>1</v>
      </c>
      <c r="K55" s="457">
        <v>589.12</v>
      </c>
      <c r="L55" s="457">
        <v>589.12</v>
      </c>
      <c r="M55" s="457">
        <v>0</v>
      </c>
      <c r="N55" s="456">
        <v>0</v>
      </c>
      <c r="O55" s="457">
        <v>0</v>
      </c>
      <c r="P55" s="457">
        <v>0</v>
      </c>
      <c r="Q55" s="457">
        <v>0</v>
      </c>
    </row>
    <row r="56" spans="1:17" s="459" customFormat="1" x14ac:dyDescent="0.2">
      <c r="A56" s="455">
        <f t="shared" si="0"/>
        <v>48</v>
      </c>
      <c r="B56" s="456" t="s">
        <v>90</v>
      </c>
      <c r="C56" s="455" t="s">
        <v>62</v>
      </c>
      <c r="D56" s="455"/>
      <c r="E56" s="455" t="s">
        <v>689</v>
      </c>
      <c r="F56" s="456" t="s">
        <v>464</v>
      </c>
      <c r="G56" s="456" t="s">
        <v>670</v>
      </c>
      <c r="H56" s="456">
        <v>25</v>
      </c>
      <c r="I56" s="456">
        <v>18</v>
      </c>
      <c r="J56" s="456">
        <v>25</v>
      </c>
      <c r="K56" s="457">
        <v>36149.81</v>
      </c>
      <c r="L56" s="457">
        <v>36149.81</v>
      </c>
      <c r="M56" s="457">
        <v>0</v>
      </c>
      <c r="N56" s="456">
        <v>18</v>
      </c>
      <c r="O56" s="457">
        <v>23475.1</v>
      </c>
      <c r="P56" s="457">
        <v>23475.1</v>
      </c>
      <c r="Q56" s="457">
        <v>0</v>
      </c>
    </row>
    <row r="57" spans="1:17" s="459" customFormat="1" x14ac:dyDescent="0.2">
      <c r="A57" s="455">
        <f t="shared" si="0"/>
        <v>49</v>
      </c>
      <c r="B57" s="456" t="s">
        <v>91</v>
      </c>
      <c r="C57" s="455" t="s">
        <v>62</v>
      </c>
      <c r="D57" s="455" t="s">
        <v>63</v>
      </c>
      <c r="E57" s="455" t="s">
        <v>158</v>
      </c>
      <c r="F57" s="456" t="s">
        <v>208</v>
      </c>
      <c r="G57" s="456" t="s">
        <v>670</v>
      </c>
      <c r="H57" s="456">
        <v>19</v>
      </c>
      <c r="I57" s="456">
        <v>12</v>
      </c>
      <c r="J57" s="456">
        <v>12</v>
      </c>
      <c r="K57" s="457">
        <v>7911.39</v>
      </c>
      <c r="L57" s="457">
        <v>7911.39</v>
      </c>
      <c r="M57" s="457">
        <v>0</v>
      </c>
      <c r="N57" s="456">
        <v>2</v>
      </c>
      <c r="O57" s="457">
        <v>17381.23</v>
      </c>
      <c r="P57" s="457">
        <v>17381.23</v>
      </c>
      <c r="Q57" s="457">
        <v>0</v>
      </c>
    </row>
    <row r="58" spans="1:17" s="459" customFormat="1" x14ac:dyDescent="0.2">
      <c r="A58" s="455">
        <f t="shared" si="0"/>
        <v>50</v>
      </c>
      <c r="B58" s="456" t="s">
        <v>33</v>
      </c>
      <c r="C58" s="455" t="s">
        <v>62</v>
      </c>
      <c r="D58" s="455" t="s">
        <v>63</v>
      </c>
      <c r="E58" s="455" t="s">
        <v>158</v>
      </c>
      <c r="F58" s="456" t="s">
        <v>209</v>
      </c>
      <c r="G58" s="456" t="s">
        <v>670</v>
      </c>
      <c r="H58" s="456">
        <v>42</v>
      </c>
      <c r="I58" s="456">
        <v>32</v>
      </c>
      <c r="J58" s="456">
        <v>46</v>
      </c>
      <c r="K58" s="457">
        <v>71445.539999999994</v>
      </c>
      <c r="L58" s="457">
        <v>70559.600000000006</v>
      </c>
      <c r="M58" s="457">
        <f>735.11+150.83</f>
        <v>885.94</v>
      </c>
      <c r="N58" s="456">
        <v>42</v>
      </c>
      <c r="O58" s="457">
        <v>119522.24000000001</v>
      </c>
      <c r="P58" s="457">
        <f>119090.55</f>
        <v>119090.55</v>
      </c>
      <c r="Q58" s="457">
        <v>431.69</v>
      </c>
    </row>
    <row r="59" spans="1:17" s="459" customFormat="1" x14ac:dyDescent="0.2">
      <c r="A59" s="455">
        <f t="shared" si="0"/>
        <v>51</v>
      </c>
      <c r="B59" s="456" t="s">
        <v>32</v>
      </c>
      <c r="C59" s="455" t="s">
        <v>62</v>
      </c>
      <c r="D59" s="455" t="s">
        <v>63</v>
      </c>
      <c r="E59" s="455" t="s">
        <v>158</v>
      </c>
      <c r="F59" s="456" t="s">
        <v>207</v>
      </c>
      <c r="G59" s="456" t="s">
        <v>670</v>
      </c>
      <c r="H59" s="456">
        <v>52</v>
      </c>
      <c r="I59" s="456">
        <v>45</v>
      </c>
      <c r="J59" s="456">
        <v>49</v>
      </c>
      <c r="K59" s="457">
        <v>34934.46</v>
      </c>
      <c r="L59" s="457">
        <v>29177.57</v>
      </c>
      <c r="M59" s="457">
        <v>5756.89</v>
      </c>
      <c r="N59" s="456">
        <v>37</v>
      </c>
      <c r="O59" s="457">
        <v>99653.31</v>
      </c>
      <c r="P59" s="457">
        <v>98620.51</v>
      </c>
      <c r="Q59" s="457">
        <v>1032.8</v>
      </c>
    </row>
    <row r="60" spans="1:17" s="459" customFormat="1" x14ac:dyDescent="0.2">
      <c r="A60" s="455">
        <f t="shared" si="0"/>
        <v>52</v>
      </c>
      <c r="B60" s="456" t="s">
        <v>628</v>
      </c>
      <c r="C60" s="455" t="s">
        <v>62</v>
      </c>
      <c r="D60" s="455"/>
      <c r="E60" s="455" t="s">
        <v>158</v>
      </c>
      <c r="F60" s="456" t="s">
        <v>653</v>
      </c>
      <c r="G60" s="456" t="s">
        <v>670</v>
      </c>
      <c r="H60" s="456">
        <v>9</v>
      </c>
      <c r="I60" s="456">
        <v>6</v>
      </c>
      <c r="J60" s="456">
        <v>6</v>
      </c>
      <c r="K60" s="457">
        <v>0</v>
      </c>
      <c r="L60" s="457">
        <v>0</v>
      </c>
      <c r="M60" s="457">
        <v>0</v>
      </c>
      <c r="N60" s="456">
        <v>0</v>
      </c>
      <c r="O60" s="457">
        <v>0</v>
      </c>
      <c r="P60" s="457">
        <v>0</v>
      </c>
      <c r="Q60" s="457">
        <v>0</v>
      </c>
    </row>
    <row r="61" spans="1:17" s="459" customFormat="1" x14ac:dyDescent="0.2">
      <c r="A61" s="455">
        <f t="shared" si="0"/>
        <v>53</v>
      </c>
      <c r="B61" s="456" t="s">
        <v>541</v>
      </c>
      <c r="C61" s="455" t="s">
        <v>62</v>
      </c>
      <c r="D61" s="455"/>
      <c r="E61" s="455" t="s">
        <v>677</v>
      </c>
      <c r="F61" s="456" t="s">
        <v>542</v>
      </c>
      <c r="G61" s="456" t="s">
        <v>670</v>
      </c>
      <c r="H61" s="456">
        <v>29</v>
      </c>
      <c r="I61" s="456">
        <v>22</v>
      </c>
      <c r="J61" s="456">
        <v>30</v>
      </c>
      <c r="K61" s="457">
        <v>16190.58</v>
      </c>
      <c r="L61" s="457">
        <v>16190.58</v>
      </c>
      <c r="M61" s="457">
        <v>0</v>
      </c>
      <c r="N61" s="456">
        <v>0</v>
      </c>
      <c r="O61" s="457">
        <v>0</v>
      </c>
      <c r="P61" s="457">
        <v>0</v>
      </c>
      <c r="Q61" s="457">
        <v>0</v>
      </c>
    </row>
    <row r="62" spans="1:17" s="459" customFormat="1" x14ac:dyDescent="0.2">
      <c r="A62" s="455">
        <f t="shared" si="0"/>
        <v>54</v>
      </c>
      <c r="B62" s="456" t="s">
        <v>34</v>
      </c>
      <c r="C62" s="455" t="s">
        <v>62</v>
      </c>
      <c r="D62" s="455" t="s">
        <v>63</v>
      </c>
      <c r="E62" s="455" t="s">
        <v>158</v>
      </c>
      <c r="F62" s="456" t="s">
        <v>211</v>
      </c>
      <c r="G62" s="456" t="s">
        <v>670</v>
      </c>
      <c r="H62" s="456">
        <v>22</v>
      </c>
      <c r="I62" s="456">
        <v>13</v>
      </c>
      <c r="J62" s="456">
        <v>15</v>
      </c>
      <c r="K62" s="457">
        <v>7566.68</v>
      </c>
      <c r="L62" s="457">
        <v>7566.68</v>
      </c>
      <c r="M62" s="457">
        <v>0</v>
      </c>
      <c r="N62" s="456">
        <v>26</v>
      </c>
      <c r="O62" s="457">
        <v>106055.76</v>
      </c>
      <c r="P62" s="457">
        <v>106055.76</v>
      </c>
      <c r="Q62" s="457">
        <v>0</v>
      </c>
    </row>
    <row r="63" spans="1:17" s="459" customFormat="1" x14ac:dyDescent="0.2">
      <c r="A63" s="455">
        <f t="shared" si="0"/>
        <v>55</v>
      </c>
      <c r="B63" s="456" t="s">
        <v>154</v>
      </c>
      <c r="C63" s="455" t="s">
        <v>62</v>
      </c>
      <c r="D63" s="455" t="s">
        <v>63</v>
      </c>
      <c r="E63" s="455" t="s">
        <v>158</v>
      </c>
      <c r="F63" s="456" t="s">
        <v>212</v>
      </c>
      <c r="G63" s="456" t="s">
        <v>670</v>
      </c>
      <c r="H63" s="456">
        <v>6</v>
      </c>
      <c r="I63" s="456">
        <v>2</v>
      </c>
      <c r="J63" s="456">
        <v>2</v>
      </c>
      <c r="K63" s="457">
        <v>2172.77</v>
      </c>
      <c r="L63" s="457">
        <v>2172.77</v>
      </c>
      <c r="M63" s="457">
        <v>0</v>
      </c>
      <c r="N63" s="456">
        <v>2</v>
      </c>
      <c r="O63" s="457">
        <f>6845.37+5344.37-K63</f>
        <v>10016.969999999999</v>
      </c>
      <c r="P63" s="457">
        <f>6845.37+5344.37-K63</f>
        <v>10016.969999999999</v>
      </c>
      <c r="Q63" s="457">
        <v>0</v>
      </c>
    </row>
    <row r="64" spans="1:17" s="459" customFormat="1" x14ac:dyDescent="0.2">
      <c r="A64" s="455">
        <f t="shared" si="0"/>
        <v>56</v>
      </c>
      <c r="B64" s="456" t="s">
        <v>153</v>
      </c>
      <c r="C64" s="455" t="s">
        <v>62</v>
      </c>
      <c r="D64" s="455" t="s">
        <v>63</v>
      </c>
      <c r="E64" s="455" t="s">
        <v>158</v>
      </c>
      <c r="F64" s="456" t="s">
        <v>210</v>
      </c>
      <c r="G64" s="456" t="s">
        <v>670</v>
      </c>
      <c r="H64" s="456">
        <v>0</v>
      </c>
      <c r="I64" s="456">
        <v>0</v>
      </c>
      <c r="J64" s="456">
        <v>0</v>
      </c>
      <c r="K64" s="457">
        <v>0</v>
      </c>
      <c r="L64" s="457">
        <v>0</v>
      </c>
      <c r="M64" s="457">
        <v>0</v>
      </c>
      <c r="N64" s="456">
        <v>3</v>
      </c>
      <c r="O64" s="457">
        <f>17789.33+18202.46</f>
        <v>35991.79</v>
      </c>
      <c r="P64" s="457">
        <f>17789.33+18202.46</f>
        <v>35991.79</v>
      </c>
      <c r="Q64" s="457">
        <v>0</v>
      </c>
    </row>
    <row r="65" spans="1:17" s="459" customFormat="1" x14ac:dyDescent="0.2">
      <c r="A65" s="455">
        <f t="shared" si="0"/>
        <v>57</v>
      </c>
      <c r="B65" s="456" t="s">
        <v>109</v>
      </c>
      <c r="C65" s="455" t="s">
        <v>62</v>
      </c>
      <c r="D65" s="455" t="s">
        <v>63</v>
      </c>
      <c r="E65" s="455" t="s">
        <v>158</v>
      </c>
      <c r="F65" s="456" t="s">
        <v>213</v>
      </c>
      <c r="G65" s="456" t="s">
        <v>670</v>
      </c>
      <c r="H65" s="456">
        <v>0</v>
      </c>
      <c r="I65" s="456">
        <v>0</v>
      </c>
      <c r="J65" s="456">
        <v>0</v>
      </c>
      <c r="K65" s="457">
        <v>0</v>
      </c>
      <c r="L65" s="457">
        <v>0</v>
      </c>
      <c r="M65" s="457">
        <v>0</v>
      </c>
      <c r="N65" s="456">
        <v>2</v>
      </c>
      <c r="O65" s="457">
        <v>3812.68</v>
      </c>
      <c r="P65" s="457">
        <v>3812.68</v>
      </c>
      <c r="Q65" s="457">
        <v>0</v>
      </c>
    </row>
    <row r="66" spans="1:17" s="459" customFormat="1" x14ac:dyDescent="0.2">
      <c r="A66" s="455">
        <f t="shared" si="0"/>
        <v>58</v>
      </c>
      <c r="B66" s="456" t="s">
        <v>110</v>
      </c>
      <c r="C66" s="455" t="s">
        <v>62</v>
      </c>
      <c r="D66" s="455" t="s">
        <v>63</v>
      </c>
      <c r="E66" s="455" t="s">
        <v>158</v>
      </c>
      <c r="F66" s="456" t="s">
        <v>214</v>
      </c>
      <c r="G66" s="456" t="s">
        <v>670</v>
      </c>
      <c r="H66" s="456">
        <v>0</v>
      </c>
      <c r="I66" s="456">
        <v>0</v>
      </c>
      <c r="J66" s="456">
        <v>0</v>
      </c>
      <c r="K66" s="457">
        <v>0</v>
      </c>
      <c r="L66" s="457">
        <v>0</v>
      </c>
      <c r="M66" s="457">
        <v>0</v>
      </c>
      <c r="N66" s="456">
        <v>0</v>
      </c>
      <c r="O66" s="457">
        <v>12489.14</v>
      </c>
      <c r="P66" s="457">
        <v>12489.14</v>
      </c>
      <c r="Q66" s="457">
        <v>0</v>
      </c>
    </row>
    <row r="67" spans="1:17" s="459" customFormat="1" x14ac:dyDescent="0.2">
      <c r="A67" s="455">
        <f t="shared" si="0"/>
        <v>59</v>
      </c>
      <c r="B67" s="456" t="s">
        <v>111</v>
      </c>
      <c r="C67" s="455" t="s">
        <v>67</v>
      </c>
      <c r="D67" s="455" t="s">
        <v>569</v>
      </c>
      <c r="E67" s="455" t="s">
        <v>158</v>
      </c>
      <c r="F67" s="456" t="s">
        <v>139</v>
      </c>
      <c r="G67" s="456" t="s">
        <v>670</v>
      </c>
      <c r="H67" s="456">
        <v>1</v>
      </c>
      <c r="I67" s="456">
        <v>0</v>
      </c>
      <c r="J67" s="456">
        <v>0</v>
      </c>
      <c r="K67" s="457">
        <v>0</v>
      </c>
      <c r="L67" s="457">
        <v>0</v>
      </c>
      <c r="M67" s="457">
        <v>0</v>
      </c>
      <c r="N67" s="456">
        <v>0</v>
      </c>
      <c r="O67" s="457">
        <v>0</v>
      </c>
      <c r="P67" s="457">
        <v>0</v>
      </c>
      <c r="Q67" s="457">
        <v>0</v>
      </c>
    </row>
    <row r="68" spans="1:17" s="459" customFormat="1" x14ac:dyDescent="0.2">
      <c r="A68" s="455">
        <f t="shared" si="0"/>
        <v>60</v>
      </c>
      <c r="B68" s="456" t="s">
        <v>570</v>
      </c>
      <c r="C68" s="455" t="s">
        <v>62</v>
      </c>
      <c r="D68" s="455"/>
      <c r="E68" s="455" t="s">
        <v>158</v>
      </c>
      <c r="F68" s="456"/>
      <c r="G68" s="456" t="s">
        <v>670</v>
      </c>
      <c r="H68" s="456">
        <v>1</v>
      </c>
      <c r="I68" s="456">
        <v>0</v>
      </c>
      <c r="J68" s="456">
        <v>0</v>
      </c>
      <c r="K68" s="457">
        <v>0</v>
      </c>
      <c r="L68" s="457">
        <v>0</v>
      </c>
      <c r="M68" s="457">
        <v>0</v>
      </c>
      <c r="N68" s="456">
        <v>0</v>
      </c>
      <c r="O68" s="457">
        <v>0</v>
      </c>
      <c r="P68" s="457">
        <v>0</v>
      </c>
      <c r="Q68" s="457">
        <v>0</v>
      </c>
    </row>
    <row r="69" spans="1:17" s="459" customFormat="1" x14ac:dyDescent="0.2">
      <c r="A69" s="455">
        <f t="shared" si="0"/>
        <v>61</v>
      </c>
      <c r="B69" s="456" t="s">
        <v>92</v>
      </c>
      <c r="C69" s="455" t="s">
        <v>62</v>
      </c>
      <c r="D69" s="455" t="s">
        <v>63</v>
      </c>
      <c r="E69" s="455" t="s">
        <v>158</v>
      </c>
      <c r="F69" s="456" t="s">
        <v>215</v>
      </c>
      <c r="G69" s="456" t="s">
        <v>670</v>
      </c>
      <c r="H69" s="456">
        <v>39</v>
      </c>
      <c r="I69" s="456">
        <v>33</v>
      </c>
      <c r="J69" s="456">
        <v>42</v>
      </c>
      <c r="K69" s="457">
        <v>55173.48</v>
      </c>
      <c r="L69" s="457">
        <v>55173.48</v>
      </c>
      <c r="M69" s="457">
        <v>0</v>
      </c>
      <c r="N69" s="456">
        <v>13</v>
      </c>
      <c r="O69" s="457">
        <v>47264.21</v>
      </c>
      <c r="P69" s="457">
        <v>47264.21</v>
      </c>
      <c r="Q69" s="457">
        <v>0</v>
      </c>
    </row>
    <row r="70" spans="1:17" s="459" customFormat="1" x14ac:dyDescent="0.2">
      <c r="A70" s="455">
        <f t="shared" si="0"/>
        <v>62</v>
      </c>
      <c r="B70" s="456" t="s">
        <v>216</v>
      </c>
      <c r="C70" s="455" t="s">
        <v>67</v>
      </c>
      <c r="D70" s="455" t="s">
        <v>436</v>
      </c>
      <c r="E70" s="455" t="s">
        <v>158</v>
      </c>
      <c r="F70" s="456" t="s">
        <v>218</v>
      </c>
      <c r="G70" s="456" t="s">
        <v>670</v>
      </c>
      <c r="H70" s="456">
        <v>15</v>
      </c>
      <c r="I70" s="456">
        <v>11</v>
      </c>
      <c r="J70" s="456">
        <v>11</v>
      </c>
      <c r="K70" s="457">
        <v>6838.87</v>
      </c>
      <c r="L70" s="457">
        <v>6838.87</v>
      </c>
      <c r="M70" s="457">
        <v>0</v>
      </c>
      <c r="N70" s="456">
        <v>0</v>
      </c>
      <c r="O70" s="457">
        <v>0</v>
      </c>
      <c r="P70" s="457">
        <v>0</v>
      </c>
      <c r="Q70" s="457">
        <v>0</v>
      </c>
    </row>
    <row r="71" spans="1:17" s="459" customFormat="1" x14ac:dyDescent="0.2">
      <c r="A71" s="455">
        <f t="shared" si="0"/>
        <v>63</v>
      </c>
      <c r="B71" s="456" t="s">
        <v>35</v>
      </c>
      <c r="C71" s="455" t="s">
        <v>62</v>
      </c>
      <c r="D71" s="455" t="s">
        <v>63</v>
      </c>
      <c r="E71" s="455" t="s">
        <v>690</v>
      </c>
      <c r="F71" s="456" t="s">
        <v>220</v>
      </c>
      <c r="G71" s="456" t="s">
        <v>670</v>
      </c>
      <c r="H71" s="456">
        <v>57</v>
      </c>
      <c r="I71" s="456">
        <v>55</v>
      </c>
      <c r="J71" s="456">
        <v>62</v>
      </c>
      <c r="K71" s="457">
        <v>82511.28</v>
      </c>
      <c r="L71" s="457">
        <v>82511.28</v>
      </c>
      <c r="M71" s="457">
        <v>0</v>
      </c>
      <c r="N71" s="456">
        <v>34</v>
      </c>
      <c r="O71" s="457">
        <v>85576.88</v>
      </c>
      <c r="P71" s="457">
        <v>85576.88</v>
      </c>
      <c r="Q71" s="457">
        <v>0</v>
      </c>
    </row>
    <row r="72" spans="1:17" s="459" customFormat="1" x14ac:dyDescent="0.2">
      <c r="A72" s="455">
        <f t="shared" si="0"/>
        <v>64</v>
      </c>
      <c r="B72" s="456" t="s">
        <v>114</v>
      </c>
      <c r="C72" s="455" t="s">
        <v>62</v>
      </c>
      <c r="D72" s="455" t="s">
        <v>63</v>
      </c>
      <c r="E72" s="455" t="s">
        <v>691</v>
      </c>
      <c r="F72" s="456" t="s">
        <v>221</v>
      </c>
      <c r="G72" s="456" t="s">
        <v>670</v>
      </c>
      <c r="H72" s="456">
        <v>15</v>
      </c>
      <c r="I72" s="456">
        <v>10</v>
      </c>
      <c r="J72" s="456">
        <v>10</v>
      </c>
      <c r="K72" s="457">
        <v>10059.370000000001</v>
      </c>
      <c r="L72" s="457">
        <v>3176.06</v>
      </c>
      <c r="M72" s="457">
        <v>6883.31</v>
      </c>
      <c r="N72" s="456">
        <v>1</v>
      </c>
      <c r="O72" s="457">
        <v>12547.55</v>
      </c>
      <c r="P72" s="457">
        <v>1108.48</v>
      </c>
      <c r="Q72" s="457">
        <v>11439.07</v>
      </c>
    </row>
    <row r="73" spans="1:17" s="459" customFormat="1" ht="25.5" x14ac:dyDescent="0.2">
      <c r="A73" s="455">
        <f t="shared" si="0"/>
        <v>65</v>
      </c>
      <c r="B73" s="456" t="s">
        <v>222</v>
      </c>
      <c r="C73" s="455" t="s">
        <v>64</v>
      </c>
      <c r="D73" s="455" t="s">
        <v>486</v>
      </c>
      <c r="E73" s="455" t="s">
        <v>158</v>
      </c>
      <c r="F73" s="456" t="s">
        <v>224</v>
      </c>
      <c r="G73" s="456" t="s">
        <v>670</v>
      </c>
      <c r="H73" s="456">
        <v>22</v>
      </c>
      <c r="I73" s="456">
        <v>18</v>
      </c>
      <c r="J73" s="456">
        <v>22</v>
      </c>
      <c r="K73" s="457">
        <v>31179.34</v>
      </c>
      <c r="L73" s="457">
        <v>31179.34</v>
      </c>
      <c r="M73" s="457">
        <v>0</v>
      </c>
      <c r="N73" s="456">
        <v>0</v>
      </c>
      <c r="O73" s="457">
        <v>0</v>
      </c>
      <c r="P73" s="457">
        <v>0</v>
      </c>
      <c r="Q73" s="457">
        <v>0</v>
      </c>
    </row>
    <row r="74" spans="1:17" s="459" customFormat="1" x14ac:dyDescent="0.2">
      <c r="A74" s="455">
        <f t="shared" si="0"/>
        <v>66</v>
      </c>
      <c r="B74" s="456" t="s">
        <v>93</v>
      </c>
      <c r="C74" s="455" t="s">
        <v>62</v>
      </c>
      <c r="D74" s="455" t="s">
        <v>63</v>
      </c>
      <c r="E74" s="455" t="s">
        <v>158</v>
      </c>
      <c r="F74" s="456" t="s">
        <v>225</v>
      </c>
      <c r="G74" s="456" t="s">
        <v>670</v>
      </c>
      <c r="H74" s="456">
        <v>14</v>
      </c>
      <c r="I74" s="456">
        <v>6</v>
      </c>
      <c r="J74" s="456">
        <v>7</v>
      </c>
      <c r="K74" s="457">
        <v>11798.3</v>
      </c>
      <c r="L74" s="457">
        <v>11798.3</v>
      </c>
      <c r="M74" s="457">
        <v>0</v>
      </c>
      <c r="N74" s="456">
        <v>7</v>
      </c>
      <c r="O74" s="457">
        <v>10672.71</v>
      </c>
      <c r="P74" s="457">
        <v>10672.71</v>
      </c>
      <c r="Q74" s="457">
        <v>0</v>
      </c>
    </row>
    <row r="75" spans="1:17" s="459" customFormat="1" x14ac:dyDescent="0.2">
      <c r="A75" s="455">
        <f t="shared" ref="A75:A138" si="1">A74+1</f>
        <v>67</v>
      </c>
      <c r="B75" s="456" t="s">
        <v>226</v>
      </c>
      <c r="C75" s="455" t="s">
        <v>62</v>
      </c>
      <c r="D75" s="455"/>
      <c r="E75" s="455" t="s">
        <v>158</v>
      </c>
      <c r="F75" s="456" t="s">
        <v>227</v>
      </c>
      <c r="G75" s="456" t="s">
        <v>670</v>
      </c>
      <c r="H75" s="456">
        <v>41</v>
      </c>
      <c r="I75" s="456">
        <v>17</v>
      </c>
      <c r="J75" s="456">
        <v>20</v>
      </c>
      <c r="K75" s="457">
        <v>59599.24</v>
      </c>
      <c r="L75" s="457">
        <v>53755.17</v>
      </c>
      <c r="M75" s="457">
        <v>5844.07</v>
      </c>
      <c r="N75" s="456">
        <v>0</v>
      </c>
      <c r="O75" s="457">
        <v>0</v>
      </c>
      <c r="P75" s="457">
        <v>0</v>
      </c>
      <c r="Q75" s="457">
        <v>0</v>
      </c>
    </row>
    <row r="76" spans="1:17" s="459" customFormat="1" x14ac:dyDescent="0.2">
      <c r="A76" s="455">
        <f t="shared" si="1"/>
        <v>68</v>
      </c>
      <c r="B76" s="456" t="s">
        <v>228</v>
      </c>
      <c r="C76" s="455" t="s">
        <v>62</v>
      </c>
      <c r="D76" s="455"/>
      <c r="E76" s="455" t="s">
        <v>692</v>
      </c>
      <c r="F76" s="456" t="s">
        <v>230</v>
      </c>
      <c r="G76" s="456" t="s">
        <v>670</v>
      </c>
      <c r="H76" s="456">
        <v>39</v>
      </c>
      <c r="I76" s="456">
        <v>23</v>
      </c>
      <c r="J76" s="456">
        <v>29</v>
      </c>
      <c r="K76" s="457">
        <v>34002.400000000001</v>
      </c>
      <c r="L76" s="457">
        <v>34002.400000000001</v>
      </c>
      <c r="M76" s="457">
        <v>0</v>
      </c>
      <c r="N76" s="456">
        <v>0</v>
      </c>
      <c r="O76" s="457">
        <v>0</v>
      </c>
      <c r="P76" s="457">
        <v>0</v>
      </c>
      <c r="Q76" s="457">
        <v>0</v>
      </c>
    </row>
    <row r="77" spans="1:17" s="459" customFormat="1" x14ac:dyDescent="0.2">
      <c r="A77" s="455">
        <f t="shared" si="1"/>
        <v>69</v>
      </c>
      <c r="B77" s="456" t="s">
        <v>232</v>
      </c>
      <c r="C77" s="455" t="s">
        <v>62</v>
      </c>
      <c r="D77" s="455"/>
      <c r="E77" s="455" t="s">
        <v>158</v>
      </c>
      <c r="F77" s="456" t="s">
        <v>233</v>
      </c>
      <c r="G77" s="456" t="s">
        <v>670</v>
      </c>
      <c r="H77" s="456">
        <v>18</v>
      </c>
      <c r="I77" s="456">
        <v>14</v>
      </c>
      <c r="J77" s="456">
        <v>15</v>
      </c>
      <c r="K77" s="457">
        <v>9716.0300000000007</v>
      </c>
      <c r="L77" s="457">
        <v>9716.0300000000007</v>
      </c>
      <c r="M77" s="457">
        <v>0</v>
      </c>
      <c r="N77" s="456">
        <v>0</v>
      </c>
      <c r="O77" s="457">
        <v>0</v>
      </c>
      <c r="P77" s="457">
        <v>0</v>
      </c>
      <c r="Q77" s="457">
        <v>0</v>
      </c>
    </row>
    <row r="78" spans="1:17" s="459" customFormat="1" x14ac:dyDescent="0.2">
      <c r="A78" s="455">
        <f t="shared" si="1"/>
        <v>70</v>
      </c>
      <c r="B78" s="456" t="s">
        <v>487</v>
      </c>
      <c r="C78" s="455" t="s">
        <v>62</v>
      </c>
      <c r="D78" s="455"/>
      <c r="E78" s="455" t="s">
        <v>158</v>
      </c>
      <c r="F78" s="456" t="s">
        <v>488</v>
      </c>
      <c r="G78" s="456" t="s">
        <v>670</v>
      </c>
      <c r="H78" s="456">
        <v>8</v>
      </c>
      <c r="I78" s="456">
        <v>3</v>
      </c>
      <c r="J78" s="456">
        <v>3</v>
      </c>
      <c r="K78" s="457">
        <v>1999.87</v>
      </c>
      <c r="L78" s="457">
        <v>1999.87</v>
      </c>
      <c r="M78" s="457">
        <v>0</v>
      </c>
      <c r="N78" s="456">
        <v>0</v>
      </c>
      <c r="O78" s="457">
        <v>0</v>
      </c>
      <c r="P78" s="457">
        <v>0</v>
      </c>
      <c r="Q78" s="457">
        <v>0</v>
      </c>
    </row>
    <row r="79" spans="1:17" s="459" customFormat="1" x14ac:dyDescent="0.2">
      <c r="A79" s="455">
        <f t="shared" si="1"/>
        <v>71</v>
      </c>
      <c r="B79" s="456" t="s">
        <v>116</v>
      </c>
      <c r="C79" s="455" t="s">
        <v>62</v>
      </c>
      <c r="D79" s="455" t="s">
        <v>63</v>
      </c>
      <c r="E79" s="455" t="s">
        <v>158</v>
      </c>
      <c r="F79" s="456" t="s">
        <v>231</v>
      </c>
      <c r="G79" s="456" t="s">
        <v>670</v>
      </c>
      <c r="H79" s="456">
        <v>38</v>
      </c>
      <c r="I79" s="456">
        <v>30</v>
      </c>
      <c r="J79" s="456">
        <v>36</v>
      </c>
      <c r="K79" s="457">
        <v>42164.54</v>
      </c>
      <c r="L79" s="457">
        <v>42164.54</v>
      </c>
      <c r="M79" s="457">
        <v>0</v>
      </c>
      <c r="N79" s="456">
        <v>3</v>
      </c>
      <c r="O79" s="457">
        <v>5058.49</v>
      </c>
      <c r="P79" s="457">
        <v>5058.49</v>
      </c>
      <c r="Q79" s="457">
        <v>0</v>
      </c>
    </row>
    <row r="80" spans="1:17" s="459" customFormat="1" x14ac:dyDescent="0.2">
      <c r="A80" s="455">
        <f t="shared" si="1"/>
        <v>72</v>
      </c>
      <c r="B80" s="456" t="s">
        <v>658</v>
      </c>
      <c r="C80" s="455" t="s">
        <v>62</v>
      </c>
      <c r="D80" s="455"/>
      <c r="E80" s="455" t="s">
        <v>158</v>
      </c>
      <c r="F80" s="456" t="s">
        <v>659</v>
      </c>
      <c r="G80" s="456" t="s">
        <v>670</v>
      </c>
      <c r="H80" s="456">
        <v>12</v>
      </c>
      <c r="I80" s="456">
        <v>0</v>
      </c>
      <c r="J80" s="456">
        <v>0</v>
      </c>
      <c r="K80" s="457">
        <v>0</v>
      </c>
      <c r="L80" s="457">
        <v>0</v>
      </c>
      <c r="M80" s="457">
        <v>0</v>
      </c>
      <c r="N80" s="456">
        <v>0</v>
      </c>
      <c r="O80" s="457">
        <v>0</v>
      </c>
      <c r="P80" s="457">
        <v>0</v>
      </c>
      <c r="Q80" s="457">
        <v>0</v>
      </c>
    </row>
    <row r="81" spans="1:17" s="459" customFormat="1" x14ac:dyDescent="0.2">
      <c r="A81" s="455">
        <f t="shared" si="1"/>
        <v>73</v>
      </c>
      <c r="B81" s="456" t="s">
        <v>37</v>
      </c>
      <c r="C81" s="455" t="s">
        <v>62</v>
      </c>
      <c r="D81" s="455" t="s">
        <v>63</v>
      </c>
      <c r="E81" s="455" t="s">
        <v>158</v>
      </c>
      <c r="F81" s="456" t="s">
        <v>234</v>
      </c>
      <c r="G81" s="456" t="s">
        <v>670</v>
      </c>
      <c r="H81" s="456">
        <v>17</v>
      </c>
      <c r="I81" s="456">
        <v>9</v>
      </c>
      <c r="J81" s="456">
        <v>9</v>
      </c>
      <c r="K81" s="457">
        <v>11914.75</v>
      </c>
      <c r="L81" s="457">
        <v>11914.75</v>
      </c>
      <c r="M81" s="457">
        <v>0</v>
      </c>
      <c r="N81" s="456">
        <v>3</v>
      </c>
      <c r="O81" s="457">
        <v>19390.900000000001</v>
      </c>
      <c r="P81" s="457">
        <v>19390.900000000001</v>
      </c>
      <c r="Q81" s="457">
        <v>0</v>
      </c>
    </row>
    <row r="82" spans="1:17" s="459" customFormat="1" x14ac:dyDescent="0.2">
      <c r="A82" s="455">
        <f t="shared" si="1"/>
        <v>74</v>
      </c>
      <c r="B82" s="456" t="s">
        <v>235</v>
      </c>
      <c r="C82" s="455" t="s">
        <v>62</v>
      </c>
      <c r="D82" s="455"/>
      <c r="E82" s="455" t="s">
        <v>693</v>
      </c>
      <c r="F82" s="456" t="s">
        <v>237</v>
      </c>
      <c r="G82" s="456" t="s">
        <v>670</v>
      </c>
      <c r="H82" s="456">
        <v>14</v>
      </c>
      <c r="I82" s="456">
        <v>8</v>
      </c>
      <c r="J82" s="456">
        <v>11</v>
      </c>
      <c r="K82" s="457">
        <v>23840.49</v>
      </c>
      <c r="L82" s="457">
        <v>21167.35</v>
      </c>
      <c r="M82" s="457">
        <v>2673.14</v>
      </c>
      <c r="N82" s="456">
        <v>0</v>
      </c>
      <c r="O82" s="457">
        <v>0</v>
      </c>
      <c r="P82" s="457">
        <v>0</v>
      </c>
      <c r="Q82" s="457">
        <v>0</v>
      </c>
    </row>
    <row r="83" spans="1:17" s="459" customFormat="1" x14ac:dyDescent="0.2">
      <c r="A83" s="455">
        <f t="shared" si="1"/>
        <v>75</v>
      </c>
      <c r="B83" s="456" t="s">
        <v>238</v>
      </c>
      <c r="C83" s="455" t="s">
        <v>62</v>
      </c>
      <c r="D83" s="455"/>
      <c r="E83" s="455" t="s">
        <v>158</v>
      </c>
      <c r="F83" s="456" t="s">
        <v>240</v>
      </c>
      <c r="G83" s="456" t="s">
        <v>670</v>
      </c>
      <c r="H83" s="456">
        <v>15</v>
      </c>
      <c r="I83" s="456">
        <v>9</v>
      </c>
      <c r="J83" s="456">
        <v>10</v>
      </c>
      <c r="K83" s="457">
        <v>9410.77</v>
      </c>
      <c r="L83" s="457">
        <v>9410.77</v>
      </c>
      <c r="M83" s="457">
        <v>0</v>
      </c>
      <c r="N83" s="456">
        <v>0</v>
      </c>
      <c r="O83" s="457">
        <v>0</v>
      </c>
      <c r="P83" s="457">
        <v>0</v>
      </c>
      <c r="Q83" s="457">
        <v>0</v>
      </c>
    </row>
    <row r="84" spans="1:17" s="459" customFormat="1" ht="25.5" x14ac:dyDescent="0.2">
      <c r="A84" s="455">
        <f t="shared" si="1"/>
        <v>76</v>
      </c>
      <c r="B84" s="456" t="s">
        <v>357</v>
      </c>
      <c r="C84" s="455" t="s">
        <v>64</v>
      </c>
      <c r="D84" s="455" t="s">
        <v>585</v>
      </c>
      <c r="E84" s="455" t="s">
        <v>158</v>
      </c>
      <c r="F84" s="456" t="s">
        <v>573</v>
      </c>
      <c r="G84" s="456" t="s">
        <v>670</v>
      </c>
      <c r="H84" s="456">
        <v>6</v>
      </c>
      <c r="I84" s="456">
        <v>0</v>
      </c>
      <c r="J84" s="456">
        <v>0</v>
      </c>
      <c r="K84" s="457">
        <v>0</v>
      </c>
      <c r="L84" s="457">
        <v>0</v>
      </c>
      <c r="M84" s="457">
        <v>0</v>
      </c>
      <c r="N84" s="456">
        <v>1</v>
      </c>
      <c r="O84" s="457">
        <v>6753.85</v>
      </c>
      <c r="P84" s="457">
        <v>6753.85</v>
      </c>
      <c r="Q84" s="457">
        <v>0</v>
      </c>
    </row>
    <row r="85" spans="1:17" s="459" customFormat="1" x14ac:dyDescent="0.2">
      <c r="A85" s="455">
        <f t="shared" si="1"/>
        <v>77</v>
      </c>
      <c r="B85" s="456" t="s">
        <v>36</v>
      </c>
      <c r="C85" s="455" t="s">
        <v>62</v>
      </c>
      <c r="D85" s="455" t="s">
        <v>63</v>
      </c>
      <c r="E85" s="455" t="s">
        <v>158</v>
      </c>
      <c r="F85" s="456" t="s">
        <v>465</v>
      </c>
      <c r="G85" s="456" t="s">
        <v>670</v>
      </c>
      <c r="H85" s="456">
        <v>8</v>
      </c>
      <c r="I85" s="456">
        <v>3</v>
      </c>
      <c r="J85" s="456">
        <v>3</v>
      </c>
      <c r="K85" s="457">
        <v>352.4</v>
      </c>
      <c r="L85" s="457">
        <v>352.4</v>
      </c>
      <c r="M85" s="457">
        <v>0</v>
      </c>
      <c r="N85" s="456">
        <v>6</v>
      </c>
      <c r="O85" s="457">
        <f>17817.94+616.7</f>
        <v>18434.64</v>
      </c>
      <c r="P85" s="457">
        <f>17817.94+616.7</f>
        <v>18434.64</v>
      </c>
      <c r="Q85" s="457">
        <v>0</v>
      </c>
    </row>
    <row r="86" spans="1:17" s="459" customFormat="1" x14ac:dyDescent="0.2">
      <c r="A86" s="455">
        <f t="shared" si="1"/>
        <v>78</v>
      </c>
      <c r="B86" s="456" t="s">
        <v>39</v>
      </c>
      <c r="C86" s="455" t="s">
        <v>62</v>
      </c>
      <c r="D86" s="455" t="s">
        <v>63</v>
      </c>
      <c r="E86" s="455" t="s">
        <v>694</v>
      </c>
      <c r="F86" s="456" t="s">
        <v>466</v>
      </c>
      <c r="G86" s="456" t="s">
        <v>670</v>
      </c>
      <c r="H86" s="456">
        <v>118</v>
      </c>
      <c r="I86" s="456">
        <v>95</v>
      </c>
      <c r="J86" s="456">
        <v>102</v>
      </c>
      <c r="K86" s="457">
        <v>62619.199999999997</v>
      </c>
      <c r="L86" s="457">
        <v>59812.6</v>
      </c>
      <c r="M86" s="457">
        <v>2806.6</v>
      </c>
      <c r="N86" s="456">
        <v>11</v>
      </c>
      <c r="O86" s="457">
        <v>18898.939999999999</v>
      </c>
      <c r="P86" s="457">
        <v>18898.939999999999</v>
      </c>
      <c r="Q86" s="457">
        <v>0</v>
      </c>
    </row>
    <row r="87" spans="1:17" s="459" customFormat="1" x14ac:dyDescent="0.2">
      <c r="A87" s="455">
        <f t="shared" si="1"/>
        <v>79</v>
      </c>
      <c r="B87" s="456" t="s">
        <v>40</v>
      </c>
      <c r="C87" s="455" t="s">
        <v>62</v>
      </c>
      <c r="D87" s="455" t="s">
        <v>63</v>
      </c>
      <c r="E87" s="455" t="s">
        <v>695</v>
      </c>
      <c r="F87" s="456" t="s">
        <v>250</v>
      </c>
      <c r="G87" s="456" t="s">
        <v>670</v>
      </c>
      <c r="H87" s="456">
        <v>33</v>
      </c>
      <c r="I87" s="456">
        <v>30</v>
      </c>
      <c r="J87" s="456">
        <v>47</v>
      </c>
      <c r="K87" s="457">
        <v>72302.81</v>
      </c>
      <c r="L87" s="457">
        <v>72302.81</v>
      </c>
      <c r="M87" s="457">
        <v>0</v>
      </c>
      <c r="N87" s="456">
        <v>19</v>
      </c>
      <c r="O87" s="457">
        <v>51901.91</v>
      </c>
      <c r="P87" s="457">
        <v>51901.91</v>
      </c>
      <c r="Q87" s="457">
        <v>0</v>
      </c>
    </row>
    <row r="88" spans="1:17" s="459" customFormat="1" x14ac:dyDescent="0.2">
      <c r="A88" s="455">
        <f t="shared" si="1"/>
        <v>80</v>
      </c>
      <c r="B88" s="456" t="s">
        <v>660</v>
      </c>
      <c r="C88" s="455" t="s">
        <v>67</v>
      </c>
      <c r="D88" s="455" t="s">
        <v>696</v>
      </c>
      <c r="E88" s="455" t="s">
        <v>158</v>
      </c>
      <c r="F88" s="456" t="s">
        <v>662</v>
      </c>
      <c r="G88" s="456" t="s">
        <v>670</v>
      </c>
      <c r="H88" s="456">
        <v>5</v>
      </c>
      <c r="I88" s="456">
        <v>0</v>
      </c>
      <c r="J88" s="456">
        <v>0</v>
      </c>
      <c r="K88" s="457">
        <v>0</v>
      </c>
      <c r="L88" s="457">
        <v>0</v>
      </c>
      <c r="M88" s="457">
        <v>0</v>
      </c>
      <c r="N88" s="456">
        <v>0</v>
      </c>
      <c r="O88" s="457">
        <v>0</v>
      </c>
      <c r="P88" s="457">
        <v>0</v>
      </c>
      <c r="Q88" s="457">
        <v>0</v>
      </c>
    </row>
    <row r="89" spans="1:17" s="459" customFormat="1" x14ac:dyDescent="0.2">
      <c r="A89" s="455">
        <f t="shared" si="1"/>
        <v>81</v>
      </c>
      <c r="B89" s="456" t="s">
        <v>251</v>
      </c>
      <c r="C89" s="455" t="s">
        <v>62</v>
      </c>
      <c r="D89" s="455"/>
      <c r="E89" s="455" t="s">
        <v>677</v>
      </c>
      <c r="F89" s="456" t="s">
        <v>252</v>
      </c>
      <c r="G89" s="456" t="s">
        <v>670</v>
      </c>
      <c r="H89" s="456">
        <v>53</v>
      </c>
      <c r="I89" s="456">
        <v>33</v>
      </c>
      <c r="J89" s="456">
        <v>51</v>
      </c>
      <c r="K89" s="457">
        <v>85263.69</v>
      </c>
      <c r="L89" s="457">
        <v>65719.149999999994</v>
      </c>
      <c r="M89" s="457">
        <v>19544.54</v>
      </c>
      <c r="N89" s="456">
        <v>0</v>
      </c>
      <c r="O89" s="457">
        <v>0</v>
      </c>
      <c r="P89" s="457">
        <v>0</v>
      </c>
      <c r="Q89" s="457">
        <v>0</v>
      </c>
    </row>
    <row r="90" spans="1:17" s="459" customFormat="1" x14ac:dyDescent="0.2">
      <c r="A90" s="455">
        <f t="shared" si="1"/>
        <v>82</v>
      </c>
      <c r="B90" s="456" t="s">
        <v>117</v>
      </c>
      <c r="C90" s="455" t="s">
        <v>62</v>
      </c>
      <c r="D90" s="455" t="s">
        <v>63</v>
      </c>
      <c r="E90" s="455" t="s">
        <v>158</v>
      </c>
      <c r="F90" s="456" t="s">
        <v>520</v>
      </c>
      <c r="G90" s="456" t="s">
        <v>670</v>
      </c>
      <c r="H90" s="456">
        <v>4</v>
      </c>
      <c r="I90" s="456">
        <v>2</v>
      </c>
      <c r="J90" s="456">
        <v>2</v>
      </c>
      <c r="K90" s="457">
        <v>3618.99</v>
      </c>
      <c r="L90" s="457">
        <v>3618.99</v>
      </c>
      <c r="M90" s="457">
        <v>0</v>
      </c>
      <c r="N90" s="456">
        <v>3</v>
      </c>
      <c r="O90" s="457">
        <v>9677.56</v>
      </c>
      <c r="P90" s="457">
        <v>9677.56</v>
      </c>
      <c r="Q90" s="457">
        <v>0</v>
      </c>
    </row>
    <row r="91" spans="1:17" s="459" customFormat="1" x14ac:dyDescent="0.2">
      <c r="A91" s="455">
        <f t="shared" si="1"/>
        <v>83</v>
      </c>
      <c r="B91" s="456" t="s">
        <v>41</v>
      </c>
      <c r="C91" s="455" t="s">
        <v>64</v>
      </c>
      <c r="D91" s="455" t="s">
        <v>65</v>
      </c>
      <c r="E91" s="455" t="s">
        <v>158</v>
      </c>
      <c r="F91" s="456" t="s">
        <v>253</v>
      </c>
      <c r="G91" s="456" t="s">
        <v>670</v>
      </c>
      <c r="H91" s="456">
        <v>2</v>
      </c>
      <c r="I91" s="456">
        <v>2</v>
      </c>
      <c r="J91" s="456">
        <v>2</v>
      </c>
      <c r="K91" s="457">
        <v>1575.23</v>
      </c>
      <c r="L91" s="457">
        <v>1575.23</v>
      </c>
      <c r="M91" s="457">
        <v>0</v>
      </c>
      <c r="N91" s="456">
        <v>12</v>
      </c>
      <c r="O91" s="457">
        <v>33315.620000000003</v>
      </c>
      <c r="P91" s="457">
        <v>33315.620000000003</v>
      </c>
      <c r="Q91" s="457">
        <v>0</v>
      </c>
    </row>
    <row r="92" spans="1:17" s="459" customFormat="1" x14ac:dyDescent="0.2">
      <c r="A92" s="455">
        <f t="shared" si="1"/>
        <v>84</v>
      </c>
      <c r="B92" s="456" t="s">
        <v>118</v>
      </c>
      <c r="C92" s="455" t="s">
        <v>62</v>
      </c>
      <c r="D92" s="455" t="s">
        <v>63</v>
      </c>
      <c r="E92" s="455" t="s">
        <v>697</v>
      </c>
      <c r="F92" s="456" t="s">
        <v>467</v>
      </c>
      <c r="G92" s="456" t="s">
        <v>670</v>
      </c>
      <c r="H92" s="456">
        <v>7</v>
      </c>
      <c r="I92" s="456">
        <v>2</v>
      </c>
      <c r="J92" s="456">
        <v>2</v>
      </c>
      <c r="K92" s="457">
        <v>939.94</v>
      </c>
      <c r="L92" s="457">
        <v>0</v>
      </c>
      <c r="M92" s="457">
        <v>939.94</v>
      </c>
      <c r="N92" s="456">
        <v>2</v>
      </c>
      <c r="O92" s="457">
        <f>18723.42+5109.8</f>
        <v>23833.219999999998</v>
      </c>
      <c r="P92" s="457">
        <f>10491.36+5109.8</f>
        <v>15601.16</v>
      </c>
      <c r="Q92" s="457">
        <v>8232.06</v>
      </c>
    </row>
    <row r="93" spans="1:17" s="459" customFormat="1" x14ac:dyDescent="0.2">
      <c r="A93" s="455">
        <f t="shared" si="1"/>
        <v>85</v>
      </c>
      <c r="B93" s="456" t="s">
        <v>548</v>
      </c>
      <c r="C93" s="455" t="s">
        <v>62</v>
      </c>
      <c r="D93" s="455"/>
      <c r="E93" s="455" t="s">
        <v>675</v>
      </c>
      <c r="F93" s="456" t="s">
        <v>550</v>
      </c>
      <c r="G93" s="456" t="s">
        <v>670</v>
      </c>
      <c r="H93" s="456">
        <v>4</v>
      </c>
      <c r="I93" s="456">
        <v>2</v>
      </c>
      <c r="J93" s="456">
        <v>2</v>
      </c>
      <c r="K93" s="457">
        <v>0</v>
      </c>
      <c r="L93" s="457">
        <v>0</v>
      </c>
      <c r="M93" s="457">
        <v>0</v>
      </c>
      <c r="N93" s="456">
        <v>0</v>
      </c>
      <c r="O93" s="457">
        <v>0</v>
      </c>
      <c r="P93" s="457">
        <v>0</v>
      </c>
      <c r="Q93" s="457">
        <v>0</v>
      </c>
    </row>
    <row r="94" spans="1:17" s="459" customFormat="1" x14ac:dyDescent="0.2">
      <c r="A94" s="455">
        <f t="shared" si="1"/>
        <v>86</v>
      </c>
      <c r="B94" s="456" t="s">
        <v>254</v>
      </c>
      <c r="C94" s="455" t="s">
        <v>62</v>
      </c>
      <c r="D94" s="455"/>
      <c r="E94" s="455" t="s">
        <v>158</v>
      </c>
      <c r="F94" s="456" t="s">
        <v>255</v>
      </c>
      <c r="G94" s="456" t="s">
        <v>670</v>
      </c>
      <c r="H94" s="456">
        <v>11</v>
      </c>
      <c r="I94" s="456">
        <v>9</v>
      </c>
      <c r="J94" s="456">
        <v>11</v>
      </c>
      <c r="K94" s="457">
        <v>10146.51</v>
      </c>
      <c r="L94" s="457">
        <v>10146.51</v>
      </c>
      <c r="M94" s="457">
        <v>0</v>
      </c>
      <c r="N94" s="456">
        <v>0</v>
      </c>
      <c r="O94" s="457">
        <v>0</v>
      </c>
      <c r="P94" s="457">
        <v>0</v>
      </c>
      <c r="Q94" s="457">
        <v>0</v>
      </c>
    </row>
    <row r="95" spans="1:17" s="459" customFormat="1" x14ac:dyDescent="0.2">
      <c r="A95" s="455">
        <f t="shared" si="1"/>
        <v>87</v>
      </c>
      <c r="B95" s="456" t="s">
        <v>587</v>
      </c>
      <c r="C95" s="455" t="s">
        <v>62</v>
      </c>
      <c r="D95" s="455" t="s">
        <v>63</v>
      </c>
      <c r="E95" s="455" t="s">
        <v>158</v>
      </c>
      <c r="F95" s="456" t="s">
        <v>609</v>
      </c>
      <c r="G95" s="456" t="s">
        <v>670</v>
      </c>
      <c r="H95" s="456">
        <v>0</v>
      </c>
      <c r="I95" s="456">
        <v>0</v>
      </c>
      <c r="J95" s="456">
        <v>0</v>
      </c>
      <c r="K95" s="457">
        <v>0</v>
      </c>
      <c r="L95" s="457">
        <v>0</v>
      </c>
      <c r="M95" s="457">
        <v>0</v>
      </c>
      <c r="N95" s="456">
        <v>1</v>
      </c>
      <c r="O95" s="457">
        <v>3658.79</v>
      </c>
      <c r="P95" s="457">
        <v>3658.79</v>
      </c>
      <c r="Q95" s="457">
        <v>0</v>
      </c>
    </row>
    <row r="96" spans="1:17" s="459" customFormat="1" x14ac:dyDescent="0.2">
      <c r="A96" s="455">
        <f t="shared" si="1"/>
        <v>88</v>
      </c>
      <c r="B96" s="456" t="s">
        <v>241</v>
      </c>
      <c r="C96" s="455" t="s">
        <v>62</v>
      </c>
      <c r="D96" s="455"/>
      <c r="E96" s="455" t="s">
        <v>158</v>
      </c>
      <c r="F96" s="456" t="s">
        <v>243</v>
      </c>
      <c r="G96" s="456" t="s">
        <v>670</v>
      </c>
      <c r="H96" s="456">
        <v>9</v>
      </c>
      <c r="I96" s="456">
        <v>9</v>
      </c>
      <c r="J96" s="456">
        <v>13</v>
      </c>
      <c r="K96" s="457">
        <v>26884.58</v>
      </c>
      <c r="L96" s="457">
        <v>26884.58</v>
      </c>
      <c r="M96" s="457">
        <v>0</v>
      </c>
      <c r="N96" s="456">
        <v>0</v>
      </c>
      <c r="O96" s="457">
        <v>0</v>
      </c>
      <c r="P96" s="457">
        <v>0</v>
      </c>
      <c r="Q96" s="457">
        <v>0</v>
      </c>
    </row>
    <row r="97" spans="1:17" s="459" customFormat="1" x14ac:dyDescent="0.2">
      <c r="A97" s="455">
        <f t="shared" si="1"/>
        <v>89</v>
      </c>
      <c r="B97" s="456" t="s">
        <v>38</v>
      </c>
      <c r="C97" s="455" t="s">
        <v>62</v>
      </c>
      <c r="D97" s="455" t="s">
        <v>63</v>
      </c>
      <c r="E97" s="455" t="s">
        <v>698</v>
      </c>
      <c r="F97" s="456" t="s">
        <v>245</v>
      </c>
      <c r="G97" s="456" t="s">
        <v>670</v>
      </c>
      <c r="H97" s="456">
        <v>109</v>
      </c>
      <c r="I97" s="456">
        <v>90</v>
      </c>
      <c r="J97" s="456">
        <v>129</v>
      </c>
      <c r="K97" s="457">
        <v>177826.79</v>
      </c>
      <c r="L97" s="457">
        <v>177826.79</v>
      </c>
      <c r="M97" s="457">
        <v>0</v>
      </c>
      <c r="N97" s="456">
        <v>90</v>
      </c>
      <c r="O97" s="457">
        <v>272452.59000000003</v>
      </c>
      <c r="P97" s="457">
        <v>272452.59000000003</v>
      </c>
      <c r="Q97" s="457">
        <v>0</v>
      </c>
    </row>
    <row r="98" spans="1:17" s="459" customFormat="1" x14ac:dyDescent="0.2">
      <c r="A98" s="455">
        <f t="shared" si="1"/>
        <v>90</v>
      </c>
      <c r="B98" s="456" t="s">
        <v>246</v>
      </c>
      <c r="C98" s="455" t="s">
        <v>62</v>
      </c>
      <c r="D98" s="455"/>
      <c r="E98" s="455" t="s">
        <v>158</v>
      </c>
      <c r="F98" s="456" t="s">
        <v>248</v>
      </c>
      <c r="G98" s="456" t="s">
        <v>670</v>
      </c>
      <c r="H98" s="456">
        <v>43</v>
      </c>
      <c r="I98" s="456">
        <v>34</v>
      </c>
      <c r="J98" s="456">
        <v>40</v>
      </c>
      <c r="K98" s="457">
        <v>26416.06</v>
      </c>
      <c r="L98" s="457">
        <v>15436.02</v>
      </c>
      <c r="M98" s="457">
        <v>10980.04</v>
      </c>
      <c r="N98" s="456">
        <v>0</v>
      </c>
      <c r="O98" s="457">
        <v>0</v>
      </c>
      <c r="P98" s="457">
        <v>0</v>
      </c>
      <c r="Q98" s="457">
        <v>0</v>
      </c>
    </row>
    <row r="99" spans="1:17" s="459" customFormat="1" x14ac:dyDescent="0.2">
      <c r="A99" s="455">
        <f t="shared" si="1"/>
        <v>91</v>
      </c>
      <c r="B99" s="456" t="s">
        <v>256</v>
      </c>
      <c r="C99" s="455" t="s">
        <v>62</v>
      </c>
      <c r="D99" s="455"/>
      <c r="E99" s="455" t="s">
        <v>158</v>
      </c>
      <c r="F99" s="456" t="s">
        <v>257</v>
      </c>
      <c r="G99" s="456" t="s">
        <v>670</v>
      </c>
      <c r="H99" s="456">
        <v>16</v>
      </c>
      <c r="I99" s="456">
        <v>7</v>
      </c>
      <c r="J99" s="456">
        <v>7</v>
      </c>
      <c r="K99" s="457">
        <v>7885.09</v>
      </c>
      <c r="L99" s="457">
        <v>7885.09</v>
      </c>
      <c r="M99" s="457">
        <v>0</v>
      </c>
      <c r="N99" s="456">
        <v>0</v>
      </c>
      <c r="O99" s="457">
        <v>0</v>
      </c>
      <c r="P99" s="457">
        <v>0</v>
      </c>
      <c r="Q99" s="457">
        <v>0</v>
      </c>
    </row>
    <row r="100" spans="1:17" s="459" customFormat="1" x14ac:dyDescent="0.2">
      <c r="A100" s="455">
        <f t="shared" si="1"/>
        <v>92</v>
      </c>
      <c r="B100" s="456" t="s">
        <v>258</v>
      </c>
      <c r="C100" s="455" t="s">
        <v>62</v>
      </c>
      <c r="D100" s="455"/>
      <c r="E100" s="455" t="s">
        <v>158</v>
      </c>
      <c r="F100" s="456" t="s">
        <v>259</v>
      </c>
      <c r="G100" s="456" t="s">
        <v>670</v>
      </c>
      <c r="H100" s="456">
        <v>37</v>
      </c>
      <c r="I100" s="456">
        <v>26</v>
      </c>
      <c r="J100" s="456">
        <v>29</v>
      </c>
      <c r="K100" s="457">
        <v>39127.08</v>
      </c>
      <c r="L100" s="457">
        <v>39127.08</v>
      </c>
      <c r="M100" s="457">
        <v>0</v>
      </c>
      <c r="N100" s="456">
        <v>0</v>
      </c>
      <c r="O100" s="457">
        <v>0</v>
      </c>
      <c r="P100" s="457">
        <v>0</v>
      </c>
      <c r="Q100" s="457">
        <v>0</v>
      </c>
    </row>
    <row r="101" spans="1:17" s="459" customFormat="1" x14ac:dyDescent="0.2">
      <c r="A101" s="455">
        <f t="shared" si="1"/>
        <v>93</v>
      </c>
      <c r="B101" s="456" t="s">
        <v>643</v>
      </c>
      <c r="C101" s="455" t="s">
        <v>62</v>
      </c>
      <c r="D101" s="455"/>
      <c r="E101" s="455" t="s">
        <v>158</v>
      </c>
      <c r="F101" s="456" t="s">
        <v>663</v>
      </c>
      <c r="G101" s="456" t="s">
        <v>670</v>
      </c>
      <c r="H101" s="456">
        <v>6</v>
      </c>
      <c r="I101" s="456">
        <v>4</v>
      </c>
      <c r="J101" s="456">
        <v>4</v>
      </c>
      <c r="K101" s="457">
        <v>0</v>
      </c>
      <c r="L101" s="457">
        <v>0</v>
      </c>
      <c r="M101" s="457">
        <v>0</v>
      </c>
      <c r="N101" s="456">
        <v>0</v>
      </c>
      <c r="O101" s="457">
        <v>0</v>
      </c>
      <c r="P101" s="457">
        <v>0</v>
      </c>
      <c r="Q101" s="457">
        <v>0</v>
      </c>
    </row>
    <row r="102" spans="1:17" s="459" customFormat="1" x14ac:dyDescent="0.2">
      <c r="A102" s="455">
        <f t="shared" si="1"/>
        <v>94</v>
      </c>
      <c r="B102" s="456" t="s">
        <v>42</v>
      </c>
      <c r="C102" s="455" t="s">
        <v>62</v>
      </c>
      <c r="D102" s="455" t="s">
        <v>63</v>
      </c>
      <c r="E102" s="455" t="s">
        <v>158</v>
      </c>
      <c r="F102" s="456" t="s">
        <v>260</v>
      </c>
      <c r="G102" s="456" t="s">
        <v>670</v>
      </c>
      <c r="H102" s="456">
        <v>51</v>
      </c>
      <c r="I102" s="456">
        <v>42</v>
      </c>
      <c r="J102" s="456">
        <v>51</v>
      </c>
      <c r="K102" s="457">
        <v>105749.62</v>
      </c>
      <c r="L102" s="457">
        <v>91702.68</v>
      </c>
      <c r="M102" s="457">
        <v>14046.94</v>
      </c>
      <c r="N102" s="456">
        <v>34</v>
      </c>
      <c r="O102" s="457">
        <v>157669.39000000001</v>
      </c>
      <c r="P102" s="457">
        <v>157669.39000000001</v>
      </c>
      <c r="Q102" s="457">
        <v>0</v>
      </c>
    </row>
    <row r="103" spans="1:17" s="459" customFormat="1" x14ac:dyDescent="0.2">
      <c r="A103" s="455">
        <f t="shared" si="1"/>
        <v>95</v>
      </c>
      <c r="B103" s="456" t="s">
        <v>43</v>
      </c>
      <c r="C103" s="455" t="s">
        <v>62</v>
      </c>
      <c r="D103" s="455" t="s">
        <v>63</v>
      </c>
      <c r="E103" s="455" t="s">
        <v>158</v>
      </c>
      <c r="F103" s="456" t="s">
        <v>261</v>
      </c>
      <c r="G103" s="456" t="s">
        <v>670</v>
      </c>
      <c r="H103" s="456">
        <v>29</v>
      </c>
      <c r="I103" s="456">
        <v>20</v>
      </c>
      <c r="J103" s="456">
        <v>26</v>
      </c>
      <c r="K103" s="457">
        <f>42267.69-2414.94</f>
        <v>39852.75</v>
      </c>
      <c r="L103" s="457">
        <v>39852.75</v>
      </c>
      <c r="M103" s="457"/>
      <c r="N103" s="456">
        <v>49</v>
      </c>
      <c r="O103" s="457">
        <f>210084.2-12087.16</f>
        <v>197997.04</v>
      </c>
      <c r="P103" s="457">
        <v>197997.04</v>
      </c>
      <c r="Q103" s="457"/>
    </row>
    <row r="104" spans="1:17" s="459" customFormat="1" x14ac:dyDescent="0.2">
      <c r="A104" s="455">
        <f t="shared" si="1"/>
        <v>96</v>
      </c>
      <c r="B104" s="456" t="s">
        <v>44</v>
      </c>
      <c r="C104" s="455" t="s">
        <v>62</v>
      </c>
      <c r="D104" s="455" t="s">
        <v>63</v>
      </c>
      <c r="E104" s="455" t="s">
        <v>158</v>
      </c>
      <c r="F104" s="456" t="s">
        <v>262</v>
      </c>
      <c r="G104" s="456" t="s">
        <v>670</v>
      </c>
      <c r="H104" s="456">
        <v>51</v>
      </c>
      <c r="I104" s="456">
        <v>36</v>
      </c>
      <c r="J104" s="456">
        <v>42</v>
      </c>
      <c r="K104" s="457">
        <v>30894.23</v>
      </c>
      <c r="L104" s="457">
        <v>30894.23</v>
      </c>
      <c r="M104" s="457">
        <v>0</v>
      </c>
      <c r="N104" s="456">
        <v>40</v>
      </c>
      <c r="O104" s="457">
        <v>147210.87</v>
      </c>
      <c r="P104" s="457">
        <v>147210.87</v>
      </c>
      <c r="Q104" s="457">
        <v>0</v>
      </c>
    </row>
    <row r="105" spans="1:17" s="459" customFormat="1" x14ac:dyDescent="0.2">
      <c r="A105" s="455">
        <f t="shared" si="1"/>
        <v>97</v>
      </c>
      <c r="B105" s="456" t="s">
        <v>45</v>
      </c>
      <c r="C105" s="455" t="s">
        <v>62</v>
      </c>
      <c r="D105" s="455" t="s">
        <v>63</v>
      </c>
      <c r="E105" s="455" t="s">
        <v>683</v>
      </c>
      <c r="F105" s="456" t="s">
        <v>263</v>
      </c>
      <c r="G105" s="456" t="s">
        <v>670</v>
      </c>
      <c r="H105" s="456">
        <v>15</v>
      </c>
      <c r="I105" s="456">
        <v>12</v>
      </c>
      <c r="J105" s="456">
        <v>19</v>
      </c>
      <c r="K105" s="457">
        <v>32539.22</v>
      </c>
      <c r="L105" s="457">
        <v>27996.89</v>
      </c>
      <c r="M105" s="457">
        <v>4542.33</v>
      </c>
      <c r="N105" s="456">
        <v>4</v>
      </c>
      <c r="O105" s="457">
        <v>25980.78</v>
      </c>
      <c r="P105" s="457">
        <v>25980.78</v>
      </c>
      <c r="Q105" s="457">
        <v>0</v>
      </c>
    </row>
    <row r="106" spans="1:17" s="459" customFormat="1" x14ac:dyDescent="0.2">
      <c r="A106" s="455">
        <f t="shared" si="1"/>
        <v>98</v>
      </c>
      <c r="B106" s="456" t="s">
        <v>264</v>
      </c>
      <c r="C106" s="455" t="s">
        <v>62</v>
      </c>
      <c r="D106" s="455" t="s">
        <v>63</v>
      </c>
      <c r="E106" s="455" t="s">
        <v>158</v>
      </c>
      <c r="F106" s="456" t="s">
        <v>265</v>
      </c>
      <c r="G106" s="456" t="s">
        <v>670</v>
      </c>
      <c r="H106" s="456">
        <v>25</v>
      </c>
      <c r="I106" s="456">
        <v>21</v>
      </c>
      <c r="J106" s="456">
        <v>25</v>
      </c>
      <c r="K106" s="457">
        <v>18935.36</v>
      </c>
      <c r="L106" s="457">
        <v>18935.36</v>
      </c>
      <c r="M106" s="457">
        <v>0</v>
      </c>
      <c r="N106" s="456">
        <v>0</v>
      </c>
      <c r="O106" s="457">
        <v>0</v>
      </c>
      <c r="P106" s="457">
        <v>0</v>
      </c>
      <c r="Q106" s="457">
        <v>0</v>
      </c>
    </row>
    <row r="107" spans="1:17" s="459" customFormat="1" x14ac:dyDescent="0.2">
      <c r="A107" s="455">
        <f t="shared" si="1"/>
        <v>99</v>
      </c>
      <c r="B107" s="456" t="s">
        <v>119</v>
      </c>
      <c r="C107" s="455" t="s">
        <v>62</v>
      </c>
      <c r="D107" s="455" t="s">
        <v>63</v>
      </c>
      <c r="E107" s="455" t="s">
        <v>158</v>
      </c>
      <c r="F107" s="456" t="s">
        <v>266</v>
      </c>
      <c r="G107" s="456" t="s">
        <v>670</v>
      </c>
      <c r="H107" s="456">
        <v>22</v>
      </c>
      <c r="I107" s="456">
        <v>14</v>
      </c>
      <c r="J107" s="456">
        <v>16</v>
      </c>
      <c r="K107" s="457">
        <v>20121.990000000002</v>
      </c>
      <c r="L107" s="457">
        <v>20121.990000000002</v>
      </c>
      <c r="M107" s="457">
        <v>0</v>
      </c>
      <c r="N107" s="456">
        <v>5</v>
      </c>
      <c r="O107" s="457">
        <v>1881.62</v>
      </c>
      <c r="P107" s="457">
        <v>1881.62</v>
      </c>
      <c r="Q107" s="457">
        <v>0</v>
      </c>
    </row>
    <row r="108" spans="1:17" s="459" customFormat="1" x14ac:dyDescent="0.2">
      <c r="A108" s="455">
        <f t="shared" si="1"/>
        <v>100</v>
      </c>
      <c r="B108" s="456" t="s">
        <v>46</v>
      </c>
      <c r="C108" s="455" t="s">
        <v>62</v>
      </c>
      <c r="D108" s="455" t="s">
        <v>63</v>
      </c>
      <c r="E108" s="455" t="s">
        <v>678</v>
      </c>
      <c r="F108" s="456" t="s">
        <v>268</v>
      </c>
      <c r="G108" s="456" t="s">
        <v>670</v>
      </c>
      <c r="H108" s="456">
        <v>28</v>
      </c>
      <c r="I108" s="456">
        <v>18</v>
      </c>
      <c r="J108" s="456">
        <v>29</v>
      </c>
      <c r="K108" s="457">
        <v>60965.35</v>
      </c>
      <c r="L108" s="457">
        <v>60965.35</v>
      </c>
      <c r="M108" s="457">
        <v>0</v>
      </c>
      <c r="N108" s="456">
        <v>28</v>
      </c>
      <c r="O108" s="457">
        <v>125896.58</v>
      </c>
      <c r="P108" s="457">
        <v>125896.58</v>
      </c>
      <c r="Q108" s="457">
        <v>0</v>
      </c>
    </row>
    <row r="109" spans="1:17" s="459" customFormat="1" x14ac:dyDescent="0.2">
      <c r="A109" s="455">
        <f t="shared" si="1"/>
        <v>101</v>
      </c>
      <c r="B109" s="456" t="s">
        <v>47</v>
      </c>
      <c r="C109" s="455" t="s">
        <v>62</v>
      </c>
      <c r="D109" s="455" t="s">
        <v>63</v>
      </c>
      <c r="E109" s="455" t="s">
        <v>677</v>
      </c>
      <c r="F109" s="456" t="s">
        <v>269</v>
      </c>
      <c r="G109" s="456" t="s">
        <v>670</v>
      </c>
      <c r="H109" s="456">
        <v>90</v>
      </c>
      <c r="I109" s="456">
        <v>64</v>
      </c>
      <c r="J109" s="456">
        <v>97</v>
      </c>
      <c r="K109" s="457">
        <v>191322.19</v>
      </c>
      <c r="L109" s="457">
        <v>130721.37</v>
      </c>
      <c r="M109" s="457">
        <v>60600.82</v>
      </c>
      <c r="N109" s="456">
        <v>122</v>
      </c>
      <c r="O109" s="457">
        <v>524795.69999999995</v>
      </c>
      <c r="P109" s="457">
        <v>439929.29</v>
      </c>
      <c r="Q109" s="457">
        <v>84866.41</v>
      </c>
    </row>
    <row r="110" spans="1:17" s="459" customFormat="1" x14ac:dyDescent="0.2">
      <c r="A110" s="455">
        <f t="shared" si="1"/>
        <v>102</v>
      </c>
      <c r="B110" s="456" t="s">
        <v>270</v>
      </c>
      <c r="C110" s="455" t="s">
        <v>62</v>
      </c>
      <c r="D110" s="455"/>
      <c r="E110" s="455" t="s">
        <v>158</v>
      </c>
      <c r="F110" s="456" t="s">
        <v>272</v>
      </c>
      <c r="G110" s="456" t="s">
        <v>670</v>
      </c>
      <c r="H110" s="456">
        <v>16</v>
      </c>
      <c r="I110" s="456">
        <v>11</v>
      </c>
      <c r="J110" s="456">
        <v>17</v>
      </c>
      <c r="K110" s="457">
        <v>23603.22</v>
      </c>
      <c r="L110" s="457">
        <v>23603.22</v>
      </c>
      <c r="M110" s="457">
        <v>0</v>
      </c>
      <c r="N110" s="456">
        <v>0</v>
      </c>
      <c r="O110" s="457">
        <v>0</v>
      </c>
      <c r="P110" s="457">
        <v>0</v>
      </c>
      <c r="Q110" s="457">
        <v>0</v>
      </c>
    </row>
    <row r="111" spans="1:17" s="459" customFormat="1" x14ac:dyDescent="0.2">
      <c r="A111" s="455">
        <f t="shared" si="1"/>
        <v>103</v>
      </c>
      <c r="B111" s="456" t="s">
        <v>621</v>
      </c>
      <c r="C111" s="455" t="s">
        <v>62</v>
      </c>
      <c r="D111" s="455"/>
      <c r="E111" s="455" t="s">
        <v>158</v>
      </c>
      <c r="F111" s="456" t="s">
        <v>664</v>
      </c>
      <c r="G111" s="456" t="s">
        <v>670</v>
      </c>
      <c r="H111" s="456">
        <v>9</v>
      </c>
      <c r="I111" s="456">
        <v>7</v>
      </c>
      <c r="J111" s="456">
        <v>7</v>
      </c>
      <c r="K111" s="457">
        <v>0</v>
      </c>
      <c r="L111" s="457">
        <v>0</v>
      </c>
      <c r="M111" s="457">
        <v>0</v>
      </c>
      <c r="N111" s="456">
        <v>0</v>
      </c>
      <c r="O111" s="457">
        <v>0</v>
      </c>
      <c r="P111" s="457">
        <v>0</v>
      </c>
      <c r="Q111" s="457">
        <v>0</v>
      </c>
    </row>
    <row r="112" spans="1:17" s="459" customFormat="1" x14ac:dyDescent="0.2">
      <c r="A112" s="455">
        <f t="shared" si="1"/>
        <v>104</v>
      </c>
      <c r="B112" s="456" t="s">
        <v>273</v>
      </c>
      <c r="C112" s="455" t="s">
        <v>62</v>
      </c>
      <c r="D112" s="455"/>
      <c r="E112" s="455" t="s">
        <v>674</v>
      </c>
      <c r="F112" s="456" t="s">
        <v>511</v>
      </c>
      <c r="G112" s="456" t="s">
        <v>670</v>
      </c>
      <c r="H112" s="456">
        <v>10</v>
      </c>
      <c r="I112" s="456">
        <v>0</v>
      </c>
      <c r="J112" s="456">
        <v>0</v>
      </c>
      <c r="K112" s="457">
        <v>0</v>
      </c>
      <c r="L112" s="457">
        <v>0</v>
      </c>
      <c r="M112" s="457">
        <v>0</v>
      </c>
      <c r="N112" s="456">
        <v>0</v>
      </c>
      <c r="O112" s="457">
        <v>0</v>
      </c>
      <c r="P112" s="457">
        <v>0</v>
      </c>
      <c r="Q112" s="457">
        <v>0</v>
      </c>
    </row>
    <row r="113" spans="1:17" s="459" customFormat="1" x14ac:dyDescent="0.2">
      <c r="A113" s="455">
        <f t="shared" si="1"/>
        <v>105</v>
      </c>
      <c r="B113" s="456" t="s">
        <v>490</v>
      </c>
      <c r="C113" s="455" t="s">
        <v>62</v>
      </c>
      <c r="D113" s="455"/>
      <c r="E113" s="455" t="s">
        <v>491</v>
      </c>
      <c r="F113" s="456" t="s">
        <v>492</v>
      </c>
      <c r="G113" s="456" t="s">
        <v>670</v>
      </c>
      <c r="H113" s="456">
        <v>18</v>
      </c>
      <c r="I113" s="456">
        <v>10</v>
      </c>
      <c r="J113" s="456">
        <v>12</v>
      </c>
      <c r="K113" s="457">
        <v>10195.18</v>
      </c>
      <c r="L113" s="457">
        <v>10195.18</v>
      </c>
      <c r="M113" s="457">
        <v>0</v>
      </c>
      <c r="N113" s="456">
        <v>0</v>
      </c>
      <c r="O113" s="457">
        <v>0</v>
      </c>
      <c r="P113" s="457">
        <v>0</v>
      </c>
      <c r="Q113" s="457">
        <v>0</v>
      </c>
    </row>
    <row r="114" spans="1:17" s="459" customFormat="1" x14ac:dyDescent="0.2">
      <c r="A114" s="455">
        <f t="shared" si="1"/>
        <v>106</v>
      </c>
      <c r="B114" s="456" t="s">
        <v>94</v>
      </c>
      <c r="C114" s="455" t="s">
        <v>62</v>
      </c>
      <c r="D114" s="455" t="s">
        <v>63</v>
      </c>
      <c r="E114" s="455" t="s">
        <v>158</v>
      </c>
      <c r="F114" s="456" t="s">
        <v>274</v>
      </c>
      <c r="G114" s="456" t="s">
        <v>670</v>
      </c>
      <c r="H114" s="456">
        <v>20</v>
      </c>
      <c r="I114" s="456">
        <v>6</v>
      </c>
      <c r="J114" s="456">
        <v>6</v>
      </c>
      <c r="K114" s="457">
        <v>7580.9</v>
      </c>
      <c r="L114" s="457">
        <v>7580.9</v>
      </c>
      <c r="M114" s="457">
        <v>0</v>
      </c>
      <c r="N114" s="456">
        <v>7</v>
      </c>
      <c r="O114" s="457">
        <v>9361.67</v>
      </c>
      <c r="P114" s="457">
        <v>9361.67</v>
      </c>
      <c r="Q114" s="457">
        <v>0</v>
      </c>
    </row>
    <row r="115" spans="1:17" s="460" customFormat="1" x14ac:dyDescent="0.2">
      <c r="A115" s="455">
        <f t="shared" si="1"/>
        <v>107</v>
      </c>
      <c r="B115" s="456" t="s">
        <v>120</v>
      </c>
      <c r="C115" s="455" t="s">
        <v>67</v>
      </c>
      <c r="D115" s="455" t="s">
        <v>493</v>
      </c>
      <c r="E115" s="455" t="s">
        <v>158</v>
      </c>
      <c r="F115" s="456" t="s">
        <v>468</v>
      </c>
      <c r="G115" s="456" t="s">
        <v>670</v>
      </c>
      <c r="H115" s="456">
        <v>13</v>
      </c>
      <c r="I115" s="456">
        <v>11</v>
      </c>
      <c r="J115" s="456">
        <v>12</v>
      </c>
      <c r="K115" s="457">
        <v>10363.92</v>
      </c>
      <c r="L115" s="457">
        <v>10363.92</v>
      </c>
      <c r="M115" s="457">
        <v>0</v>
      </c>
      <c r="N115" s="456">
        <v>0</v>
      </c>
      <c r="O115" s="457">
        <v>0</v>
      </c>
      <c r="P115" s="457">
        <v>0</v>
      </c>
      <c r="Q115" s="457">
        <v>0</v>
      </c>
    </row>
    <row r="116" spans="1:17" s="459" customFormat="1" x14ac:dyDescent="0.2">
      <c r="A116" s="455">
        <f t="shared" si="1"/>
        <v>108</v>
      </c>
      <c r="B116" s="456" t="s">
        <v>407</v>
      </c>
      <c r="C116" s="455" t="s">
        <v>62</v>
      </c>
      <c r="D116" s="455"/>
      <c r="E116" s="455" t="s">
        <v>674</v>
      </c>
      <c r="F116" s="456" t="s">
        <v>512</v>
      </c>
      <c r="G116" s="456" t="s">
        <v>670</v>
      </c>
      <c r="H116" s="456">
        <v>8</v>
      </c>
      <c r="I116" s="456">
        <v>3</v>
      </c>
      <c r="J116" s="456">
        <v>3</v>
      </c>
      <c r="K116" s="457">
        <v>4577.1000000000004</v>
      </c>
      <c r="L116" s="457">
        <v>4577.1000000000004</v>
      </c>
      <c r="M116" s="457">
        <v>0</v>
      </c>
      <c r="N116" s="456">
        <v>0</v>
      </c>
      <c r="O116" s="457">
        <v>0</v>
      </c>
      <c r="P116" s="457">
        <v>0</v>
      </c>
      <c r="Q116" s="457">
        <v>0</v>
      </c>
    </row>
    <row r="117" spans="1:17" s="459" customFormat="1" x14ac:dyDescent="0.2">
      <c r="A117" s="455">
        <f t="shared" si="1"/>
        <v>109</v>
      </c>
      <c r="B117" s="456" t="s">
        <v>122</v>
      </c>
      <c r="C117" s="455" t="s">
        <v>62</v>
      </c>
      <c r="D117" s="455" t="s">
        <v>63</v>
      </c>
      <c r="E117" s="455" t="s">
        <v>699</v>
      </c>
      <c r="F117" s="456" t="s">
        <v>276</v>
      </c>
      <c r="G117" s="456" t="s">
        <v>670</v>
      </c>
      <c r="H117" s="456">
        <v>13</v>
      </c>
      <c r="I117" s="456">
        <v>11</v>
      </c>
      <c r="J117" s="456">
        <v>18</v>
      </c>
      <c r="K117" s="457">
        <v>18022.7</v>
      </c>
      <c r="L117" s="457">
        <v>18022.7</v>
      </c>
      <c r="M117" s="457">
        <v>0</v>
      </c>
      <c r="N117" s="456">
        <v>5</v>
      </c>
      <c r="O117" s="457">
        <v>9159.1299999999992</v>
      </c>
      <c r="P117" s="457">
        <v>9159.1299999999992</v>
      </c>
      <c r="Q117" s="457">
        <v>0</v>
      </c>
    </row>
    <row r="118" spans="1:17" s="459" customFormat="1" x14ac:dyDescent="0.2">
      <c r="A118" s="455">
        <f t="shared" si="1"/>
        <v>110</v>
      </c>
      <c r="B118" s="456" t="s">
        <v>133</v>
      </c>
      <c r="C118" s="455" t="s">
        <v>67</v>
      </c>
      <c r="D118" s="455" t="s">
        <v>494</v>
      </c>
      <c r="E118" s="455" t="s">
        <v>158</v>
      </c>
      <c r="F118" s="456" t="s">
        <v>620</v>
      </c>
      <c r="G118" s="456" t="s">
        <v>670</v>
      </c>
      <c r="H118" s="456">
        <v>14</v>
      </c>
      <c r="I118" s="456">
        <v>7</v>
      </c>
      <c r="J118" s="456">
        <v>10</v>
      </c>
      <c r="K118" s="457">
        <v>24017.200000000001</v>
      </c>
      <c r="L118" s="457">
        <v>18470.009999999998</v>
      </c>
      <c r="M118" s="457">
        <v>5547.19</v>
      </c>
      <c r="N118" s="456">
        <v>0</v>
      </c>
      <c r="O118" s="457">
        <v>0</v>
      </c>
      <c r="P118" s="457">
        <v>0</v>
      </c>
      <c r="Q118" s="457">
        <v>0</v>
      </c>
    </row>
    <row r="119" spans="1:17" s="459" customFormat="1" x14ac:dyDescent="0.2">
      <c r="A119" s="455">
        <f t="shared" si="1"/>
        <v>111</v>
      </c>
      <c r="B119" s="456" t="s">
        <v>96</v>
      </c>
      <c r="C119" s="455" t="s">
        <v>62</v>
      </c>
      <c r="D119" s="455" t="s">
        <v>63</v>
      </c>
      <c r="E119" s="455" t="s">
        <v>671</v>
      </c>
      <c r="F119" s="456" t="s">
        <v>277</v>
      </c>
      <c r="G119" s="456" t="s">
        <v>670</v>
      </c>
      <c r="H119" s="456">
        <v>40</v>
      </c>
      <c r="I119" s="456">
        <v>10</v>
      </c>
      <c r="J119" s="456">
        <v>12</v>
      </c>
      <c r="K119" s="457">
        <v>22080.639999999999</v>
      </c>
      <c r="L119" s="457">
        <v>22080.639999999999</v>
      </c>
      <c r="M119" s="457">
        <v>0</v>
      </c>
      <c r="N119" s="456">
        <v>11</v>
      </c>
      <c r="O119" s="457">
        <v>47171.47</v>
      </c>
      <c r="P119" s="457">
        <v>47171.47</v>
      </c>
      <c r="Q119" s="457">
        <v>0</v>
      </c>
    </row>
    <row r="120" spans="1:17" s="459" customFormat="1" x14ac:dyDescent="0.2">
      <c r="A120" s="455">
        <f t="shared" si="1"/>
        <v>112</v>
      </c>
      <c r="B120" s="456" t="s">
        <v>48</v>
      </c>
      <c r="C120" s="455" t="s">
        <v>62</v>
      </c>
      <c r="D120" s="455" t="s">
        <v>63</v>
      </c>
      <c r="E120" s="455" t="s">
        <v>671</v>
      </c>
      <c r="F120" s="456" t="s">
        <v>278</v>
      </c>
      <c r="G120" s="456" t="s">
        <v>670</v>
      </c>
      <c r="H120" s="456">
        <v>55</v>
      </c>
      <c r="I120" s="456">
        <v>40</v>
      </c>
      <c r="J120" s="456">
        <v>63</v>
      </c>
      <c r="K120" s="457">
        <v>87897.82</v>
      </c>
      <c r="L120" s="457">
        <v>87897.82</v>
      </c>
      <c r="M120" s="457">
        <v>0</v>
      </c>
      <c r="N120" s="456">
        <v>18</v>
      </c>
      <c r="O120" s="457">
        <v>79680.25</v>
      </c>
      <c r="P120" s="457">
        <v>79680.25</v>
      </c>
      <c r="Q120" s="457">
        <v>0</v>
      </c>
    </row>
    <row r="121" spans="1:17" s="459" customFormat="1" ht="25.5" x14ac:dyDescent="0.2">
      <c r="A121" s="455">
        <f t="shared" si="1"/>
        <v>113</v>
      </c>
      <c r="B121" s="456" t="s">
        <v>50</v>
      </c>
      <c r="C121" s="455" t="s">
        <v>67</v>
      </c>
      <c r="D121" s="455" t="s">
        <v>123</v>
      </c>
      <c r="E121" s="455" t="s">
        <v>158</v>
      </c>
      <c r="F121" s="456" t="s">
        <v>280</v>
      </c>
      <c r="G121" s="456" t="s">
        <v>670</v>
      </c>
      <c r="H121" s="456">
        <v>7</v>
      </c>
      <c r="I121" s="456">
        <v>4</v>
      </c>
      <c r="J121" s="456">
        <v>4</v>
      </c>
      <c r="K121" s="457">
        <v>12811.52</v>
      </c>
      <c r="L121" s="457">
        <v>3726.29</v>
      </c>
      <c r="M121" s="457">
        <v>9085.23</v>
      </c>
      <c r="N121" s="456">
        <v>5</v>
      </c>
      <c r="O121" s="457">
        <v>21689.57</v>
      </c>
      <c r="P121" s="457">
        <v>21689.57</v>
      </c>
      <c r="Q121" s="457">
        <v>0</v>
      </c>
    </row>
    <row r="122" spans="1:17" s="459" customFormat="1" x14ac:dyDescent="0.2">
      <c r="A122" s="455">
        <f t="shared" si="1"/>
        <v>114</v>
      </c>
      <c r="B122" s="456" t="s">
        <v>281</v>
      </c>
      <c r="C122" s="455" t="s">
        <v>62</v>
      </c>
      <c r="D122" s="455"/>
      <c r="E122" s="455" t="s">
        <v>158</v>
      </c>
      <c r="F122" s="456" t="s">
        <v>283</v>
      </c>
      <c r="G122" s="456" t="s">
        <v>670</v>
      </c>
      <c r="H122" s="456">
        <v>26</v>
      </c>
      <c r="I122" s="456">
        <v>5</v>
      </c>
      <c r="J122" s="456">
        <v>5</v>
      </c>
      <c r="K122" s="457">
        <v>2685.29</v>
      </c>
      <c r="L122" s="457">
        <v>2685.29</v>
      </c>
      <c r="M122" s="457">
        <v>0</v>
      </c>
      <c r="N122" s="456">
        <v>0</v>
      </c>
      <c r="O122" s="457">
        <v>0</v>
      </c>
      <c r="P122" s="457">
        <v>0</v>
      </c>
      <c r="Q122" s="457">
        <v>0</v>
      </c>
    </row>
    <row r="123" spans="1:17" s="459" customFormat="1" x14ac:dyDescent="0.2">
      <c r="A123" s="455">
        <f t="shared" si="1"/>
        <v>115</v>
      </c>
      <c r="B123" s="456" t="s">
        <v>49</v>
      </c>
      <c r="C123" s="455" t="s">
        <v>62</v>
      </c>
      <c r="D123" s="455" t="s">
        <v>63</v>
      </c>
      <c r="E123" s="455" t="s">
        <v>158</v>
      </c>
      <c r="F123" s="456" t="s">
        <v>279</v>
      </c>
      <c r="G123" s="456" t="s">
        <v>670</v>
      </c>
      <c r="H123" s="456">
        <v>27</v>
      </c>
      <c r="I123" s="456">
        <v>22</v>
      </c>
      <c r="J123" s="456">
        <v>25</v>
      </c>
      <c r="K123" s="457">
        <v>42604.57</v>
      </c>
      <c r="L123" s="457">
        <v>42604.57</v>
      </c>
      <c r="M123" s="457">
        <v>0</v>
      </c>
      <c r="N123" s="456">
        <v>7</v>
      </c>
      <c r="O123" s="457">
        <f>37590.26+2608.7</f>
        <v>40198.959999999999</v>
      </c>
      <c r="P123" s="457">
        <f>37590.26+2608.7</f>
        <v>40198.959999999999</v>
      </c>
      <c r="Q123" s="457">
        <v>0</v>
      </c>
    </row>
    <row r="124" spans="1:17" s="459" customFormat="1" x14ac:dyDescent="0.2">
      <c r="A124" s="455">
        <f t="shared" si="1"/>
        <v>116</v>
      </c>
      <c r="B124" s="456" t="s">
        <v>124</v>
      </c>
      <c r="C124" s="455" t="s">
        <v>62</v>
      </c>
      <c r="D124" s="455" t="s">
        <v>63</v>
      </c>
      <c r="E124" s="455" t="s">
        <v>700</v>
      </c>
      <c r="F124" s="456" t="s">
        <v>284</v>
      </c>
      <c r="G124" s="456" t="s">
        <v>670</v>
      </c>
      <c r="H124" s="456">
        <v>35</v>
      </c>
      <c r="I124" s="456">
        <v>31</v>
      </c>
      <c r="J124" s="456">
        <v>44</v>
      </c>
      <c r="K124" s="457">
        <v>58265.41</v>
      </c>
      <c r="L124" s="457">
        <v>58265.41</v>
      </c>
      <c r="M124" s="457">
        <v>0</v>
      </c>
      <c r="N124" s="456">
        <v>17</v>
      </c>
      <c r="O124" s="457">
        <v>21019.74</v>
      </c>
      <c r="P124" s="457">
        <v>21019.74</v>
      </c>
      <c r="Q124" s="457">
        <v>0</v>
      </c>
    </row>
    <row r="125" spans="1:17" s="459" customFormat="1" x14ac:dyDescent="0.2">
      <c r="A125" s="455">
        <f t="shared" si="1"/>
        <v>117</v>
      </c>
      <c r="B125" s="456" t="s">
        <v>51</v>
      </c>
      <c r="C125" s="455" t="s">
        <v>62</v>
      </c>
      <c r="D125" s="455" t="s">
        <v>63</v>
      </c>
      <c r="E125" s="455" t="s">
        <v>158</v>
      </c>
      <c r="F125" s="456" t="s">
        <v>285</v>
      </c>
      <c r="G125" s="456" t="s">
        <v>670</v>
      </c>
      <c r="H125" s="456">
        <v>18</v>
      </c>
      <c r="I125" s="456">
        <v>15</v>
      </c>
      <c r="J125" s="456">
        <v>15</v>
      </c>
      <c r="K125" s="457">
        <v>5873.82</v>
      </c>
      <c r="L125" s="457">
        <v>5873.82</v>
      </c>
      <c r="M125" s="457">
        <v>0</v>
      </c>
      <c r="N125" s="456">
        <v>10</v>
      </c>
      <c r="O125" s="457">
        <v>1797.24</v>
      </c>
      <c r="P125" s="457">
        <v>1797.24</v>
      </c>
      <c r="Q125" s="457">
        <v>0</v>
      </c>
    </row>
    <row r="126" spans="1:17" s="459" customFormat="1" x14ac:dyDescent="0.2">
      <c r="A126" s="455">
        <f t="shared" si="1"/>
        <v>118</v>
      </c>
      <c r="B126" s="456" t="s">
        <v>665</v>
      </c>
      <c r="C126" s="455" t="s">
        <v>62</v>
      </c>
      <c r="D126" s="455" t="s">
        <v>63</v>
      </c>
      <c r="E126" s="455" t="s">
        <v>158</v>
      </c>
      <c r="F126" s="456" t="s">
        <v>666</v>
      </c>
      <c r="G126" s="456" t="s">
        <v>670</v>
      </c>
      <c r="H126" s="456">
        <v>0</v>
      </c>
      <c r="I126" s="456">
        <v>0</v>
      </c>
      <c r="J126" s="456">
        <v>0</v>
      </c>
      <c r="K126" s="457">
        <v>0</v>
      </c>
      <c r="L126" s="457">
        <v>0</v>
      </c>
      <c r="M126" s="457">
        <v>0</v>
      </c>
      <c r="N126" s="456">
        <v>1</v>
      </c>
      <c r="O126" s="457">
        <v>0</v>
      </c>
      <c r="P126" s="457">
        <v>0</v>
      </c>
      <c r="Q126" s="457">
        <v>0</v>
      </c>
    </row>
    <row r="127" spans="1:17" s="459" customFormat="1" x14ac:dyDescent="0.2">
      <c r="A127" s="455">
        <f t="shared" si="1"/>
        <v>119</v>
      </c>
      <c r="B127" s="456" t="s">
        <v>286</v>
      </c>
      <c r="C127" s="455" t="s">
        <v>62</v>
      </c>
      <c r="D127" s="455"/>
      <c r="E127" s="455" t="s">
        <v>158</v>
      </c>
      <c r="F127" s="456" t="s">
        <v>287</v>
      </c>
      <c r="G127" s="456" t="s">
        <v>670</v>
      </c>
      <c r="H127" s="456">
        <v>17</v>
      </c>
      <c r="I127" s="456">
        <v>13</v>
      </c>
      <c r="J127" s="456">
        <v>16</v>
      </c>
      <c r="K127" s="457">
        <v>16457.87</v>
      </c>
      <c r="L127" s="457">
        <v>11071.01</v>
      </c>
      <c r="M127" s="457">
        <v>5386.86</v>
      </c>
      <c r="N127" s="456">
        <v>0</v>
      </c>
      <c r="O127" s="457">
        <v>0</v>
      </c>
      <c r="P127" s="457">
        <v>0</v>
      </c>
      <c r="Q127" s="457">
        <v>0</v>
      </c>
    </row>
    <row r="128" spans="1:17" s="459" customFormat="1" x14ac:dyDescent="0.2">
      <c r="A128" s="455">
        <f t="shared" si="1"/>
        <v>120</v>
      </c>
      <c r="B128" s="456" t="s">
        <v>52</v>
      </c>
      <c r="C128" s="455" t="s">
        <v>62</v>
      </c>
      <c r="D128" s="455" t="s">
        <v>63</v>
      </c>
      <c r="E128" s="455" t="s">
        <v>158</v>
      </c>
      <c r="F128" s="456" t="s">
        <v>125</v>
      </c>
      <c r="G128" s="456" t="s">
        <v>670</v>
      </c>
      <c r="H128" s="456">
        <v>3</v>
      </c>
      <c r="I128" s="456">
        <v>0</v>
      </c>
      <c r="J128" s="456">
        <v>0</v>
      </c>
      <c r="K128" s="457">
        <v>0</v>
      </c>
      <c r="L128" s="457">
        <v>0</v>
      </c>
      <c r="M128" s="457">
        <v>0</v>
      </c>
      <c r="N128" s="456">
        <v>0</v>
      </c>
      <c r="O128" s="457">
        <v>0</v>
      </c>
      <c r="P128" s="457">
        <v>0</v>
      </c>
      <c r="Q128" s="457">
        <v>0</v>
      </c>
    </row>
    <row r="129" spans="1:17" s="459" customFormat="1" x14ac:dyDescent="0.2">
      <c r="A129" s="455">
        <f t="shared" si="1"/>
        <v>121</v>
      </c>
      <c r="B129" s="456" t="s">
        <v>469</v>
      </c>
      <c r="C129" s="455" t="s">
        <v>62</v>
      </c>
      <c r="D129" s="455" t="s">
        <v>63</v>
      </c>
      <c r="E129" s="455" t="s">
        <v>158</v>
      </c>
      <c r="F129" s="456" t="s">
        <v>470</v>
      </c>
      <c r="G129" s="456" t="s">
        <v>670</v>
      </c>
      <c r="H129" s="456">
        <v>1</v>
      </c>
      <c r="I129" s="456">
        <v>0</v>
      </c>
      <c r="J129" s="456">
        <v>0</v>
      </c>
      <c r="K129" s="457">
        <v>0</v>
      </c>
      <c r="L129" s="457">
        <v>0</v>
      </c>
      <c r="M129" s="457">
        <v>0</v>
      </c>
      <c r="N129" s="456">
        <v>0</v>
      </c>
      <c r="O129" s="457">
        <v>0</v>
      </c>
      <c r="P129" s="457">
        <v>0</v>
      </c>
      <c r="Q129" s="457">
        <v>0</v>
      </c>
    </row>
    <row r="130" spans="1:17" s="459" customFormat="1" x14ac:dyDescent="0.2">
      <c r="A130" s="455">
        <f t="shared" si="1"/>
        <v>122</v>
      </c>
      <c r="B130" s="456" t="s">
        <v>53</v>
      </c>
      <c r="C130" s="455" t="s">
        <v>62</v>
      </c>
      <c r="D130" s="455" t="s">
        <v>63</v>
      </c>
      <c r="E130" s="455" t="s">
        <v>158</v>
      </c>
      <c r="F130" s="456" t="s">
        <v>126</v>
      </c>
      <c r="G130" s="456" t="s">
        <v>670</v>
      </c>
      <c r="H130" s="456">
        <v>8</v>
      </c>
      <c r="I130" s="456">
        <v>0</v>
      </c>
      <c r="J130" s="456">
        <v>0</v>
      </c>
      <c r="K130" s="457">
        <v>0</v>
      </c>
      <c r="L130" s="457">
        <v>0</v>
      </c>
      <c r="M130" s="457">
        <v>0</v>
      </c>
      <c r="N130" s="456">
        <v>0</v>
      </c>
      <c r="O130" s="457">
        <v>0</v>
      </c>
      <c r="P130" s="457">
        <v>0</v>
      </c>
      <c r="Q130" s="457">
        <v>0</v>
      </c>
    </row>
    <row r="131" spans="1:17" s="459" customFormat="1" x14ac:dyDescent="0.2">
      <c r="A131" s="455">
        <f t="shared" si="1"/>
        <v>123</v>
      </c>
      <c r="B131" s="456" t="s">
        <v>151</v>
      </c>
      <c r="C131" s="455" t="s">
        <v>62</v>
      </c>
      <c r="D131" s="455" t="s">
        <v>63</v>
      </c>
      <c r="E131" s="455" t="s">
        <v>158</v>
      </c>
      <c r="F131" s="456" t="s">
        <v>288</v>
      </c>
      <c r="G131" s="456" t="s">
        <v>670</v>
      </c>
      <c r="H131" s="456">
        <v>10</v>
      </c>
      <c r="I131" s="456">
        <v>8</v>
      </c>
      <c r="J131" s="456">
        <v>10</v>
      </c>
      <c r="K131" s="457">
        <v>15560.06</v>
      </c>
      <c r="L131" s="457">
        <v>15560.06</v>
      </c>
      <c r="M131" s="457">
        <v>0</v>
      </c>
      <c r="N131" s="456">
        <v>6</v>
      </c>
      <c r="O131" s="457">
        <v>14253.5</v>
      </c>
      <c r="P131" s="457">
        <v>14253.5</v>
      </c>
      <c r="Q131" s="457">
        <v>0</v>
      </c>
    </row>
    <row r="132" spans="1:17" s="459" customFormat="1" x14ac:dyDescent="0.2">
      <c r="A132" s="455">
        <f t="shared" si="1"/>
        <v>124</v>
      </c>
      <c r="B132" s="456" t="s">
        <v>155</v>
      </c>
      <c r="C132" s="455" t="s">
        <v>62</v>
      </c>
      <c r="D132" s="455" t="s">
        <v>63</v>
      </c>
      <c r="E132" s="455" t="s">
        <v>158</v>
      </c>
      <c r="F132" s="456" t="s">
        <v>289</v>
      </c>
      <c r="G132" s="456" t="s">
        <v>670</v>
      </c>
      <c r="H132" s="456">
        <v>14</v>
      </c>
      <c r="I132" s="456">
        <v>10</v>
      </c>
      <c r="J132" s="456">
        <v>15</v>
      </c>
      <c r="K132" s="457">
        <v>38355.85</v>
      </c>
      <c r="L132" s="457">
        <v>38355.85</v>
      </c>
      <c r="M132" s="457">
        <v>0</v>
      </c>
      <c r="N132" s="456">
        <v>3</v>
      </c>
      <c r="O132" s="457">
        <v>28262.06</v>
      </c>
      <c r="P132" s="457">
        <v>28262.06</v>
      </c>
      <c r="Q132" s="457">
        <v>0</v>
      </c>
    </row>
    <row r="133" spans="1:17" s="459" customFormat="1" x14ac:dyDescent="0.2">
      <c r="A133" s="455">
        <f t="shared" si="1"/>
        <v>125</v>
      </c>
      <c r="B133" s="456" t="s">
        <v>290</v>
      </c>
      <c r="C133" s="455" t="s">
        <v>62</v>
      </c>
      <c r="D133" s="455"/>
      <c r="E133" s="455" t="s">
        <v>158</v>
      </c>
      <c r="F133" s="456" t="s">
        <v>292</v>
      </c>
      <c r="G133" s="456" t="s">
        <v>670</v>
      </c>
      <c r="H133" s="456">
        <v>39</v>
      </c>
      <c r="I133" s="456">
        <v>27</v>
      </c>
      <c r="J133" s="456">
        <v>35</v>
      </c>
      <c r="K133" s="457">
        <v>34384.86</v>
      </c>
      <c r="L133" s="457">
        <v>34384.86</v>
      </c>
      <c r="M133" s="457">
        <v>0</v>
      </c>
      <c r="N133" s="456">
        <v>0</v>
      </c>
      <c r="O133" s="457">
        <v>0</v>
      </c>
      <c r="P133" s="457">
        <v>0</v>
      </c>
      <c r="Q133" s="457">
        <v>0</v>
      </c>
    </row>
    <row r="134" spans="1:17" s="459" customFormat="1" x14ac:dyDescent="0.2">
      <c r="A134" s="455">
        <f t="shared" si="1"/>
        <v>126</v>
      </c>
      <c r="B134" s="456" t="s">
        <v>495</v>
      </c>
      <c r="C134" s="455" t="s">
        <v>62</v>
      </c>
      <c r="D134" s="455"/>
      <c r="E134" s="455" t="s">
        <v>158</v>
      </c>
      <c r="F134" s="456" t="s">
        <v>496</v>
      </c>
      <c r="G134" s="456" t="s">
        <v>670</v>
      </c>
      <c r="H134" s="456">
        <v>29</v>
      </c>
      <c r="I134" s="456">
        <v>7</v>
      </c>
      <c r="J134" s="456">
        <v>7</v>
      </c>
      <c r="K134" s="457">
        <v>9234.7099999999991</v>
      </c>
      <c r="L134" s="457">
        <v>9234.7099999999991</v>
      </c>
      <c r="M134" s="457">
        <v>0</v>
      </c>
      <c r="N134" s="456">
        <v>0</v>
      </c>
      <c r="O134" s="457">
        <v>0</v>
      </c>
      <c r="P134" s="457">
        <v>0</v>
      </c>
      <c r="Q134" s="457">
        <v>0</v>
      </c>
    </row>
    <row r="135" spans="1:17" s="459" customFormat="1" x14ac:dyDescent="0.2">
      <c r="A135" s="455">
        <f t="shared" si="1"/>
        <v>127</v>
      </c>
      <c r="B135" s="456" t="s">
        <v>134</v>
      </c>
      <c r="C135" s="455" t="s">
        <v>62</v>
      </c>
      <c r="D135" s="455" t="s">
        <v>63</v>
      </c>
      <c r="E135" s="455" t="s">
        <v>158</v>
      </c>
      <c r="F135" s="456" t="s">
        <v>293</v>
      </c>
      <c r="G135" s="456" t="s">
        <v>670</v>
      </c>
      <c r="H135" s="456">
        <v>8</v>
      </c>
      <c r="I135" s="456">
        <v>6</v>
      </c>
      <c r="J135" s="456">
        <v>7</v>
      </c>
      <c r="K135" s="457">
        <v>5018.5600000000004</v>
      </c>
      <c r="L135" s="457">
        <v>5018.5600000000004</v>
      </c>
      <c r="M135" s="457">
        <v>0</v>
      </c>
      <c r="N135" s="456">
        <v>3</v>
      </c>
      <c r="O135" s="457">
        <f>10990.78+5462.2</f>
        <v>16452.98</v>
      </c>
      <c r="P135" s="457">
        <f>10990.78+5462.2</f>
        <v>16452.98</v>
      </c>
      <c r="Q135" s="457">
        <v>0</v>
      </c>
    </row>
    <row r="136" spans="1:17" s="459" customFormat="1" x14ac:dyDescent="0.2">
      <c r="A136" s="455">
        <f t="shared" si="1"/>
        <v>128</v>
      </c>
      <c r="B136" s="456" t="s">
        <v>127</v>
      </c>
      <c r="C136" s="455" t="s">
        <v>62</v>
      </c>
      <c r="D136" s="455" t="s">
        <v>63</v>
      </c>
      <c r="E136" s="455" t="s">
        <v>158</v>
      </c>
      <c r="F136" s="456" t="s">
        <v>294</v>
      </c>
      <c r="G136" s="456" t="s">
        <v>670</v>
      </c>
      <c r="H136" s="456">
        <v>9</v>
      </c>
      <c r="I136" s="456">
        <v>6</v>
      </c>
      <c r="J136" s="456">
        <v>7</v>
      </c>
      <c r="K136" s="457">
        <v>5794.74</v>
      </c>
      <c r="L136" s="457">
        <v>5794.74</v>
      </c>
      <c r="M136" s="457">
        <v>0</v>
      </c>
      <c r="N136" s="456">
        <v>2</v>
      </c>
      <c r="O136" s="457">
        <v>3267.6</v>
      </c>
      <c r="P136" s="457">
        <v>3267.6</v>
      </c>
      <c r="Q136" s="457">
        <v>0</v>
      </c>
    </row>
    <row r="137" spans="1:17" s="459" customFormat="1" ht="25.5" x14ac:dyDescent="0.2">
      <c r="A137" s="455">
        <f t="shared" si="1"/>
        <v>129</v>
      </c>
      <c r="B137" s="456" t="s">
        <v>55</v>
      </c>
      <c r="C137" s="455" t="s">
        <v>64</v>
      </c>
      <c r="D137" s="455" t="s">
        <v>66</v>
      </c>
      <c r="E137" s="455" t="s">
        <v>677</v>
      </c>
      <c r="F137" s="456" t="s">
        <v>295</v>
      </c>
      <c r="G137" s="456" t="s">
        <v>670</v>
      </c>
      <c r="H137" s="456">
        <v>7</v>
      </c>
      <c r="I137" s="456">
        <v>5</v>
      </c>
      <c r="J137" s="456">
        <v>5</v>
      </c>
      <c r="K137" s="457">
        <v>1989.43</v>
      </c>
      <c r="L137" s="457">
        <v>1989.43</v>
      </c>
      <c r="M137" s="457">
        <v>0</v>
      </c>
      <c r="N137" s="456">
        <v>3</v>
      </c>
      <c r="O137" s="457">
        <v>17287.61</v>
      </c>
      <c r="P137" s="457">
        <v>17287.61</v>
      </c>
      <c r="Q137" s="457">
        <v>0</v>
      </c>
    </row>
    <row r="138" spans="1:17" s="459" customFormat="1" x14ac:dyDescent="0.2">
      <c r="A138" s="455">
        <f t="shared" si="1"/>
        <v>130</v>
      </c>
      <c r="B138" s="456" t="s">
        <v>135</v>
      </c>
      <c r="C138" s="455" t="s">
        <v>62</v>
      </c>
      <c r="D138" s="455" t="s">
        <v>63</v>
      </c>
      <c r="E138" s="455" t="s">
        <v>158</v>
      </c>
      <c r="F138" s="456" t="s">
        <v>296</v>
      </c>
      <c r="G138" s="456" t="s">
        <v>670</v>
      </c>
      <c r="H138" s="456">
        <v>7</v>
      </c>
      <c r="I138" s="456">
        <v>3</v>
      </c>
      <c r="J138" s="456">
        <v>3</v>
      </c>
      <c r="K138" s="457">
        <v>1786.07</v>
      </c>
      <c r="L138" s="457">
        <v>1786.07</v>
      </c>
      <c r="M138" s="457">
        <v>0</v>
      </c>
      <c r="N138" s="456">
        <v>10</v>
      </c>
      <c r="O138" s="457">
        <f>18103.64-0.3</f>
        <v>18103.34</v>
      </c>
      <c r="P138" s="457">
        <f>18103.64-0.3</f>
        <v>18103.34</v>
      </c>
      <c r="Q138" s="457">
        <v>0</v>
      </c>
    </row>
    <row r="139" spans="1:17" s="459" customFormat="1" x14ac:dyDescent="0.2">
      <c r="A139" s="455">
        <f t="shared" ref="A139:A202" si="2">A138+1</f>
        <v>131</v>
      </c>
      <c r="B139" s="456" t="s">
        <v>128</v>
      </c>
      <c r="C139" s="455" t="s">
        <v>62</v>
      </c>
      <c r="D139" s="455" t="s">
        <v>63</v>
      </c>
      <c r="E139" s="455" t="s">
        <v>158</v>
      </c>
      <c r="F139" s="456" t="s">
        <v>297</v>
      </c>
      <c r="G139" s="456" t="s">
        <v>670</v>
      </c>
      <c r="H139" s="456">
        <v>2</v>
      </c>
      <c r="I139" s="456">
        <v>2</v>
      </c>
      <c r="J139" s="456">
        <v>2</v>
      </c>
      <c r="K139" s="457">
        <v>1303.8499999999999</v>
      </c>
      <c r="L139" s="457">
        <v>1303.8499999999999</v>
      </c>
      <c r="M139" s="457">
        <v>0</v>
      </c>
      <c r="N139" s="456">
        <v>1</v>
      </c>
      <c r="O139" s="457">
        <v>264.3</v>
      </c>
      <c r="P139" s="457">
        <v>264.3</v>
      </c>
      <c r="Q139" s="457">
        <v>0</v>
      </c>
    </row>
    <row r="140" spans="1:17" s="459" customFormat="1" x14ac:dyDescent="0.2">
      <c r="A140" s="455">
        <f t="shared" si="2"/>
        <v>132</v>
      </c>
      <c r="B140" s="456" t="s">
        <v>508</v>
      </c>
      <c r="C140" s="455" t="s">
        <v>64</v>
      </c>
      <c r="D140" s="455" t="s">
        <v>551</v>
      </c>
      <c r="E140" s="455" t="s">
        <v>158</v>
      </c>
      <c r="F140" s="456" t="s">
        <v>552</v>
      </c>
      <c r="G140" s="456" t="s">
        <v>670</v>
      </c>
      <c r="H140" s="456">
        <v>25</v>
      </c>
      <c r="I140" s="456">
        <v>17</v>
      </c>
      <c r="J140" s="456">
        <v>18</v>
      </c>
      <c r="K140" s="457">
        <v>11219.42</v>
      </c>
      <c r="L140" s="457">
        <v>11219.42</v>
      </c>
      <c r="M140" s="457">
        <v>0</v>
      </c>
      <c r="N140" s="456">
        <v>0</v>
      </c>
      <c r="O140" s="457">
        <v>0</v>
      </c>
      <c r="P140" s="457">
        <v>0</v>
      </c>
      <c r="Q140" s="457">
        <v>0</v>
      </c>
    </row>
    <row r="141" spans="1:17" s="459" customFormat="1" x14ac:dyDescent="0.2">
      <c r="A141" s="455">
        <f t="shared" si="2"/>
        <v>133</v>
      </c>
      <c r="B141" s="456" t="s">
        <v>497</v>
      </c>
      <c r="C141" s="455" t="s">
        <v>62</v>
      </c>
      <c r="D141" s="455"/>
      <c r="E141" s="455" t="s">
        <v>158</v>
      </c>
      <c r="F141" s="456" t="s">
        <v>498</v>
      </c>
      <c r="G141" s="456" t="s">
        <v>670</v>
      </c>
      <c r="H141" s="456">
        <v>63</v>
      </c>
      <c r="I141" s="456">
        <v>38</v>
      </c>
      <c r="J141" s="456">
        <v>40</v>
      </c>
      <c r="K141" s="457">
        <v>29545.75</v>
      </c>
      <c r="L141" s="457">
        <v>29545.75</v>
      </c>
      <c r="M141" s="457">
        <v>0</v>
      </c>
      <c r="N141" s="456">
        <v>0</v>
      </c>
      <c r="O141" s="457">
        <v>0</v>
      </c>
      <c r="P141" s="457">
        <v>0</v>
      </c>
      <c r="Q141" s="457">
        <v>0</v>
      </c>
    </row>
    <row r="142" spans="1:17" s="459" customFormat="1" x14ac:dyDescent="0.2">
      <c r="A142" s="455">
        <f t="shared" si="2"/>
        <v>134</v>
      </c>
      <c r="B142" s="456" t="s">
        <v>646</v>
      </c>
      <c r="C142" s="455" t="s">
        <v>62</v>
      </c>
      <c r="D142" s="455" t="s">
        <v>63</v>
      </c>
      <c r="E142" s="455" t="s">
        <v>158</v>
      </c>
      <c r="F142" s="456" t="s">
        <v>647</v>
      </c>
      <c r="G142" s="456" t="s">
        <v>670</v>
      </c>
      <c r="H142" s="456">
        <v>3</v>
      </c>
      <c r="I142" s="456">
        <v>0</v>
      </c>
      <c r="J142" s="456">
        <v>0</v>
      </c>
      <c r="K142" s="457">
        <v>0</v>
      </c>
      <c r="L142" s="457">
        <v>0</v>
      </c>
      <c r="M142" s="457">
        <v>0</v>
      </c>
      <c r="N142" s="456">
        <v>0</v>
      </c>
      <c r="O142" s="457">
        <v>0</v>
      </c>
      <c r="P142" s="457">
        <v>0</v>
      </c>
      <c r="Q142" s="457">
        <v>0</v>
      </c>
    </row>
    <row r="143" spans="1:17" s="459" customFormat="1" x14ac:dyDescent="0.2">
      <c r="A143" s="455">
        <f t="shared" si="2"/>
        <v>135</v>
      </c>
      <c r="B143" s="456" t="s">
        <v>56</v>
      </c>
      <c r="C143" s="455" t="s">
        <v>62</v>
      </c>
      <c r="D143" s="455" t="s">
        <v>63</v>
      </c>
      <c r="E143" s="455" t="s">
        <v>701</v>
      </c>
      <c r="F143" s="456" t="s">
        <v>298</v>
      </c>
      <c r="G143" s="456" t="s">
        <v>670</v>
      </c>
      <c r="H143" s="456">
        <v>94</v>
      </c>
      <c r="I143" s="456">
        <v>79</v>
      </c>
      <c r="J143" s="456">
        <v>119</v>
      </c>
      <c r="K143" s="457">
        <v>140627.04</v>
      </c>
      <c r="L143" s="457">
        <v>121877.98</v>
      </c>
      <c r="M143" s="457">
        <v>18749.060000000001</v>
      </c>
      <c r="N143" s="456">
        <v>32</v>
      </c>
      <c r="O143" s="457">
        <v>97693.16</v>
      </c>
      <c r="P143" s="457">
        <v>96660.36</v>
      </c>
      <c r="Q143" s="457">
        <v>1032.8</v>
      </c>
    </row>
    <row r="144" spans="1:17" s="459" customFormat="1" x14ac:dyDescent="0.2">
      <c r="A144" s="455">
        <f t="shared" si="2"/>
        <v>136</v>
      </c>
      <c r="B144" s="456" t="s">
        <v>638</v>
      </c>
      <c r="C144" s="455" t="s">
        <v>67</v>
      </c>
      <c r="D144" s="455" t="s">
        <v>639</v>
      </c>
      <c r="E144" s="455" t="s">
        <v>690</v>
      </c>
      <c r="F144" s="456" t="s">
        <v>641</v>
      </c>
      <c r="G144" s="456" t="s">
        <v>670</v>
      </c>
      <c r="H144" s="456">
        <v>7</v>
      </c>
      <c r="I144" s="456">
        <v>1</v>
      </c>
      <c r="J144" s="456">
        <v>1</v>
      </c>
      <c r="K144" s="457">
        <v>0</v>
      </c>
      <c r="L144" s="457">
        <v>0</v>
      </c>
      <c r="M144" s="457">
        <v>0</v>
      </c>
      <c r="N144" s="456">
        <v>0</v>
      </c>
      <c r="O144" s="457">
        <v>0</v>
      </c>
      <c r="P144" s="457">
        <v>0</v>
      </c>
      <c r="Q144" s="457">
        <v>0</v>
      </c>
    </row>
    <row r="145" spans="1:17" s="459" customFormat="1" ht="13.5" customHeight="1" x14ac:dyDescent="0.2">
      <c r="A145" s="455">
        <f t="shared" si="2"/>
        <v>137</v>
      </c>
      <c r="B145" s="456" t="s">
        <v>299</v>
      </c>
      <c r="C145" s="455" t="s">
        <v>62</v>
      </c>
      <c r="D145" s="455"/>
      <c r="E145" s="455" t="s">
        <v>158</v>
      </c>
      <c r="F145" s="456" t="s">
        <v>300</v>
      </c>
      <c r="G145" s="456" t="s">
        <v>670</v>
      </c>
      <c r="H145" s="456">
        <v>23</v>
      </c>
      <c r="I145" s="456">
        <v>18</v>
      </c>
      <c r="J145" s="456">
        <v>21</v>
      </c>
      <c r="K145" s="457">
        <v>18541.13</v>
      </c>
      <c r="L145" s="457">
        <v>18541.13</v>
      </c>
      <c r="M145" s="457">
        <v>0</v>
      </c>
      <c r="N145" s="456">
        <v>0</v>
      </c>
      <c r="O145" s="457">
        <v>0</v>
      </c>
      <c r="P145" s="457">
        <v>0</v>
      </c>
      <c r="Q145" s="457">
        <v>0</v>
      </c>
    </row>
    <row r="146" spans="1:17" s="459" customFormat="1" x14ac:dyDescent="0.2">
      <c r="A146" s="455">
        <f t="shared" si="2"/>
        <v>138</v>
      </c>
      <c r="B146" s="456" t="s">
        <v>156</v>
      </c>
      <c r="C146" s="455" t="s">
        <v>67</v>
      </c>
      <c r="D146" s="455" t="s">
        <v>499</v>
      </c>
      <c r="E146" s="455" t="s">
        <v>158</v>
      </c>
      <c r="F146" s="456" t="s">
        <v>301</v>
      </c>
      <c r="G146" s="456" t="s">
        <v>670</v>
      </c>
      <c r="H146" s="456">
        <v>38</v>
      </c>
      <c r="I146" s="456">
        <v>32</v>
      </c>
      <c r="J146" s="456">
        <v>38</v>
      </c>
      <c r="K146" s="457">
        <v>36129.29</v>
      </c>
      <c r="L146" s="457">
        <v>34539.370000000003</v>
      </c>
      <c r="M146" s="457">
        <v>1589.92</v>
      </c>
      <c r="N146" s="456">
        <v>37</v>
      </c>
      <c r="O146" s="457">
        <v>66837.119999999995</v>
      </c>
      <c r="P146" s="457">
        <v>58828.76</v>
      </c>
      <c r="Q146" s="457">
        <v>8008.36</v>
      </c>
    </row>
    <row r="147" spans="1:17" s="459" customFormat="1" x14ac:dyDescent="0.2">
      <c r="A147" s="455">
        <f t="shared" si="2"/>
        <v>139</v>
      </c>
      <c r="B147" s="456" t="s">
        <v>302</v>
      </c>
      <c r="C147" s="455" t="s">
        <v>62</v>
      </c>
      <c r="D147" s="455"/>
      <c r="E147" s="455" t="s">
        <v>371</v>
      </c>
      <c r="F147" s="456" t="s">
        <v>303</v>
      </c>
      <c r="G147" s="456" t="s">
        <v>670</v>
      </c>
      <c r="H147" s="456">
        <v>17</v>
      </c>
      <c r="I147" s="456">
        <v>15</v>
      </c>
      <c r="J147" s="456">
        <v>18</v>
      </c>
      <c r="K147" s="457">
        <v>9697.18</v>
      </c>
      <c r="L147" s="457">
        <v>9697.18</v>
      </c>
      <c r="M147" s="457">
        <v>0</v>
      </c>
      <c r="N147" s="456">
        <v>0</v>
      </c>
      <c r="O147" s="457">
        <v>0</v>
      </c>
      <c r="P147" s="457">
        <v>0</v>
      </c>
      <c r="Q147" s="457">
        <v>0</v>
      </c>
    </row>
    <row r="148" spans="1:17" s="459" customFormat="1" x14ac:dyDescent="0.2">
      <c r="A148" s="455">
        <f t="shared" si="2"/>
        <v>140</v>
      </c>
      <c r="B148" s="456" t="s">
        <v>140</v>
      </c>
      <c r="C148" s="455" t="s">
        <v>62</v>
      </c>
      <c r="D148" s="455" t="s">
        <v>63</v>
      </c>
      <c r="E148" s="455" t="s">
        <v>158</v>
      </c>
      <c r="F148" s="456" t="s">
        <v>304</v>
      </c>
      <c r="G148" s="456" t="s">
        <v>670</v>
      </c>
      <c r="H148" s="456">
        <v>66</v>
      </c>
      <c r="I148" s="456">
        <v>56</v>
      </c>
      <c r="J148" s="456">
        <v>60</v>
      </c>
      <c r="K148" s="457">
        <v>49113.38</v>
      </c>
      <c r="L148" s="457">
        <v>49113.38</v>
      </c>
      <c r="M148" s="457">
        <v>0</v>
      </c>
      <c r="N148" s="456">
        <v>19</v>
      </c>
      <c r="O148" s="457">
        <v>43411.7</v>
      </c>
      <c r="P148" s="457">
        <v>43411.7</v>
      </c>
      <c r="Q148" s="457">
        <v>0</v>
      </c>
    </row>
    <row r="149" spans="1:17" s="459" customFormat="1" x14ac:dyDescent="0.2">
      <c r="A149" s="455">
        <f t="shared" si="2"/>
        <v>141</v>
      </c>
      <c r="B149" s="456" t="s">
        <v>305</v>
      </c>
      <c r="C149" s="455" t="s">
        <v>62</v>
      </c>
      <c r="D149" s="455"/>
      <c r="E149" s="455" t="s">
        <v>674</v>
      </c>
      <c r="F149" s="456" t="s">
        <v>513</v>
      </c>
      <c r="G149" s="456" t="s">
        <v>670</v>
      </c>
      <c r="H149" s="456">
        <v>15</v>
      </c>
      <c r="I149" s="456">
        <v>12</v>
      </c>
      <c r="J149" s="456">
        <v>13</v>
      </c>
      <c r="K149" s="457">
        <v>6542.9</v>
      </c>
      <c r="L149" s="457">
        <v>6542.9</v>
      </c>
      <c r="M149" s="457">
        <v>0</v>
      </c>
      <c r="N149" s="456">
        <v>0</v>
      </c>
      <c r="O149" s="457">
        <v>0</v>
      </c>
      <c r="P149" s="457">
        <v>0</v>
      </c>
      <c r="Q149" s="457">
        <v>0</v>
      </c>
    </row>
    <row r="150" spans="1:17" s="459" customFormat="1" x14ac:dyDescent="0.2">
      <c r="A150" s="455">
        <f t="shared" si="2"/>
        <v>142</v>
      </c>
      <c r="B150" s="456" t="s">
        <v>702</v>
      </c>
      <c r="C150" s="455" t="s">
        <v>62</v>
      </c>
      <c r="D150" s="455"/>
      <c r="E150" s="455" t="s">
        <v>158</v>
      </c>
      <c r="F150" s="456" t="s">
        <v>63</v>
      </c>
      <c r="G150" s="456" t="s">
        <v>670</v>
      </c>
      <c r="H150" s="456">
        <v>1</v>
      </c>
      <c r="I150" s="456">
        <v>1</v>
      </c>
      <c r="J150" s="456">
        <v>1</v>
      </c>
      <c r="K150" s="457">
        <v>0</v>
      </c>
      <c r="L150" s="457">
        <v>0</v>
      </c>
      <c r="M150" s="457">
        <v>0</v>
      </c>
      <c r="N150" s="456">
        <v>0</v>
      </c>
      <c r="O150" s="457">
        <v>0</v>
      </c>
      <c r="P150" s="457">
        <v>0</v>
      </c>
      <c r="Q150" s="457">
        <v>0</v>
      </c>
    </row>
    <row r="151" spans="1:17" s="459" customFormat="1" x14ac:dyDescent="0.2">
      <c r="A151" s="455">
        <f t="shared" si="2"/>
        <v>143</v>
      </c>
      <c r="B151" s="456" t="s">
        <v>471</v>
      </c>
      <c r="C151" s="455" t="s">
        <v>64</v>
      </c>
      <c r="D151" s="455" t="s">
        <v>65</v>
      </c>
      <c r="E151" s="455" t="s">
        <v>158</v>
      </c>
      <c r="F151" s="456" t="s">
        <v>472</v>
      </c>
      <c r="G151" s="456" t="s">
        <v>670</v>
      </c>
      <c r="H151" s="456">
        <v>0</v>
      </c>
      <c r="I151" s="456">
        <v>0</v>
      </c>
      <c r="J151" s="456">
        <v>0</v>
      </c>
      <c r="K151" s="457">
        <v>0</v>
      </c>
      <c r="L151" s="457">
        <v>0</v>
      </c>
      <c r="M151" s="457">
        <v>0</v>
      </c>
      <c r="N151" s="456">
        <v>1</v>
      </c>
      <c r="O151" s="457">
        <v>0</v>
      </c>
      <c r="P151" s="457">
        <v>0</v>
      </c>
      <c r="Q151" s="457">
        <v>0</v>
      </c>
    </row>
    <row r="152" spans="1:17" s="459" customFormat="1" x14ac:dyDescent="0.2">
      <c r="A152" s="455">
        <f t="shared" si="2"/>
        <v>144</v>
      </c>
      <c r="B152" s="456" t="s">
        <v>57</v>
      </c>
      <c r="C152" s="455" t="s">
        <v>62</v>
      </c>
      <c r="D152" s="455" t="s">
        <v>63</v>
      </c>
      <c r="E152" s="455" t="s">
        <v>698</v>
      </c>
      <c r="F152" s="456" t="s">
        <v>306</v>
      </c>
      <c r="G152" s="456" t="s">
        <v>670</v>
      </c>
      <c r="H152" s="456">
        <v>37</v>
      </c>
      <c r="I152" s="456">
        <v>18</v>
      </c>
      <c r="J152" s="456">
        <v>21</v>
      </c>
      <c r="K152" s="457">
        <v>19342.23</v>
      </c>
      <c r="L152" s="457">
        <v>19342.23</v>
      </c>
      <c r="M152" s="457">
        <v>0</v>
      </c>
      <c r="N152" s="456">
        <v>21</v>
      </c>
      <c r="O152" s="457">
        <v>109281.48</v>
      </c>
      <c r="P152" s="457">
        <v>92362.92</v>
      </c>
      <c r="Q152" s="457">
        <v>16918.560000000001</v>
      </c>
    </row>
    <row r="153" spans="1:17" s="459" customFormat="1" x14ac:dyDescent="0.2">
      <c r="A153" s="455">
        <f t="shared" si="2"/>
        <v>145</v>
      </c>
      <c r="B153" s="456" t="s">
        <v>648</v>
      </c>
      <c r="C153" s="455" t="s">
        <v>62</v>
      </c>
      <c r="D153" s="455"/>
      <c r="E153" s="455" t="s">
        <v>158</v>
      </c>
      <c r="F153" s="456" t="s">
        <v>650</v>
      </c>
      <c r="G153" s="456" t="s">
        <v>670</v>
      </c>
      <c r="H153" s="456">
        <v>10</v>
      </c>
      <c r="I153" s="456">
        <v>8</v>
      </c>
      <c r="J153" s="456">
        <v>8</v>
      </c>
      <c r="K153" s="457">
        <v>0</v>
      </c>
      <c r="L153" s="457">
        <v>0</v>
      </c>
      <c r="M153" s="457">
        <v>0</v>
      </c>
      <c r="N153" s="456">
        <v>0</v>
      </c>
      <c r="O153" s="457">
        <v>0</v>
      </c>
      <c r="P153" s="457">
        <v>0</v>
      </c>
      <c r="Q153" s="457">
        <v>0</v>
      </c>
    </row>
    <row r="154" spans="1:17" s="459" customFormat="1" x14ac:dyDescent="0.2">
      <c r="A154" s="455">
        <f t="shared" si="2"/>
        <v>146</v>
      </c>
      <c r="B154" s="456" t="s">
        <v>473</v>
      </c>
      <c r="C154" s="455" t="s">
        <v>62</v>
      </c>
      <c r="D154" s="455"/>
      <c r="E154" s="455" t="s">
        <v>158</v>
      </c>
      <c r="F154" s="456" t="s">
        <v>500</v>
      </c>
      <c r="G154" s="456" t="s">
        <v>670</v>
      </c>
      <c r="H154" s="456">
        <v>17</v>
      </c>
      <c r="I154" s="456">
        <v>12</v>
      </c>
      <c r="J154" s="456">
        <v>14</v>
      </c>
      <c r="K154" s="457">
        <v>9948.68</v>
      </c>
      <c r="L154" s="457">
        <v>9948.68</v>
      </c>
      <c r="M154" s="457">
        <v>0</v>
      </c>
      <c r="N154" s="456">
        <v>4</v>
      </c>
      <c r="O154" s="457">
        <v>20865.919999999998</v>
      </c>
      <c r="P154" s="457">
        <v>20865.919999999998</v>
      </c>
      <c r="Q154" s="457">
        <v>0</v>
      </c>
    </row>
    <row r="155" spans="1:17" s="459" customFormat="1" x14ac:dyDescent="0.2">
      <c r="A155" s="455">
        <f t="shared" si="2"/>
        <v>147</v>
      </c>
      <c r="B155" s="456" t="s">
        <v>129</v>
      </c>
      <c r="C155" s="455" t="s">
        <v>62</v>
      </c>
      <c r="D155" s="455" t="s">
        <v>63</v>
      </c>
      <c r="E155" s="455" t="s">
        <v>158</v>
      </c>
      <c r="F155" s="456" t="s">
        <v>307</v>
      </c>
      <c r="G155" s="456" t="s">
        <v>670</v>
      </c>
      <c r="H155" s="456">
        <v>0</v>
      </c>
      <c r="I155" s="456">
        <v>0</v>
      </c>
      <c r="J155" s="456">
        <v>0</v>
      </c>
      <c r="K155" s="457">
        <v>0</v>
      </c>
      <c r="L155" s="457">
        <v>0</v>
      </c>
      <c r="M155" s="457">
        <v>0</v>
      </c>
      <c r="N155" s="456">
        <v>5</v>
      </c>
      <c r="O155" s="457">
        <f>2390.47+10607.41</f>
        <v>12997.88</v>
      </c>
      <c r="P155" s="457">
        <f>2390.47+10607.41</f>
        <v>12997.88</v>
      </c>
      <c r="Q155" s="457">
        <v>0</v>
      </c>
    </row>
    <row r="156" spans="1:17" s="459" customFormat="1" x14ac:dyDescent="0.2">
      <c r="A156" s="455">
        <f t="shared" si="2"/>
        <v>148</v>
      </c>
      <c r="B156" s="456" t="s">
        <v>58</v>
      </c>
      <c r="C156" s="455" t="s">
        <v>62</v>
      </c>
      <c r="D156" s="455" t="s">
        <v>63</v>
      </c>
      <c r="E156" s="455" t="s">
        <v>158</v>
      </c>
      <c r="F156" s="456" t="s">
        <v>308</v>
      </c>
      <c r="G156" s="456" t="s">
        <v>670</v>
      </c>
      <c r="H156" s="456">
        <v>231</v>
      </c>
      <c r="I156" s="456">
        <v>225</v>
      </c>
      <c r="J156" s="456">
        <v>256</v>
      </c>
      <c r="K156" s="457">
        <v>246573.61</v>
      </c>
      <c r="L156" s="457">
        <v>219265.57</v>
      </c>
      <c r="M156" s="457">
        <v>27308.04</v>
      </c>
      <c r="N156" s="456">
        <v>62</v>
      </c>
      <c r="O156" s="457">
        <v>217678.14</v>
      </c>
      <c r="P156" s="457">
        <v>216301.07</v>
      </c>
      <c r="Q156" s="457">
        <v>1377.07</v>
      </c>
    </row>
    <row r="157" spans="1:17" s="459" customFormat="1" ht="25.5" x14ac:dyDescent="0.2">
      <c r="A157" s="455">
        <f t="shared" si="2"/>
        <v>149</v>
      </c>
      <c r="B157" s="456" t="s">
        <v>59</v>
      </c>
      <c r="C157" s="455" t="s">
        <v>64</v>
      </c>
      <c r="D157" s="455" t="s">
        <v>66</v>
      </c>
      <c r="E157" s="455" t="s">
        <v>677</v>
      </c>
      <c r="F157" s="456" t="s">
        <v>309</v>
      </c>
      <c r="G157" s="456" t="s">
        <v>670</v>
      </c>
      <c r="H157" s="456">
        <v>42</v>
      </c>
      <c r="I157" s="456">
        <v>34</v>
      </c>
      <c r="J157" s="456">
        <v>53</v>
      </c>
      <c r="K157" s="457">
        <v>90310.61</v>
      </c>
      <c r="L157" s="457">
        <v>83144.350000000006</v>
      </c>
      <c r="M157" s="457">
        <v>7166.26</v>
      </c>
      <c r="N157" s="456">
        <v>32</v>
      </c>
      <c r="O157" s="457">
        <v>128048.16</v>
      </c>
      <c r="P157" s="457">
        <v>108860.27</v>
      </c>
      <c r="Q157" s="457">
        <v>19187.89</v>
      </c>
    </row>
    <row r="158" spans="1:17" s="459" customFormat="1" x14ac:dyDescent="0.2">
      <c r="A158" s="455">
        <f t="shared" si="2"/>
        <v>150</v>
      </c>
      <c r="B158" s="456" t="s">
        <v>130</v>
      </c>
      <c r="C158" s="455" t="s">
        <v>62</v>
      </c>
      <c r="D158" s="455" t="s">
        <v>63</v>
      </c>
      <c r="E158" s="455" t="s">
        <v>158</v>
      </c>
      <c r="F158" s="456" t="s">
        <v>553</v>
      </c>
      <c r="G158" s="456" t="s">
        <v>670</v>
      </c>
      <c r="H158" s="456">
        <v>6</v>
      </c>
      <c r="I158" s="456">
        <v>2</v>
      </c>
      <c r="J158" s="456">
        <v>2</v>
      </c>
      <c r="K158" s="457">
        <v>299.54000000000002</v>
      </c>
      <c r="L158" s="457">
        <v>299.54000000000002</v>
      </c>
      <c r="M158" s="457">
        <v>0</v>
      </c>
      <c r="N158" s="456">
        <v>5</v>
      </c>
      <c r="O158" s="457">
        <f>14754.22+5264.54</f>
        <v>20018.759999999998</v>
      </c>
      <c r="P158" s="457">
        <f>14754.22+5264.54</f>
        <v>20018.759999999998</v>
      </c>
      <c r="Q158" s="457">
        <v>0</v>
      </c>
    </row>
    <row r="159" spans="1:17" s="459" customFormat="1" x14ac:dyDescent="0.2">
      <c r="A159" s="455">
        <f t="shared" si="2"/>
        <v>151</v>
      </c>
      <c r="B159" s="456" t="s">
        <v>97</v>
      </c>
      <c r="C159" s="455" t="s">
        <v>62</v>
      </c>
      <c r="D159" s="455" t="s">
        <v>63</v>
      </c>
      <c r="E159" s="455" t="s">
        <v>158</v>
      </c>
      <c r="F159" s="456" t="s">
        <v>310</v>
      </c>
      <c r="G159" s="456" t="s">
        <v>670</v>
      </c>
      <c r="H159" s="456">
        <v>7</v>
      </c>
      <c r="I159" s="456">
        <v>4</v>
      </c>
      <c r="J159" s="456">
        <v>4</v>
      </c>
      <c r="K159" s="457">
        <v>5524.96</v>
      </c>
      <c r="L159" s="457">
        <v>5524.96</v>
      </c>
      <c r="M159" s="457">
        <v>0</v>
      </c>
      <c r="N159" s="456">
        <v>2</v>
      </c>
      <c r="O159" s="457">
        <f>808.76+2973.38</f>
        <v>3782.1400000000003</v>
      </c>
      <c r="P159" s="457">
        <f>808.76+2973.38</f>
        <v>3782.1400000000003</v>
      </c>
      <c r="Q159" s="457">
        <v>0</v>
      </c>
    </row>
    <row r="160" spans="1:17" s="459" customFormat="1" x14ac:dyDescent="0.2">
      <c r="A160" s="455">
        <f t="shared" si="2"/>
        <v>152</v>
      </c>
      <c r="B160" s="456" t="s">
        <v>667</v>
      </c>
      <c r="C160" s="455" t="s">
        <v>62</v>
      </c>
      <c r="D160" s="455"/>
      <c r="E160" s="455" t="s">
        <v>158</v>
      </c>
      <c r="F160" s="456" t="s">
        <v>668</v>
      </c>
      <c r="G160" s="456" t="s">
        <v>670</v>
      </c>
      <c r="H160" s="456">
        <v>4</v>
      </c>
      <c r="I160" s="456">
        <v>0</v>
      </c>
      <c r="J160" s="456">
        <v>0</v>
      </c>
      <c r="K160" s="457">
        <v>0</v>
      </c>
      <c r="L160" s="457">
        <v>0</v>
      </c>
      <c r="M160" s="457">
        <v>0</v>
      </c>
      <c r="N160" s="456">
        <v>0</v>
      </c>
      <c r="O160" s="457">
        <v>0</v>
      </c>
      <c r="P160" s="457">
        <v>0</v>
      </c>
      <c r="Q160" s="457">
        <v>0</v>
      </c>
    </row>
    <row r="161" spans="1:17" s="459" customFormat="1" x14ac:dyDescent="0.2">
      <c r="A161" s="455">
        <f t="shared" si="2"/>
        <v>153</v>
      </c>
      <c r="B161" s="456" t="s">
        <v>514</v>
      </c>
      <c r="C161" s="455" t="s">
        <v>62</v>
      </c>
      <c r="D161" s="455"/>
      <c r="E161" s="455" t="s">
        <v>158</v>
      </c>
      <c r="F161" s="456" t="s">
        <v>515</v>
      </c>
      <c r="G161" s="456" t="s">
        <v>670</v>
      </c>
      <c r="H161" s="456">
        <v>24</v>
      </c>
      <c r="I161" s="456">
        <v>17</v>
      </c>
      <c r="J161" s="456">
        <v>24</v>
      </c>
      <c r="K161" s="457">
        <v>21122.21</v>
      </c>
      <c r="L161" s="457">
        <v>21122.21</v>
      </c>
      <c r="M161" s="457">
        <v>0</v>
      </c>
      <c r="N161" s="456">
        <v>0</v>
      </c>
      <c r="O161" s="457">
        <v>0</v>
      </c>
      <c r="P161" s="457">
        <v>0</v>
      </c>
      <c r="Q161" s="457">
        <v>0</v>
      </c>
    </row>
    <row r="162" spans="1:17" s="459" customFormat="1" x14ac:dyDescent="0.2">
      <c r="A162" s="455">
        <f t="shared" si="2"/>
        <v>154</v>
      </c>
      <c r="B162" s="456" t="s">
        <v>132</v>
      </c>
      <c r="C162" s="455" t="s">
        <v>62</v>
      </c>
      <c r="D162" s="455" t="s">
        <v>63</v>
      </c>
      <c r="E162" s="455" t="s">
        <v>158</v>
      </c>
      <c r="F162" s="456" t="s">
        <v>311</v>
      </c>
      <c r="G162" s="456" t="s">
        <v>670</v>
      </c>
      <c r="H162" s="456">
        <v>19</v>
      </c>
      <c r="I162" s="456">
        <v>7</v>
      </c>
      <c r="J162" s="456">
        <v>8</v>
      </c>
      <c r="K162" s="457">
        <v>7071.18</v>
      </c>
      <c r="L162" s="457">
        <v>7071.18</v>
      </c>
      <c r="M162" s="457">
        <v>0</v>
      </c>
      <c r="N162" s="456">
        <v>11</v>
      </c>
      <c r="O162" s="457">
        <v>7200.72</v>
      </c>
      <c r="P162" s="457">
        <v>7200.72</v>
      </c>
      <c r="Q162" s="457">
        <v>0</v>
      </c>
    </row>
    <row r="163" spans="1:17" s="459" customFormat="1" x14ac:dyDescent="0.2">
      <c r="A163" s="455">
        <f t="shared" si="2"/>
        <v>155</v>
      </c>
      <c r="B163" s="456" t="s">
        <v>312</v>
      </c>
      <c r="C163" s="455" t="s">
        <v>62</v>
      </c>
      <c r="D163" s="455"/>
      <c r="E163" s="455" t="s">
        <v>158</v>
      </c>
      <c r="F163" s="456" t="s">
        <v>314</v>
      </c>
      <c r="G163" s="456" t="s">
        <v>670</v>
      </c>
      <c r="H163" s="456">
        <v>64</v>
      </c>
      <c r="I163" s="456">
        <v>1</v>
      </c>
      <c r="J163" s="456">
        <v>1</v>
      </c>
      <c r="K163" s="457">
        <v>0</v>
      </c>
      <c r="L163" s="457">
        <v>0</v>
      </c>
      <c r="M163" s="457">
        <v>0</v>
      </c>
      <c r="N163" s="456">
        <v>0</v>
      </c>
      <c r="O163" s="457">
        <v>0</v>
      </c>
      <c r="P163" s="457">
        <v>0</v>
      </c>
      <c r="Q163" s="457">
        <v>0</v>
      </c>
    </row>
    <row r="164" spans="1:17" s="459" customFormat="1" x14ac:dyDescent="0.2">
      <c r="A164" s="455">
        <f t="shared" si="2"/>
        <v>156</v>
      </c>
      <c r="B164" s="456" t="s">
        <v>505</v>
      </c>
      <c r="C164" s="455" t="s">
        <v>62</v>
      </c>
      <c r="D164" s="455"/>
      <c r="E164" s="455" t="s">
        <v>703</v>
      </c>
      <c r="F164" s="456" t="s">
        <v>704</v>
      </c>
      <c r="G164" s="456" t="s">
        <v>670</v>
      </c>
      <c r="H164" s="456">
        <v>6</v>
      </c>
      <c r="I164" s="456">
        <v>0</v>
      </c>
      <c r="J164" s="456">
        <v>0</v>
      </c>
      <c r="K164" s="457">
        <v>0</v>
      </c>
      <c r="L164" s="457">
        <v>0</v>
      </c>
      <c r="M164" s="457">
        <v>0</v>
      </c>
      <c r="N164" s="456">
        <v>0</v>
      </c>
      <c r="O164" s="457">
        <v>0</v>
      </c>
      <c r="P164" s="457">
        <v>0</v>
      </c>
      <c r="Q164" s="457">
        <v>0</v>
      </c>
    </row>
    <row r="165" spans="1:17" s="459" customFormat="1" x14ac:dyDescent="0.2">
      <c r="A165" s="455">
        <f t="shared" si="2"/>
        <v>157</v>
      </c>
      <c r="B165" s="456" t="s">
        <v>315</v>
      </c>
      <c r="C165" s="455" t="s">
        <v>62</v>
      </c>
      <c r="D165" s="455" t="s">
        <v>63</v>
      </c>
      <c r="E165" s="455" t="s">
        <v>158</v>
      </c>
      <c r="F165" s="456" t="s">
        <v>316</v>
      </c>
      <c r="G165" s="456" t="s">
        <v>670</v>
      </c>
      <c r="H165" s="456">
        <v>17</v>
      </c>
      <c r="I165" s="456">
        <v>10</v>
      </c>
      <c r="J165" s="456">
        <v>12</v>
      </c>
      <c r="K165" s="457">
        <v>11020.91</v>
      </c>
      <c r="L165" s="457">
        <v>11020.91</v>
      </c>
      <c r="M165" s="457">
        <v>0</v>
      </c>
      <c r="N165" s="456">
        <v>4</v>
      </c>
      <c r="O165" s="457">
        <v>3889.02</v>
      </c>
      <c r="P165" s="457">
        <v>3889.02</v>
      </c>
      <c r="Q165" s="457">
        <v>0</v>
      </c>
    </row>
    <row r="166" spans="1:17" s="459" customFormat="1" x14ac:dyDescent="0.2">
      <c r="A166" s="455">
        <f t="shared" si="2"/>
        <v>158</v>
      </c>
      <c r="B166" s="456" t="s">
        <v>317</v>
      </c>
      <c r="C166" s="455" t="s">
        <v>62</v>
      </c>
      <c r="D166" s="455"/>
      <c r="E166" s="455" t="s">
        <v>158</v>
      </c>
      <c r="F166" s="456" t="s">
        <v>474</v>
      </c>
      <c r="G166" s="456" t="s">
        <v>670</v>
      </c>
      <c r="H166" s="456">
        <v>12</v>
      </c>
      <c r="I166" s="456">
        <v>7</v>
      </c>
      <c r="J166" s="456">
        <v>8</v>
      </c>
      <c r="K166" s="457">
        <v>4210.97</v>
      </c>
      <c r="L166" s="457">
        <v>4210.97</v>
      </c>
      <c r="M166" s="457">
        <v>0</v>
      </c>
      <c r="N166" s="456">
        <v>0</v>
      </c>
      <c r="O166" s="457">
        <v>0</v>
      </c>
      <c r="P166" s="457">
        <v>0</v>
      </c>
      <c r="Q166" s="457">
        <v>0</v>
      </c>
    </row>
    <row r="167" spans="1:17" s="459" customFormat="1" x14ac:dyDescent="0.2">
      <c r="A167" s="455">
        <f t="shared" si="2"/>
        <v>159</v>
      </c>
      <c r="B167" s="456" t="s">
        <v>318</v>
      </c>
      <c r="C167" s="455" t="s">
        <v>62</v>
      </c>
      <c r="D167" s="455"/>
      <c r="E167" s="455" t="s">
        <v>158</v>
      </c>
      <c r="F167" s="456" t="s">
        <v>319</v>
      </c>
      <c r="G167" s="456" t="s">
        <v>670</v>
      </c>
      <c r="H167" s="456">
        <v>31</v>
      </c>
      <c r="I167" s="456">
        <v>19</v>
      </c>
      <c r="J167" s="456">
        <v>23</v>
      </c>
      <c r="K167" s="457">
        <v>24890.68</v>
      </c>
      <c r="L167" s="457">
        <v>24890.68</v>
      </c>
      <c r="M167" s="457">
        <v>0</v>
      </c>
      <c r="N167" s="456">
        <v>0</v>
      </c>
      <c r="O167" s="457">
        <v>0</v>
      </c>
      <c r="P167" s="457">
        <v>0</v>
      </c>
      <c r="Q167" s="457">
        <v>0</v>
      </c>
    </row>
    <row r="168" spans="1:17" s="459" customFormat="1" x14ac:dyDescent="0.2">
      <c r="A168" s="455">
        <f t="shared" si="2"/>
        <v>160</v>
      </c>
      <c r="B168" s="456" t="s">
        <v>60</v>
      </c>
      <c r="C168" s="455" t="s">
        <v>67</v>
      </c>
      <c r="D168" s="455" t="s">
        <v>68</v>
      </c>
      <c r="E168" s="455" t="s">
        <v>158</v>
      </c>
      <c r="F168" s="456" t="s">
        <v>320</v>
      </c>
      <c r="G168" s="456" t="s">
        <v>670</v>
      </c>
      <c r="H168" s="456">
        <v>71</v>
      </c>
      <c r="I168" s="456">
        <v>60</v>
      </c>
      <c r="J168" s="456">
        <v>88</v>
      </c>
      <c r="K168" s="457">
        <v>159674.60999999999</v>
      </c>
      <c r="L168" s="457">
        <v>159674.60999999999</v>
      </c>
      <c r="M168" s="457">
        <v>0</v>
      </c>
      <c r="N168" s="456">
        <v>44</v>
      </c>
      <c r="O168" s="457">
        <v>110859.9</v>
      </c>
      <c r="P168" s="457">
        <v>110859.9</v>
      </c>
      <c r="Q168" s="457">
        <v>0</v>
      </c>
    </row>
    <row r="169" spans="1:17" s="459" customFormat="1" x14ac:dyDescent="0.2">
      <c r="A169" s="455">
        <f t="shared" si="2"/>
        <v>161</v>
      </c>
      <c r="B169" s="456" t="s">
        <v>61</v>
      </c>
      <c r="C169" s="455" t="s">
        <v>67</v>
      </c>
      <c r="D169" s="455" t="s">
        <v>69</v>
      </c>
      <c r="E169" s="455" t="s">
        <v>158</v>
      </c>
      <c r="F169" s="456" t="s">
        <v>321</v>
      </c>
      <c r="G169" s="456" t="s">
        <v>670</v>
      </c>
      <c r="H169" s="456">
        <v>9</v>
      </c>
      <c r="I169" s="456">
        <v>5</v>
      </c>
      <c r="J169" s="456">
        <v>6</v>
      </c>
      <c r="K169" s="457">
        <v>12993.1</v>
      </c>
      <c r="L169" s="457">
        <v>12993.1</v>
      </c>
      <c r="M169" s="457">
        <v>0</v>
      </c>
      <c r="N169" s="456">
        <v>7</v>
      </c>
      <c r="O169" s="457">
        <v>7602.26</v>
      </c>
      <c r="P169" s="457">
        <v>7602.26</v>
      </c>
      <c r="Q169" s="457">
        <v>0</v>
      </c>
    </row>
    <row r="170" spans="1:17" s="459" customFormat="1" x14ac:dyDescent="0.2">
      <c r="A170" s="455">
        <f t="shared" si="2"/>
        <v>162</v>
      </c>
      <c r="B170" s="456" t="s">
        <v>21</v>
      </c>
      <c r="C170" s="455" t="s">
        <v>62</v>
      </c>
      <c r="D170" s="455"/>
      <c r="E170" s="455" t="s">
        <v>674</v>
      </c>
      <c r="F170" s="456" t="s">
        <v>705</v>
      </c>
      <c r="G170" s="456" t="s">
        <v>706</v>
      </c>
      <c r="H170" s="456">
        <v>1</v>
      </c>
      <c r="I170" s="456">
        <v>0</v>
      </c>
      <c r="J170" s="456">
        <v>0</v>
      </c>
      <c r="K170" s="457">
        <v>0</v>
      </c>
      <c r="L170" s="457">
        <v>0</v>
      </c>
      <c r="M170" s="457">
        <v>0</v>
      </c>
      <c r="N170" s="456">
        <v>3</v>
      </c>
      <c r="O170" s="457">
        <v>18538.8</v>
      </c>
      <c r="P170" s="457">
        <v>8045.1</v>
      </c>
      <c r="Q170" s="457">
        <v>10493.7</v>
      </c>
    </row>
    <row r="171" spans="1:17" s="459" customFormat="1" x14ac:dyDescent="0.2">
      <c r="A171" s="455">
        <f t="shared" si="2"/>
        <v>163</v>
      </c>
      <c r="B171" s="456" t="s">
        <v>147</v>
      </c>
      <c r="C171" s="455" t="s">
        <v>62</v>
      </c>
      <c r="D171" s="455"/>
      <c r="E171" s="455" t="s">
        <v>158</v>
      </c>
      <c r="F171" s="456" t="s">
        <v>707</v>
      </c>
      <c r="G171" s="456" t="s">
        <v>706</v>
      </c>
      <c r="H171" s="456">
        <v>1</v>
      </c>
      <c r="I171" s="456">
        <v>1</v>
      </c>
      <c r="J171" s="456">
        <v>1</v>
      </c>
      <c r="K171" s="457">
        <v>1762</v>
      </c>
      <c r="L171" s="457">
        <v>1762</v>
      </c>
      <c r="M171" s="457">
        <v>0</v>
      </c>
      <c r="N171" s="456">
        <v>3</v>
      </c>
      <c r="O171" s="457">
        <v>12040</v>
      </c>
      <c r="P171" s="457">
        <v>10751.3</v>
      </c>
      <c r="Q171" s="457">
        <v>1288.7</v>
      </c>
    </row>
    <row r="172" spans="1:17" s="459" customFormat="1" x14ac:dyDescent="0.2">
      <c r="A172" s="455">
        <f t="shared" si="2"/>
        <v>164</v>
      </c>
      <c r="B172" s="456" t="s">
        <v>526</v>
      </c>
      <c r="C172" s="455" t="s">
        <v>62</v>
      </c>
      <c r="D172" s="455"/>
      <c r="E172" s="455" t="s">
        <v>708</v>
      </c>
      <c r="F172" s="456" t="s">
        <v>709</v>
      </c>
      <c r="G172" s="456" t="s">
        <v>706</v>
      </c>
      <c r="H172" s="456">
        <v>0</v>
      </c>
      <c r="I172" s="456">
        <v>0</v>
      </c>
      <c r="J172" s="456">
        <v>0</v>
      </c>
      <c r="K172" s="457">
        <v>0</v>
      </c>
      <c r="L172" s="457">
        <v>0</v>
      </c>
      <c r="M172" s="457">
        <v>0</v>
      </c>
      <c r="N172" s="456">
        <v>0</v>
      </c>
      <c r="O172" s="457">
        <v>0</v>
      </c>
      <c r="P172" s="457">
        <v>0</v>
      </c>
      <c r="Q172" s="457">
        <v>0</v>
      </c>
    </row>
    <row r="173" spans="1:17" s="459" customFormat="1" x14ac:dyDescent="0.2">
      <c r="A173" s="455">
        <f t="shared" si="2"/>
        <v>165</v>
      </c>
      <c r="B173" s="456" t="s">
        <v>305</v>
      </c>
      <c r="C173" s="455" t="s">
        <v>62</v>
      </c>
      <c r="D173" s="455"/>
      <c r="E173" s="455" t="s">
        <v>674</v>
      </c>
      <c r="F173" s="456" t="s">
        <v>710</v>
      </c>
      <c r="G173" s="456" t="s">
        <v>706</v>
      </c>
      <c r="H173" s="456">
        <v>4</v>
      </c>
      <c r="I173" s="456">
        <v>4</v>
      </c>
      <c r="J173" s="456">
        <v>4</v>
      </c>
      <c r="K173" s="457">
        <v>10545.1</v>
      </c>
      <c r="L173" s="457">
        <v>10545.1</v>
      </c>
      <c r="M173" s="457">
        <v>0</v>
      </c>
      <c r="N173" s="456">
        <v>0</v>
      </c>
      <c r="O173" s="457">
        <v>0</v>
      </c>
      <c r="P173" s="457">
        <v>0</v>
      </c>
      <c r="Q173" s="457">
        <v>0</v>
      </c>
    </row>
    <row r="174" spans="1:17" s="459" customFormat="1" x14ac:dyDescent="0.2">
      <c r="A174" s="455">
        <f t="shared" si="2"/>
        <v>166</v>
      </c>
      <c r="B174" s="456" t="s">
        <v>407</v>
      </c>
      <c r="C174" s="455" t="s">
        <v>62</v>
      </c>
      <c r="D174" s="455"/>
      <c r="E174" s="455" t="s">
        <v>674</v>
      </c>
      <c r="F174" s="456" t="s">
        <v>711</v>
      </c>
      <c r="G174" s="456" t="s">
        <v>706</v>
      </c>
      <c r="H174" s="456">
        <v>4</v>
      </c>
      <c r="I174" s="456">
        <v>1</v>
      </c>
      <c r="J174" s="456">
        <v>1</v>
      </c>
      <c r="K174" s="457">
        <v>3866.1</v>
      </c>
      <c r="L174" s="457">
        <v>3866.1</v>
      </c>
      <c r="M174" s="457">
        <v>0</v>
      </c>
      <c r="N174" s="456">
        <v>0</v>
      </c>
      <c r="O174" s="457">
        <v>0</v>
      </c>
      <c r="P174" s="457">
        <v>0</v>
      </c>
      <c r="Q174" s="457">
        <v>0</v>
      </c>
    </row>
    <row r="175" spans="1:17" s="459" customFormat="1" x14ac:dyDescent="0.2">
      <c r="A175" s="455">
        <f t="shared" si="2"/>
        <v>167</v>
      </c>
      <c r="B175" s="456" t="s">
        <v>185</v>
      </c>
      <c r="C175" s="455" t="s">
        <v>62</v>
      </c>
      <c r="D175" s="455"/>
      <c r="E175" s="455" t="s">
        <v>674</v>
      </c>
      <c r="F175" s="456" t="s">
        <v>712</v>
      </c>
      <c r="G175" s="456" t="s">
        <v>706</v>
      </c>
      <c r="H175" s="456">
        <v>4</v>
      </c>
      <c r="I175" s="456">
        <v>4</v>
      </c>
      <c r="J175" s="456">
        <v>4</v>
      </c>
      <c r="K175" s="457">
        <v>14698.09</v>
      </c>
      <c r="L175" s="457">
        <v>12312.63</v>
      </c>
      <c r="M175" s="457">
        <v>2385.58</v>
      </c>
      <c r="N175" s="456">
        <v>0</v>
      </c>
      <c r="O175" s="457">
        <v>0</v>
      </c>
      <c r="P175" s="457">
        <v>0</v>
      </c>
      <c r="Q175" s="457">
        <v>0</v>
      </c>
    </row>
    <row r="176" spans="1:17" s="459" customFormat="1" x14ac:dyDescent="0.2">
      <c r="A176" s="455">
        <f t="shared" si="2"/>
        <v>168</v>
      </c>
      <c r="B176" s="456" t="s">
        <v>534</v>
      </c>
      <c r="C176" s="455" t="s">
        <v>62</v>
      </c>
      <c r="D176" s="455"/>
      <c r="E176" s="455" t="s">
        <v>674</v>
      </c>
      <c r="F176" s="456" t="s">
        <v>713</v>
      </c>
      <c r="G176" s="456" t="s">
        <v>706</v>
      </c>
      <c r="H176" s="456">
        <v>1</v>
      </c>
      <c r="I176" s="456">
        <v>0</v>
      </c>
      <c r="J176" s="456">
        <v>0</v>
      </c>
      <c r="K176" s="457">
        <v>0</v>
      </c>
      <c r="L176" s="457">
        <v>0</v>
      </c>
      <c r="M176" s="457">
        <v>0</v>
      </c>
      <c r="N176" s="456">
        <v>0</v>
      </c>
      <c r="O176" s="457">
        <v>0</v>
      </c>
      <c r="P176" s="457">
        <v>0</v>
      </c>
      <c r="Q176" s="457">
        <v>0</v>
      </c>
    </row>
    <row r="177" spans="1:17" s="459" customFormat="1" x14ac:dyDescent="0.2">
      <c r="A177" s="455">
        <f t="shared" si="2"/>
        <v>169</v>
      </c>
      <c r="B177" s="456" t="s">
        <v>104</v>
      </c>
      <c r="C177" s="455" t="s">
        <v>62</v>
      </c>
      <c r="D177" s="455"/>
      <c r="E177" s="455" t="s">
        <v>158</v>
      </c>
      <c r="F177" s="456" t="s">
        <v>714</v>
      </c>
      <c r="G177" s="456" t="s">
        <v>706</v>
      </c>
      <c r="H177" s="456">
        <v>0</v>
      </c>
      <c r="I177" s="456">
        <v>0</v>
      </c>
      <c r="J177" s="456">
        <v>0</v>
      </c>
      <c r="K177" s="457">
        <v>0</v>
      </c>
      <c r="L177" s="457">
        <v>0</v>
      </c>
      <c r="M177" s="457">
        <v>0</v>
      </c>
      <c r="N177" s="456">
        <v>1</v>
      </c>
      <c r="O177" s="457">
        <v>3187.89</v>
      </c>
      <c r="P177" s="457">
        <v>3187.89</v>
      </c>
      <c r="Q177" s="457">
        <v>0</v>
      </c>
    </row>
    <row r="178" spans="1:17" s="459" customFormat="1" x14ac:dyDescent="0.2">
      <c r="A178" s="455">
        <f t="shared" si="2"/>
        <v>170</v>
      </c>
      <c r="B178" s="456" t="s">
        <v>621</v>
      </c>
      <c r="C178" s="455" t="s">
        <v>62</v>
      </c>
      <c r="D178" s="455"/>
      <c r="E178" s="455" t="s">
        <v>158</v>
      </c>
      <c r="F178" s="456" t="s">
        <v>715</v>
      </c>
      <c r="G178" s="456" t="s">
        <v>706</v>
      </c>
      <c r="H178" s="456">
        <v>0</v>
      </c>
      <c r="I178" s="456">
        <v>0</v>
      </c>
      <c r="J178" s="456">
        <v>0</v>
      </c>
      <c r="K178" s="457">
        <v>0</v>
      </c>
      <c r="L178" s="457">
        <v>0</v>
      </c>
      <c r="M178" s="457">
        <v>0</v>
      </c>
      <c r="N178" s="456">
        <v>0</v>
      </c>
      <c r="O178" s="457">
        <v>0</v>
      </c>
      <c r="P178" s="457">
        <v>0</v>
      </c>
      <c r="Q178" s="457">
        <v>0</v>
      </c>
    </row>
    <row r="179" spans="1:17" s="464" customFormat="1" x14ac:dyDescent="0.2">
      <c r="A179" s="455">
        <f t="shared" si="2"/>
        <v>171</v>
      </c>
      <c r="B179" s="461" t="s">
        <v>47</v>
      </c>
      <c r="C179" s="461" t="s">
        <v>62</v>
      </c>
      <c r="D179" s="461"/>
      <c r="E179" s="455" t="s">
        <v>677</v>
      </c>
      <c r="F179" s="461" t="s">
        <v>448</v>
      </c>
      <c r="G179" s="461" t="s">
        <v>142</v>
      </c>
      <c r="H179" s="462">
        <v>8</v>
      </c>
      <c r="I179" s="462">
        <v>2</v>
      </c>
      <c r="J179" s="462">
        <v>2</v>
      </c>
      <c r="K179" s="463">
        <v>2522.1</v>
      </c>
      <c r="L179" s="463">
        <v>1233.4000000000001</v>
      </c>
      <c r="M179" s="463">
        <v>1288.7</v>
      </c>
      <c r="N179" s="462">
        <v>24</v>
      </c>
      <c r="O179" s="463">
        <v>43758.62</v>
      </c>
      <c r="P179" s="463">
        <v>42957.33</v>
      </c>
      <c r="Q179" s="463">
        <v>801.29</v>
      </c>
    </row>
    <row r="180" spans="1:17" s="464" customFormat="1" x14ac:dyDescent="0.2">
      <c r="A180" s="455">
        <f t="shared" si="2"/>
        <v>172</v>
      </c>
      <c r="B180" s="461" t="s">
        <v>55</v>
      </c>
      <c r="C180" s="461" t="s">
        <v>62</v>
      </c>
      <c r="D180" s="461"/>
      <c r="E180" s="455" t="s">
        <v>677</v>
      </c>
      <c r="F180" s="461" t="s">
        <v>449</v>
      </c>
      <c r="G180" s="461" t="s">
        <v>142</v>
      </c>
      <c r="H180" s="462">
        <v>9</v>
      </c>
      <c r="I180" s="462">
        <v>4</v>
      </c>
      <c r="J180" s="462">
        <v>4</v>
      </c>
      <c r="K180" s="463">
        <v>4284.1000000000004</v>
      </c>
      <c r="L180" s="463">
        <v>4284.1000000000004</v>
      </c>
      <c r="M180" s="463">
        <v>0</v>
      </c>
      <c r="N180" s="462">
        <v>14</v>
      </c>
      <c r="O180" s="463">
        <v>29300.9</v>
      </c>
      <c r="P180" s="463">
        <v>29300.9</v>
      </c>
      <c r="Q180" s="463">
        <v>0</v>
      </c>
    </row>
    <row r="181" spans="1:17" s="464" customFormat="1" x14ac:dyDescent="0.2">
      <c r="A181" s="455">
        <f t="shared" si="2"/>
        <v>173</v>
      </c>
      <c r="B181" s="461" t="s">
        <v>122</v>
      </c>
      <c r="C181" s="461" t="s">
        <v>62</v>
      </c>
      <c r="D181" s="461"/>
      <c r="E181" s="455" t="s">
        <v>699</v>
      </c>
      <c r="F181" s="461" t="s">
        <v>450</v>
      </c>
      <c r="G181" s="461" t="s">
        <v>142</v>
      </c>
      <c r="H181" s="462">
        <v>5</v>
      </c>
      <c r="I181" s="462">
        <v>2</v>
      </c>
      <c r="J181" s="462">
        <v>2</v>
      </c>
      <c r="K181" s="463">
        <v>2301.25</v>
      </c>
      <c r="L181" s="463">
        <v>2301.25</v>
      </c>
      <c r="M181" s="463">
        <v>0</v>
      </c>
      <c r="N181" s="462">
        <v>6</v>
      </c>
      <c r="O181" s="463">
        <v>13201.89</v>
      </c>
      <c r="P181" s="463">
        <v>13201.89</v>
      </c>
      <c r="Q181" s="463">
        <v>0</v>
      </c>
    </row>
    <row r="182" spans="1:17" s="464" customFormat="1" x14ac:dyDescent="0.2">
      <c r="A182" s="455">
        <f t="shared" si="2"/>
        <v>174</v>
      </c>
      <c r="B182" s="461" t="s">
        <v>144</v>
      </c>
      <c r="C182" s="461" t="s">
        <v>62</v>
      </c>
      <c r="D182" s="461"/>
      <c r="E182" s="455" t="s">
        <v>677</v>
      </c>
      <c r="F182" s="461" t="s">
        <v>451</v>
      </c>
      <c r="G182" s="461" t="s">
        <v>142</v>
      </c>
      <c r="H182" s="462">
        <v>8</v>
      </c>
      <c r="I182" s="462">
        <v>7</v>
      </c>
      <c r="J182" s="462">
        <v>7</v>
      </c>
      <c r="K182" s="463">
        <v>8121.62</v>
      </c>
      <c r="L182" s="463">
        <v>8121.62</v>
      </c>
      <c r="M182" s="463">
        <v>0</v>
      </c>
      <c r="N182" s="462">
        <v>3</v>
      </c>
      <c r="O182" s="463">
        <v>3595.1</v>
      </c>
      <c r="P182" s="463">
        <v>3595.1</v>
      </c>
      <c r="Q182" s="463">
        <v>0</v>
      </c>
    </row>
    <row r="183" spans="1:17" s="464" customFormat="1" x14ac:dyDescent="0.2">
      <c r="A183" s="455">
        <f t="shared" si="2"/>
        <v>175</v>
      </c>
      <c r="B183" s="461" t="s">
        <v>46</v>
      </c>
      <c r="C183" s="461" t="s">
        <v>62</v>
      </c>
      <c r="D183" s="461"/>
      <c r="E183" s="455" t="s">
        <v>678</v>
      </c>
      <c r="F183" s="461" t="s">
        <v>716</v>
      </c>
      <c r="G183" s="461" t="s">
        <v>142</v>
      </c>
      <c r="H183" s="462">
        <v>0</v>
      </c>
      <c r="I183" s="462">
        <v>0</v>
      </c>
      <c r="J183" s="462">
        <v>0</v>
      </c>
      <c r="K183" s="463">
        <v>0</v>
      </c>
      <c r="L183" s="463">
        <v>0</v>
      </c>
      <c r="M183" s="463">
        <v>0</v>
      </c>
      <c r="N183" s="462">
        <v>0</v>
      </c>
      <c r="O183" s="463">
        <v>0</v>
      </c>
      <c r="P183" s="463">
        <v>0</v>
      </c>
      <c r="Q183" s="463">
        <v>0</v>
      </c>
    </row>
    <row r="184" spans="1:17" s="464" customFormat="1" x14ac:dyDescent="0.2">
      <c r="A184" s="455">
        <f t="shared" si="2"/>
        <v>176</v>
      </c>
      <c r="B184" s="461" t="s">
        <v>133</v>
      </c>
      <c r="C184" s="461" t="s">
        <v>67</v>
      </c>
      <c r="D184" s="461" t="s">
        <v>397</v>
      </c>
      <c r="E184" s="455" t="s">
        <v>158</v>
      </c>
      <c r="F184" s="461" t="s">
        <v>717</v>
      </c>
      <c r="G184" s="461" t="s">
        <v>142</v>
      </c>
      <c r="H184" s="462">
        <v>0</v>
      </c>
      <c r="I184" s="465">
        <v>0</v>
      </c>
      <c r="J184" s="465">
        <v>0</v>
      </c>
      <c r="K184" s="466">
        <v>0</v>
      </c>
      <c r="L184" s="466">
        <v>0</v>
      </c>
      <c r="M184" s="466">
        <v>0</v>
      </c>
      <c r="N184" s="462">
        <v>0</v>
      </c>
      <c r="O184" s="463">
        <v>0</v>
      </c>
      <c r="P184" s="463">
        <v>0</v>
      </c>
      <c r="Q184" s="463">
        <v>0</v>
      </c>
    </row>
    <row r="185" spans="1:17" s="464" customFormat="1" x14ac:dyDescent="0.2">
      <c r="A185" s="455">
        <f t="shared" si="2"/>
        <v>177</v>
      </c>
      <c r="B185" s="461" t="s">
        <v>176</v>
      </c>
      <c r="C185" s="461" t="s">
        <v>62</v>
      </c>
      <c r="D185" s="461"/>
      <c r="E185" s="455" t="s">
        <v>677</v>
      </c>
      <c r="F185" s="461" t="s">
        <v>455</v>
      </c>
      <c r="G185" s="461" t="s">
        <v>142</v>
      </c>
      <c r="H185" s="462">
        <v>12</v>
      </c>
      <c r="I185" s="462">
        <v>10</v>
      </c>
      <c r="J185" s="462">
        <v>10</v>
      </c>
      <c r="K185" s="463">
        <v>11360.06</v>
      </c>
      <c r="L185" s="463">
        <v>11360.06</v>
      </c>
      <c r="M185" s="463">
        <v>0</v>
      </c>
      <c r="N185" s="462">
        <v>0</v>
      </c>
      <c r="O185" s="463">
        <v>0</v>
      </c>
      <c r="P185" s="463">
        <v>0</v>
      </c>
      <c r="Q185" s="463">
        <v>0</v>
      </c>
    </row>
    <row r="186" spans="1:17" s="464" customFormat="1" x14ac:dyDescent="0.2">
      <c r="A186" s="455">
        <f t="shared" si="2"/>
        <v>178</v>
      </c>
      <c r="B186" s="461" t="s">
        <v>235</v>
      </c>
      <c r="C186" s="461" t="s">
        <v>62</v>
      </c>
      <c r="D186" s="461"/>
      <c r="E186" s="455" t="s">
        <v>693</v>
      </c>
      <c r="F186" s="461" t="s">
        <v>457</v>
      </c>
      <c r="G186" s="461" t="s">
        <v>142</v>
      </c>
      <c r="H186" s="465">
        <v>4</v>
      </c>
      <c r="I186" s="465">
        <v>3</v>
      </c>
      <c r="J186" s="465">
        <v>3</v>
      </c>
      <c r="K186" s="466">
        <v>2269.65</v>
      </c>
      <c r="L186" s="466">
        <v>2269.65</v>
      </c>
      <c r="M186" s="466">
        <v>0</v>
      </c>
      <c r="N186" s="462">
        <v>0</v>
      </c>
      <c r="O186" s="463">
        <v>0</v>
      </c>
      <c r="P186" s="463">
        <v>0</v>
      </c>
      <c r="Q186" s="463">
        <v>0</v>
      </c>
    </row>
    <row r="187" spans="1:17" s="464" customFormat="1" x14ac:dyDescent="0.2">
      <c r="A187" s="455">
        <f t="shared" si="2"/>
        <v>179</v>
      </c>
      <c r="B187" s="461" t="s">
        <v>251</v>
      </c>
      <c r="C187" s="461" t="s">
        <v>62</v>
      </c>
      <c r="D187" s="461"/>
      <c r="E187" s="455" t="s">
        <v>677</v>
      </c>
      <c r="F187" s="461" t="s">
        <v>458</v>
      </c>
      <c r="G187" s="461" t="s">
        <v>142</v>
      </c>
      <c r="H187" s="462">
        <v>6</v>
      </c>
      <c r="I187" s="462">
        <v>3</v>
      </c>
      <c r="J187" s="462">
        <v>3</v>
      </c>
      <c r="K187" s="463">
        <v>3434.7</v>
      </c>
      <c r="L187" s="463">
        <v>3434.7</v>
      </c>
      <c r="M187" s="463">
        <v>0</v>
      </c>
      <c r="N187" s="462">
        <v>0</v>
      </c>
      <c r="O187" s="463">
        <v>0</v>
      </c>
      <c r="P187" s="463">
        <v>0</v>
      </c>
      <c r="Q187" s="463">
        <v>0</v>
      </c>
    </row>
    <row r="188" spans="1:17" s="464" customFormat="1" x14ac:dyDescent="0.2">
      <c r="A188" s="455">
        <f t="shared" si="2"/>
        <v>180</v>
      </c>
      <c r="B188" s="461" t="s">
        <v>30</v>
      </c>
      <c r="C188" s="461" t="s">
        <v>62</v>
      </c>
      <c r="D188" s="461"/>
      <c r="E188" s="455" t="s">
        <v>686</v>
      </c>
      <c r="F188" s="461" t="s">
        <v>460</v>
      </c>
      <c r="G188" s="461" t="s">
        <v>142</v>
      </c>
      <c r="H188" s="462">
        <v>1</v>
      </c>
      <c r="I188" s="462">
        <v>0</v>
      </c>
      <c r="J188" s="462">
        <v>0</v>
      </c>
      <c r="K188" s="463">
        <v>0</v>
      </c>
      <c r="L188" s="463">
        <v>0</v>
      </c>
      <c r="M188" s="463">
        <v>0</v>
      </c>
      <c r="N188" s="462">
        <v>0</v>
      </c>
      <c r="O188" s="463">
        <v>0</v>
      </c>
      <c r="P188" s="463">
        <v>0</v>
      </c>
      <c r="Q188" s="463">
        <v>0</v>
      </c>
    </row>
    <row r="189" spans="1:17" s="464" customFormat="1" x14ac:dyDescent="0.2">
      <c r="A189" s="455">
        <f t="shared" si="2"/>
        <v>181</v>
      </c>
      <c r="B189" s="461" t="s">
        <v>35</v>
      </c>
      <c r="C189" s="461" t="s">
        <v>62</v>
      </c>
      <c r="D189" s="461"/>
      <c r="E189" s="455" t="s">
        <v>690</v>
      </c>
      <c r="F189" s="461" t="s">
        <v>462</v>
      </c>
      <c r="G189" s="461" t="s">
        <v>142</v>
      </c>
      <c r="H189" s="462">
        <v>1</v>
      </c>
      <c r="I189" s="462">
        <v>0</v>
      </c>
      <c r="J189" s="462">
        <v>0</v>
      </c>
      <c r="K189" s="463">
        <v>0</v>
      </c>
      <c r="L189" s="463">
        <v>0</v>
      </c>
      <c r="M189" s="463">
        <v>0</v>
      </c>
      <c r="N189" s="462">
        <v>0</v>
      </c>
      <c r="O189" s="463">
        <v>0</v>
      </c>
      <c r="P189" s="463">
        <v>0</v>
      </c>
      <c r="Q189" s="463">
        <v>0</v>
      </c>
    </row>
    <row r="190" spans="1:17" s="464" customFormat="1" x14ac:dyDescent="0.2">
      <c r="A190" s="455">
        <f t="shared" si="2"/>
        <v>182</v>
      </c>
      <c r="B190" s="461" t="s">
        <v>134</v>
      </c>
      <c r="C190" s="461" t="s">
        <v>62</v>
      </c>
      <c r="D190" s="461"/>
      <c r="E190" s="455" t="s">
        <v>158</v>
      </c>
      <c r="F190" s="461" t="s">
        <v>408</v>
      </c>
      <c r="G190" s="461" t="s">
        <v>718</v>
      </c>
      <c r="H190" s="465">
        <v>26</v>
      </c>
      <c r="I190" s="465">
        <v>11</v>
      </c>
      <c r="J190" s="465">
        <v>11</v>
      </c>
      <c r="K190" s="466">
        <v>11668.56</v>
      </c>
      <c r="L190" s="466">
        <v>9901.2000000000007</v>
      </c>
      <c r="M190" s="467">
        <f t="shared" ref="M190:M238" si="3">K190-L190</f>
        <v>1767.3599999999988</v>
      </c>
      <c r="N190" s="465">
        <v>10</v>
      </c>
      <c r="O190" s="466">
        <v>24976.5</v>
      </c>
      <c r="P190" s="466">
        <v>16876.099999999999</v>
      </c>
      <c r="Q190" s="466">
        <f t="shared" ref="Q190:Q238" si="4">O190-P190</f>
        <v>8100.4000000000015</v>
      </c>
    </row>
    <row r="191" spans="1:17" s="464" customFormat="1" x14ac:dyDescent="0.2">
      <c r="A191" s="455">
        <f t="shared" si="2"/>
        <v>183</v>
      </c>
      <c r="B191" s="461" t="s">
        <v>335</v>
      </c>
      <c r="C191" s="461" t="s">
        <v>62</v>
      </c>
      <c r="D191" s="461"/>
      <c r="E191" s="455" t="s">
        <v>158</v>
      </c>
      <c r="F191" s="461" t="s">
        <v>410</v>
      </c>
      <c r="G191" s="461" t="s">
        <v>718</v>
      </c>
      <c r="H191" s="465">
        <v>16</v>
      </c>
      <c r="I191" s="465">
        <v>2</v>
      </c>
      <c r="J191" s="465">
        <v>2</v>
      </c>
      <c r="K191" s="466">
        <v>8050.29</v>
      </c>
      <c r="L191" s="466">
        <v>5675.4</v>
      </c>
      <c r="M191" s="467">
        <f t="shared" si="3"/>
        <v>2374.8900000000003</v>
      </c>
      <c r="N191" s="465">
        <v>13</v>
      </c>
      <c r="O191" s="466">
        <v>20140.7</v>
      </c>
      <c r="P191" s="466">
        <v>19588.400000000001</v>
      </c>
      <c r="Q191" s="466">
        <f t="shared" si="4"/>
        <v>552.29999999999927</v>
      </c>
    </row>
    <row r="192" spans="1:17" s="464" customFormat="1" x14ac:dyDescent="0.2">
      <c r="A192" s="455">
        <f t="shared" si="2"/>
        <v>184</v>
      </c>
      <c r="B192" s="461" t="s">
        <v>46</v>
      </c>
      <c r="C192" s="461" t="s">
        <v>62</v>
      </c>
      <c r="D192" s="461"/>
      <c r="E192" s="455" t="s">
        <v>678</v>
      </c>
      <c r="F192" s="461" t="s">
        <v>411</v>
      </c>
      <c r="G192" s="461" t="s">
        <v>718</v>
      </c>
      <c r="H192" s="465">
        <v>38</v>
      </c>
      <c r="I192" s="465">
        <v>25</v>
      </c>
      <c r="J192" s="465">
        <v>25</v>
      </c>
      <c r="K192" s="466">
        <v>43817.5</v>
      </c>
      <c r="L192" s="466">
        <v>39583.199999999997</v>
      </c>
      <c r="M192" s="467">
        <f t="shared" si="3"/>
        <v>4234.3000000000029</v>
      </c>
      <c r="N192" s="465">
        <v>22</v>
      </c>
      <c r="O192" s="466">
        <v>36901.160000000003</v>
      </c>
      <c r="P192" s="466">
        <v>32130.52</v>
      </c>
      <c r="Q192" s="466">
        <f t="shared" si="4"/>
        <v>4770.6400000000031</v>
      </c>
    </row>
    <row r="193" spans="1:17" s="464" customFormat="1" x14ac:dyDescent="0.2">
      <c r="A193" s="455">
        <f t="shared" si="2"/>
        <v>185</v>
      </c>
      <c r="B193" s="461" t="s">
        <v>36</v>
      </c>
      <c r="C193" s="461" t="s">
        <v>62</v>
      </c>
      <c r="D193" s="461"/>
      <c r="E193" s="455" t="s">
        <v>158</v>
      </c>
      <c r="F193" s="461" t="s">
        <v>412</v>
      </c>
      <c r="G193" s="461" t="s">
        <v>718</v>
      </c>
      <c r="H193" s="465">
        <v>27</v>
      </c>
      <c r="I193" s="465">
        <v>20</v>
      </c>
      <c r="J193" s="465">
        <v>20</v>
      </c>
      <c r="K193" s="466">
        <v>36461.949999999997</v>
      </c>
      <c r="L193" s="466">
        <v>33884.550000000003</v>
      </c>
      <c r="M193" s="467">
        <f t="shared" si="3"/>
        <v>2577.3999999999942</v>
      </c>
      <c r="N193" s="465">
        <v>24</v>
      </c>
      <c r="O193" s="466">
        <v>66160.12</v>
      </c>
      <c r="P193" s="466">
        <v>61373.52</v>
      </c>
      <c r="Q193" s="466">
        <f t="shared" si="4"/>
        <v>4786.5999999999985</v>
      </c>
    </row>
    <row r="194" spans="1:17" s="464" customFormat="1" x14ac:dyDescent="0.2">
      <c r="A194" s="455">
        <f t="shared" si="2"/>
        <v>186</v>
      </c>
      <c r="B194" s="461" t="s">
        <v>27</v>
      </c>
      <c r="C194" s="461" t="s">
        <v>62</v>
      </c>
      <c r="D194" s="461"/>
      <c r="E194" s="455" t="s">
        <v>158</v>
      </c>
      <c r="F194" s="461" t="s">
        <v>413</v>
      </c>
      <c r="G194" s="461" t="s">
        <v>718</v>
      </c>
      <c r="H194" s="465">
        <v>10</v>
      </c>
      <c r="I194" s="465">
        <v>7</v>
      </c>
      <c r="J194" s="465">
        <v>7</v>
      </c>
      <c r="K194" s="466">
        <v>13369.02</v>
      </c>
      <c r="L194" s="466">
        <v>11514.02</v>
      </c>
      <c r="M194" s="467">
        <f t="shared" si="3"/>
        <v>1855</v>
      </c>
      <c r="N194" s="465">
        <v>10</v>
      </c>
      <c r="O194" s="466">
        <v>19563.2</v>
      </c>
      <c r="P194" s="466">
        <v>19563.2</v>
      </c>
      <c r="Q194" s="466">
        <f t="shared" si="4"/>
        <v>0</v>
      </c>
    </row>
    <row r="195" spans="1:17" s="464" customFormat="1" x14ac:dyDescent="0.2">
      <c r="A195" s="455">
        <f t="shared" si="2"/>
        <v>187</v>
      </c>
      <c r="B195" s="461" t="s">
        <v>28</v>
      </c>
      <c r="C195" s="461" t="s">
        <v>62</v>
      </c>
      <c r="D195" s="461"/>
      <c r="E195" s="455" t="s">
        <v>158</v>
      </c>
      <c r="F195" s="461" t="s">
        <v>414</v>
      </c>
      <c r="G195" s="461" t="s">
        <v>718</v>
      </c>
      <c r="H195" s="465">
        <v>29</v>
      </c>
      <c r="I195" s="465">
        <v>20</v>
      </c>
      <c r="J195" s="465">
        <v>20</v>
      </c>
      <c r="K195" s="466">
        <v>30017.47</v>
      </c>
      <c r="L195" s="466">
        <v>28728.77</v>
      </c>
      <c r="M195" s="467">
        <f t="shared" si="3"/>
        <v>1288.7000000000007</v>
      </c>
      <c r="N195" s="465">
        <v>15</v>
      </c>
      <c r="O195" s="466">
        <v>24923.55</v>
      </c>
      <c r="P195" s="466">
        <v>18572.099999999999</v>
      </c>
      <c r="Q195" s="466">
        <f t="shared" si="4"/>
        <v>6351.4500000000007</v>
      </c>
    </row>
    <row r="196" spans="1:17" s="464" customFormat="1" x14ac:dyDescent="0.2">
      <c r="A196" s="455">
        <f t="shared" si="2"/>
        <v>188</v>
      </c>
      <c r="B196" s="468" t="s">
        <v>246</v>
      </c>
      <c r="C196" s="468" t="s">
        <v>62</v>
      </c>
      <c r="D196" s="468"/>
      <c r="E196" s="455" t="s">
        <v>158</v>
      </c>
      <c r="F196" s="468" t="s">
        <v>415</v>
      </c>
      <c r="G196" s="461" t="s">
        <v>718</v>
      </c>
      <c r="H196" s="465">
        <v>26</v>
      </c>
      <c r="I196" s="465">
        <v>7</v>
      </c>
      <c r="J196" s="465">
        <v>7</v>
      </c>
      <c r="K196" s="466">
        <v>7611.84</v>
      </c>
      <c r="L196" s="466">
        <v>6907.04</v>
      </c>
      <c r="M196" s="467">
        <f t="shared" si="3"/>
        <v>704.80000000000018</v>
      </c>
      <c r="N196" s="465">
        <v>0</v>
      </c>
      <c r="O196" s="466">
        <v>0</v>
      </c>
      <c r="P196" s="466">
        <v>0</v>
      </c>
      <c r="Q196" s="466">
        <f t="shared" si="4"/>
        <v>0</v>
      </c>
    </row>
    <row r="197" spans="1:17" s="464" customFormat="1" x14ac:dyDescent="0.2">
      <c r="A197" s="455">
        <f t="shared" si="2"/>
        <v>189</v>
      </c>
      <c r="B197" s="461" t="s">
        <v>330</v>
      </c>
      <c r="C197" s="468" t="s">
        <v>62</v>
      </c>
      <c r="D197" s="468"/>
      <c r="E197" s="455" t="s">
        <v>158</v>
      </c>
      <c r="F197" s="468" t="s">
        <v>416</v>
      </c>
      <c r="G197" s="461" t="s">
        <v>718</v>
      </c>
      <c r="H197" s="465">
        <v>7</v>
      </c>
      <c r="I197" s="465">
        <v>2</v>
      </c>
      <c r="J197" s="465">
        <v>2</v>
      </c>
      <c r="K197" s="466">
        <v>4050.2</v>
      </c>
      <c r="L197" s="466">
        <v>1841</v>
      </c>
      <c r="M197" s="467">
        <f t="shared" si="3"/>
        <v>2209.1999999999998</v>
      </c>
      <c r="N197" s="465">
        <v>0</v>
      </c>
      <c r="O197" s="466">
        <v>0</v>
      </c>
      <c r="P197" s="466">
        <v>0</v>
      </c>
      <c r="Q197" s="466">
        <f t="shared" si="4"/>
        <v>0</v>
      </c>
    </row>
    <row r="198" spans="1:17" s="464" customFormat="1" x14ac:dyDescent="0.2">
      <c r="A198" s="455">
        <f t="shared" si="2"/>
        <v>190</v>
      </c>
      <c r="B198" s="461" t="s">
        <v>402</v>
      </c>
      <c r="C198" s="468" t="s">
        <v>62</v>
      </c>
      <c r="D198" s="468"/>
      <c r="E198" s="455" t="s">
        <v>158</v>
      </c>
      <c r="F198" s="468" t="s">
        <v>417</v>
      </c>
      <c r="G198" s="461" t="s">
        <v>718</v>
      </c>
      <c r="H198" s="465">
        <v>21</v>
      </c>
      <c r="I198" s="465">
        <v>14</v>
      </c>
      <c r="J198" s="465">
        <v>14</v>
      </c>
      <c r="K198" s="466">
        <v>28917.64</v>
      </c>
      <c r="L198" s="466">
        <v>25256.639999999999</v>
      </c>
      <c r="M198" s="467">
        <f t="shared" si="3"/>
        <v>3661</v>
      </c>
      <c r="N198" s="465">
        <v>0</v>
      </c>
      <c r="O198" s="466">
        <v>0</v>
      </c>
      <c r="P198" s="466">
        <v>0</v>
      </c>
      <c r="Q198" s="466">
        <f t="shared" si="4"/>
        <v>0</v>
      </c>
    </row>
    <row r="199" spans="1:17" s="464" customFormat="1" x14ac:dyDescent="0.2">
      <c r="A199" s="455">
        <f t="shared" si="2"/>
        <v>191</v>
      </c>
      <c r="B199" s="461" t="s">
        <v>154</v>
      </c>
      <c r="C199" s="468" t="s">
        <v>62</v>
      </c>
      <c r="D199" s="468"/>
      <c r="E199" s="455" t="s">
        <v>158</v>
      </c>
      <c r="F199" s="468" t="s">
        <v>418</v>
      </c>
      <c r="G199" s="461" t="s">
        <v>718</v>
      </c>
      <c r="H199" s="465">
        <v>9</v>
      </c>
      <c r="I199" s="465">
        <v>1</v>
      </c>
      <c r="J199" s="465">
        <v>1</v>
      </c>
      <c r="K199" s="466">
        <v>925.05</v>
      </c>
      <c r="L199" s="466">
        <v>925.05</v>
      </c>
      <c r="M199" s="467">
        <f t="shared" si="3"/>
        <v>0</v>
      </c>
      <c r="N199" s="465">
        <v>8</v>
      </c>
      <c r="O199" s="466">
        <v>13569.2</v>
      </c>
      <c r="P199" s="466">
        <v>13569.2</v>
      </c>
      <c r="Q199" s="466">
        <f t="shared" si="4"/>
        <v>0</v>
      </c>
    </row>
    <row r="200" spans="1:17" s="464" customFormat="1" x14ac:dyDescent="0.2">
      <c r="A200" s="455">
        <f t="shared" si="2"/>
        <v>192</v>
      </c>
      <c r="B200" s="461" t="s">
        <v>153</v>
      </c>
      <c r="C200" s="468" t="s">
        <v>62</v>
      </c>
      <c r="D200" s="468"/>
      <c r="E200" s="455" t="s">
        <v>158</v>
      </c>
      <c r="F200" s="468" t="s">
        <v>419</v>
      </c>
      <c r="G200" s="461" t="s">
        <v>718</v>
      </c>
      <c r="H200" s="465">
        <v>4</v>
      </c>
      <c r="I200" s="465">
        <v>1</v>
      </c>
      <c r="J200" s="465">
        <v>1</v>
      </c>
      <c r="K200" s="466">
        <v>1635.8</v>
      </c>
      <c r="L200" s="466">
        <v>1635.8</v>
      </c>
      <c r="M200" s="467">
        <f t="shared" si="3"/>
        <v>0</v>
      </c>
      <c r="N200" s="465">
        <v>18</v>
      </c>
      <c r="O200" s="466">
        <v>63052.81</v>
      </c>
      <c r="P200" s="466">
        <v>63052.81</v>
      </c>
      <c r="Q200" s="466">
        <f t="shared" si="4"/>
        <v>0</v>
      </c>
    </row>
    <row r="201" spans="1:17" s="464" customFormat="1" x14ac:dyDescent="0.2">
      <c r="A201" s="455">
        <f t="shared" si="2"/>
        <v>193</v>
      </c>
      <c r="B201" s="461" t="s">
        <v>89</v>
      </c>
      <c r="C201" s="468" t="s">
        <v>62</v>
      </c>
      <c r="D201" s="468"/>
      <c r="E201" s="455" t="s">
        <v>158</v>
      </c>
      <c r="F201" s="468" t="s">
        <v>420</v>
      </c>
      <c r="G201" s="461" t="s">
        <v>718</v>
      </c>
      <c r="H201" s="465">
        <v>14</v>
      </c>
      <c r="I201" s="465">
        <v>7</v>
      </c>
      <c r="J201" s="465">
        <v>7</v>
      </c>
      <c r="K201" s="466">
        <v>11093.25</v>
      </c>
      <c r="L201" s="466">
        <v>9804.5499999999993</v>
      </c>
      <c r="M201" s="467">
        <f t="shared" si="3"/>
        <v>1288.7000000000007</v>
      </c>
      <c r="N201" s="465">
        <v>4</v>
      </c>
      <c r="O201" s="466">
        <v>12828.6</v>
      </c>
      <c r="P201" s="466">
        <v>12828.6</v>
      </c>
      <c r="Q201" s="466">
        <f t="shared" si="4"/>
        <v>0</v>
      </c>
    </row>
    <row r="202" spans="1:17" s="464" customFormat="1" x14ac:dyDescent="0.2">
      <c r="A202" s="455">
        <f t="shared" si="2"/>
        <v>194</v>
      </c>
      <c r="B202" s="461" t="s">
        <v>379</v>
      </c>
      <c r="C202" s="468" t="s">
        <v>62</v>
      </c>
      <c r="D202" s="468"/>
      <c r="E202" s="455" t="s">
        <v>158</v>
      </c>
      <c r="F202" s="468" t="s">
        <v>421</v>
      </c>
      <c r="G202" s="461" t="s">
        <v>718</v>
      </c>
      <c r="H202" s="465">
        <v>9</v>
      </c>
      <c r="I202" s="465">
        <v>5</v>
      </c>
      <c r="J202" s="465">
        <v>5</v>
      </c>
      <c r="K202" s="466">
        <v>6120.15</v>
      </c>
      <c r="L202" s="466">
        <v>6120.15</v>
      </c>
      <c r="M202" s="467">
        <f t="shared" si="3"/>
        <v>0</v>
      </c>
      <c r="N202" s="465">
        <v>0</v>
      </c>
      <c r="O202" s="466">
        <v>0</v>
      </c>
      <c r="P202" s="466">
        <v>0</v>
      </c>
      <c r="Q202" s="466">
        <f t="shared" si="4"/>
        <v>0</v>
      </c>
    </row>
    <row r="203" spans="1:17" s="464" customFormat="1" x14ac:dyDescent="0.2">
      <c r="A203" s="455">
        <f t="shared" ref="A203:A266" si="5">A202+1</f>
        <v>195</v>
      </c>
      <c r="B203" s="461" t="s">
        <v>264</v>
      </c>
      <c r="C203" s="468" t="s">
        <v>62</v>
      </c>
      <c r="D203" s="468"/>
      <c r="E203" s="455" t="s">
        <v>158</v>
      </c>
      <c r="F203" s="468" t="s">
        <v>422</v>
      </c>
      <c r="G203" s="461" t="s">
        <v>718</v>
      </c>
      <c r="H203" s="465">
        <v>3</v>
      </c>
      <c r="I203" s="465">
        <v>0</v>
      </c>
      <c r="J203" s="465">
        <v>0</v>
      </c>
      <c r="K203" s="466">
        <v>0</v>
      </c>
      <c r="L203" s="466">
        <v>0</v>
      </c>
      <c r="M203" s="467">
        <f t="shared" si="3"/>
        <v>0</v>
      </c>
      <c r="N203" s="465">
        <v>0</v>
      </c>
      <c r="O203" s="466">
        <v>0</v>
      </c>
      <c r="P203" s="466">
        <v>0</v>
      </c>
      <c r="Q203" s="466">
        <f t="shared" si="4"/>
        <v>0</v>
      </c>
    </row>
    <row r="204" spans="1:17" s="464" customFormat="1" ht="25.5" x14ac:dyDescent="0.2">
      <c r="A204" s="455">
        <f t="shared" si="5"/>
        <v>196</v>
      </c>
      <c r="B204" s="461" t="s">
        <v>475</v>
      </c>
      <c r="C204" s="468" t="s">
        <v>67</v>
      </c>
      <c r="D204" s="461" t="s">
        <v>123</v>
      </c>
      <c r="E204" s="455" t="s">
        <v>158</v>
      </c>
      <c r="F204" s="468" t="s">
        <v>423</v>
      </c>
      <c r="G204" s="461" t="s">
        <v>718</v>
      </c>
      <c r="H204" s="465">
        <v>3</v>
      </c>
      <c r="I204" s="465">
        <v>0</v>
      </c>
      <c r="J204" s="465">
        <v>0</v>
      </c>
      <c r="K204" s="466">
        <v>0</v>
      </c>
      <c r="L204" s="466">
        <v>0</v>
      </c>
      <c r="M204" s="467">
        <f t="shared" si="3"/>
        <v>0</v>
      </c>
      <c r="N204" s="465">
        <v>0</v>
      </c>
      <c r="O204" s="466">
        <v>0</v>
      </c>
      <c r="P204" s="466">
        <v>0</v>
      </c>
      <c r="Q204" s="466">
        <f t="shared" si="4"/>
        <v>0</v>
      </c>
    </row>
    <row r="205" spans="1:17" s="464" customFormat="1" x14ac:dyDescent="0.2">
      <c r="A205" s="455">
        <f t="shared" si="5"/>
        <v>197</v>
      </c>
      <c r="B205" s="461" t="s">
        <v>137</v>
      </c>
      <c r="C205" s="468" t="s">
        <v>62</v>
      </c>
      <c r="D205" s="468"/>
      <c r="E205" s="455" t="s">
        <v>158</v>
      </c>
      <c r="F205" s="468" t="s">
        <v>424</v>
      </c>
      <c r="G205" s="461" t="s">
        <v>718</v>
      </c>
      <c r="H205" s="465">
        <v>5</v>
      </c>
      <c r="I205" s="465">
        <v>2</v>
      </c>
      <c r="J205" s="465">
        <v>2</v>
      </c>
      <c r="K205" s="466">
        <v>2243.8200000000002</v>
      </c>
      <c r="L205" s="466">
        <v>1691.52</v>
      </c>
      <c r="M205" s="467">
        <f t="shared" si="3"/>
        <v>552.30000000000018</v>
      </c>
      <c r="N205" s="465">
        <v>1</v>
      </c>
      <c r="O205" s="466">
        <v>2393.3000000000002</v>
      </c>
      <c r="P205" s="466">
        <v>0</v>
      </c>
      <c r="Q205" s="466">
        <f t="shared" si="4"/>
        <v>2393.3000000000002</v>
      </c>
    </row>
    <row r="206" spans="1:17" s="464" customFormat="1" x14ac:dyDescent="0.2">
      <c r="A206" s="455">
        <f t="shared" si="5"/>
        <v>198</v>
      </c>
      <c r="B206" s="461" t="s">
        <v>173</v>
      </c>
      <c r="C206" s="468" t="s">
        <v>67</v>
      </c>
      <c r="D206" s="468" t="s">
        <v>425</v>
      </c>
      <c r="E206" s="455" t="s">
        <v>158</v>
      </c>
      <c r="F206" s="468" t="s">
        <v>426</v>
      </c>
      <c r="G206" s="461" t="s">
        <v>718</v>
      </c>
      <c r="H206" s="465">
        <v>13</v>
      </c>
      <c r="I206" s="465">
        <v>8</v>
      </c>
      <c r="J206" s="465">
        <v>8</v>
      </c>
      <c r="K206" s="466">
        <v>13701.62</v>
      </c>
      <c r="L206" s="466">
        <v>7429.36</v>
      </c>
      <c r="M206" s="467">
        <f t="shared" si="3"/>
        <v>6272.2600000000011</v>
      </c>
      <c r="N206" s="465">
        <v>0</v>
      </c>
      <c r="O206" s="466">
        <v>0</v>
      </c>
      <c r="P206" s="466">
        <v>0</v>
      </c>
      <c r="Q206" s="466">
        <f t="shared" si="4"/>
        <v>0</v>
      </c>
    </row>
    <row r="207" spans="1:17" s="464" customFormat="1" x14ac:dyDescent="0.2">
      <c r="A207" s="455">
        <f t="shared" si="5"/>
        <v>199</v>
      </c>
      <c r="B207" s="461" t="s">
        <v>135</v>
      </c>
      <c r="C207" s="468" t="s">
        <v>62</v>
      </c>
      <c r="D207" s="468"/>
      <c r="E207" s="455" t="s">
        <v>158</v>
      </c>
      <c r="F207" s="468" t="s">
        <v>427</v>
      </c>
      <c r="G207" s="461" t="s">
        <v>718</v>
      </c>
      <c r="H207" s="465">
        <v>5</v>
      </c>
      <c r="I207" s="465">
        <v>2</v>
      </c>
      <c r="J207" s="465">
        <v>2</v>
      </c>
      <c r="K207" s="466">
        <v>2396.3200000000002</v>
      </c>
      <c r="L207" s="466">
        <v>2396.3200000000002</v>
      </c>
      <c r="M207" s="467">
        <f t="shared" si="3"/>
        <v>0</v>
      </c>
      <c r="N207" s="465">
        <v>10</v>
      </c>
      <c r="O207" s="466">
        <v>21917.97</v>
      </c>
      <c r="P207" s="466">
        <v>16256.42</v>
      </c>
      <c r="Q207" s="466">
        <f t="shared" si="4"/>
        <v>5661.5500000000011</v>
      </c>
    </row>
    <row r="208" spans="1:17" s="464" customFormat="1" x14ac:dyDescent="0.2">
      <c r="A208" s="455">
        <f t="shared" si="5"/>
        <v>200</v>
      </c>
      <c r="B208" s="461" t="s">
        <v>148</v>
      </c>
      <c r="C208" s="468" t="s">
        <v>62</v>
      </c>
      <c r="D208" s="468"/>
      <c r="E208" s="461" t="s">
        <v>719</v>
      </c>
      <c r="F208" s="468" t="s">
        <v>375</v>
      </c>
      <c r="G208" s="461" t="s">
        <v>718</v>
      </c>
      <c r="H208" s="465">
        <v>22</v>
      </c>
      <c r="I208" s="465">
        <v>20</v>
      </c>
      <c r="J208" s="465">
        <v>20</v>
      </c>
      <c r="K208" s="466">
        <v>58526.37</v>
      </c>
      <c r="L208" s="466">
        <v>37502.15</v>
      </c>
      <c r="M208" s="467">
        <f t="shared" si="3"/>
        <v>21024.22</v>
      </c>
      <c r="N208" s="465">
        <v>30</v>
      </c>
      <c r="O208" s="466">
        <v>92970.89</v>
      </c>
      <c r="P208" s="466">
        <v>92418.59</v>
      </c>
      <c r="Q208" s="466">
        <f t="shared" si="4"/>
        <v>552.30000000000291</v>
      </c>
    </row>
    <row r="209" spans="1:17" s="464" customFormat="1" x14ac:dyDescent="0.2">
      <c r="A209" s="455">
        <f t="shared" si="5"/>
        <v>201</v>
      </c>
      <c r="B209" s="461" t="s">
        <v>147</v>
      </c>
      <c r="C209" s="468" t="s">
        <v>62</v>
      </c>
      <c r="D209" s="468"/>
      <c r="E209" s="455" t="s">
        <v>158</v>
      </c>
      <c r="F209" s="468" t="s">
        <v>331</v>
      </c>
      <c r="G209" s="461" t="s">
        <v>718</v>
      </c>
      <c r="H209" s="465">
        <v>8</v>
      </c>
      <c r="I209" s="465">
        <v>2</v>
      </c>
      <c r="J209" s="465">
        <v>2</v>
      </c>
      <c r="K209" s="466">
        <v>4915.3999999999996</v>
      </c>
      <c r="L209" s="466">
        <v>4915.3999999999996</v>
      </c>
      <c r="M209" s="467">
        <f t="shared" si="3"/>
        <v>0</v>
      </c>
      <c r="N209" s="465">
        <v>10</v>
      </c>
      <c r="O209" s="466">
        <v>22395.4</v>
      </c>
      <c r="P209" s="466">
        <v>22395.4</v>
      </c>
      <c r="Q209" s="466">
        <f t="shared" si="4"/>
        <v>0</v>
      </c>
    </row>
    <row r="210" spans="1:17" s="464" customFormat="1" x14ac:dyDescent="0.2">
      <c r="A210" s="455">
        <f t="shared" si="5"/>
        <v>202</v>
      </c>
      <c r="B210" s="461" t="s">
        <v>124</v>
      </c>
      <c r="C210" s="468" t="s">
        <v>62</v>
      </c>
      <c r="D210" s="468"/>
      <c r="E210" s="461" t="s">
        <v>720</v>
      </c>
      <c r="F210" s="468" t="s">
        <v>329</v>
      </c>
      <c r="G210" s="461" t="s">
        <v>718</v>
      </c>
      <c r="H210" s="465">
        <v>17</v>
      </c>
      <c r="I210" s="465">
        <v>11</v>
      </c>
      <c r="J210" s="465">
        <v>11</v>
      </c>
      <c r="K210" s="466">
        <v>14887.37</v>
      </c>
      <c r="L210" s="466">
        <v>14887.37</v>
      </c>
      <c r="M210" s="467">
        <f t="shared" si="3"/>
        <v>0</v>
      </c>
      <c r="N210" s="465">
        <v>26</v>
      </c>
      <c r="O210" s="466">
        <v>35829.449999999997</v>
      </c>
      <c r="P210" s="466">
        <v>35829.449999999997</v>
      </c>
      <c r="Q210" s="466">
        <f t="shared" si="4"/>
        <v>0</v>
      </c>
    </row>
    <row r="211" spans="1:17" s="464" customFormat="1" x14ac:dyDescent="0.2">
      <c r="A211" s="455">
        <f t="shared" si="5"/>
        <v>203</v>
      </c>
      <c r="B211" s="461" t="s">
        <v>168</v>
      </c>
      <c r="C211" s="468" t="s">
        <v>62</v>
      </c>
      <c r="D211" s="468"/>
      <c r="E211" s="468" t="s">
        <v>371</v>
      </c>
      <c r="F211" s="468" t="s">
        <v>353</v>
      </c>
      <c r="G211" s="461" t="s">
        <v>718</v>
      </c>
      <c r="H211" s="465">
        <v>7</v>
      </c>
      <c r="I211" s="465">
        <v>1</v>
      </c>
      <c r="J211" s="465">
        <v>1</v>
      </c>
      <c r="K211" s="466">
        <v>1409.6</v>
      </c>
      <c r="L211" s="466">
        <v>1409.6</v>
      </c>
      <c r="M211" s="467">
        <f t="shared" si="3"/>
        <v>0</v>
      </c>
      <c r="N211" s="465">
        <v>0</v>
      </c>
      <c r="O211" s="466">
        <v>0</v>
      </c>
      <c r="P211" s="466">
        <v>0</v>
      </c>
      <c r="Q211" s="466">
        <f t="shared" si="4"/>
        <v>0</v>
      </c>
    </row>
    <row r="212" spans="1:17" s="464" customFormat="1" x14ac:dyDescent="0.2">
      <c r="A212" s="455">
        <f t="shared" si="5"/>
        <v>204</v>
      </c>
      <c r="B212" s="461" t="s">
        <v>429</v>
      </c>
      <c r="C212" s="468" t="s">
        <v>62</v>
      </c>
      <c r="D212" s="468"/>
      <c r="E212" s="455" t="s">
        <v>158</v>
      </c>
      <c r="F212" s="468" t="s">
        <v>430</v>
      </c>
      <c r="G212" s="461" t="s">
        <v>718</v>
      </c>
      <c r="H212" s="465">
        <v>8</v>
      </c>
      <c r="I212" s="465">
        <v>3</v>
      </c>
      <c r="J212" s="465">
        <v>3</v>
      </c>
      <c r="K212" s="466">
        <v>5178.84</v>
      </c>
      <c r="L212" s="466">
        <v>5178.84</v>
      </c>
      <c r="M212" s="467">
        <f t="shared" si="3"/>
        <v>0</v>
      </c>
      <c r="N212" s="465">
        <v>7</v>
      </c>
      <c r="O212" s="466">
        <v>6995.76</v>
      </c>
      <c r="P212" s="466">
        <v>6995.76</v>
      </c>
      <c r="Q212" s="466">
        <f t="shared" si="4"/>
        <v>0</v>
      </c>
    </row>
    <row r="213" spans="1:17" s="464" customFormat="1" x14ac:dyDescent="0.2">
      <c r="A213" s="455">
        <f t="shared" si="5"/>
        <v>205</v>
      </c>
      <c r="B213" s="461" t="s">
        <v>130</v>
      </c>
      <c r="C213" s="468" t="s">
        <v>62</v>
      </c>
      <c r="D213" s="468"/>
      <c r="E213" s="455" t="s">
        <v>158</v>
      </c>
      <c r="F213" s="468" t="s">
        <v>431</v>
      </c>
      <c r="G213" s="461" t="s">
        <v>718</v>
      </c>
      <c r="H213" s="465">
        <v>5</v>
      </c>
      <c r="I213" s="465">
        <v>4</v>
      </c>
      <c r="J213" s="465">
        <v>4</v>
      </c>
      <c r="K213" s="466">
        <v>5204.28</v>
      </c>
      <c r="L213" s="466">
        <v>5204.28</v>
      </c>
      <c r="M213" s="467">
        <f t="shared" si="3"/>
        <v>0</v>
      </c>
      <c r="N213" s="465">
        <v>5</v>
      </c>
      <c r="O213" s="466">
        <v>10391.459999999999</v>
      </c>
      <c r="P213" s="466">
        <v>10391.459999999999</v>
      </c>
      <c r="Q213" s="466">
        <f t="shared" si="4"/>
        <v>0</v>
      </c>
    </row>
    <row r="214" spans="1:17" s="464" customFormat="1" x14ac:dyDescent="0.2">
      <c r="A214" s="455">
        <f t="shared" si="5"/>
        <v>206</v>
      </c>
      <c r="B214" s="461" t="s">
        <v>32</v>
      </c>
      <c r="C214" s="468" t="s">
        <v>62</v>
      </c>
      <c r="D214" s="468"/>
      <c r="E214" s="455" t="s">
        <v>158</v>
      </c>
      <c r="F214" s="468" t="s">
        <v>432</v>
      </c>
      <c r="G214" s="461" t="s">
        <v>718</v>
      </c>
      <c r="H214" s="465">
        <v>14</v>
      </c>
      <c r="I214" s="465">
        <v>10</v>
      </c>
      <c r="J214" s="465">
        <v>10</v>
      </c>
      <c r="K214" s="466">
        <v>16181.42</v>
      </c>
      <c r="L214" s="466">
        <v>11468.46</v>
      </c>
      <c r="M214" s="467">
        <f t="shared" si="3"/>
        <v>4712.9600000000009</v>
      </c>
      <c r="N214" s="465">
        <v>9</v>
      </c>
      <c r="O214" s="466">
        <v>18778.12</v>
      </c>
      <c r="P214" s="466">
        <v>17086.599999999999</v>
      </c>
      <c r="Q214" s="466">
        <f t="shared" si="4"/>
        <v>1691.5200000000004</v>
      </c>
    </row>
    <row r="215" spans="1:17" s="464" customFormat="1" x14ac:dyDescent="0.2">
      <c r="A215" s="455">
        <f t="shared" si="5"/>
        <v>207</v>
      </c>
      <c r="B215" s="461" t="s">
        <v>343</v>
      </c>
      <c r="C215" s="468" t="s">
        <v>62</v>
      </c>
      <c r="D215" s="468"/>
      <c r="E215" s="455" t="s">
        <v>158</v>
      </c>
      <c r="F215" s="468" t="s">
        <v>433</v>
      </c>
      <c r="G215" s="461" t="s">
        <v>718</v>
      </c>
      <c r="H215" s="465">
        <v>15</v>
      </c>
      <c r="I215" s="465">
        <v>10</v>
      </c>
      <c r="J215" s="465">
        <v>10</v>
      </c>
      <c r="K215" s="466">
        <v>18037.599999999999</v>
      </c>
      <c r="L215" s="466">
        <v>18037.599999999999</v>
      </c>
      <c r="M215" s="467">
        <f t="shared" si="3"/>
        <v>0</v>
      </c>
      <c r="N215" s="465">
        <v>0</v>
      </c>
      <c r="O215" s="466">
        <v>0</v>
      </c>
      <c r="P215" s="466">
        <v>0</v>
      </c>
      <c r="Q215" s="466">
        <f t="shared" si="4"/>
        <v>0</v>
      </c>
    </row>
    <row r="216" spans="1:17" s="464" customFormat="1" x14ac:dyDescent="0.2">
      <c r="A216" s="455">
        <f t="shared" si="5"/>
        <v>208</v>
      </c>
      <c r="B216" s="461" t="s">
        <v>290</v>
      </c>
      <c r="C216" s="468" t="s">
        <v>62</v>
      </c>
      <c r="D216" s="468"/>
      <c r="E216" s="468" t="s">
        <v>371</v>
      </c>
      <c r="F216" s="468" t="s">
        <v>434</v>
      </c>
      <c r="G216" s="461" t="s">
        <v>718</v>
      </c>
      <c r="H216" s="465">
        <v>5</v>
      </c>
      <c r="I216" s="465">
        <v>1</v>
      </c>
      <c r="J216" s="465">
        <v>1</v>
      </c>
      <c r="K216" s="466">
        <v>1585.8</v>
      </c>
      <c r="L216" s="466">
        <v>1585.8</v>
      </c>
      <c r="M216" s="467">
        <f t="shared" si="3"/>
        <v>0</v>
      </c>
      <c r="N216" s="465">
        <v>0</v>
      </c>
      <c r="O216" s="466">
        <v>0</v>
      </c>
      <c r="P216" s="466">
        <v>0</v>
      </c>
      <c r="Q216" s="466">
        <f t="shared" si="4"/>
        <v>0</v>
      </c>
    </row>
    <row r="217" spans="1:17" s="464" customFormat="1" x14ac:dyDescent="0.2">
      <c r="A217" s="455">
        <f t="shared" si="5"/>
        <v>209</v>
      </c>
      <c r="B217" s="461" t="s">
        <v>315</v>
      </c>
      <c r="C217" s="468" t="s">
        <v>62</v>
      </c>
      <c r="D217" s="468"/>
      <c r="E217" s="455" t="s">
        <v>158</v>
      </c>
      <c r="F217" s="468" t="s">
        <v>435</v>
      </c>
      <c r="G217" s="461" t="s">
        <v>718</v>
      </c>
      <c r="H217" s="465">
        <v>19</v>
      </c>
      <c r="I217" s="465">
        <v>3</v>
      </c>
      <c r="J217" s="465">
        <v>3</v>
      </c>
      <c r="K217" s="466">
        <v>4741</v>
      </c>
      <c r="L217" s="466">
        <v>4741</v>
      </c>
      <c r="M217" s="467">
        <f t="shared" si="3"/>
        <v>0</v>
      </c>
      <c r="N217" s="465">
        <v>5</v>
      </c>
      <c r="O217" s="466">
        <v>7208.02</v>
      </c>
      <c r="P217" s="466">
        <v>7208.02</v>
      </c>
      <c r="Q217" s="466">
        <f t="shared" si="4"/>
        <v>0</v>
      </c>
    </row>
    <row r="218" spans="1:17" s="464" customFormat="1" x14ac:dyDescent="0.2">
      <c r="A218" s="455">
        <f t="shared" si="5"/>
        <v>210</v>
      </c>
      <c r="B218" s="461" t="s">
        <v>216</v>
      </c>
      <c r="C218" s="468" t="s">
        <v>67</v>
      </c>
      <c r="D218" s="468" t="s">
        <v>436</v>
      </c>
      <c r="E218" s="455" t="s">
        <v>158</v>
      </c>
      <c r="F218" s="468" t="s">
        <v>437</v>
      </c>
      <c r="G218" s="461" t="s">
        <v>718</v>
      </c>
      <c r="H218" s="465">
        <v>19</v>
      </c>
      <c r="I218" s="465">
        <v>7</v>
      </c>
      <c r="J218" s="465">
        <v>7</v>
      </c>
      <c r="K218" s="466">
        <v>13299.66</v>
      </c>
      <c r="L218" s="466">
        <v>12747.36</v>
      </c>
      <c r="M218" s="467">
        <f t="shared" si="3"/>
        <v>552.29999999999927</v>
      </c>
      <c r="N218" s="465">
        <v>0</v>
      </c>
      <c r="O218" s="466">
        <v>0</v>
      </c>
      <c r="P218" s="466">
        <v>0</v>
      </c>
      <c r="Q218" s="466">
        <f t="shared" si="4"/>
        <v>0</v>
      </c>
    </row>
    <row r="219" spans="1:17" s="464" customFormat="1" x14ac:dyDescent="0.2">
      <c r="A219" s="455">
        <f t="shared" si="5"/>
        <v>211</v>
      </c>
      <c r="B219" s="461" t="s">
        <v>438</v>
      </c>
      <c r="C219" s="468" t="s">
        <v>62</v>
      </c>
      <c r="D219" s="468"/>
      <c r="E219" s="455" t="s">
        <v>158</v>
      </c>
      <c r="F219" s="468" t="s">
        <v>439</v>
      </c>
      <c r="G219" s="461" t="s">
        <v>718</v>
      </c>
      <c r="H219" s="465">
        <v>7</v>
      </c>
      <c r="I219" s="465">
        <v>1</v>
      </c>
      <c r="J219" s="465">
        <v>1</v>
      </c>
      <c r="K219" s="466">
        <v>3497.9</v>
      </c>
      <c r="L219" s="466">
        <v>0</v>
      </c>
      <c r="M219" s="467">
        <f t="shared" si="3"/>
        <v>3497.9</v>
      </c>
      <c r="N219" s="465">
        <v>0</v>
      </c>
      <c r="O219" s="466">
        <v>0</v>
      </c>
      <c r="P219" s="466">
        <v>0</v>
      </c>
      <c r="Q219" s="466">
        <f t="shared" si="4"/>
        <v>0</v>
      </c>
    </row>
    <row r="220" spans="1:17" s="464" customFormat="1" x14ac:dyDescent="0.2">
      <c r="A220" s="455">
        <f t="shared" si="5"/>
        <v>212</v>
      </c>
      <c r="B220" s="461" t="s">
        <v>440</v>
      </c>
      <c r="C220" s="468" t="s">
        <v>62</v>
      </c>
      <c r="D220" s="468"/>
      <c r="E220" s="455" t="s">
        <v>158</v>
      </c>
      <c r="F220" s="468" t="s">
        <v>441</v>
      </c>
      <c r="G220" s="461" t="s">
        <v>718</v>
      </c>
      <c r="H220" s="465">
        <v>7</v>
      </c>
      <c r="I220" s="465">
        <v>3</v>
      </c>
      <c r="J220" s="465">
        <v>3</v>
      </c>
      <c r="K220" s="466">
        <v>3171.6</v>
      </c>
      <c r="L220" s="466">
        <v>3171.6</v>
      </c>
      <c r="M220" s="467">
        <f t="shared" si="3"/>
        <v>0</v>
      </c>
      <c r="N220" s="465">
        <v>0</v>
      </c>
      <c r="O220" s="466">
        <v>0</v>
      </c>
      <c r="P220" s="466">
        <v>0</v>
      </c>
      <c r="Q220" s="466">
        <f t="shared" si="4"/>
        <v>0</v>
      </c>
    </row>
    <row r="221" spans="1:17" s="464" customFormat="1" ht="28.35" customHeight="1" x14ac:dyDescent="0.2">
      <c r="A221" s="455">
        <f t="shared" si="5"/>
        <v>213</v>
      </c>
      <c r="B221" s="461" t="s">
        <v>222</v>
      </c>
      <c r="C221" s="468" t="s">
        <v>64</v>
      </c>
      <c r="D221" s="461" t="s">
        <v>442</v>
      </c>
      <c r="E221" s="455" t="s">
        <v>158</v>
      </c>
      <c r="F221" s="468" t="s">
        <v>443</v>
      </c>
      <c r="G221" s="461" t="s">
        <v>718</v>
      </c>
      <c r="H221" s="465">
        <v>1</v>
      </c>
      <c r="I221" s="465">
        <v>0</v>
      </c>
      <c r="J221" s="465">
        <v>0</v>
      </c>
      <c r="K221" s="466">
        <v>0</v>
      </c>
      <c r="L221" s="466">
        <v>0</v>
      </c>
      <c r="M221" s="467">
        <f t="shared" si="3"/>
        <v>0</v>
      </c>
      <c r="N221" s="465">
        <v>0</v>
      </c>
      <c r="O221" s="466">
        <v>0</v>
      </c>
      <c r="P221" s="466">
        <v>0</v>
      </c>
      <c r="Q221" s="466">
        <f t="shared" si="4"/>
        <v>0</v>
      </c>
    </row>
    <row r="222" spans="1:17" s="464" customFormat="1" x14ac:dyDescent="0.2">
      <c r="A222" s="455">
        <f t="shared" si="5"/>
        <v>214</v>
      </c>
      <c r="B222" s="461" t="s">
        <v>444</v>
      </c>
      <c r="C222" s="468" t="s">
        <v>62</v>
      </c>
      <c r="D222" s="468"/>
      <c r="E222" s="455" t="s">
        <v>158</v>
      </c>
      <c r="F222" s="468" t="s">
        <v>445</v>
      </c>
      <c r="G222" s="461" t="s">
        <v>718</v>
      </c>
      <c r="H222" s="465">
        <v>5</v>
      </c>
      <c r="I222" s="465">
        <v>5</v>
      </c>
      <c r="J222" s="465">
        <v>5</v>
      </c>
      <c r="K222" s="466">
        <v>3802.9</v>
      </c>
      <c r="L222" s="466">
        <v>1409.6</v>
      </c>
      <c r="M222" s="467">
        <f t="shared" si="3"/>
        <v>2393.3000000000002</v>
      </c>
      <c r="N222" s="465">
        <v>0</v>
      </c>
      <c r="O222" s="466">
        <v>0</v>
      </c>
      <c r="P222" s="466">
        <v>0</v>
      </c>
      <c r="Q222" s="466">
        <f t="shared" si="4"/>
        <v>0</v>
      </c>
    </row>
    <row r="223" spans="1:17" s="464" customFormat="1" x14ac:dyDescent="0.2">
      <c r="A223" s="455">
        <f t="shared" si="5"/>
        <v>215</v>
      </c>
      <c r="B223" s="461" t="s">
        <v>129</v>
      </c>
      <c r="C223" s="468" t="s">
        <v>62</v>
      </c>
      <c r="D223" s="468"/>
      <c r="E223" s="455" t="s">
        <v>158</v>
      </c>
      <c r="F223" s="468" t="s">
        <v>446</v>
      </c>
      <c r="G223" s="461" t="s">
        <v>718</v>
      </c>
      <c r="H223" s="465">
        <v>9</v>
      </c>
      <c r="I223" s="465">
        <v>5</v>
      </c>
      <c r="J223" s="465">
        <v>5</v>
      </c>
      <c r="K223" s="466">
        <v>6080.63</v>
      </c>
      <c r="L223" s="466">
        <v>3015.4</v>
      </c>
      <c r="M223" s="467">
        <f t="shared" si="3"/>
        <v>3065.23</v>
      </c>
      <c r="N223" s="465">
        <v>12</v>
      </c>
      <c r="O223" s="466">
        <v>25243.58</v>
      </c>
      <c r="P223" s="466">
        <v>16183.86</v>
      </c>
      <c r="Q223" s="466">
        <f t="shared" si="4"/>
        <v>9059.7200000000012</v>
      </c>
    </row>
    <row r="224" spans="1:17" s="464" customFormat="1" x14ac:dyDescent="0.2">
      <c r="A224" s="455">
        <f t="shared" si="5"/>
        <v>216</v>
      </c>
      <c r="B224" s="468" t="s">
        <v>104</v>
      </c>
      <c r="C224" s="468" t="s">
        <v>62</v>
      </c>
      <c r="D224" s="468"/>
      <c r="E224" s="461" t="s">
        <v>105</v>
      </c>
      <c r="F224" s="468" t="s">
        <v>447</v>
      </c>
      <c r="G224" s="461" t="s">
        <v>718</v>
      </c>
      <c r="H224" s="465">
        <v>0</v>
      </c>
      <c r="I224" s="465">
        <v>0</v>
      </c>
      <c r="J224" s="465">
        <v>0</v>
      </c>
      <c r="K224" s="466">
        <v>0</v>
      </c>
      <c r="L224" s="466">
        <v>0</v>
      </c>
      <c r="M224" s="467">
        <f t="shared" si="3"/>
        <v>0</v>
      </c>
      <c r="N224" s="465">
        <v>7</v>
      </c>
      <c r="O224" s="466">
        <v>5726.5</v>
      </c>
      <c r="P224" s="466">
        <v>5726.5</v>
      </c>
      <c r="Q224" s="466">
        <f t="shared" si="4"/>
        <v>0</v>
      </c>
    </row>
    <row r="225" spans="1:17" s="464" customFormat="1" x14ac:dyDescent="0.2">
      <c r="A225" s="455">
        <f t="shared" si="5"/>
        <v>217</v>
      </c>
      <c r="B225" s="468" t="s">
        <v>156</v>
      </c>
      <c r="C225" s="468" t="s">
        <v>67</v>
      </c>
      <c r="D225" s="468" t="s">
        <v>501</v>
      </c>
      <c r="E225" s="455" t="s">
        <v>158</v>
      </c>
      <c r="F225" s="468" t="s">
        <v>502</v>
      </c>
      <c r="G225" s="461" t="s">
        <v>718</v>
      </c>
      <c r="H225" s="465">
        <v>3</v>
      </c>
      <c r="I225" s="465">
        <v>0</v>
      </c>
      <c r="J225" s="465">
        <v>0</v>
      </c>
      <c r="K225" s="466">
        <v>0</v>
      </c>
      <c r="L225" s="466">
        <v>0</v>
      </c>
      <c r="M225" s="467">
        <f t="shared" si="3"/>
        <v>0</v>
      </c>
      <c r="N225" s="465">
        <v>5</v>
      </c>
      <c r="O225" s="466">
        <v>8865.2999999999993</v>
      </c>
      <c r="P225" s="466">
        <v>8865.2999999999993</v>
      </c>
      <c r="Q225" s="466">
        <f t="shared" si="4"/>
        <v>0</v>
      </c>
    </row>
    <row r="226" spans="1:17" s="464" customFormat="1" x14ac:dyDescent="0.2">
      <c r="A226" s="455">
        <f t="shared" si="5"/>
        <v>218</v>
      </c>
      <c r="B226" s="468" t="s">
        <v>133</v>
      </c>
      <c r="C226" s="468" t="s">
        <v>67</v>
      </c>
      <c r="D226" s="468" t="s">
        <v>397</v>
      </c>
      <c r="E226" s="455" t="s">
        <v>158</v>
      </c>
      <c r="F226" s="468" t="s">
        <v>503</v>
      </c>
      <c r="G226" s="461" t="s">
        <v>718</v>
      </c>
      <c r="H226" s="465">
        <v>11</v>
      </c>
      <c r="I226" s="465">
        <v>5</v>
      </c>
      <c r="J226" s="465">
        <v>5</v>
      </c>
      <c r="K226" s="466">
        <v>13731.4</v>
      </c>
      <c r="L226" s="466">
        <v>13731.4</v>
      </c>
      <c r="M226" s="467">
        <f t="shared" si="3"/>
        <v>0</v>
      </c>
      <c r="N226" s="465">
        <v>18</v>
      </c>
      <c r="O226" s="466">
        <v>45265.08</v>
      </c>
      <c r="P226" s="466">
        <v>42255.08</v>
      </c>
      <c r="Q226" s="466">
        <f t="shared" si="4"/>
        <v>3010</v>
      </c>
    </row>
    <row r="227" spans="1:17" s="464" customFormat="1" x14ac:dyDescent="0.2">
      <c r="A227" s="455">
        <f t="shared" si="5"/>
        <v>219</v>
      </c>
      <c r="B227" s="468" t="s">
        <v>114</v>
      </c>
      <c r="C227" s="468" t="s">
        <v>62</v>
      </c>
      <c r="D227" s="468"/>
      <c r="E227" s="455" t="s">
        <v>691</v>
      </c>
      <c r="F227" s="468" t="s">
        <v>504</v>
      </c>
      <c r="G227" s="461" t="s">
        <v>718</v>
      </c>
      <c r="H227" s="465">
        <v>2</v>
      </c>
      <c r="I227" s="465">
        <v>0</v>
      </c>
      <c r="J227" s="465">
        <v>0</v>
      </c>
      <c r="K227" s="466">
        <v>0</v>
      </c>
      <c r="L227" s="466">
        <v>0</v>
      </c>
      <c r="M227" s="467">
        <f t="shared" si="3"/>
        <v>0</v>
      </c>
      <c r="N227" s="465">
        <v>4</v>
      </c>
      <c r="O227" s="466">
        <v>3524</v>
      </c>
      <c r="P227" s="466">
        <v>3524</v>
      </c>
      <c r="Q227" s="466">
        <f t="shared" si="4"/>
        <v>0</v>
      </c>
    </row>
    <row r="228" spans="1:17" s="464" customFormat="1" x14ac:dyDescent="0.2">
      <c r="A228" s="455">
        <f t="shared" si="5"/>
        <v>220</v>
      </c>
      <c r="B228" s="468" t="s">
        <v>505</v>
      </c>
      <c r="C228" s="468" t="s">
        <v>62</v>
      </c>
      <c r="D228" s="468"/>
      <c r="E228" s="455" t="s">
        <v>158</v>
      </c>
      <c r="F228" s="468" t="s">
        <v>506</v>
      </c>
      <c r="G228" s="461" t="s">
        <v>718</v>
      </c>
      <c r="H228" s="465">
        <v>3</v>
      </c>
      <c r="I228" s="465">
        <v>0</v>
      </c>
      <c r="J228" s="465">
        <v>0</v>
      </c>
      <c r="K228" s="466">
        <v>0</v>
      </c>
      <c r="L228" s="466">
        <v>0</v>
      </c>
      <c r="M228" s="467">
        <f t="shared" si="3"/>
        <v>0</v>
      </c>
      <c r="N228" s="465">
        <v>0</v>
      </c>
      <c r="O228" s="466">
        <v>0</v>
      </c>
      <c r="P228" s="466">
        <v>0</v>
      </c>
      <c r="Q228" s="466">
        <f t="shared" si="4"/>
        <v>0</v>
      </c>
    </row>
    <row r="229" spans="1:17" s="464" customFormat="1" x14ac:dyDescent="0.2">
      <c r="A229" s="455">
        <f t="shared" si="5"/>
        <v>221</v>
      </c>
      <c r="B229" s="468" t="s">
        <v>473</v>
      </c>
      <c r="C229" s="468" t="s">
        <v>62</v>
      </c>
      <c r="D229" s="468"/>
      <c r="E229" s="455" t="s">
        <v>158</v>
      </c>
      <c r="F229" s="468" t="s">
        <v>558</v>
      </c>
      <c r="G229" s="461" t="s">
        <v>718</v>
      </c>
      <c r="H229" s="465">
        <v>2</v>
      </c>
      <c r="I229" s="465">
        <v>0</v>
      </c>
      <c r="J229" s="465">
        <v>0</v>
      </c>
      <c r="K229" s="466">
        <v>0</v>
      </c>
      <c r="L229" s="466">
        <v>0</v>
      </c>
      <c r="M229" s="467">
        <f t="shared" si="3"/>
        <v>0</v>
      </c>
      <c r="N229" s="465">
        <v>0</v>
      </c>
      <c r="O229" s="466">
        <v>0</v>
      </c>
      <c r="P229" s="466">
        <v>0</v>
      </c>
      <c r="Q229" s="466">
        <f t="shared" si="4"/>
        <v>0</v>
      </c>
    </row>
    <row r="230" spans="1:17" s="464" customFormat="1" x14ac:dyDescent="0.2">
      <c r="A230" s="455">
        <f t="shared" si="5"/>
        <v>222</v>
      </c>
      <c r="B230" s="468" t="s">
        <v>376</v>
      </c>
      <c r="C230" s="468" t="s">
        <v>62</v>
      </c>
      <c r="D230" s="468"/>
      <c r="E230" s="455" t="s">
        <v>158</v>
      </c>
      <c r="F230" s="468" t="s">
        <v>559</v>
      </c>
      <c r="G230" s="461" t="s">
        <v>718</v>
      </c>
      <c r="H230" s="465">
        <v>3</v>
      </c>
      <c r="I230" s="465">
        <v>0</v>
      </c>
      <c r="J230" s="465">
        <v>0</v>
      </c>
      <c r="K230" s="466">
        <v>0</v>
      </c>
      <c r="L230" s="466">
        <v>0</v>
      </c>
      <c r="M230" s="467">
        <f t="shared" si="3"/>
        <v>0</v>
      </c>
      <c r="N230" s="465">
        <v>0</v>
      </c>
      <c r="O230" s="466">
        <v>0</v>
      </c>
      <c r="P230" s="466">
        <v>0</v>
      </c>
      <c r="Q230" s="466">
        <f t="shared" si="4"/>
        <v>0</v>
      </c>
    </row>
    <row r="231" spans="1:17" s="464" customFormat="1" x14ac:dyDescent="0.2">
      <c r="A231" s="455">
        <f t="shared" si="5"/>
        <v>223</v>
      </c>
      <c r="B231" s="468" t="s">
        <v>119</v>
      </c>
      <c r="C231" s="468" t="s">
        <v>62</v>
      </c>
      <c r="D231" s="468"/>
      <c r="E231" s="455" t="s">
        <v>158</v>
      </c>
      <c r="F231" s="468" t="s">
        <v>560</v>
      </c>
      <c r="G231" s="461" t="s">
        <v>718</v>
      </c>
      <c r="H231" s="465">
        <v>8</v>
      </c>
      <c r="I231" s="465">
        <v>1</v>
      </c>
      <c r="J231" s="465">
        <v>1</v>
      </c>
      <c r="K231" s="466">
        <v>1691.52</v>
      </c>
      <c r="L231" s="466">
        <v>1691.52</v>
      </c>
      <c r="M231" s="467">
        <f t="shared" si="3"/>
        <v>0</v>
      </c>
      <c r="N231" s="465">
        <v>14</v>
      </c>
      <c r="O231" s="466">
        <v>20900.5</v>
      </c>
      <c r="P231" s="466">
        <v>20900.5</v>
      </c>
      <c r="Q231" s="466">
        <f t="shared" si="4"/>
        <v>0</v>
      </c>
    </row>
    <row r="232" spans="1:17" s="464" customFormat="1" x14ac:dyDescent="0.2">
      <c r="A232" s="455">
        <f t="shared" si="5"/>
        <v>224</v>
      </c>
      <c r="B232" s="468" t="s">
        <v>47</v>
      </c>
      <c r="C232" s="468" t="s">
        <v>62</v>
      </c>
      <c r="D232" s="468"/>
      <c r="E232" s="455" t="s">
        <v>677</v>
      </c>
      <c r="F232" s="468" t="s">
        <v>589</v>
      </c>
      <c r="G232" s="461" t="s">
        <v>718</v>
      </c>
      <c r="H232" s="465">
        <v>0</v>
      </c>
      <c r="I232" s="465">
        <v>0</v>
      </c>
      <c r="J232" s="465">
        <v>0</v>
      </c>
      <c r="K232" s="466">
        <v>0</v>
      </c>
      <c r="L232" s="466">
        <v>0</v>
      </c>
      <c r="M232" s="467">
        <f t="shared" si="3"/>
        <v>0</v>
      </c>
      <c r="N232" s="465">
        <v>1</v>
      </c>
      <c r="O232" s="466">
        <v>6554.64</v>
      </c>
      <c r="P232" s="466">
        <v>6554.64</v>
      </c>
      <c r="Q232" s="466">
        <f t="shared" si="4"/>
        <v>0</v>
      </c>
    </row>
    <row r="233" spans="1:17" s="464" customFormat="1" x14ac:dyDescent="0.2">
      <c r="A233" s="455">
        <f t="shared" si="5"/>
        <v>225</v>
      </c>
      <c r="B233" s="468" t="s">
        <v>37</v>
      </c>
      <c r="C233" s="468" t="s">
        <v>62</v>
      </c>
      <c r="D233" s="468"/>
      <c r="E233" s="455" t="s">
        <v>158</v>
      </c>
      <c r="F233" s="468" t="s">
        <v>590</v>
      </c>
      <c r="G233" s="461" t="s">
        <v>718</v>
      </c>
      <c r="H233" s="465">
        <v>4</v>
      </c>
      <c r="I233" s="465">
        <v>0</v>
      </c>
      <c r="J233" s="465">
        <v>0</v>
      </c>
      <c r="K233" s="466">
        <v>0</v>
      </c>
      <c r="L233" s="466">
        <v>0</v>
      </c>
      <c r="M233" s="467">
        <f t="shared" si="3"/>
        <v>0</v>
      </c>
      <c r="N233" s="465">
        <v>0</v>
      </c>
      <c r="O233" s="466">
        <v>0</v>
      </c>
      <c r="P233" s="466">
        <v>0</v>
      </c>
      <c r="Q233" s="466">
        <f t="shared" si="4"/>
        <v>0</v>
      </c>
    </row>
    <row r="234" spans="1:17" s="464" customFormat="1" x14ac:dyDescent="0.2">
      <c r="A234" s="455">
        <f t="shared" si="5"/>
        <v>226</v>
      </c>
      <c r="B234" s="468" t="s">
        <v>97</v>
      </c>
      <c r="C234" s="468" t="s">
        <v>62</v>
      </c>
      <c r="D234" s="468"/>
      <c r="E234" s="455" t="s">
        <v>158</v>
      </c>
      <c r="F234" s="468" t="s">
        <v>591</v>
      </c>
      <c r="G234" s="461" t="s">
        <v>718</v>
      </c>
      <c r="H234" s="465">
        <v>4</v>
      </c>
      <c r="I234" s="465">
        <v>2</v>
      </c>
      <c r="J234" s="465">
        <v>2</v>
      </c>
      <c r="K234" s="466">
        <v>3626.7</v>
      </c>
      <c r="L234" s="466">
        <v>3626.7</v>
      </c>
      <c r="M234" s="467">
        <f t="shared" si="3"/>
        <v>0</v>
      </c>
      <c r="N234" s="465">
        <v>3</v>
      </c>
      <c r="O234" s="466">
        <v>4570.8999999999996</v>
      </c>
      <c r="P234" s="466">
        <v>4570.8999999999996</v>
      </c>
      <c r="Q234" s="466">
        <f t="shared" si="4"/>
        <v>0</v>
      </c>
    </row>
    <row r="235" spans="1:17" s="464" customFormat="1" x14ac:dyDescent="0.2">
      <c r="A235" s="455">
        <f t="shared" si="5"/>
        <v>227</v>
      </c>
      <c r="B235" s="468" t="s">
        <v>613</v>
      </c>
      <c r="C235" s="468" t="s">
        <v>62</v>
      </c>
      <c r="D235" s="468"/>
      <c r="E235" s="455" t="s">
        <v>158</v>
      </c>
      <c r="F235" s="468" t="s">
        <v>614</v>
      </c>
      <c r="G235" s="461" t="s">
        <v>718</v>
      </c>
      <c r="H235" s="465">
        <v>6</v>
      </c>
      <c r="I235" s="465">
        <v>2</v>
      </c>
      <c r="J235" s="465">
        <v>2</v>
      </c>
      <c r="K235" s="466">
        <v>1585.8</v>
      </c>
      <c r="L235" s="466">
        <v>1585.8</v>
      </c>
      <c r="M235" s="467">
        <f t="shared" si="3"/>
        <v>0</v>
      </c>
      <c r="N235" s="465">
        <v>3</v>
      </c>
      <c r="O235" s="466">
        <v>616.70000000000005</v>
      </c>
      <c r="P235" s="466">
        <v>616.70000000000005</v>
      </c>
      <c r="Q235" s="466">
        <f t="shared" si="4"/>
        <v>0</v>
      </c>
    </row>
    <row r="236" spans="1:17" s="464" customFormat="1" x14ac:dyDescent="0.2">
      <c r="A236" s="455">
        <f t="shared" si="5"/>
        <v>228</v>
      </c>
      <c r="B236" s="468" t="s">
        <v>615</v>
      </c>
      <c r="C236" s="468" t="s">
        <v>62</v>
      </c>
      <c r="D236" s="468"/>
      <c r="E236" s="455" t="s">
        <v>158</v>
      </c>
      <c r="F236" s="468" t="s">
        <v>616</v>
      </c>
      <c r="G236" s="461" t="s">
        <v>718</v>
      </c>
      <c r="H236" s="465">
        <v>6</v>
      </c>
      <c r="I236" s="465">
        <v>0</v>
      </c>
      <c r="J236" s="465">
        <v>0</v>
      </c>
      <c r="K236" s="466">
        <v>0</v>
      </c>
      <c r="L236" s="466">
        <v>0</v>
      </c>
      <c r="M236" s="467">
        <f t="shared" si="3"/>
        <v>0</v>
      </c>
      <c r="N236" s="465">
        <v>0</v>
      </c>
      <c r="O236" s="466">
        <v>0</v>
      </c>
      <c r="P236" s="466">
        <v>0</v>
      </c>
      <c r="Q236" s="466">
        <f t="shared" si="4"/>
        <v>0</v>
      </c>
    </row>
    <row r="237" spans="1:17" s="464" customFormat="1" ht="25.5" x14ac:dyDescent="0.2">
      <c r="A237" s="455">
        <f t="shared" si="5"/>
        <v>229</v>
      </c>
      <c r="B237" s="468" t="s">
        <v>357</v>
      </c>
      <c r="C237" s="469" t="s">
        <v>64</v>
      </c>
      <c r="D237" s="461" t="s">
        <v>617</v>
      </c>
      <c r="E237" s="455" t="s">
        <v>158</v>
      </c>
      <c r="F237" s="468" t="s">
        <v>618</v>
      </c>
      <c r="G237" s="461" t="s">
        <v>718</v>
      </c>
      <c r="H237" s="465">
        <v>6</v>
      </c>
      <c r="I237" s="465">
        <v>1</v>
      </c>
      <c r="J237" s="465">
        <v>1</v>
      </c>
      <c r="K237" s="466">
        <v>1057.2</v>
      </c>
      <c r="L237" s="466">
        <v>0</v>
      </c>
      <c r="M237" s="467">
        <f t="shared" si="3"/>
        <v>1057.2</v>
      </c>
      <c r="N237" s="465">
        <v>3</v>
      </c>
      <c r="O237" s="466">
        <v>5236.2</v>
      </c>
      <c r="P237" s="466">
        <v>1762</v>
      </c>
      <c r="Q237" s="466">
        <f t="shared" si="4"/>
        <v>3474.2</v>
      </c>
    </row>
    <row r="238" spans="1:17" s="464" customFormat="1" x14ac:dyDescent="0.2">
      <c r="A238" s="455">
        <f t="shared" si="5"/>
        <v>230</v>
      </c>
      <c r="B238" s="468" t="s">
        <v>621</v>
      </c>
      <c r="C238" s="468" t="s">
        <v>62</v>
      </c>
      <c r="D238" s="468"/>
      <c r="E238" s="455" t="s">
        <v>158</v>
      </c>
      <c r="F238" s="468" t="s">
        <v>625</v>
      </c>
      <c r="G238" s="461" t="s">
        <v>718</v>
      </c>
      <c r="H238" s="465">
        <v>11</v>
      </c>
      <c r="I238" s="465">
        <v>5</v>
      </c>
      <c r="J238" s="465">
        <v>5</v>
      </c>
      <c r="K238" s="466">
        <v>4878.6499999999996</v>
      </c>
      <c r="L238" s="466">
        <v>0</v>
      </c>
      <c r="M238" s="467">
        <f t="shared" si="3"/>
        <v>4878.6499999999996</v>
      </c>
      <c r="N238" s="465">
        <v>0</v>
      </c>
      <c r="O238" s="466">
        <v>0</v>
      </c>
      <c r="P238" s="466">
        <v>0</v>
      </c>
      <c r="Q238" s="466">
        <f t="shared" si="4"/>
        <v>0</v>
      </c>
    </row>
    <row r="239" spans="1:17" s="464" customFormat="1" x14ac:dyDescent="0.2">
      <c r="A239" s="455">
        <f t="shared" si="5"/>
        <v>231</v>
      </c>
      <c r="B239" s="461" t="s">
        <v>146</v>
      </c>
      <c r="C239" s="461" t="s">
        <v>62</v>
      </c>
      <c r="D239" s="461"/>
      <c r="E239" s="455" t="s">
        <v>158</v>
      </c>
      <c r="F239" s="461" t="s">
        <v>325</v>
      </c>
      <c r="G239" s="470" t="s">
        <v>721</v>
      </c>
      <c r="H239" s="470">
        <v>15</v>
      </c>
      <c r="I239" s="470">
        <v>7</v>
      </c>
      <c r="J239" s="470">
        <v>7</v>
      </c>
      <c r="K239" s="471">
        <f>2643+2466.8+2554.9+1288.7</f>
        <v>8953.4000000000015</v>
      </c>
      <c r="L239" s="471">
        <f>5109.8+2554.9+1288.7</f>
        <v>8953.4000000000015</v>
      </c>
      <c r="M239" s="471">
        <f>K239-L239</f>
        <v>0</v>
      </c>
      <c r="N239" s="472">
        <v>6</v>
      </c>
      <c r="O239" s="471">
        <v>5374.1</v>
      </c>
      <c r="P239" s="473">
        <f>2378.7+2995.4</f>
        <v>5374.1</v>
      </c>
      <c r="Q239" s="473">
        <f>O239-P239</f>
        <v>0</v>
      </c>
    </row>
    <row r="240" spans="1:17" s="464" customFormat="1" x14ac:dyDescent="0.2">
      <c r="A240" s="455">
        <f t="shared" si="5"/>
        <v>232</v>
      </c>
      <c r="B240" s="461" t="s">
        <v>166</v>
      </c>
      <c r="C240" s="461" t="s">
        <v>62</v>
      </c>
      <c r="D240" s="461"/>
      <c r="E240" s="455" t="s">
        <v>158</v>
      </c>
      <c r="F240" s="461" t="s">
        <v>327</v>
      </c>
      <c r="G240" s="470" t="s">
        <v>721</v>
      </c>
      <c r="H240" s="470">
        <v>5</v>
      </c>
      <c r="I240" s="470">
        <v>2</v>
      </c>
      <c r="J240" s="470">
        <v>2</v>
      </c>
      <c r="K240" s="471">
        <f>1233.4+4228.8</f>
        <v>5462.2000000000007</v>
      </c>
      <c r="L240" s="471">
        <f>73.95+1159.45+4228.8</f>
        <v>5462.2000000000007</v>
      </c>
      <c r="M240" s="471">
        <f>K240-L240</f>
        <v>0</v>
      </c>
      <c r="N240" s="472">
        <v>0</v>
      </c>
      <c r="O240" s="471">
        <v>0</v>
      </c>
      <c r="P240" s="473">
        <v>0</v>
      </c>
      <c r="Q240" s="473">
        <f>O240-P240</f>
        <v>0</v>
      </c>
    </row>
    <row r="241" spans="1:17" s="464" customFormat="1" ht="25.5" x14ac:dyDescent="0.2">
      <c r="A241" s="455">
        <f t="shared" si="5"/>
        <v>233</v>
      </c>
      <c r="B241" s="461" t="s">
        <v>173</v>
      </c>
      <c r="C241" s="461" t="s">
        <v>67</v>
      </c>
      <c r="D241" s="461" t="s">
        <v>328</v>
      </c>
      <c r="E241" s="455" t="s">
        <v>158</v>
      </c>
      <c r="F241" s="461" t="s">
        <v>329</v>
      </c>
      <c r="G241" s="470" t="s">
        <v>721</v>
      </c>
      <c r="H241" s="470">
        <v>8</v>
      </c>
      <c r="I241" s="470">
        <v>5</v>
      </c>
      <c r="J241" s="470">
        <v>5</v>
      </c>
      <c r="K241" s="471">
        <f>704.8+2945.6+5154.8+735.46+1104.6</f>
        <v>10645.26</v>
      </c>
      <c r="L241" s="471">
        <f>704.8+2945.6+5154.8</f>
        <v>8805.2000000000007</v>
      </c>
      <c r="M241" s="471">
        <f>K241-L241</f>
        <v>1840.0599999999995</v>
      </c>
      <c r="N241" s="472">
        <v>0</v>
      </c>
      <c r="O241" s="471">
        <v>0</v>
      </c>
      <c r="P241" s="473">
        <v>0</v>
      </c>
      <c r="Q241" s="473">
        <f>O241-P241</f>
        <v>0</v>
      </c>
    </row>
    <row r="242" spans="1:17" s="464" customFormat="1" x14ac:dyDescent="0.2">
      <c r="A242" s="455">
        <f t="shared" si="5"/>
        <v>234</v>
      </c>
      <c r="B242" s="461" t="s">
        <v>330</v>
      </c>
      <c r="C242" s="461" t="s">
        <v>62</v>
      </c>
      <c r="D242" s="461"/>
      <c r="E242" s="455" t="s">
        <v>158</v>
      </c>
      <c r="F242" s="461" t="s">
        <v>331</v>
      </c>
      <c r="G242" s="470" t="s">
        <v>721</v>
      </c>
      <c r="H242" s="470">
        <v>15</v>
      </c>
      <c r="I242" s="470">
        <v>10</v>
      </c>
      <c r="J242" s="470">
        <v>10</v>
      </c>
      <c r="K242" s="471">
        <f>704.8+11276.8+552.3</f>
        <v>12533.899999999998</v>
      </c>
      <c r="L242" s="471">
        <f>704.8+11276.8</f>
        <v>11981.599999999999</v>
      </c>
      <c r="M242" s="471">
        <f>K242-L242</f>
        <v>552.29999999999927</v>
      </c>
      <c r="N242" s="472">
        <v>0</v>
      </c>
      <c r="O242" s="471">
        <v>0</v>
      </c>
      <c r="P242" s="473">
        <v>0</v>
      </c>
      <c r="Q242" s="473">
        <f>O242-P242</f>
        <v>0</v>
      </c>
    </row>
    <row r="243" spans="1:17" s="464" customFormat="1" x14ac:dyDescent="0.2">
      <c r="A243" s="455">
        <f t="shared" si="5"/>
        <v>235</v>
      </c>
      <c r="B243" s="461" t="s">
        <v>147</v>
      </c>
      <c r="C243" s="461" t="s">
        <v>62</v>
      </c>
      <c r="D243" s="469"/>
      <c r="E243" s="455" t="s">
        <v>158</v>
      </c>
      <c r="F243" s="461" t="s">
        <v>332</v>
      </c>
      <c r="G243" s="470" t="s">
        <v>721</v>
      </c>
      <c r="H243" s="462">
        <v>15</v>
      </c>
      <c r="I243" s="462">
        <v>7</v>
      </c>
      <c r="J243" s="462">
        <v>7</v>
      </c>
      <c r="K243" s="474">
        <f>1409.6+1762+3347.8+2209.2+4510.45</f>
        <v>13239.05</v>
      </c>
      <c r="L243" s="471">
        <f>1409.6+1762+3347.8+2209.2+4510.45</f>
        <v>13239.05</v>
      </c>
      <c r="M243" s="471">
        <f>K243-L243</f>
        <v>0</v>
      </c>
      <c r="N243" s="472">
        <v>5</v>
      </c>
      <c r="O243" s="471">
        <f>4757.4+5523+3682</f>
        <v>13962.4</v>
      </c>
      <c r="P243" s="473">
        <f>4052.6+704.8+5523+3682</f>
        <v>13962.4</v>
      </c>
      <c r="Q243" s="473">
        <f>O243-P243</f>
        <v>0</v>
      </c>
    </row>
    <row r="244" spans="1:17" s="464" customFormat="1" ht="25.5" x14ac:dyDescent="0.2">
      <c r="A244" s="455">
        <f t="shared" si="5"/>
        <v>236</v>
      </c>
      <c r="B244" s="461" t="s">
        <v>554</v>
      </c>
      <c r="C244" s="461" t="s">
        <v>67</v>
      </c>
      <c r="D244" s="475" t="s">
        <v>555</v>
      </c>
      <c r="E244" s="455" t="s">
        <v>158</v>
      </c>
      <c r="F244" s="461" t="s">
        <v>556</v>
      </c>
      <c r="G244" s="470" t="s">
        <v>721</v>
      </c>
      <c r="H244" s="462">
        <v>2</v>
      </c>
      <c r="I244" s="462">
        <v>0</v>
      </c>
      <c r="J244" s="462">
        <v>0</v>
      </c>
      <c r="K244" s="474">
        <v>0</v>
      </c>
      <c r="L244" s="471">
        <v>0</v>
      </c>
      <c r="M244" s="471">
        <v>0</v>
      </c>
      <c r="N244" s="472">
        <v>0</v>
      </c>
      <c r="O244" s="471">
        <v>0</v>
      </c>
      <c r="P244" s="473">
        <v>0</v>
      </c>
      <c r="Q244" s="473">
        <v>0</v>
      </c>
    </row>
    <row r="245" spans="1:17" s="464" customFormat="1" x14ac:dyDescent="0.2">
      <c r="A245" s="455">
        <f t="shared" si="5"/>
        <v>237</v>
      </c>
      <c r="B245" s="461" t="s">
        <v>88</v>
      </c>
      <c r="C245" s="461" t="s">
        <v>62</v>
      </c>
      <c r="D245" s="469"/>
      <c r="E245" s="455" t="s">
        <v>158</v>
      </c>
      <c r="F245" s="461" t="s">
        <v>333</v>
      </c>
      <c r="G245" s="470" t="s">
        <v>721</v>
      </c>
      <c r="H245" s="462">
        <v>2</v>
      </c>
      <c r="I245" s="462">
        <v>2</v>
      </c>
      <c r="J245" s="462">
        <v>2</v>
      </c>
      <c r="K245" s="474">
        <f>704.8+1585.8</f>
        <v>2290.6</v>
      </c>
      <c r="L245" s="471">
        <f>704.8+1585.8</f>
        <v>2290.6</v>
      </c>
      <c r="M245" s="471">
        <f t="shared" ref="M245:M251" si="6">K245-L245</f>
        <v>0</v>
      </c>
      <c r="N245" s="472">
        <v>1</v>
      </c>
      <c r="O245" s="471">
        <v>1145.3</v>
      </c>
      <c r="P245" s="473">
        <v>1145.3</v>
      </c>
      <c r="Q245" s="473">
        <f t="shared" ref="Q245:Q270" si="7">O245-P245</f>
        <v>0</v>
      </c>
    </row>
    <row r="246" spans="1:17" s="464" customFormat="1" x14ac:dyDescent="0.2">
      <c r="A246" s="455">
        <f t="shared" si="5"/>
        <v>238</v>
      </c>
      <c r="B246" s="461" t="s">
        <v>182</v>
      </c>
      <c r="C246" s="461" t="s">
        <v>62</v>
      </c>
      <c r="D246" s="469"/>
      <c r="E246" s="455" t="s">
        <v>158</v>
      </c>
      <c r="F246" s="461" t="s">
        <v>334</v>
      </c>
      <c r="G246" s="470" t="s">
        <v>721</v>
      </c>
      <c r="H246" s="462">
        <v>5</v>
      </c>
      <c r="I246" s="462">
        <v>1</v>
      </c>
      <c r="J246" s="462">
        <v>1</v>
      </c>
      <c r="K246" s="474">
        <f>1233.4</f>
        <v>1233.4000000000001</v>
      </c>
      <c r="L246" s="471">
        <f>1233.4</f>
        <v>1233.4000000000001</v>
      </c>
      <c r="M246" s="471">
        <f t="shared" si="6"/>
        <v>0</v>
      </c>
      <c r="N246" s="472">
        <v>0</v>
      </c>
      <c r="O246" s="471">
        <v>0</v>
      </c>
      <c r="P246" s="473">
        <v>0</v>
      </c>
      <c r="Q246" s="473">
        <f t="shared" si="7"/>
        <v>0</v>
      </c>
    </row>
    <row r="247" spans="1:17" s="464" customFormat="1" x14ac:dyDescent="0.2">
      <c r="A247" s="455">
        <f t="shared" si="5"/>
        <v>239</v>
      </c>
      <c r="B247" s="461" t="s">
        <v>335</v>
      </c>
      <c r="C247" s="461" t="s">
        <v>62</v>
      </c>
      <c r="D247" s="469"/>
      <c r="E247" s="455" t="s">
        <v>158</v>
      </c>
      <c r="F247" s="461" t="s">
        <v>336</v>
      </c>
      <c r="G247" s="470" t="s">
        <v>721</v>
      </c>
      <c r="H247" s="462">
        <v>15</v>
      </c>
      <c r="I247" s="462">
        <v>8</v>
      </c>
      <c r="J247" s="462">
        <v>8</v>
      </c>
      <c r="K247" s="474">
        <f>3700.2+704.8+2114.4+2819.2+1012.55+552.3+1104.6</f>
        <v>12008.049999999997</v>
      </c>
      <c r="L247" s="471">
        <f>3700.2+704.8+2114.4+2819.2+1012.55+552.3+1104.6</f>
        <v>12008.049999999997</v>
      </c>
      <c r="M247" s="471">
        <f t="shared" si="6"/>
        <v>0</v>
      </c>
      <c r="N247" s="472">
        <v>8</v>
      </c>
      <c r="O247" s="471">
        <f>3435.9+3171.6+132.15</f>
        <v>6739.65</v>
      </c>
      <c r="P247" s="473">
        <f>3435.9+3171.6+132.15</f>
        <v>6739.65</v>
      </c>
      <c r="Q247" s="473">
        <f t="shared" si="7"/>
        <v>0</v>
      </c>
    </row>
    <row r="248" spans="1:17" s="464" customFormat="1" x14ac:dyDescent="0.2">
      <c r="A248" s="455">
        <f t="shared" si="5"/>
        <v>240</v>
      </c>
      <c r="B248" s="461" t="s">
        <v>27</v>
      </c>
      <c r="C248" s="461" t="s">
        <v>62</v>
      </c>
      <c r="D248" s="469"/>
      <c r="E248" s="455" t="s">
        <v>158</v>
      </c>
      <c r="F248" s="461" t="s">
        <v>337</v>
      </c>
      <c r="G248" s="470" t="s">
        <v>721</v>
      </c>
      <c r="H248" s="462">
        <v>13</v>
      </c>
      <c r="I248" s="462">
        <v>12</v>
      </c>
      <c r="J248" s="462">
        <v>12</v>
      </c>
      <c r="K248" s="474">
        <f>5638.4+2819.2+528.6+1964.2+1873</f>
        <v>12823.4</v>
      </c>
      <c r="L248" s="471">
        <f>1233.4+4405+2819.2+528.6+1964.2+1873</f>
        <v>12823.4</v>
      </c>
      <c r="M248" s="471">
        <f t="shared" si="6"/>
        <v>0</v>
      </c>
      <c r="N248" s="472">
        <v>0</v>
      </c>
      <c r="O248" s="471">
        <v>0</v>
      </c>
      <c r="P248" s="473">
        <v>0</v>
      </c>
      <c r="Q248" s="473">
        <f t="shared" si="7"/>
        <v>0</v>
      </c>
    </row>
    <row r="249" spans="1:17" s="464" customFormat="1" x14ac:dyDescent="0.2">
      <c r="A249" s="455">
        <f t="shared" si="5"/>
        <v>241</v>
      </c>
      <c r="B249" s="461" t="s">
        <v>190</v>
      </c>
      <c r="C249" s="461" t="s">
        <v>62</v>
      </c>
      <c r="D249" s="469"/>
      <c r="E249" s="461" t="s">
        <v>338</v>
      </c>
      <c r="F249" s="461" t="s">
        <v>339</v>
      </c>
      <c r="G249" s="470" t="s">
        <v>721</v>
      </c>
      <c r="H249" s="462">
        <v>21</v>
      </c>
      <c r="I249" s="462">
        <v>11</v>
      </c>
      <c r="J249" s="462">
        <v>11</v>
      </c>
      <c r="K249" s="474">
        <f>1938.2+2819.2+2819.2+2290.6+1862+2543.3+552.3+5609</f>
        <v>20433.8</v>
      </c>
      <c r="L249" s="471">
        <f>704.8+704.8+528.6+2819.2+2819.2+2290.6+1592.92+3364.68+4126.29+1482.71</f>
        <v>20433.8</v>
      </c>
      <c r="M249" s="471">
        <f t="shared" si="6"/>
        <v>0</v>
      </c>
      <c r="N249" s="472">
        <v>0</v>
      </c>
      <c r="O249" s="471">
        <v>0</v>
      </c>
      <c r="P249" s="473">
        <v>0</v>
      </c>
      <c r="Q249" s="473">
        <f t="shared" si="7"/>
        <v>0</v>
      </c>
    </row>
    <row r="250" spans="1:17" s="464" customFormat="1" x14ac:dyDescent="0.2">
      <c r="A250" s="455">
        <f t="shared" si="5"/>
        <v>242</v>
      </c>
      <c r="B250" s="461" t="s">
        <v>89</v>
      </c>
      <c r="C250" s="461" t="s">
        <v>62</v>
      </c>
      <c r="D250" s="469"/>
      <c r="E250" s="455" t="s">
        <v>158</v>
      </c>
      <c r="F250" s="461" t="s">
        <v>340</v>
      </c>
      <c r="G250" s="470" t="s">
        <v>721</v>
      </c>
      <c r="H250" s="462">
        <v>7</v>
      </c>
      <c r="I250" s="462">
        <v>6</v>
      </c>
      <c r="J250" s="462">
        <v>6</v>
      </c>
      <c r="K250" s="474">
        <f>1762+3876.4+2995.4</f>
        <v>8633.7999999999993</v>
      </c>
      <c r="L250" s="471">
        <f>1762+3876.4+2995.4</f>
        <v>8633.7999999999993</v>
      </c>
      <c r="M250" s="471">
        <f t="shared" si="6"/>
        <v>0</v>
      </c>
      <c r="N250" s="472">
        <v>4</v>
      </c>
      <c r="O250" s="471">
        <f>440.5+5990.8+2819.2</f>
        <v>9250.5</v>
      </c>
      <c r="P250" s="473">
        <f>440.5+5990.8+2819.2</f>
        <v>9250.5</v>
      </c>
      <c r="Q250" s="473">
        <f t="shared" si="7"/>
        <v>0</v>
      </c>
    </row>
    <row r="251" spans="1:17" s="464" customFormat="1" x14ac:dyDescent="0.2">
      <c r="A251" s="455">
        <f t="shared" si="5"/>
        <v>243</v>
      </c>
      <c r="B251" s="461" t="s">
        <v>196</v>
      </c>
      <c r="C251" s="461" t="s">
        <v>62</v>
      </c>
      <c r="D251" s="469"/>
      <c r="E251" s="461" t="s">
        <v>683</v>
      </c>
      <c r="F251" s="461" t="s">
        <v>342</v>
      </c>
      <c r="G251" s="470" t="s">
        <v>721</v>
      </c>
      <c r="H251" s="462">
        <v>7</v>
      </c>
      <c r="I251" s="462">
        <v>5</v>
      </c>
      <c r="J251" s="462">
        <v>5</v>
      </c>
      <c r="K251" s="474">
        <v>4933.6000000000004</v>
      </c>
      <c r="L251" s="471">
        <f>4933.6</f>
        <v>4933.6000000000004</v>
      </c>
      <c r="M251" s="471">
        <f t="shared" si="6"/>
        <v>0</v>
      </c>
      <c r="N251" s="472">
        <v>0</v>
      </c>
      <c r="O251" s="471">
        <v>0</v>
      </c>
      <c r="P251" s="473">
        <v>0</v>
      </c>
      <c r="Q251" s="473">
        <f t="shared" si="7"/>
        <v>0</v>
      </c>
    </row>
    <row r="252" spans="1:17" s="464" customFormat="1" x14ac:dyDescent="0.2">
      <c r="A252" s="455">
        <f t="shared" si="5"/>
        <v>244</v>
      </c>
      <c r="B252" s="461" t="s">
        <v>631</v>
      </c>
      <c r="C252" s="461" t="s">
        <v>62</v>
      </c>
      <c r="D252" s="469"/>
      <c r="E252" s="455" t="s">
        <v>158</v>
      </c>
      <c r="F252" s="461" t="s">
        <v>642</v>
      </c>
      <c r="G252" s="470" t="s">
        <v>721</v>
      </c>
      <c r="H252" s="462">
        <v>3</v>
      </c>
      <c r="I252" s="462">
        <v>0</v>
      </c>
      <c r="J252" s="462">
        <v>0</v>
      </c>
      <c r="K252" s="474">
        <v>0</v>
      </c>
      <c r="L252" s="471">
        <v>0</v>
      </c>
      <c r="M252" s="471">
        <v>0</v>
      </c>
      <c r="N252" s="472">
        <v>0</v>
      </c>
      <c r="O252" s="471">
        <v>0</v>
      </c>
      <c r="P252" s="473">
        <v>0</v>
      </c>
      <c r="Q252" s="473">
        <f t="shared" si="7"/>
        <v>0</v>
      </c>
    </row>
    <row r="253" spans="1:17" s="464" customFormat="1" x14ac:dyDescent="0.2">
      <c r="A253" s="455">
        <f t="shared" si="5"/>
        <v>245</v>
      </c>
      <c r="B253" s="461" t="s">
        <v>343</v>
      </c>
      <c r="C253" s="461" t="s">
        <v>62</v>
      </c>
      <c r="D253" s="469"/>
      <c r="E253" s="455" t="s">
        <v>158</v>
      </c>
      <c r="F253" s="461" t="s">
        <v>344</v>
      </c>
      <c r="G253" s="470" t="s">
        <v>721</v>
      </c>
      <c r="H253" s="462">
        <v>9</v>
      </c>
      <c r="I253" s="462">
        <v>2</v>
      </c>
      <c r="J253" s="462">
        <v>2</v>
      </c>
      <c r="K253" s="474">
        <f>2466.8</f>
        <v>2466.8000000000002</v>
      </c>
      <c r="L253" s="471">
        <f>2466.8</f>
        <v>2466.8000000000002</v>
      </c>
      <c r="M253" s="471">
        <f t="shared" ref="M253:M258" si="8">K253-L253</f>
        <v>0</v>
      </c>
      <c r="N253" s="472">
        <v>0</v>
      </c>
      <c r="O253" s="471">
        <v>0</v>
      </c>
      <c r="P253" s="473">
        <v>0</v>
      </c>
      <c r="Q253" s="473">
        <f t="shared" si="7"/>
        <v>0</v>
      </c>
    </row>
    <row r="254" spans="1:17" s="464" customFormat="1" x14ac:dyDescent="0.2">
      <c r="A254" s="455">
        <f t="shared" si="5"/>
        <v>246</v>
      </c>
      <c r="B254" s="461" t="s">
        <v>154</v>
      </c>
      <c r="C254" s="461" t="s">
        <v>62</v>
      </c>
      <c r="D254" s="469"/>
      <c r="E254" s="455" t="s">
        <v>158</v>
      </c>
      <c r="F254" s="461" t="s">
        <v>345</v>
      </c>
      <c r="G254" s="470" t="s">
        <v>721</v>
      </c>
      <c r="H254" s="462">
        <v>7</v>
      </c>
      <c r="I254" s="462">
        <v>7</v>
      </c>
      <c r="J254" s="462">
        <v>7</v>
      </c>
      <c r="K254" s="474">
        <f>1497.7+1288.7+6903.75</f>
        <v>9690.15</v>
      </c>
      <c r="L254" s="471">
        <f>1497.7+1288.7</f>
        <v>2786.4</v>
      </c>
      <c r="M254" s="471">
        <f t="shared" si="8"/>
        <v>6903.75</v>
      </c>
      <c r="N254" s="472">
        <v>7</v>
      </c>
      <c r="O254" s="471">
        <f>4228.8+3700.2+552.3+1288.7</f>
        <v>9770</v>
      </c>
      <c r="P254" s="473">
        <f>4228.8+3700.2+552.3+847.84</f>
        <v>9329.14</v>
      </c>
      <c r="Q254" s="473">
        <f t="shared" si="7"/>
        <v>440.86000000000058</v>
      </c>
    </row>
    <row r="255" spans="1:17" s="464" customFormat="1" x14ac:dyDescent="0.2">
      <c r="A255" s="455">
        <f t="shared" si="5"/>
        <v>247</v>
      </c>
      <c r="B255" s="461" t="s">
        <v>346</v>
      </c>
      <c r="C255" s="461" t="s">
        <v>62</v>
      </c>
      <c r="D255" s="469"/>
      <c r="E255" s="455" t="s">
        <v>158</v>
      </c>
      <c r="F255" s="461" t="s">
        <v>347</v>
      </c>
      <c r="G255" s="470" t="s">
        <v>721</v>
      </c>
      <c r="H255" s="462">
        <v>3</v>
      </c>
      <c r="I255" s="462">
        <v>0</v>
      </c>
      <c r="J255" s="462">
        <v>0</v>
      </c>
      <c r="K255" s="474">
        <v>0</v>
      </c>
      <c r="L255" s="471">
        <v>0</v>
      </c>
      <c r="M255" s="471">
        <f t="shared" si="8"/>
        <v>0</v>
      </c>
      <c r="N255" s="472">
        <v>0</v>
      </c>
      <c r="O255" s="471">
        <v>0</v>
      </c>
      <c r="P255" s="473">
        <v>0</v>
      </c>
      <c r="Q255" s="473">
        <f t="shared" si="7"/>
        <v>0</v>
      </c>
    </row>
    <row r="256" spans="1:17" s="464" customFormat="1" x14ac:dyDescent="0.2">
      <c r="A256" s="455">
        <f t="shared" si="5"/>
        <v>248</v>
      </c>
      <c r="B256" s="461" t="s">
        <v>348</v>
      </c>
      <c r="C256" s="461" t="s">
        <v>62</v>
      </c>
      <c r="D256" s="469"/>
      <c r="E256" s="455" t="s">
        <v>158</v>
      </c>
      <c r="F256" s="461" t="s">
        <v>349</v>
      </c>
      <c r="G256" s="470" t="s">
        <v>721</v>
      </c>
      <c r="H256" s="462">
        <v>6</v>
      </c>
      <c r="I256" s="462">
        <v>0</v>
      </c>
      <c r="J256" s="462">
        <v>0</v>
      </c>
      <c r="K256" s="474">
        <v>0</v>
      </c>
      <c r="L256" s="471">
        <v>0</v>
      </c>
      <c r="M256" s="471">
        <f t="shared" si="8"/>
        <v>0</v>
      </c>
      <c r="N256" s="472">
        <v>0</v>
      </c>
      <c r="O256" s="471">
        <v>0</v>
      </c>
      <c r="P256" s="473">
        <v>0</v>
      </c>
      <c r="Q256" s="473">
        <f t="shared" si="7"/>
        <v>0</v>
      </c>
    </row>
    <row r="257" spans="1:17" s="464" customFormat="1" x14ac:dyDescent="0.2">
      <c r="A257" s="455">
        <f t="shared" si="5"/>
        <v>249</v>
      </c>
      <c r="B257" s="461" t="s">
        <v>350</v>
      </c>
      <c r="C257" s="461" t="s">
        <v>62</v>
      </c>
      <c r="D257" s="469"/>
      <c r="E257" s="455" t="s">
        <v>158</v>
      </c>
      <c r="F257" s="461" t="s">
        <v>351</v>
      </c>
      <c r="G257" s="470" t="s">
        <v>721</v>
      </c>
      <c r="H257" s="462">
        <v>1</v>
      </c>
      <c r="I257" s="462">
        <v>1</v>
      </c>
      <c r="J257" s="462">
        <v>1</v>
      </c>
      <c r="K257" s="474">
        <f>528.6</f>
        <v>528.6</v>
      </c>
      <c r="L257" s="471">
        <f>528.6</f>
        <v>528.6</v>
      </c>
      <c r="M257" s="471">
        <f t="shared" si="8"/>
        <v>0</v>
      </c>
      <c r="N257" s="472">
        <v>4</v>
      </c>
      <c r="O257" s="471">
        <v>5065.75</v>
      </c>
      <c r="P257" s="473">
        <f>1894.15+3171.6</f>
        <v>5065.75</v>
      </c>
      <c r="Q257" s="473">
        <f t="shared" si="7"/>
        <v>0</v>
      </c>
    </row>
    <row r="258" spans="1:17" s="464" customFormat="1" ht="38.25" x14ac:dyDescent="0.2">
      <c r="A258" s="455">
        <f t="shared" si="5"/>
        <v>250</v>
      </c>
      <c r="B258" s="461" t="s">
        <v>222</v>
      </c>
      <c r="C258" s="461" t="s">
        <v>64</v>
      </c>
      <c r="D258" s="475" t="s">
        <v>352</v>
      </c>
      <c r="E258" s="455" t="s">
        <v>158</v>
      </c>
      <c r="F258" s="461" t="s">
        <v>353</v>
      </c>
      <c r="G258" s="470" t="s">
        <v>721</v>
      </c>
      <c r="H258" s="462">
        <v>6</v>
      </c>
      <c r="I258" s="462">
        <v>2</v>
      </c>
      <c r="J258" s="462">
        <v>2</v>
      </c>
      <c r="K258" s="474">
        <f>1233.4+2290.6</f>
        <v>3524</v>
      </c>
      <c r="L258" s="471">
        <f>1233.4+2290.6</f>
        <v>3524</v>
      </c>
      <c r="M258" s="471">
        <f t="shared" si="8"/>
        <v>0</v>
      </c>
      <c r="N258" s="472">
        <v>0</v>
      </c>
      <c r="O258" s="471">
        <v>0</v>
      </c>
      <c r="P258" s="473">
        <v>0</v>
      </c>
      <c r="Q258" s="473">
        <f t="shared" si="7"/>
        <v>0</v>
      </c>
    </row>
    <row r="259" spans="1:17" s="464" customFormat="1" x14ac:dyDescent="0.2">
      <c r="A259" s="455">
        <f t="shared" si="5"/>
        <v>251</v>
      </c>
      <c r="B259" s="461" t="s">
        <v>232</v>
      </c>
      <c r="C259" s="461" t="s">
        <v>62</v>
      </c>
      <c r="D259" s="475"/>
      <c r="E259" s="455" t="s">
        <v>158</v>
      </c>
      <c r="F259" s="461" t="s">
        <v>722</v>
      </c>
      <c r="G259" s="470" t="s">
        <v>721</v>
      </c>
      <c r="H259" s="462">
        <v>2</v>
      </c>
      <c r="I259" s="462">
        <v>0</v>
      </c>
      <c r="J259" s="462">
        <v>0</v>
      </c>
      <c r="K259" s="474">
        <v>0</v>
      </c>
      <c r="L259" s="471">
        <v>0</v>
      </c>
      <c r="M259" s="471">
        <v>0</v>
      </c>
      <c r="N259" s="472">
        <v>0</v>
      </c>
      <c r="O259" s="471">
        <v>0</v>
      </c>
      <c r="P259" s="473">
        <v>0</v>
      </c>
      <c r="Q259" s="473">
        <f t="shared" si="7"/>
        <v>0</v>
      </c>
    </row>
    <row r="260" spans="1:17" s="464" customFormat="1" x14ac:dyDescent="0.2">
      <c r="A260" s="455">
        <f t="shared" si="5"/>
        <v>252</v>
      </c>
      <c r="B260" s="461" t="s">
        <v>238</v>
      </c>
      <c r="C260" s="461" t="s">
        <v>62</v>
      </c>
      <c r="D260" s="469"/>
      <c r="E260" s="455" t="s">
        <v>158</v>
      </c>
      <c r="F260" s="461" t="s">
        <v>354</v>
      </c>
      <c r="G260" s="470" t="s">
        <v>721</v>
      </c>
      <c r="H260" s="462">
        <v>9</v>
      </c>
      <c r="I260" s="462">
        <v>6</v>
      </c>
      <c r="J260" s="462">
        <v>6</v>
      </c>
      <c r="K260" s="474">
        <f>2466.8+4581.2+1012.55</f>
        <v>8060.55</v>
      </c>
      <c r="L260" s="471">
        <f>1233.4+1233.4+4581.2+1012.55</f>
        <v>8060.55</v>
      </c>
      <c r="M260" s="471">
        <f t="shared" ref="M260:M282" si="9">K260-L260</f>
        <v>0</v>
      </c>
      <c r="N260" s="472">
        <v>0</v>
      </c>
      <c r="O260" s="471">
        <v>0</v>
      </c>
      <c r="P260" s="473">
        <v>0</v>
      </c>
      <c r="Q260" s="473">
        <f t="shared" si="7"/>
        <v>0</v>
      </c>
    </row>
    <row r="261" spans="1:17" s="464" customFormat="1" x14ac:dyDescent="0.2">
      <c r="A261" s="455">
        <f t="shared" si="5"/>
        <v>253</v>
      </c>
      <c r="B261" s="461" t="s">
        <v>355</v>
      </c>
      <c r="C261" s="461" t="s">
        <v>62</v>
      </c>
      <c r="D261" s="469"/>
      <c r="E261" s="455" t="s">
        <v>158</v>
      </c>
      <c r="F261" s="461" t="s">
        <v>356</v>
      </c>
      <c r="G261" s="470" t="s">
        <v>721</v>
      </c>
      <c r="H261" s="462">
        <v>7</v>
      </c>
      <c r="I261" s="462">
        <v>3</v>
      </c>
      <c r="J261" s="462">
        <v>3</v>
      </c>
      <c r="K261" s="474">
        <f>1762+2209.2</f>
        <v>3971.2</v>
      </c>
      <c r="L261" s="471">
        <f>1233.4+528.6</f>
        <v>1762</v>
      </c>
      <c r="M261" s="471">
        <f t="shared" si="9"/>
        <v>2209.1999999999998</v>
      </c>
      <c r="N261" s="472">
        <v>0</v>
      </c>
      <c r="O261" s="471">
        <v>0</v>
      </c>
      <c r="P261" s="473">
        <v>0</v>
      </c>
      <c r="Q261" s="473">
        <f t="shared" si="7"/>
        <v>0</v>
      </c>
    </row>
    <row r="262" spans="1:17" s="464" customFormat="1" ht="38.25" x14ac:dyDescent="0.2">
      <c r="A262" s="455">
        <f t="shared" si="5"/>
        <v>254</v>
      </c>
      <c r="B262" s="461" t="s">
        <v>357</v>
      </c>
      <c r="C262" s="461" t="s">
        <v>64</v>
      </c>
      <c r="D262" s="461" t="s">
        <v>358</v>
      </c>
      <c r="E262" s="455" t="s">
        <v>158</v>
      </c>
      <c r="F262" s="476" t="s">
        <v>507</v>
      </c>
      <c r="G262" s="470" t="s">
        <v>721</v>
      </c>
      <c r="H262" s="462">
        <v>3</v>
      </c>
      <c r="I262" s="477">
        <v>2</v>
      </c>
      <c r="J262" s="477">
        <v>2</v>
      </c>
      <c r="K262" s="474">
        <f>1288.7+1841</f>
        <v>3129.7</v>
      </c>
      <c r="L262" s="471">
        <f>1288.7</f>
        <v>1288.7</v>
      </c>
      <c r="M262" s="471">
        <f t="shared" si="9"/>
        <v>1840.9999999999998</v>
      </c>
      <c r="N262" s="472">
        <v>0</v>
      </c>
      <c r="O262" s="471">
        <v>0</v>
      </c>
      <c r="P262" s="473">
        <v>0</v>
      </c>
      <c r="Q262" s="473">
        <f t="shared" si="7"/>
        <v>0</v>
      </c>
    </row>
    <row r="263" spans="1:17" s="464" customFormat="1" x14ac:dyDescent="0.2">
      <c r="A263" s="455">
        <f t="shared" si="5"/>
        <v>255</v>
      </c>
      <c r="B263" s="461" t="s">
        <v>36</v>
      </c>
      <c r="C263" s="461" t="s">
        <v>62</v>
      </c>
      <c r="D263" s="461"/>
      <c r="E263" s="455" t="s">
        <v>158</v>
      </c>
      <c r="F263" s="478" t="s">
        <v>630</v>
      </c>
      <c r="G263" s="470" t="s">
        <v>721</v>
      </c>
      <c r="H263" s="462">
        <v>2</v>
      </c>
      <c r="I263" s="477">
        <v>1</v>
      </c>
      <c r="J263" s="477">
        <v>1</v>
      </c>
      <c r="K263" s="474">
        <v>552.29999999999995</v>
      </c>
      <c r="L263" s="471">
        <v>552.29999999999995</v>
      </c>
      <c r="M263" s="471">
        <f t="shared" si="9"/>
        <v>0</v>
      </c>
      <c r="N263" s="472">
        <v>0</v>
      </c>
      <c r="O263" s="471">
        <v>0</v>
      </c>
      <c r="P263" s="473">
        <v>0</v>
      </c>
      <c r="Q263" s="473">
        <f t="shared" si="7"/>
        <v>0</v>
      </c>
    </row>
    <row r="264" spans="1:17" s="464" customFormat="1" x14ac:dyDescent="0.2">
      <c r="A264" s="455">
        <f t="shared" si="5"/>
        <v>256</v>
      </c>
      <c r="B264" s="461" t="s">
        <v>359</v>
      </c>
      <c r="C264" s="461" t="s">
        <v>62</v>
      </c>
      <c r="D264" s="461"/>
      <c r="E264" s="455" t="s">
        <v>158</v>
      </c>
      <c r="F264" s="476" t="s">
        <v>360</v>
      </c>
      <c r="G264" s="470" t="s">
        <v>721</v>
      </c>
      <c r="H264" s="462">
        <v>5</v>
      </c>
      <c r="I264" s="462">
        <v>5</v>
      </c>
      <c r="J264" s="462">
        <v>5</v>
      </c>
      <c r="K264" s="474">
        <f>1409.6+704.8+528.6+2290.6</f>
        <v>4933.5999999999995</v>
      </c>
      <c r="L264" s="471">
        <f>704.8+704.8+704.8+9.97+518.63+2290.6</f>
        <v>4933.5999999999995</v>
      </c>
      <c r="M264" s="471">
        <f t="shared" si="9"/>
        <v>0</v>
      </c>
      <c r="N264" s="472">
        <v>0</v>
      </c>
      <c r="O264" s="471">
        <v>0</v>
      </c>
      <c r="P264" s="473">
        <v>0</v>
      </c>
      <c r="Q264" s="473">
        <f t="shared" si="7"/>
        <v>0</v>
      </c>
    </row>
    <row r="265" spans="1:17" s="464" customFormat="1" x14ac:dyDescent="0.2">
      <c r="A265" s="455">
        <f t="shared" si="5"/>
        <v>257</v>
      </c>
      <c r="B265" s="461" t="s">
        <v>118</v>
      </c>
      <c r="C265" s="461" t="s">
        <v>62</v>
      </c>
      <c r="D265" s="469"/>
      <c r="E265" s="455" t="s">
        <v>675</v>
      </c>
      <c r="F265" s="461" t="s">
        <v>361</v>
      </c>
      <c r="G265" s="470" t="s">
        <v>721</v>
      </c>
      <c r="H265" s="462">
        <v>1</v>
      </c>
      <c r="I265" s="462">
        <v>1</v>
      </c>
      <c r="J265" s="462">
        <v>1</v>
      </c>
      <c r="K265" s="474">
        <f>1012.55</f>
        <v>1012.55</v>
      </c>
      <c r="L265" s="471">
        <f>1012.55</f>
        <v>1012.55</v>
      </c>
      <c r="M265" s="471">
        <f t="shared" si="9"/>
        <v>0</v>
      </c>
      <c r="N265" s="472">
        <v>0</v>
      </c>
      <c r="O265" s="471">
        <v>0</v>
      </c>
      <c r="P265" s="473">
        <v>0</v>
      </c>
      <c r="Q265" s="473">
        <f t="shared" si="7"/>
        <v>0</v>
      </c>
    </row>
    <row r="266" spans="1:17" s="464" customFormat="1" x14ac:dyDescent="0.2">
      <c r="A266" s="455">
        <f t="shared" si="5"/>
        <v>258</v>
      </c>
      <c r="B266" s="461" t="s">
        <v>246</v>
      </c>
      <c r="C266" s="461" t="s">
        <v>62</v>
      </c>
      <c r="D266" s="469"/>
      <c r="E266" s="455" t="s">
        <v>158</v>
      </c>
      <c r="F266" s="461" t="s">
        <v>362</v>
      </c>
      <c r="G266" s="470" t="s">
        <v>721</v>
      </c>
      <c r="H266" s="462">
        <v>5</v>
      </c>
      <c r="I266" s="462">
        <v>3</v>
      </c>
      <c r="J266" s="462">
        <v>3</v>
      </c>
      <c r="K266" s="474">
        <f>1233.4+1288.7</f>
        <v>2522.1000000000004</v>
      </c>
      <c r="L266" s="471">
        <f>1233.4+1288.7</f>
        <v>2522.1000000000004</v>
      </c>
      <c r="M266" s="471">
        <f t="shared" si="9"/>
        <v>0</v>
      </c>
      <c r="N266" s="472">
        <v>0</v>
      </c>
      <c r="O266" s="471">
        <v>0</v>
      </c>
      <c r="P266" s="473">
        <v>0</v>
      </c>
      <c r="Q266" s="473">
        <f t="shared" si="7"/>
        <v>0</v>
      </c>
    </row>
    <row r="267" spans="1:17" s="464" customFormat="1" x14ac:dyDescent="0.2">
      <c r="A267" s="455">
        <f t="shared" ref="A267:A305" si="10">A266+1</f>
        <v>259</v>
      </c>
      <c r="B267" s="461" t="s">
        <v>643</v>
      </c>
      <c r="C267" s="461" t="s">
        <v>62</v>
      </c>
      <c r="D267" s="469"/>
      <c r="E267" s="455" t="s">
        <v>158</v>
      </c>
      <c r="F267" s="461" t="s">
        <v>644</v>
      </c>
      <c r="G267" s="470" t="s">
        <v>721</v>
      </c>
      <c r="H267" s="462">
        <v>2</v>
      </c>
      <c r="I267" s="462">
        <v>0</v>
      </c>
      <c r="J267" s="462">
        <v>0</v>
      </c>
      <c r="K267" s="474">
        <v>0</v>
      </c>
      <c r="L267" s="471">
        <v>0</v>
      </c>
      <c r="M267" s="471">
        <f t="shared" si="9"/>
        <v>0</v>
      </c>
      <c r="N267" s="472">
        <v>0</v>
      </c>
      <c r="O267" s="471">
        <v>0</v>
      </c>
      <c r="P267" s="473">
        <v>0</v>
      </c>
      <c r="Q267" s="473">
        <f t="shared" si="7"/>
        <v>0</v>
      </c>
    </row>
    <row r="268" spans="1:17" s="464" customFormat="1" x14ac:dyDescent="0.2">
      <c r="A268" s="455">
        <f t="shared" si="10"/>
        <v>260</v>
      </c>
      <c r="B268" s="461" t="s">
        <v>43</v>
      </c>
      <c r="C268" s="461" t="s">
        <v>62</v>
      </c>
      <c r="D268" s="469"/>
      <c r="E268" s="455" t="s">
        <v>158</v>
      </c>
      <c r="F268" s="461" t="s">
        <v>363</v>
      </c>
      <c r="G268" s="470" t="s">
        <v>721</v>
      </c>
      <c r="H268" s="462">
        <v>4</v>
      </c>
      <c r="I268" s="462">
        <v>1</v>
      </c>
      <c r="J268" s="462">
        <v>1</v>
      </c>
      <c r="K268" s="474">
        <v>660.75</v>
      </c>
      <c r="L268" s="471">
        <f>660.75</f>
        <v>660.75</v>
      </c>
      <c r="M268" s="471">
        <f t="shared" si="9"/>
        <v>0</v>
      </c>
      <c r="N268" s="472">
        <v>0</v>
      </c>
      <c r="O268" s="471">
        <v>0</v>
      </c>
      <c r="P268" s="473">
        <v>0</v>
      </c>
      <c r="Q268" s="473">
        <f t="shared" si="7"/>
        <v>0</v>
      </c>
    </row>
    <row r="269" spans="1:17" s="464" customFormat="1" x14ac:dyDescent="0.2">
      <c r="A269" s="455">
        <f t="shared" si="10"/>
        <v>261</v>
      </c>
      <c r="B269" s="461" t="s">
        <v>364</v>
      </c>
      <c r="C269" s="461" t="s">
        <v>62</v>
      </c>
      <c r="D269" s="469"/>
      <c r="E269" s="455" t="s">
        <v>158</v>
      </c>
      <c r="F269" s="461" t="s">
        <v>365</v>
      </c>
      <c r="G269" s="470" t="s">
        <v>721</v>
      </c>
      <c r="H269" s="462">
        <v>8</v>
      </c>
      <c r="I269" s="462">
        <v>3</v>
      </c>
      <c r="J269" s="462">
        <v>3</v>
      </c>
      <c r="K269" s="474">
        <f>2466.8+4602.5</f>
        <v>7069.3</v>
      </c>
      <c r="L269" s="471">
        <v>2466.8000000000002</v>
      </c>
      <c r="M269" s="471">
        <f t="shared" si="9"/>
        <v>4602.5</v>
      </c>
      <c r="N269" s="472">
        <v>3</v>
      </c>
      <c r="O269" s="471">
        <f>3524+2671.06+3497.9</f>
        <v>9692.9599999999991</v>
      </c>
      <c r="P269" s="473">
        <f>3524+6168.96</f>
        <v>9692.9599999999991</v>
      </c>
      <c r="Q269" s="473">
        <f t="shared" si="7"/>
        <v>0</v>
      </c>
    </row>
    <row r="270" spans="1:17" s="464" customFormat="1" x14ac:dyDescent="0.2">
      <c r="A270" s="455">
        <f t="shared" si="10"/>
        <v>262</v>
      </c>
      <c r="B270" s="461" t="s">
        <v>46</v>
      </c>
      <c r="C270" s="461" t="s">
        <v>62</v>
      </c>
      <c r="D270" s="469"/>
      <c r="E270" s="455" t="s">
        <v>678</v>
      </c>
      <c r="F270" s="461" t="s">
        <v>367</v>
      </c>
      <c r="G270" s="470" t="s">
        <v>721</v>
      </c>
      <c r="H270" s="462">
        <v>0</v>
      </c>
      <c r="I270" s="462">
        <v>0</v>
      </c>
      <c r="J270" s="462">
        <v>0</v>
      </c>
      <c r="K270" s="474">
        <v>0</v>
      </c>
      <c r="L270" s="471">
        <v>0</v>
      </c>
      <c r="M270" s="471">
        <f t="shared" si="9"/>
        <v>0</v>
      </c>
      <c r="N270" s="472">
        <v>2</v>
      </c>
      <c r="O270" s="471">
        <f>4140.7+528.6</f>
        <v>4669.3</v>
      </c>
      <c r="P270" s="473">
        <f>4140.7+528.6</f>
        <v>4669.3</v>
      </c>
      <c r="Q270" s="473">
        <f t="shared" si="7"/>
        <v>0</v>
      </c>
    </row>
    <row r="271" spans="1:17" s="464" customFormat="1" x14ac:dyDescent="0.2">
      <c r="A271" s="455">
        <f t="shared" si="10"/>
        <v>263</v>
      </c>
      <c r="B271" s="461" t="s">
        <v>270</v>
      </c>
      <c r="C271" s="461" t="s">
        <v>62</v>
      </c>
      <c r="D271" s="469"/>
      <c r="E271" s="455" t="s">
        <v>158</v>
      </c>
      <c r="F271" s="461" t="s">
        <v>539</v>
      </c>
      <c r="G271" s="470" t="s">
        <v>721</v>
      </c>
      <c r="H271" s="462">
        <v>3</v>
      </c>
      <c r="I271" s="462">
        <v>1</v>
      </c>
      <c r="J271" s="462">
        <v>1</v>
      </c>
      <c r="K271" s="474">
        <v>1012.55</v>
      </c>
      <c r="L271" s="471">
        <v>1012.55</v>
      </c>
      <c r="M271" s="471">
        <f t="shared" si="9"/>
        <v>0</v>
      </c>
      <c r="N271" s="472">
        <v>0</v>
      </c>
      <c r="O271" s="471">
        <v>0</v>
      </c>
      <c r="P271" s="473">
        <v>0</v>
      </c>
      <c r="Q271" s="473">
        <v>0</v>
      </c>
    </row>
    <row r="272" spans="1:17" s="464" customFormat="1" x14ac:dyDescent="0.2">
      <c r="A272" s="455">
        <f t="shared" si="10"/>
        <v>264</v>
      </c>
      <c r="B272" s="461" t="s">
        <v>621</v>
      </c>
      <c r="C272" s="461" t="s">
        <v>62</v>
      </c>
      <c r="D272" s="469"/>
      <c r="E272" s="455" t="s">
        <v>158</v>
      </c>
      <c r="F272" s="461" t="s">
        <v>622</v>
      </c>
      <c r="G272" s="470" t="s">
        <v>721</v>
      </c>
      <c r="H272" s="462">
        <v>5</v>
      </c>
      <c r="I272" s="462">
        <v>1</v>
      </c>
      <c r="J272" s="462">
        <v>1</v>
      </c>
      <c r="K272" s="474">
        <v>1012.55</v>
      </c>
      <c r="L272" s="471">
        <f>1012.55</f>
        <v>1012.55</v>
      </c>
      <c r="M272" s="471">
        <f t="shared" si="9"/>
        <v>0</v>
      </c>
      <c r="N272" s="472">
        <v>0</v>
      </c>
      <c r="O272" s="471">
        <v>0</v>
      </c>
      <c r="P272" s="473">
        <v>0</v>
      </c>
      <c r="Q272" s="473">
        <v>0</v>
      </c>
    </row>
    <row r="273" spans="1:17" s="464" customFormat="1" x14ac:dyDescent="0.2">
      <c r="A273" s="455">
        <f t="shared" si="10"/>
        <v>265</v>
      </c>
      <c r="B273" s="461" t="s">
        <v>723</v>
      </c>
      <c r="C273" s="461" t="s">
        <v>62</v>
      </c>
      <c r="D273" s="469"/>
      <c r="E273" s="455" t="s">
        <v>158</v>
      </c>
      <c r="F273" s="461" t="s">
        <v>724</v>
      </c>
      <c r="G273" s="470" t="s">
        <v>721</v>
      </c>
      <c r="H273" s="462">
        <v>2</v>
      </c>
      <c r="I273" s="462">
        <v>0</v>
      </c>
      <c r="J273" s="462">
        <v>0</v>
      </c>
      <c r="K273" s="474">
        <v>0</v>
      </c>
      <c r="L273" s="471">
        <v>0</v>
      </c>
      <c r="M273" s="471">
        <f t="shared" si="9"/>
        <v>0</v>
      </c>
      <c r="N273" s="472">
        <v>0</v>
      </c>
      <c r="O273" s="471">
        <v>0</v>
      </c>
      <c r="P273" s="473">
        <v>0</v>
      </c>
      <c r="Q273" s="473">
        <v>0</v>
      </c>
    </row>
    <row r="274" spans="1:17" s="464" customFormat="1" x14ac:dyDescent="0.2">
      <c r="A274" s="455">
        <f t="shared" si="10"/>
        <v>266</v>
      </c>
      <c r="B274" s="461" t="s">
        <v>96</v>
      </c>
      <c r="C274" s="461" t="s">
        <v>62</v>
      </c>
      <c r="D274" s="469"/>
      <c r="E274" s="455" t="s">
        <v>671</v>
      </c>
      <c r="F274" s="461" t="s">
        <v>540</v>
      </c>
      <c r="G274" s="470" t="s">
        <v>721</v>
      </c>
      <c r="H274" s="462">
        <v>1</v>
      </c>
      <c r="I274" s="462">
        <v>0</v>
      </c>
      <c r="J274" s="462">
        <v>0</v>
      </c>
      <c r="K274" s="474">
        <v>0</v>
      </c>
      <c r="L274" s="471">
        <v>0</v>
      </c>
      <c r="M274" s="471">
        <f t="shared" si="9"/>
        <v>0</v>
      </c>
      <c r="N274" s="472">
        <v>1</v>
      </c>
      <c r="O274" s="471">
        <v>0</v>
      </c>
      <c r="P274" s="473">
        <v>0</v>
      </c>
      <c r="Q274" s="473">
        <v>0</v>
      </c>
    </row>
    <row r="275" spans="1:17" s="464" customFormat="1" x14ac:dyDescent="0.2">
      <c r="A275" s="455">
        <f t="shared" si="10"/>
        <v>267</v>
      </c>
      <c r="B275" s="461" t="s">
        <v>124</v>
      </c>
      <c r="C275" s="461" t="s">
        <v>62</v>
      </c>
      <c r="D275" s="469"/>
      <c r="E275" s="455" t="s">
        <v>158</v>
      </c>
      <c r="F275" s="461" t="s">
        <v>368</v>
      </c>
      <c r="G275" s="470" t="s">
        <v>721</v>
      </c>
      <c r="H275" s="462">
        <v>27</v>
      </c>
      <c r="I275" s="462">
        <v>18</v>
      </c>
      <c r="J275" s="462">
        <v>18</v>
      </c>
      <c r="K275" s="474">
        <f>6343.2+3700.2+4326.35+3589.95</f>
        <v>17959.7</v>
      </c>
      <c r="L275" s="471">
        <f>1762+1762+2819.2+3700.2+4326.35+3589.95</f>
        <v>17959.7</v>
      </c>
      <c r="M275" s="471">
        <f t="shared" si="9"/>
        <v>0</v>
      </c>
      <c r="N275" s="472">
        <v>8</v>
      </c>
      <c r="O275" s="471">
        <f>3171.6+88+1493.8-704.8+704.8</f>
        <v>4753.3999999999996</v>
      </c>
      <c r="P275" s="473">
        <f>1765.8+1493.8+789+704.8</f>
        <v>4753.3999999999996</v>
      </c>
      <c r="Q275" s="471">
        <f>O275-P275</f>
        <v>0</v>
      </c>
    </row>
    <row r="276" spans="1:17" s="464" customFormat="1" x14ac:dyDescent="0.2">
      <c r="A276" s="455">
        <f t="shared" si="10"/>
        <v>268</v>
      </c>
      <c r="B276" s="461" t="s">
        <v>51</v>
      </c>
      <c r="C276" s="461" t="s">
        <v>62</v>
      </c>
      <c r="D276" s="469"/>
      <c r="E276" s="455" t="s">
        <v>158</v>
      </c>
      <c r="F276" s="461" t="s">
        <v>369</v>
      </c>
      <c r="G276" s="470" t="s">
        <v>721</v>
      </c>
      <c r="H276" s="462">
        <v>0</v>
      </c>
      <c r="I276" s="462">
        <v>0</v>
      </c>
      <c r="J276" s="462">
        <v>0</v>
      </c>
      <c r="K276" s="474">
        <v>0</v>
      </c>
      <c r="L276" s="471">
        <v>0</v>
      </c>
      <c r="M276" s="471">
        <f t="shared" si="9"/>
        <v>0</v>
      </c>
      <c r="N276" s="472">
        <v>1</v>
      </c>
      <c r="O276" s="471">
        <v>2290.6</v>
      </c>
      <c r="P276" s="473">
        <v>2290.6</v>
      </c>
      <c r="Q276" s="473">
        <f>O276-P276</f>
        <v>0</v>
      </c>
    </row>
    <row r="277" spans="1:17" s="464" customFormat="1" x14ac:dyDescent="0.2">
      <c r="A277" s="455">
        <f t="shared" si="10"/>
        <v>269</v>
      </c>
      <c r="B277" s="461" t="s">
        <v>286</v>
      </c>
      <c r="C277" s="461" t="s">
        <v>62</v>
      </c>
      <c r="D277" s="469"/>
      <c r="E277" s="455" t="s">
        <v>158</v>
      </c>
      <c r="F277" s="461" t="s">
        <v>476</v>
      </c>
      <c r="G277" s="470" t="s">
        <v>721</v>
      </c>
      <c r="H277" s="462">
        <v>8</v>
      </c>
      <c r="I277" s="462">
        <v>4</v>
      </c>
      <c r="J277" s="462">
        <v>4</v>
      </c>
      <c r="K277" s="474">
        <f>1233.4+1409.6+552.3</f>
        <v>3195.3</v>
      </c>
      <c r="L277" s="471">
        <f>1233.4+1409.6+552.3</f>
        <v>3195.3</v>
      </c>
      <c r="M277" s="471">
        <f t="shared" si="9"/>
        <v>0</v>
      </c>
      <c r="N277" s="472">
        <v>0</v>
      </c>
      <c r="O277" s="471">
        <v>0</v>
      </c>
      <c r="P277" s="473">
        <v>0</v>
      </c>
      <c r="Q277" s="473">
        <v>0</v>
      </c>
    </row>
    <row r="278" spans="1:17" s="464" customFormat="1" x14ac:dyDescent="0.2">
      <c r="A278" s="455">
        <f t="shared" si="10"/>
        <v>270</v>
      </c>
      <c r="B278" s="461" t="s">
        <v>290</v>
      </c>
      <c r="C278" s="461" t="s">
        <v>62</v>
      </c>
      <c r="D278" s="469"/>
      <c r="E278" s="461" t="s">
        <v>371</v>
      </c>
      <c r="F278" s="461" t="s">
        <v>372</v>
      </c>
      <c r="G278" s="470" t="s">
        <v>721</v>
      </c>
      <c r="H278" s="462">
        <v>8</v>
      </c>
      <c r="I278" s="462">
        <v>8</v>
      </c>
      <c r="J278" s="462">
        <v>8</v>
      </c>
      <c r="K278" s="474">
        <f>1409.6+704.8+4418.4</f>
        <v>6532.7999999999993</v>
      </c>
      <c r="L278" s="471">
        <f>1409.6+704.8</f>
        <v>2114.3999999999996</v>
      </c>
      <c r="M278" s="471">
        <f t="shared" si="9"/>
        <v>4418.3999999999996</v>
      </c>
      <c r="N278" s="472">
        <v>0</v>
      </c>
      <c r="O278" s="471">
        <v>0</v>
      </c>
      <c r="P278" s="473">
        <v>0</v>
      </c>
      <c r="Q278" s="473">
        <f>O278-P278</f>
        <v>0</v>
      </c>
    </row>
    <row r="279" spans="1:17" s="464" customFormat="1" x14ac:dyDescent="0.2">
      <c r="A279" s="455">
        <f t="shared" si="10"/>
        <v>271</v>
      </c>
      <c r="B279" s="461" t="s">
        <v>134</v>
      </c>
      <c r="C279" s="461" t="s">
        <v>62</v>
      </c>
      <c r="D279" s="469"/>
      <c r="E279" s="455" t="s">
        <v>158</v>
      </c>
      <c r="F279" s="461" t="s">
        <v>373</v>
      </c>
      <c r="G279" s="470" t="s">
        <v>721</v>
      </c>
      <c r="H279" s="462">
        <v>3</v>
      </c>
      <c r="I279" s="462">
        <v>1</v>
      </c>
      <c r="J279" s="462">
        <v>1</v>
      </c>
      <c r="K279" s="474">
        <f>1938.2</f>
        <v>1938.2</v>
      </c>
      <c r="L279" s="471">
        <v>1938.2</v>
      </c>
      <c r="M279" s="471">
        <f t="shared" si="9"/>
        <v>0</v>
      </c>
      <c r="N279" s="472">
        <v>2</v>
      </c>
      <c r="O279" s="471">
        <v>2643</v>
      </c>
      <c r="P279" s="473">
        <f>881+1762</f>
        <v>2643</v>
      </c>
      <c r="Q279" s="473">
        <f>O279-P279</f>
        <v>0</v>
      </c>
    </row>
    <row r="280" spans="1:17" s="464" customFormat="1" x14ac:dyDescent="0.2">
      <c r="A280" s="455">
        <f t="shared" si="10"/>
        <v>272</v>
      </c>
      <c r="B280" s="461" t="s">
        <v>135</v>
      </c>
      <c r="C280" s="461" t="s">
        <v>62</v>
      </c>
      <c r="D280" s="469"/>
      <c r="E280" s="455" t="s">
        <v>158</v>
      </c>
      <c r="F280" s="461" t="s">
        <v>374</v>
      </c>
      <c r="G280" s="470" t="s">
        <v>721</v>
      </c>
      <c r="H280" s="462">
        <v>20</v>
      </c>
      <c r="I280" s="462">
        <v>4</v>
      </c>
      <c r="J280" s="462">
        <v>4</v>
      </c>
      <c r="K280" s="474">
        <f>5109.8+881</f>
        <v>5990.8</v>
      </c>
      <c r="L280" s="471">
        <f>2290.6+2819.2+881</f>
        <v>5990.7999999999993</v>
      </c>
      <c r="M280" s="471">
        <f t="shared" si="9"/>
        <v>0</v>
      </c>
      <c r="N280" s="472">
        <v>92</v>
      </c>
      <c r="O280" s="471">
        <f>15109.16+9717+2845.2+3774.05+1585.8+925.05+12146.94</f>
        <v>46103.200000000004</v>
      </c>
      <c r="P280" s="473">
        <f>14228.16+881+9717+2845.2+3774.05+1585.8+925.05</f>
        <v>33956.26</v>
      </c>
      <c r="Q280" s="471">
        <f>O280-P280</f>
        <v>12146.940000000002</v>
      </c>
    </row>
    <row r="281" spans="1:17" s="464" customFormat="1" ht="25.5" x14ac:dyDescent="0.2">
      <c r="A281" s="455">
        <f t="shared" si="10"/>
        <v>273</v>
      </c>
      <c r="B281" s="461" t="s">
        <v>508</v>
      </c>
      <c r="C281" s="461" t="s">
        <v>64</v>
      </c>
      <c r="D281" s="461" t="s">
        <v>509</v>
      </c>
      <c r="E281" s="455" t="s">
        <v>158</v>
      </c>
      <c r="F281" s="461" t="s">
        <v>510</v>
      </c>
      <c r="G281" s="470" t="s">
        <v>721</v>
      </c>
      <c r="H281" s="462">
        <v>3</v>
      </c>
      <c r="I281" s="462">
        <v>2</v>
      </c>
      <c r="J281" s="462">
        <v>2</v>
      </c>
      <c r="K281" s="474">
        <f>4418.4</f>
        <v>4418.3999999999996</v>
      </c>
      <c r="L281" s="471">
        <f>4418.4</f>
        <v>4418.3999999999996</v>
      </c>
      <c r="M281" s="471">
        <f t="shared" si="9"/>
        <v>0</v>
      </c>
      <c r="N281" s="472">
        <v>0</v>
      </c>
      <c r="O281" s="471">
        <v>0</v>
      </c>
      <c r="P281" s="473">
        <v>0</v>
      </c>
      <c r="Q281" s="473">
        <v>0</v>
      </c>
    </row>
    <row r="282" spans="1:17" s="464" customFormat="1" x14ac:dyDescent="0.2">
      <c r="A282" s="455">
        <f t="shared" si="10"/>
        <v>274</v>
      </c>
      <c r="B282" s="461" t="s">
        <v>299</v>
      </c>
      <c r="C282" s="461" t="s">
        <v>62</v>
      </c>
      <c r="D282" s="469"/>
      <c r="E282" s="455" t="s">
        <v>158</v>
      </c>
      <c r="F282" s="461" t="s">
        <v>375</v>
      </c>
      <c r="G282" s="470" t="s">
        <v>721</v>
      </c>
      <c r="H282" s="462">
        <v>3</v>
      </c>
      <c r="I282" s="462">
        <v>1</v>
      </c>
      <c r="J282" s="462">
        <v>1</v>
      </c>
      <c r="K282" s="474">
        <f>704.8</f>
        <v>704.8</v>
      </c>
      <c r="L282" s="471">
        <f>704.8</f>
        <v>704.8</v>
      </c>
      <c r="M282" s="471">
        <f t="shared" si="9"/>
        <v>0</v>
      </c>
      <c r="N282" s="472">
        <v>0</v>
      </c>
      <c r="O282" s="471">
        <v>0</v>
      </c>
      <c r="P282" s="473">
        <v>0</v>
      </c>
      <c r="Q282" s="473">
        <f t="shared" ref="Q282:Q290" si="11">O282-P282</f>
        <v>0</v>
      </c>
    </row>
    <row r="283" spans="1:17" s="464" customFormat="1" x14ac:dyDescent="0.2">
      <c r="A283" s="455">
        <f t="shared" si="10"/>
        <v>275</v>
      </c>
      <c r="B283" s="461" t="s">
        <v>302</v>
      </c>
      <c r="C283" s="461" t="s">
        <v>62</v>
      </c>
      <c r="D283" s="469"/>
      <c r="E283" s="455" t="s">
        <v>158</v>
      </c>
      <c r="F283" s="461" t="s">
        <v>725</v>
      </c>
      <c r="G283" s="470" t="s">
        <v>721</v>
      </c>
      <c r="H283" s="462">
        <v>1</v>
      </c>
      <c r="I283" s="462">
        <v>0</v>
      </c>
      <c r="J283" s="462">
        <v>0</v>
      </c>
      <c r="K283" s="474">
        <v>0</v>
      </c>
      <c r="L283" s="471">
        <v>0</v>
      </c>
      <c r="M283" s="471">
        <v>0</v>
      </c>
      <c r="N283" s="472">
        <v>0</v>
      </c>
      <c r="O283" s="471">
        <v>0</v>
      </c>
      <c r="P283" s="473">
        <v>0</v>
      </c>
      <c r="Q283" s="473">
        <f t="shared" si="11"/>
        <v>0</v>
      </c>
    </row>
    <row r="284" spans="1:17" s="464" customFormat="1" x14ac:dyDescent="0.2">
      <c r="A284" s="455">
        <f t="shared" si="10"/>
        <v>276</v>
      </c>
      <c r="B284" s="461" t="s">
        <v>702</v>
      </c>
      <c r="C284" s="461" t="s">
        <v>62</v>
      </c>
      <c r="D284" s="469"/>
      <c r="E284" s="455" t="s">
        <v>158</v>
      </c>
      <c r="F284" s="479" t="s">
        <v>726</v>
      </c>
      <c r="G284" s="470" t="s">
        <v>721</v>
      </c>
      <c r="H284" s="462">
        <v>1</v>
      </c>
      <c r="I284" s="462">
        <v>0</v>
      </c>
      <c r="J284" s="462">
        <v>0</v>
      </c>
      <c r="K284" s="474">
        <v>0</v>
      </c>
      <c r="L284" s="471">
        <v>0</v>
      </c>
      <c r="M284" s="471">
        <v>0</v>
      </c>
      <c r="N284" s="472">
        <v>0</v>
      </c>
      <c r="O284" s="471">
        <v>0</v>
      </c>
      <c r="P284" s="473">
        <v>0</v>
      </c>
      <c r="Q284" s="473">
        <f t="shared" si="11"/>
        <v>0</v>
      </c>
    </row>
    <row r="285" spans="1:17" s="464" customFormat="1" x14ac:dyDescent="0.2">
      <c r="A285" s="455">
        <f t="shared" si="10"/>
        <v>277</v>
      </c>
      <c r="B285" s="461" t="s">
        <v>376</v>
      </c>
      <c r="C285" s="461" t="s">
        <v>62</v>
      </c>
      <c r="D285" s="469"/>
      <c r="E285" s="455" t="s">
        <v>158</v>
      </c>
      <c r="F285" s="461" t="s">
        <v>377</v>
      </c>
      <c r="G285" s="470" t="s">
        <v>721</v>
      </c>
      <c r="H285" s="462">
        <v>8</v>
      </c>
      <c r="I285" s="462">
        <v>6</v>
      </c>
      <c r="J285" s="462">
        <v>6</v>
      </c>
      <c r="K285" s="474">
        <f>1409.6+2643+2117.15+552.3</f>
        <v>6722.05</v>
      </c>
      <c r="L285" s="471">
        <f>1409.6+2339.82+303.18+2117.15+552.3</f>
        <v>6722.05</v>
      </c>
      <c r="M285" s="471">
        <f t="shared" ref="M285:M294" si="12">K285-L285</f>
        <v>0</v>
      </c>
      <c r="N285" s="472">
        <v>0</v>
      </c>
      <c r="O285" s="471">
        <v>0</v>
      </c>
      <c r="P285" s="473">
        <v>0</v>
      </c>
      <c r="Q285" s="473">
        <f t="shared" si="11"/>
        <v>0</v>
      </c>
    </row>
    <row r="286" spans="1:17" s="464" customFormat="1" x14ac:dyDescent="0.2">
      <c r="A286" s="455">
        <f t="shared" si="10"/>
        <v>278</v>
      </c>
      <c r="B286" s="461" t="s">
        <v>129</v>
      </c>
      <c r="C286" s="461" t="s">
        <v>62</v>
      </c>
      <c r="D286" s="469"/>
      <c r="E286" s="455" t="s">
        <v>158</v>
      </c>
      <c r="F286" s="461" t="s">
        <v>378</v>
      </c>
      <c r="G286" s="470" t="s">
        <v>721</v>
      </c>
      <c r="H286" s="462">
        <v>52</v>
      </c>
      <c r="I286" s="462">
        <v>35</v>
      </c>
      <c r="J286" s="462">
        <v>35</v>
      </c>
      <c r="K286" s="474">
        <f>7355.96+1306.55+4415.93+5710.35+1310.55+10196.79+4488.25+552.3+739.02+1656.85+1104.55+1058.23+1102.23+5093.62+3554.8+1666.89</f>
        <v>51312.870000000017</v>
      </c>
      <c r="L286" s="471">
        <f>3615.96+5046.55+4415.93+2821.97+2888.38+15995.59+5110.95+1102.23+5093.62</f>
        <v>46091.180000000008</v>
      </c>
      <c r="M286" s="471">
        <f t="shared" si="12"/>
        <v>5221.6900000000096</v>
      </c>
      <c r="N286" s="472">
        <v>40</v>
      </c>
      <c r="O286" s="471">
        <f>28417.04+2923.96+3402.23+528.6+3259.4+1369.4+10104.55+4063.86+3819.85+596.3+3137.2+1453.42+10908.65+1416.6</f>
        <v>75401.060000000012</v>
      </c>
      <c r="P286" s="473">
        <f>22002.43+5101.53+1313.08+2923.96+3402.23+528.6+3259.4+19357.66+596.3+3137.2+1453.42+10908.65</f>
        <v>73984.459999999992</v>
      </c>
      <c r="Q286" s="473">
        <f t="shared" si="11"/>
        <v>1416.6000000000204</v>
      </c>
    </row>
    <row r="287" spans="1:17" s="464" customFormat="1" x14ac:dyDescent="0.2">
      <c r="A287" s="455">
        <f t="shared" si="10"/>
        <v>279</v>
      </c>
      <c r="B287" s="461" t="s">
        <v>379</v>
      </c>
      <c r="C287" s="461" t="s">
        <v>62</v>
      </c>
      <c r="D287" s="469"/>
      <c r="E287" s="455" t="s">
        <v>158</v>
      </c>
      <c r="F287" s="461" t="s">
        <v>380</v>
      </c>
      <c r="G287" s="470" t="s">
        <v>721</v>
      </c>
      <c r="H287" s="462">
        <v>5</v>
      </c>
      <c r="I287" s="462">
        <v>2</v>
      </c>
      <c r="J287" s="462">
        <v>2</v>
      </c>
      <c r="K287" s="474">
        <f>704.8+1012.55</f>
        <v>1717.35</v>
      </c>
      <c r="L287" s="471">
        <f>704.8+1012.55</f>
        <v>1717.35</v>
      </c>
      <c r="M287" s="471">
        <f t="shared" si="12"/>
        <v>0</v>
      </c>
      <c r="N287" s="472">
        <v>0</v>
      </c>
      <c r="O287" s="471">
        <v>0</v>
      </c>
      <c r="P287" s="473">
        <v>0</v>
      </c>
      <c r="Q287" s="473">
        <f t="shared" si="11"/>
        <v>0</v>
      </c>
    </row>
    <row r="288" spans="1:17" s="464" customFormat="1" x14ac:dyDescent="0.2">
      <c r="A288" s="455">
        <f t="shared" si="10"/>
        <v>280</v>
      </c>
      <c r="B288" s="461" t="s">
        <v>130</v>
      </c>
      <c r="C288" s="461" t="s">
        <v>62</v>
      </c>
      <c r="D288" s="469"/>
      <c r="E288" s="455" t="s">
        <v>158</v>
      </c>
      <c r="F288" s="461" t="s">
        <v>557</v>
      </c>
      <c r="G288" s="470" t="s">
        <v>721</v>
      </c>
      <c r="H288" s="462">
        <v>2</v>
      </c>
      <c r="I288" s="462">
        <v>0</v>
      </c>
      <c r="J288" s="462">
        <v>0</v>
      </c>
      <c r="K288" s="474">
        <v>0</v>
      </c>
      <c r="L288" s="471">
        <v>0</v>
      </c>
      <c r="M288" s="471">
        <f t="shared" si="12"/>
        <v>0</v>
      </c>
      <c r="N288" s="472">
        <v>2</v>
      </c>
      <c r="O288" s="471">
        <f>3700.2</f>
        <v>3700.2</v>
      </c>
      <c r="P288" s="473">
        <f>3700.2</f>
        <v>3700.2</v>
      </c>
      <c r="Q288" s="473">
        <f t="shared" si="11"/>
        <v>0</v>
      </c>
    </row>
    <row r="289" spans="1:17" s="464" customFormat="1" x14ac:dyDescent="0.2">
      <c r="A289" s="455">
        <f t="shared" si="10"/>
        <v>281</v>
      </c>
      <c r="B289" s="461" t="s">
        <v>382</v>
      </c>
      <c r="C289" s="461" t="s">
        <v>62</v>
      </c>
      <c r="D289" s="469"/>
      <c r="E289" s="461" t="s">
        <v>703</v>
      </c>
      <c r="F289" s="461" t="s">
        <v>384</v>
      </c>
      <c r="G289" s="470" t="s">
        <v>721</v>
      </c>
      <c r="H289" s="462">
        <v>1</v>
      </c>
      <c r="I289" s="462">
        <v>1</v>
      </c>
      <c r="J289" s="462">
        <v>1</v>
      </c>
      <c r="K289" s="474">
        <v>704.8</v>
      </c>
      <c r="L289" s="471">
        <f>187.75+517.05</f>
        <v>704.8</v>
      </c>
      <c r="M289" s="471">
        <f t="shared" si="12"/>
        <v>0</v>
      </c>
      <c r="N289" s="472">
        <v>0</v>
      </c>
      <c r="O289" s="471">
        <v>0</v>
      </c>
      <c r="P289" s="473">
        <v>0</v>
      </c>
      <c r="Q289" s="473">
        <f t="shared" si="11"/>
        <v>0</v>
      </c>
    </row>
    <row r="290" spans="1:17" s="464" customFormat="1" x14ac:dyDescent="0.2">
      <c r="A290" s="455">
        <f t="shared" si="10"/>
        <v>282</v>
      </c>
      <c r="B290" s="461" t="s">
        <v>385</v>
      </c>
      <c r="C290" s="461" t="s">
        <v>62</v>
      </c>
      <c r="D290" s="469"/>
      <c r="E290" s="455" t="s">
        <v>675</v>
      </c>
      <c r="F290" s="461" t="s">
        <v>386</v>
      </c>
      <c r="G290" s="470" t="s">
        <v>721</v>
      </c>
      <c r="H290" s="462">
        <v>14</v>
      </c>
      <c r="I290" s="462">
        <v>7</v>
      </c>
      <c r="J290" s="462">
        <v>7</v>
      </c>
      <c r="K290" s="474">
        <f>1762+2422.75</f>
        <v>4184.75</v>
      </c>
      <c r="L290" s="471">
        <f>1057.2+704.8+2422.75</f>
        <v>4184.75</v>
      </c>
      <c r="M290" s="471">
        <f t="shared" si="12"/>
        <v>0</v>
      </c>
      <c r="N290" s="472">
        <v>18</v>
      </c>
      <c r="O290" s="471">
        <v>9602.9</v>
      </c>
      <c r="P290" s="473">
        <f>9074.3+528.6</f>
        <v>9602.9</v>
      </c>
      <c r="Q290" s="473">
        <f t="shared" si="11"/>
        <v>0</v>
      </c>
    </row>
    <row r="291" spans="1:17" s="464" customFormat="1" x14ac:dyDescent="0.2">
      <c r="A291" s="455">
        <f t="shared" si="10"/>
        <v>283</v>
      </c>
      <c r="B291" s="461" t="s">
        <v>150</v>
      </c>
      <c r="C291" s="461" t="s">
        <v>62</v>
      </c>
      <c r="D291" s="469"/>
      <c r="E291" s="455" t="s">
        <v>158</v>
      </c>
      <c r="F291" s="461" t="s">
        <v>370</v>
      </c>
      <c r="G291" s="470" t="s">
        <v>721</v>
      </c>
      <c r="H291" s="462">
        <v>0</v>
      </c>
      <c r="I291" s="462">
        <v>0</v>
      </c>
      <c r="J291" s="462">
        <v>0</v>
      </c>
      <c r="K291" s="474">
        <v>0</v>
      </c>
      <c r="L291" s="471">
        <v>0</v>
      </c>
      <c r="M291" s="471">
        <f t="shared" si="12"/>
        <v>0</v>
      </c>
      <c r="N291" s="472">
        <v>0</v>
      </c>
      <c r="O291" s="471">
        <v>0</v>
      </c>
      <c r="P291" s="473">
        <v>0</v>
      </c>
      <c r="Q291" s="473">
        <v>0</v>
      </c>
    </row>
    <row r="292" spans="1:17" s="464" customFormat="1" x14ac:dyDescent="0.2">
      <c r="A292" s="455">
        <f t="shared" si="10"/>
        <v>284</v>
      </c>
      <c r="B292" s="461" t="s">
        <v>387</v>
      </c>
      <c r="C292" s="461" t="s">
        <v>62</v>
      </c>
      <c r="D292" s="469"/>
      <c r="E292" s="461" t="s">
        <v>674</v>
      </c>
      <c r="F292" s="461" t="s">
        <v>388</v>
      </c>
      <c r="G292" s="470" t="s">
        <v>721</v>
      </c>
      <c r="H292" s="462">
        <v>0</v>
      </c>
      <c r="I292" s="462">
        <v>0</v>
      </c>
      <c r="J292" s="462">
        <v>0</v>
      </c>
      <c r="K292" s="480">
        <v>0</v>
      </c>
      <c r="L292" s="471">
        <v>0</v>
      </c>
      <c r="M292" s="471">
        <f t="shared" si="12"/>
        <v>0</v>
      </c>
      <c r="N292" s="472">
        <v>0</v>
      </c>
      <c r="O292" s="471">
        <v>0</v>
      </c>
      <c r="P292" s="473">
        <v>0</v>
      </c>
      <c r="Q292" s="473">
        <f>O292-P292</f>
        <v>0</v>
      </c>
    </row>
    <row r="293" spans="1:17" s="464" customFormat="1" x14ac:dyDescent="0.2">
      <c r="A293" s="455">
        <f t="shared" si="10"/>
        <v>285</v>
      </c>
      <c r="B293" s="461" t="s">
        <v>54</v>
      </c>
      <c r="C293" s="461" t="s">
        <v>62</v>
      </c>
      <c r="D293" s="469"/>
      <c r="E293" s="455" t="s">
        <v>675</v>
      </c>
      <c r="F293" s="461" t="s">
        <v>391</v>
      </c>
      <c r="G293" s="470" t="s">
        <v>721</v>
      </c>
      <c r="H293" s="462">
        <v>0</v>
      </c>
      <c r="I293" s="462">
        <v>0</v>
      </c>
      <c r="J293" s="477">
        <v>0</v>
      </c>
      <c r="K293" s="480">
        <v>0</v>
      </c>
      <c r="L293" s="471">
        <v>0</v>
      </c>
      <c r="M293" s="471">
        <f t="shared" si="12"/>
        <v>0</v>
      </c>
      <c r="N293" s="472">
        <v>0</v>
      </c>
      <c r="O293" s="471">
        <v>0</v>
      </c>
      <c r="P293" s="473">
        <v>0</v>
      </c>
      <c r="Q293" s="473">
        <f>O293-P293</f>
        <v>0</v>
      </c>
    </row>
    <row r="294" spans="1:17" s="464" customFormat="1" ht="38.25" x14ac:dyDescent="0.2">
      <c r="A294" s="455">
        <f t="shared" si="10"/>
        <v>286</v>
      </c>
      <c r="B294" s="461" t="s">
        <v>131</v>
      </c>
      <c r="C294" s="461" t="s">
        <v>64</v>
      </c>
      <c r="D294" s="461" t="s">
        <v>392</v>
      </c>
      <c r="E294" s="455" t="s">
        <v>158</v>
      </c>
      <c r="F294" s="470" t="s">
        <v>393</v>
      </c>
      <c r="G294" s="470" t="s">
        <v>721</v>
      </c>
      <c r="H294" s="462">
        <v>0</v>
      </c>
      <c r="I294" s="462">
        <v>0</v>
      </c>
      <c r="J294" s="477">
        <v>0</v>
      </c>
      <c r="K294" s="481">
        <v>0</v>
      </c>
      <c r="L294" s="473">
        <v>0</v>
      </c>
      <c r="M294" s="471">
        <f t="shared" si="12"/>
        <v>0</v>
      </c>
      <c r="N294" s="470">
        <v>0</v>
      </c>
      <c r="O294" s="473">
        <v>0</v>
      </c>
      <c r="P294" s="473">
        <v>0</v>
      </c>
      <c r="Q294" s="473">
        <f>O294-P294</f>
        <v>0</v>
      </c>
    </row>
    <row r="295" spans="1:17" s="464" customFormat="1" x14ac:dyDescent="0.2">
      <c r="A295" s="455">
        <f t="shared" si="10"/>
        <v>287</v>
      </c>
      <c r="B295" s="456" t="s">
        <v>19</v>
      </c>
      <c r="C295" s="455" t="s">
        <v>62</v>
      </c>
      <c r="D295" s="49"/>
      <c r="E295" s="456" t="s">
        <v>671</v>
      </c>
      <c r="F295" s="456" t="s">
        <v>727</v>
      </c>
      <c r="G295" s="48" t="s">
        <v>395</v>
      </c>
      <c r="H295" s="48">
        <v>1</v>
      </c>
      <c r="I295" s="289">
        <v>0</v>
      </c>
      <c r="J295" s="48">
        <v>0</v>
      </c>
      <c r="K295" s="482">
        <v>0</v>
      </c>
      <c r="L295" s="482">
        <v>0</v>
      </c>
      <c r="M295" s="482">
        <v>0</v>
      </c>
      <c r="N295" s="48">
        <v>0</v>
      </c>
      <c r="O295" s="483">
        <v>0</v>
      </c>
      <c r="P295" s="483">
        <v>0</v>
      </c>
      <c r="Q295" s="483">
        <f t="shared" ref="Q295:Q305" si="13">O295-P295</f>
        <v>0</v>
      </c>
    </row>
    <row r="296" spans="1:17" s="464" customFormat="1" x14ac:dyDescent="0.2">
      <c r="A296" s="455">
        <f t="shared" si="10"/>
        <v>288</v>
      </c>
      <c r="B296" s="456" t="s">
        <v>90</v>
      </c>
      <c r="C296" s="455" t="s">
        <v>62</v>
      </c>
      <c r="D296" s="455" t="s">
        <v>63</v>
      </c>
      <c r="E296" s="456" t="s">
        <v>689</v>
      </c>
      <c r="F296" s="456" t="s">
        <v>728</v>
      </c>
      <c r="G296" s="48" t="s">
        <v>395</v>
      </c>
      <c r="H296" s="484">
        <v>9</v>
      </c>
      <c r="I296" s="484">
        <v>9</v>
      </c>
      <c r="J296" s="484">
        <v>9</v>
      </c>
      <c r="K296" s="482">
        <v>11276.8</v>
      </c>
      <c r="L296" s="482">
        <v>11276.8</v>
      </c>
      <c r="M296" s="482">
        <f t="shared" ref="M296:M305" si="14">K296-L296</f>
        <v>0</v>
      </c>
      <c r="N296" s="484">
        <v>20</v>
      </c>
      <c r="O296" s="482">
        <v>28791.88</v>
      </c>
      <c r="P296" s="482">
        <v>28791.88</v>
      </c>
      <c r="Q296" s="483">
        <f t="shared" si="13"/>
        <v>0</v>
      </c>
    </row>
    <row r="297" spans="1:17" s="464" customFormat="1" x14ac:dyDescent="0.2">
      <c r="A297" s="455">
        <f t="shared" si="10"/>
        <v>289</v>
      </c>
      <c r="B297" s="48" t="s">
        <v>133</v>
      </c>
      <c r="C297" s="49" t="s">
        <v>67</v>
      </c>
      <c r="D297" s="49" t="s">
        <v>397</v>
      </c>
      <c r="E297" s="455" t="s">
        <v>158</v>
      </c>
      <c r="F297" s="456" t="s">
        <v>729</v>
      </c>
      <c r="G297" s="48" t="s">
        <v>395</v>
      </c>
      <c r="H297" s="484">
        <v>12</v>
      </c>
      <c r="I297" s="484">
        <v>5</v>
      </c>
      <c r="J297" s="484">
        <v>5</v>
      </c>
      <c r="K297" s="482">
        <v>7688.8</v>
      </c>
      <c r="L297" s="482">
        <v>7136.5</v>
      </c>
      <c r="M297" s="482">
        <f t="shared" si="14"/>
        <v>552.30000000000018</v>
      </c>
      <c r="N297" s="484">
        <v>9</v>
      </c>
      <c r="O297" s="482">
        <v>12473.03</v>
      </c>
      <c r="P297" s="482">
        <v>12473.03</v>
      </c>
      <c r="Q297" s="483">
        <f t="shared" si="13"/>
        <v>0</v>
      </c>
    </row>
    <row r="298" spans="1:17" s="464" customFormat="1" x14ac:dyDescent="0.2">
      <c r="A298" s="455">
        <f t="shared" si="10"/>
        <v>290</v>
      </c>
      <c r="B298" s="456" t="s">
        <v>399</v>
      </c>
      <c r="C298" s="455" t="s">
        <v>62</v>
      </c>
      <c r="D298" s="455"/>
      <c r="E298" s="456" t="s">
        <v>694</v>
      </c>
      <c r="F298" s="456" t="s">
        <v>401</v>
      </c>
      <c r="G298" s="48" t="s">
        <v>395</v>
      </c>
      <c r="H298" s="484">
        <v>31</v>
      </c>
      <c r="I298" s="484">
        <v>10</v>
      </c>
      <c r="J298" s="484">
        <v>10</v>
      </c>
      <c r="K298" s="482">
        <v>11834.6</v>
      </c>
      <c r="L298" s="482">
        <v>9993.6</v>
      </c>
      <c r="M298" s="482">
        <f t="shared" si="14"/>
        <v>1841</v>
      </c>
      <c r="N298" s="484">
        <v>0</v>
      </c>
      <c r="O298" s="482">
        <v>0</v>
      </c>
      <c r="P298" s="482">
        <v>0</v>
      </c>
      <c r="Q298" s="483">
        <f t="shared" si="13"/>
        <v>0</v>
      </c>
    </row>
    <row r="299" spans="1:17" s="464" customFormat="1" x14ac:dyDescent="0.2">
      <c r="A299" s="455">
        <f t="shared" si="10"/>
        <v>291</v>
      </c>
      <c r="B299" s="456" t="s">
        <v>402</v>
      </c>
      <c r="C299" s="455" t="s">
        <v>62</v>
      </c>
      <c r="D299" s="455"/>
      <c r="E299" s="455" t="s">
        <v>158</v>
      </c>
      <c r="F299" s="456" t="s">
        <v>403</v>
      </c>
      <c r="G299" s="48" t="s">
        <v>395</v>
      </c>
      <c r="H299" s="484">
        <v>2</v>
      </c>
      <c r="I299" s="484">
        <v>2</v>
      </c>
      <c r="J299" s="484">
        <v>2</v>
      </c>
      <c r="K299" s="482">
        <v>3815.95</v>
      </c>
      <c r="L299" s="482">
        <v>3815.95</v>
      </c>
      <c r="M299" s="482">
        <f t="shared" si="14"/>
        <v>0</v>
      </c>
      <c r="N299" s="484">
        <v>0</v>
      </c>
      <c r="O299" s="482">
        <v>0</v>
      </c>
      <c r="P299" s="482">
        <v>0</v>
      </c>
      <c r="Q299" s="483">
        <f t="shared" si="13"/>
        <v>0</v>
      </c>
    </row>
    <row r="300" spans="1:17" s="464" customFormat="1" x14ac:dyDescent="0.2">
      <c r="A300" s="455">
        <f t="shared" si="10"/>
        <v>292</v>
      </c>
      <c r="B300" s="456" t="s">
        <v>48</v>
      </c>
      <c r="C300" s="455" t="s">
        <v>62</v>
      </c>
      <c r="D300" s="455"/>
      <c r="E300" s="456" t="s">
        <v>671</v>
      </c>
      <c r="F300" s="456" t="s">
        <v>404</v>
      </c>
      <c r="G300" s="48" t="s">
        <v>395</v>
      </c>
      <c r="H300" s="484">
        <v>43</v>
      </c>
      <c r="I300" s="484">
        <v>11</v>
      </c>
      <c r="J300" s="484">
        <v>11</v>
      </c>
      <c r="K300" s="482">
        <v>16179.5</v>
      </c>
      <c r="L300" s="482">
        <v>7730.2</v>
      </c>
      <c r="M300" s="482">
        <f t="shared" si="14"/>
        <v>8449.2999999999993</v>
      </c>
      <c r="N300" s="484">
        <v>21</v>
      </c>
      <c r="O300" s="482">
        <v>53288.82</v>
      </c>
      <c r="P300" s="482">
        <v>43761.64</v>
      </c>
      <c r="Q300" s="483">
        <f t="shared" si="13"/>
        <v>9527.18</v>
      </c>
    </row>
    <row r="301" spans="1:17" s="464" customFormat="1" x14ac:dyDescent="0.2">
      <c r="A301" s="455">
        <f t="shared" si="10"/>
        <v>293</v>
      </c>
      <c r="B301" s="456" t="s">
        <v>39</v>
      </c>
      <c r="C301" s="455" t="s">
        <v>62</v>
      </c>
      <c r="D301" s="455"/>
      <c r="E301" s="456" t="s">
        <v>694</v>
      </c>
      <c r="F301" s="456" t="s">
        <v>405</v>
      </c>
      <c r="G301" s="48" t="s">
        <v>395</v>
      </c>
      <c r="H301" s="484">
        <v>33</v>
      </c>
      <c r="I301" s="484">
        <v>3</v>
      </c>
      <c r="J301" s="484">
        <v>3</v>
      </c>
      <c r="K301" s="482">
        <v>3866.1</v>
      </c>
      <c r="L301" s="482">
        <v>552.29999999999995</v>
      </c>
      <c r="M301" s="482">
        <f t="shared" si="14"/>
        <v>3313.8</v>
      </c>
      <c r="N301" s="484">
        <v>13</v>
      </c>
      <c r="O301" s="482">
        <v>23040.3</v>
      </c>
      <c r="P301" s="482">
        <v>23040.3</v>
      </c>
      <c r="Q301" s="483">
        <f t="shared" si="13"/>
        <v>0</v>
      </c>
    </row>
    <row r="302" spans="1:17" s="464" customFormat="1" x14ac:dyDescent="0.2">
      <c r="A302" s="455">
        <f t="shared" si="10"/>
        <v>294</v>
      </c>
      <c r="B302" s="456" t="s">
        <v>127</v>
      </c>
      <c r="C302" s="455" t="s">
        <v>62</v>
      </c>
      <c r="D302" s="455"/>
      <c r="E302" s="455" t="s">
        <v>158</v>
      </c>
      <c r="F302" s="456" t="s">
        <v>406</v>
      </c>
      <c r="G302" s="48" t="s">
        <v>395</v>
      </c>
      <c r="H302" s="484">
        <v>0</v>
      </c>
      <c r="I302" s="484">
        <v>0</v>
      </c>
      <c r="J302" s="484">
        <v>0</v>
      </c>
      <c r="K302" s="482">
        <v>0</v>
      </c>
      <c r="L302" s="482">
        <v>0</v>
      </c>
      <c r="M302" s="482">
        <f t="shared" si="14"/>
        <v>0</v>
      </c>
      <c r="N302" s="484">
        <v>1</v>
      </c>
      <c r="O302" s="482">
        <v>264.3</v>
      </c>
      <c r="P302" s="482">
        <v>264.3</v>
      </c>
      <c r="Q302" s="483">
        <f t="shared" si="13"/>
        <v>0</v>
      </c>
    </row>
    <row r="303" spans="1:17" s="464" customFormat="1" x14ac:dyDescent="0.2">
      <c r="A303" s="455">
        <f t="shared" si="10"/>
        <v>295</v>
      </c>
      <c r="B303" s="456" t="s">
        <v>561</v>
      </c>
      <c r="C303" s="455" t="s">
        <v>62</v>
      </c>
      <c r="D303" s="455"/>
      <c r="E303" s="456" t="s">
        <v>671</v>
      </c>
      <c r="F303" s="456" t="s">
        <v>562</v>
      </c>
      <c r="G303" s="48" t="s">
        <v>395</v>
      </c>
      <c r="H303" s="484">
        <v>31</v>
      </c>
      <c r="I303" s="484">
        <v>0</v>
      </c>
      <c r="J303" s="484">
        <v>0</v>
      </c>
      <c r="K303" s="482">
        <v>0</v>
      </c>
      <c r="L303" s="482">
        <v>0</v>
      </c>
      <c r="M303" s="482">
        <f t="shared" si="14"/>
        <v>0</v>
      </c>
      <c r="N303" s="484">
        <v>0</v>
      </c>
      <c r="O303" s="482">
        <v>0</v>
      </c>
      <c r="P303" s="482">
        <v>0</v>
      </c>
      <c r="Q303" s="483">
        <f t="shared" si="13"/>
        <v>0</v>
      </c>
    </row>
    <row r="304" spans="1:17" s="464" customFormat="1" x14ac:dyDescent="0.2">
      <c r="A304" s="455">
        <f t="shared" si="10"/>
        <v>296</v>
      </c>
      <c r="B304" s="456" t="s">
        <v>563</v>
      </c>
      <c r="C304" s="455" t="s">
        <v>62</v>
      </c>
      <c r="D304" s="455"/>
      <c r="E304" s="456" t="s">
        <v>671</v>
      </c>
      <c r="F304" s="456" t="s">
        <v>564</v>
      </c>
      <c r="G304" s="48" t="s">
        <v>395</v>
      </c>
      <c r="H304" s="484">
        <v>33</v>
      </c>
      <c r="I304" s="484">
        <v>0</v>
      </c>
      <c r="J304" s="484">
        <v>1</v>
      </c>
      <c r="K304" s="482">
        <v>2643</v>
      </c>
      <c r="L304" s="482">
        <v>2643</v>
      </c>
      <c r="M304" s="482">
        <f t="shared" si="14"/>
        <v>0</v>
      </c>
      <c r="N304" s="484">
        <v>0</v>
      </c>
      <c r="O304" s="482">
        <v>0</v>
      </c>
      <c r="P304" s="482">
        <v>0</v>
      </c>
      <c r="Q304" s="483">
        <f t="shared" si="13"/>
        <v>0</v>
      </c>
    </row>
    <row r="305" spans="1:17" s="464" customFormat="1" x14ac:dyDescent="0.2">
      <c r="A305" s="455">
        <f t="shared" si="10"/>
        <v>297</v>
      </c>
      <c r="B305" s="456" t="s">
        <v>53</v>
      </c>
      <c r="C305" s="455" t="s">
        <v>62</v>
      </c>
      <c r="D305" s="455"/>
      <c r="E305" s="455" t="s">
        <v>158</v>
      </c>
      <c r="F305" s="456" t="s">
        <v>634</v>
      </c>
      <c r="G305" s="48" t="s">
        <v>395</v>
      </c>
      <c r="H305" s="484">
        <v>16</v>
      </c>
      <c r="I305" s="484">
        <v>1</v>
      </c>
      <c r="J305" s="484">
        <v>1</v>
      </c>
      <c r="K305" s="482">
        <v>920.5</v>
      </c>
      <c r="L305" s="482">
        <v>920.5</v>
      </c>
      <c r="M305" s="482">
        <f t="shared" si="14"/>
        <v>0</v>
      </c>
      <c r="N305" s="48">
        <v>0</v>
      </c>
      <c r="O305" s="483">
        <v>0</v>
      </c>
      <c r="P305" s="483">
        <v>0</v>
      </c>
      <c r="Q305" s="483">
        <f t="shared" si="13"/>
        <v>0</v>
      </c>
    </row>
  </sheetData>
  <autoFilter ref="A8:Q305"/>
  <pageMargins left="0.75" right="0.75" top="1" bottom="1" header="0.5" footer="0.5"/>
  <pageSetup paperSize="9" orientation="portrait" verticalDpi="0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MH301"/>
  <sheetViews>
    <sheetView zoomScale="95" zoomScaleNormal="95" workbookViewId="0">
      <selection activeCell="C292" sqref="C292"/>
    </sheetView>
  </sheetViews>
  <sheetFormatPr defaultRowHeight="15" customHeight="1" x14ac:dyDescent="0.25"/>
  <cols>
    <col min="1" max="1" width="4" customWidth="1"/>
    <col min="2" max="2" width="36.28515625" customWidth="1"/>
    <col min="3" max="3" width="11.28515625" customWidth="1"/>
    <col min="4" max="4" width="26.28515625" customWidth="1"/>
    <col min="5" max="5" width="15.7109375" customWidth="1"/>
    <col min="6" max="8" width="19.28515625" customWidth="1"/>
    <col min="9" max="9" width="11.85546875" customWidth="1"/>
    <col min="10" max="10" width="13.140625" customWidth="1"/>
    <col min="11" max="11" width="14.5703125" customWidth="1"/>
    <col min="12" max="12" width="13.42578125" customWidth="1"/>
    <col min="13" max="13" width="13.5703125" customWidth="1"/>
    <col min="14" max="14" width="13.28515625" customWidth="1"/>
    <col min="15" max="15" width="14.42578125" customWidth="1"/>
    <col min="16" max="17" width="13.42578125" customWidth="1"/>
  </cols>
  <sheetData>
    <row r="1" spans="1:17" x14ac:dyDescent="0.25">
      <c r="A1" s="384"/>
      <c r="B1" s="384"/>
      <c r="C1" s="384"/>
      <c r="D1" s="384"/>
      <c r="E1" s="384"/>
      <c r="F1" s="384"/>
      <c r="G1" s="384"/>
      <c r="H1" s="384"/>
      <c r="I1" s="384"/>
      <c r="J1" s="384"/>
      <c r="K1" s="7"/>
      <c r="L1" s="7"/>
      <c r="M1" s="7"/>
      <c r="N1" s="384"/>
      <c r="O1" s="620" t="s">
        <v>15</v>
      </c>
      <c r="P1" s="620"/>
      <c r="Q1" s="620"/>
    </row>
    <row r="2" spans="1:17" x14ac:dyDescent="0.25">
      <c r="A2" s="384"/>
      <c r="B2" s="384"/>
      <c r="C2" s="384"/>
      <c r="D2" s="384"/>
      <c r="E2" s="384"/>
      <c r="F2" s="384"/>
      <c r="G2" s="384"/>
      <c r="H2" s="384"/>
      <c r="I2" s="384"/>
      <c r="J2" s="384"/>
      <c r="K2" s="7"/>
      <c r="L2" s="7"/>
      <c r="M2" s="7"/>
      <c r="N2" s="384"/>
      <c r="O2" s="7"/>
      <c r="P2" s="7"/>
      <c r="Q2" s="7"/>
    </row>
    <row r="3" spans="1:17" x14ac:dyDescent="0.25">
      <c r="A3" s="621" t="s">
        <v>323</v>
      </c>
      <c r="B3" s="621"/>
      <c r="C3" s="621"/>
      <c r="D3" s="621"/>
      <c r="E3" s="621"/>
      <c r="F3" s="621"/>
      <c r="G3" s="621"/>
      <c r="H3" s="621"/>
      <c r="I3" s="621"/>
      <c r="J3" s="621"/>
      <c r="K3" s="621"/>
      <c r="L3" s="621"/>
      <c r="M3" s="621"/>
      <c r="N3" s="621"/>
      <c r="O3" s="621"/>
      <c r="P3" s="621"/>
      <c r="Q3" s="621"/>
    </row>
    <row r="4" spans="1:17" ht="18.75" x14ac:dyDescent="0.25">
      <c r="A4" s="622" t="s">
        <v>16</v>
      </c>
      <c r="B4" s="622"/>
      <c r="C4" s="622"/>
      <c r="D4" s="622"/>
      <c r="E4" s="622"/>
      <c r="F4" s="622"/>
      <c r="G4" s="622"/>
      <c r="H4" s="622"/>
      <c r="I4" s="622"/>
      <c r="J4" s="622"/>
      <c r="K4" s="622"/>
      <c r="L4" s="622"/>
      <c r="M4" s="622"/>
      <c r="N4" s="622"/>
      <c r="O4" s="622"/>
      <c r="P4" s="622"/>
      <c r="Q4" s="622"/>
    </row>
    <row r="5" spans="1:17" x14ac:dyDescent="0.25">
      <c r="A5" s="623" t="s">
        <v>14</v>
      </c>
      <c r="B5" s="623"/>
      <c r="C5" s="623"/>
      <c r="D5" s="623"/>
      <c r="E5" s="623"/>
      <c r="F5" s="623"/>
      <c r="G5" s="623"/>
      <c r="H5" s="623"/>
      <c r="I5" s="623"/>
      <c r="J5" s="623"/>
      <c r="K5" s="623"/>
      <c r="L5" s="623"/>
      <c r="M5" s="623"/>
      <c r="N5" s="623"/>
      <c r="O5" s="623"/>
      <c r="P5" s="623"/>
      <c r="Q5" s="623"/>
    </row>
    <row r="6" spans="1:17" ht="21" x14ac:dyDescent="0.25">
      <c r="A6" s="624" t="s">
        <v>17</v>
      </c>
      <c r="B6" s="624"/>
      <c r="C6" s="624"/>
      <c r="D6" s="624"/>
      <c r="E6" s="624"/>
      <c r="F6" s="624"/>
      <c r="G6" s="624"/>
      <c r="H6" s="624"/>
      <c r="I6" s="624"/>
      <c r="J6" s="624"/>
      <c r="K6" s="624"/>
      <c r="L6" s="624"/>
      <c r="M6" s="624"/>
      <c r="N6" s="624"/>
      <c r="O6" s="624"/>
      <c r="P6" s="624"/>
      <c r="Q6" s="624"/>
    </row>
    <row r="7" spans="1:17" x14ac:dyDescent="0.25">
      <c r="A7" s="9" t="s">
        <v>0</v>
      </c>
      <c r="B7" s="617" t="s">
        <v>10</v>
      </c>
      <c r="C7" s="618"/>
      <c r="D7" s="618"/>
      <c r="E7" s="618"/>
      <c r="F7" s="618"/>
      <c r="G7" s="619"/>
      <c r="H7" s="617" t="s">
        <v>322</v>
      </c>
      <c r="I7" s="618"/>
      <c r="J7" s="618"/>
      <c r="K7" s="618"/>
      <c r="L7" s="618"/>
      <c r="M7" s="618"/>
      <c r="N7" s="617" t="s">
        <v>324</v>
      </c>
      <c r="O7" s="618"/>
      <c r="P7" s="618"/>
      <c r="Q7" s="619"/>
    </row>
    <row r="8" spans="1:17" ht="102" x14ac:dyDescent="0.25">
      <c r="A8" s="10"/>
      <c r="B8" s="11" t="s">
        <v>4</v>
      </c>
      <c r="C8" s="11" t="s">
        <v>1</v>
      </c>
      <c r="D8" s="11" t="s">
        <v>3</v>
      </c>
      <c r="E8" s="11" t="s">
        <v>2</v>
      </c>
      <c r="F8" s="11" t="s">
        <v>6</v>
      </c>
      <c r="G8" s="11" t="s">
        <v>5</v>
      </c>
      <c r="H8" s="12" t="s">
        <v>7</v>
      </c>
      <c r="I8" s="13" t="s">
        <v>8</v>
      </c>
      <c r="J8" s="13" t="s">
        <v>9</v>
      </c>
      <c r="K8" s="14" t="s">
        <v>11</v>
      </c>
      <c r="L8" s="14" t="s">
        <v>12</v>
      </c>
      <c r="M8" s="14" t="s">
        <v>13</v>
      </c>
      <c r="N8" s="13" t="s">
        <v>9</v>
      </c>
      <c r="O8" s="14" t="s">
        <v>11</v>
      </c>
      <c r="P8" s="14" t="s">
        <v>12</v>
      </c>
      <c r="Q8" s="15" t="s">
        <v>13</v>
      </c>
    </row>
    <row r="9" spans="1:17" ht="25.5" x14ac:dyDescent="0.25">
      <c r="A9" s="385">
        <v>1</v>
      </c>
      <c r="B9" s="386" t="s">
        <v>134</v>
      </c>
      <c r="C9" s="387" t="s">
        <v>62</v>
      </c>
      <c r="D9" s="386"/>
      <c r="E9" s="387" t="s">
        <v>74</v>
      </c>
      <c r="F9" s="387" t="s">
        <v>408</v>
      </c>
      <c r="G9" s="386" t="s">
        <v>409</v>
      </c>
      <c r="H9" s="390">
        <v>26</v>
      </c>
      <c r="I9" s="390">
        <v>9</v>
      </c>
      <c r="J9" s="390">
        <v>9</v>
      </c>
      <c r="K9" s="391">
        <v>9901.2000000000007</v>
      </c>
      <c r="L9" s="391">
        <v>9901.2000000000007</v>
      </c>
      <c r="M9" s="388">
        <v>0</v>
      </c>
      <c r="N9" s="390">
        <v>7</v>
      </c>
      <c r="O9" s="391">
        <v>16876.099999999999</v>
      </c>
      <c r="P9" s="391">
        <v>16876.099999999999</v>
      </c>
      <c r="Q9" s="391">
        <v>0</v>
      </c>
    </row>
    <row r="10" spans="1:17" ht="25.5" x14ac:dyDescent="0.25">
      <c r="A10" s="385">
        <v>2</v>
      </c>
      <c r="B10" s="386" t="s">
        <v>335</v>
      </c>
      <c r="C10" s="387" t="s">
        <v>62</v>
      </c>
      <c r="D10" s="386"/>
      <c r="E10" s="387" t="s">
        <v>74</v>
      </c>
      <c r="F10" s="387" t="s">
        <v>410</v>
      </c>
      <c r="G10" s="386" t="s">
        <v>409</v>
      </c>
      <c r="H10" s="390">
        <v>13</v>
      </c>
      <c r="I10" s="390">
        <v>4</v>
      </c>
      <c r="J10" s="390">
        <v>4</v>
      </c>
      <c r="K10" s="391">
        <v>5675.4</v>
      </c>
      <c r="L10" s="391">
        <v>5675.4</v>
      </c>
      <c r="M10" s="388">
        <v>0</v>
      </c>
      <c r="N10" s="390">
        <v>11</v>
      </c>
      <c r="O10" s="391">
        <v>16642.8</v>
      </c>
      <c r="P10" s="391">
        <v>16642.8</v>
      </c>
      <c r="Q10" s="391">
        <v>0</v>
      </c>
    </row>
    <row r="11" spans="1:17" ht="38.25" x14ac:dyDescent="0.25">
      <c r="A11" s="385">
        <v>3</v>
      </c>
      <c r="B11" s="386" t="s">
        <v>46</v>
      </c>
      <c r="C11" s="387" t="s">
        <v>62</v>
      </c>
      <c r="D11" s="386"/>
      <c r="E11" s="387" t="s">
        <v>267</v>
      </c>
      <c r="F11" s="387" t="s">
        <v>411</v>
      </c>
      <c r="G11" s="386" t="s">
        <v>409</v>
      </c>
      <c r="H11" s="390">
        <v>37</v>
      </c>
      <c r="I11" s="390">
        <v>23</v>
      </c>
      <c r="J11" s="390">
        <v>23</v>
      </c>
      <c r="K11" s="391">
        <v>39583.199999999997</v>
      </c>
      <c r="L11" s="391">
        <v>39583.199999999997</v>
      </c>
      <c r="M11" s="388">
        <v>0</v>
      </c>
      <c r="N11" s="390">
        <v>21</v>
      </c>
      <c r="O11" s="391">
        <v>32130.52</v>
      </c>
      <c r="P11" s="391">
        <v>32130.52</v>
      </c>
      <c r="Q11" s="391">
        <v>0</v>
      </c>
    </row>
    <row r="12" spans="1:17" ht="25.5" x14ac:dyDescent="0.25">
      <c r="A12" s="385">
        <v>4</v>
      </c>
      <c r="B12" s="386" t="s">
        <v>36</v>
      </c>
      <c r="C12" s="387" t="s">
        <v>62</v>
      </c>
      <c r="D12" s="386"/>
      <c r="E12" s="387" t="s">
        <v>74</v>
      </c>
      <c r="F12" s="387" t="s">
        <v>412</v>
      </c>
      <c r="G12" s="386" t="s">
        <v>409</v>
      </c>
      <c r="H12" s="390">
        <v>26</v>
      </c>
      <c r="I12" s="390">
        <v>19</v>
      </c>
      <c r="J12" s="390">
        <v>19</v>
      </c>
      <c r="K12" s="391">
        <v>33884.550000000003</v>
      </c>
      <c r="L12" s="391">
        <v>33884.550000000003</v>
      </c>
      <c r="M12" s="388">
        <v>0</v>
      </c>
      <c r="N12" s="390">
        <v>22</v>
      </c>
      <c r="O12" s="391">
        <v>61373.52</v>
      </c>
      <c r="P12" s="391">
        <v>61373.52</v>
      </c>
      <c r="Q12" s="391">
        <v>0</v>
      </c>
    </row>
    <row r="13" spans="1:17" ht="25.5" x14ac:dyDescent="0.25">
      <c r="A13" s="385">
        <v>5</v>
      </c>
      <c r="B13" s="386" t="s">
        <v>27</v>
      </c>
      <c r="C13" s="387" t="s">
        <v>62</v>
      </c>
      <c r="D13" s="386"/>
      <c r="E13" s="387" t="s">
        <v>74</v>
      </c>
      <c r="F13" s="387" t="s">
        <v>413</v>
      </c>
      <c r="G13" s="386" t="s">
        <v>409</v>
      </c>
      <c r="H13" s="390">
        <v>10</v>
      </c>
      <c r="I13" s="390">
        <v>6</v>
      </c>
      <c r="J13" s="390">
        <v>6</v>
      </c>
      <c r="K13" s="391">
        <v>11514.02</v>
      </c>
      <c r="L13" s="391">
        <v>11514.02</v>
      </c>
      <c r="M13" s="388">
        <v>0</v>
      </c>
      <c r="N13" s="390">
        <v>10</v>
      </c>
      <c r="O13" s="391">
        <v>19563.2</v>
      </c>
      <c r="P13" s="391">
        <v>19563.2</v>
      </c>
      <c r="Q13" s="391">
        <v>0</v>
      </c>
    </row>
    <row r="14" spans="1:17" ht="25.5" x14ac:dyDescent="0.25">
      <c r="A14" s="385">
        <v>6</v>
      </c>
      <c r="B14" s="386" t="s">
        <v>28</v>
      </c>
      <c r="C14" s="387" t="s">
        <v>62</v>
      </c>
      <c r="D14" s="386"/>
      <c r="E14" s="387" t="s">
        <v>74</v>
      </c>
      <c r="F14" s="387" t="s">
        <v>414</v>
      </c>
      <c r="G14" s="386" t="s">
        <v>409</v>
      </c>
      <c r="H14" s="390">
        <v>29</v>
      </c>
      <c r="I14" s="390">
        <v>18</v>
      </c>
      <c r="J14" s="390">
        <v>18</v>
      </c>
      <c r="K14" s="391">
        <v>26887.77</v>
      </c>
      <c r="L14" s="391">
        <v>26887.77</v>
      </c>
      <c r="M14" s="388">
        <v>0</v>
      </c>
      <c r="N14" s="390">
        <v>11</v>
      </c>
      <c r="O14" s="391">
        <v>18572.099999999999</v>
      </c>
      <c r="P14" s="391">
        <v>18572.099999999999</v>
      </c>
      <c r="Q14" s="391">
        <v>0</v>
      </c>
    </row>
    <row r="15" spans="1:17" ht="25.5" x14ac:dyDescent="0.25">
      <c r="A15" s="385">
        <v>7</v>
      </c>
      <c r="B15" s="392" t="s">
        <v>246</v>
      </c>
      <c r="C15" s="385" t="s">
        <v>62</v>
      </c>
      <c r="D15" s="392"/>
      <c r="E15" s="387" t="s">
        <v>74</v>
      </c>
      <c r="F15" s="385" t="s">
        <v>415</v>
      </c>
      <c r="G15" s="386" t="s">
        <v>409</v>
      </c>
      <c r="H15" s="390">
        <v>26</v>
      </c>
      <c r="I15" s="390">
        <v>6</v>
      </c>
      <c r="J15" s="390">
        <v>6</v>
      </c>
      <c r="K15" s="391">
        <v>6907.04</v>
      </c>
      <c r="L15" s="391">
        <v>5673.64</v>
      </c>
      <c r="M15" s="388">
        <v>1233.4000000000001</v>
      </c>
      <c r="N15" s="390">
        <v>0</v>
      </c>
      <c r="O15" s="391">
        <v>0</v>
      </c>
      <c r="P15" s="391">
        <v>0</v>
      </c>
      <c r="Q15" s="391">
        <v>0</v>
      </c>
    </row>
    <row r="16" spans="1:17" ht="25.5" x14ac:dyDescent="0.25">
      <c r="A16" s="393">
        <v>8</v>
      </c>
      <c r="B16" s="389" t="s">
        <v>330</v>
      </c>
      <c r="C16" s="385" t="s">
        <v>62</v>
      </c>
      <c r="D16" s="392"/>
      <c r="E16" s="387" t="s">
        <v>74</v>
      </c>
      <c r="F16" s="385" t="s">
        <v>416</v>
      </c>
      <c r="G16" s="386" t="s">
        <v>409</v>
      </c>
      <c r="H16" s="390">
        <v>6</v>
      </c>
      <c r="I16" s="390">
        <v>1</v>
      </c>
      <c r="J16" s="390">
        <v>1</v>
      </c>
      <c r="K16" s="391">
        <v>1841</v>
      </c>
      <c r="L16" s="391">
        <v>1841</v>
      </c>
      <c r="M16" s="388">
        <v>0</v>
      </c>
      <c r="N16" s="390">
        <v>0</v>
      </c>
      <c r="O16" s="391">
        <v>0</v>
      </c>
      <c r="P16" s="391">
        <v>0</v>
      </c>
      <c r="Q16" s="391">
        <v>0</v>
      </c>
    </row>
    <row r="17" spans="1:17" ht="25.5" x14ac:dyDescent="0.25">
      <c r="A17" s="393">
        <v>9</v>
      </c>
      <c r="B17" s="389" t="s">
        <v>402</v>
      </c>
      <c r="C17" s="385" t="s">
        <v>62</v>
      </c>
      <c r="D17" s="392"/>
      <c r="E17" s="387" t="s">
        <v>74</v>
      </c>
      <c r="F17" s="385" t="s">
        <v>417</v>
      </c>
      <c r="G17" s="386" t="s">
        <v>409</v>
      </c>
      <c r="H17" s="390">
        <v>20</v>
      </c>
      <c r="I17" s="390">
        <v>8</v>
      </c>
      <c r="J17" s="390">
        <v>8</v>
      </c>
      <c r="K17" s="391">
        <v>10254.82</v>
      </c>
      <c r="L17" s="391">
        <v>10254.82</v>
      </c>
      <c r="M17" s="388">
        <v>0</v>
      </c>
      <c r="N17" s="390">
        <v>0</v>
      </c>
      <c r="O17" s="391">
        <v>0</v>
      </c>
      <c r="P17" s="391">
        <v>0</v>
      </c>
      <c r="Q17" s="391">
        <v>0</v>
      </c>
    </row>
    <row r="18" spans="1:17" ht="25.5" x14ac:dyDescent="0.25">
      <c r="A18" s="393">
        <v>10</v>
      </c>
      <c r="B18" s="389" t="s">
        <v>154</v>
      </c>
      <c r="C18" s="385" t="s">
        <v>62</v>
      </c>
      <c r="D18" s="392"/>
      <c r="E18" s="387" t="s">
        <v>72</v>
      </c>
      <c r="F18" s="385" t="s">
        <v>418</v>
      </c>
      <c r="G18" s="386" t="s">
        <v>409</v>
      </c>
      <c r="H18" s="390">
        <v>8</v>
      </c>
      <c r="I18" s="390">
        <v>1</v>
      </c>
      <c r="J18" s="390">
        <v>1</v>
      </c>
      <c r="K18" s="391">
        <v>925.05</v>
      </c>
      <c r="L18" s="391">
        <v>925.05</v>
      </c>
      <c r="M18" s="388">
        <v>0</v>
      </c>
      <c r="N18" s="390">
        <v>8</v>
      </c>
      <c r="O18" s="391">
        <v>13569.2</v>
      </c>
      <c r="P18" s="391">
        <v>13569.2</v>
      </c>
      <c r="Q18" s="391">
        <v>0</v>
      </c>
    </row>
    <row r="19" spans="1:17" ht="25.5" x14ac:dyDescent="0.25">
      <c r="A19" s="393">
        <v>11</v>
      </c>
      <c r="B19" s="389" t="s">
        <v>153</v>
      </c>
      <c r="C19" s="385" t="s">
        <v>62</v>
      </c>
      <c r="D19" s="392"/>
      <c r="E19" s="387" t="s">
        <v>74</v>
      </c>
      <c r="F19" s="385" t="s">
        <v>419</v>
      </c>
      <c r="G19" s="386" t="s">
        <v>409</v>
      </c>
      <c r="H19" s="390">
        <v>4</v>
      </c>
      <c r="I19" s="390">
        <v>1</v>
      </c>
      <c r="J19" s="390">
        <v>1</v>
      </c>
      <c r="K19" s="391">
        <v>1635.8</v>
      </c>
      <c r="L19" s="391">
        <v>1635.8</v>
      </c>
      <c r="M19" s="388">
        <v>0</v>
      </c>
      <c r="N19" s="390">
        <v>18</v>
      </c>
      <c r="O19" s="391">
        <v>63052.81</v>
      </c>
      <c r="P19" s="391">
        <v>63052.81</v>
      </c>
      <c r="Q19" s="391">
        <v>0</v>
      </c>
    </row>
    <row r="20" spans="1:17" ht="25.5" x14ac:dyDescent="0.25">
      <c r="A20" s="393">
        <v>12</v>
      </c>
      <c r="B20" s="389" t="s">
        <v>89</v>
      </c>
      <c r="C20" s="385" t="s">
        <v>62</v>
      </c>
      <c r="D20" s="392"/>
      <c r="E20" s="387" t="s">
        <v>74</v>
      </c>
      <c r="F20" s="385" t="s">
        <v>420</v>
      </c>
      <c r="G20" s="386" t="s">
        <v>409</v>
      </c>
      <c r="H20" s="390">
        <v>12</v>
      </c>
      <c r="I20" s="390">
        <v>6</v>
      </c>
      <c r="J20" s="390">
        <v>6</v>
      </c>
      <c r="K20" s="391">
        <v>9804.5499999999993</v>
      </c>
      <c r="L20" s="391">
        <v>9804.5499999999993</v>
      </c>
      <c r="M20" s="388">
        <v>0</v>
      </c>
      <c r="N20" s="390">
        <v>4</v>
      </c>
      <c r="O20" s="391">
        <v>12828.6</v>
      </c>
      <c r="P20" s="391">
        <v>12828.6</v>
      </c>
      <c r="Q20" s="391">
        <v>0</v>
      </c>
    </row>
    <row r="21" spans="1:17" ht="25.5" x14ac:dyDescent="0.25">
      <c r="A21" s="393">
        <v>13</v>
      </c>
      <c r="B21" s="389" t="s">
        <v>379</v>
      </c>
      <c r="C21" s="385" t="s">
        <v>62</v>
      </c>
      <c r="D21" s="392"/>
      <c r="E21" s="387" t="s">
        <v>74</v>
      </c>
      <c r="F21" s="385" t="s">
        <v>421</v>
      </c>
      <c r="G21" s="386" t="s">
        <v>409</v>
      </c>
      <c r="H21" s="390">
        <v>7</v>
      </c>
      <c r="I21" s="390">
        <v>5</v>
      </c>
      <c r="J21" s="390">
        <v>5</v>
      </c>
      <c r="K21" s="391">
        <v>6120.15</v>
      </c>
      <c r="L21" s="391">
        <v>6120.15</v>
      </c>
      <c r="M21" s="388">
        <v>0</v>
      </c>
      <c r="N21" s="390">
        <v>0</v>
      </c>
      <c r="O21" s="391">
        <v>0</v>
      </c>
      <c r="P21" s="391">
        <v>0</v>
      </c>
      <c r="Q21" s="391">
        <v>0</v>
      </c>
    </row>
    <row r="22" spans="1:17" ht="25.5" x14ac:dyDescent="0.25">
      <c r="A22" s="393">
        <v>14</v>
      </c>
      <c r="B22" s="389" t="s">
        <v>264</v>
      </c>
      <c r="C22" s="385" t="s">
        <v>62</v>
      </c>
      <c r="D22" s="392"/>
      <c r="E22" s="387" t="s">
        <v>74</v>
      </c>
      <c r="F22" s="385" t="s">
        <v>422</v>
      </c>
      <c r="G22" s="386" t="s">
        <v>409</v>
      </c>
      <c r="H22" s="390">
        <v>3</v>
      </c>
      <c r="I22" s="390">
        <v>0</v>
      </c>
      <c r="J22" s="390">
        <v>0</v>
      </c>
      <c r="K22" s="391">
        <v>0</v>
      </c>
      <c r="L22" s="391">
        <v>0</v>
      </c>
      <c r="M22" s="388">
        <v>0</v>
      </c>
      <c r="N22" s="390">
        <v>0</v>
      </c>
      <c r="O22" s="391">
        <v>0</v>
      </c>
      <c r="P22" s="391">
        <v>0</v>
      </c>
      <c r="Q22" s="391">
        <v>0</v>
      </c>
    </row>
    <row r="23" spans="1:17" ht="25.5" x14ac:dyDescent="0.25">
      <c r="A23" s="393">
        <v>15</v>
      </c>
      <c r="B23" s="389" t="s">
        <v>475</v>
      </c>
      <c r="C23" s="385" t="s">
        <v>67</v>
      </c>
      <c r="D23" s="386" t="s">
        <v>123</v>
      </c>
      <c r="E23" s="387" t="s">
        <v>82</v>
      </c>
      <c r="F23" s="385" t="s">
        <v>423</v>
      </c>
      <c r="G23" s="386" t="s">
        <v>409</v>
      </c>
      <c r="H23" s="390">
        <v>3</v>
      </c>
      <c r="I23" s="390">
        <v>0</v>
      </c>
      <c r="J23" s="390">
        <v>0</v>
      </c>
      <c r="K23" s="391">
        <v>0</v>
      </c>
      <c r="L23" s="391">
        <v>0</v>
      </c>
      <c r="M23" s="388">
        <v>0</v>
      </c>
      <c r="N23" s="390">
        <v>0</v>
      </c>
      <c r="O23" s="391">
        <v>0</v>
      </c>
      <c r="P23" s="391">
        <v>0</v>
      </c>
      <c r="Q23" s="391">
        <v>0</v>
      </c>
    </row>
    <row r="24" spans="1:17" ht="25.5" x14ac:dyDescent="0.25">
      <c r="A24" s="393">
        <v>16</v>
      </c>
      <c r="B24" s="389" t="s">
        <v>137</v>
      </c>
      <c r="C24" s="385" t="s">
        <v>62</v>
      </c>
      <c r="D24" s="392"/>
      <c r="E24" s="387" t="s">
        <v>78</v>
      </c>
      <c r="F24" s="385" t="s">
        <v>424</v>
      </c>
      <c r="G24" s="386" t="s">
        <v>409</v>
      </c>
      <c r="H24" s="390">
        <v>4</v>
      </c>
      <c r="I24" s="390">
        <v>1</v>
      </c>
      <c r="J24" s="390">
        <v>1</v>
      </c>
      <c r="K24" s="391">
        <v>1691.52</v>
      </c>
      <c r="L24" s="391">
        <v>1691.52</v>
      </c>
      <c r="M24" s="388">
        <v>0</v>
      </c>
      <c r="N24" s="390">
        <v>0</v>
      </c>
      <c r="O24" s="391">
        <v>0</v>
      </c>
      <c r="P24" s="391">
        <v>0</v>
      </c>
      <c r="Q24" s="391">
        <v>0</v>
      </c>
    </row>
    <row r="25" spans="1:17" ht="25.5" x14ac:dyDescent="0.25">
      <c r="A25" s="393">
        <v>17</v>
      </c>
      <c r="B25" s="389" t="s">
        <v>173</v>
      </c>
      <c r="C25" s="385" t="s">
        <v>67</v>
      </c>
      <c r="D25" s="392" t="s">
        <v>425</v>
      </c>
      <c r="E25" s="387" t="s">
        <v>74</v>
      </c>
      <c r="F25" s="385" t="s">
        <v>426</v>
      </c>
      <c r="G25" s="386" t="s">
        <v>409</v>
      </c>
      <c r="H25" s="390">
        <v>13</v>
      </c>
      <c r="I25" s="390">
        <v>5</v>
      </c>
      <c r="J25" s="390">
        <v>5</v>
      </c>
      <c r="K25" s="391">
        <v>7429.36</v>
      </c>
      <c r="L25" s="391">
        <v>7429.36</v>
      </c>
      <c r="M25" s="388">
        <v>0</v>
      </c>
      <c r="N25" s="390">
        <v>0</v>
      </c>
      <c r="O25" s="391">
        <v>0</v>
      </c>
      <c r="P25" s="391">
        <v>0</v>
      </c>
      <c r="Q25" s="391">
        <v>0</v>
      </c>
    </row>
    <row r="26" spans="1:17" ht="25.5" x14ac:dyDescent="0.25">
      <c r="A26" s="393">
        <v>18</v>
      </c>
      <c r="B26" s="389" t="s">
        <v>135</v>
      </c>
      <c r="C26" s="385" t="s">
        <v>62</v>
      </c>
      <c r="D26" s="392"/>
      <c r="E26" s="387" t="s">
        <v>74</v>
      </c>
      <c r="F26" s="385" t="s">
        <v>427</v>
      </c>
      <c r="G26" s="386" t="s">
        <v>409</v>
      </c>
      <c r="H26" s="390">
        <v>4</v>
      </c>
      <c r="I26" s="390">
        <v>2</v>
      </c>
      <c r="J26" s="390">
        <v>2</v>
      </c>
      <c r="K26" s="391">
        <v>2396.3200000000002</v>
      </c>
      <c r="L26" s="391">
        <v>2396.3200000000002</v>
      </c>
      <c r="M26" s="388">
        <v>0</v>
      </c>
      <c r="N26" s="390">
        <v>7</v>
      </c>
      <c r="O26" s="391">
        <v>16256.42</v>
      </c>
      <c r="P26" s="391">
        <v>16256.42</v>
      </c>
      <c r="Q26" s="391">
        <v>0</v>
      </c>
    </row>
    <row r="27" spans="1:17" ht="25.5" x14ac:dyDescent="0.25">
      <c r="A27" s="393">
        <v>19</v>
      </c>
      <c r="B27" s="389" t="s">
        <v>148</v>
      </c>
      <c r="C27" s="385" t="s">
        <v>62</v>
      </c>
      <c r="D27" s="392"/>
      <c r="E27" s="387" t="s">
        <v>149</v>
      </c>
      <c r="F27" s="385" t="s">
        <v>375</v>
      </c>
      <c r="G27" s="386" t="s">
        <v>409</v>
      </c>
      <c r="H27" s="390">
        <v>22</v>
      </c>
      <c r="I27" s="390">
        <v>14</v>
      </c>
      <c r="J27" s="390">
        <v>14</v>
      </c>
      <c r="K27" s="391">
        <v>37502.15</v>
      </c>
      <c r="L27" s="391">
        <v>37502.15</v>
      </c>
      <c r="M27" s="388">
        <v>0</v>
      </c>
      <c r="N27" s="390">
        <v>29</v>
      </c>
      <c r="O27" s="391">
        <v>92418.59</v>
      </c>
      <c r="P27" s="391">
        <v>92418.59</v>
      </c>
      <c r="Q27" s="391">
        <v>0</v>
      </c>
    </row>
    <row r="28" spans="1:17" ht="25.5" x14ac:dyDescent="0.25">
      <c r="A28" s="393">
        <v>20</v>
      </c>
      <c r="B28" s="389" t="s">
        <v>147</v>
      </c>
      <c r="C28" s="385" t="s">
        <v>62</v>
      </c>
      <c r="D28" s="392"/>
      <c r="E28" s="387" t="s">
        <v>74</v>
      </c>
      <c r="F28" s="385" t="s">
        <v>331</v>
      </c>
      <c r="G28" s="386" t="s">
        <v>409</v>
      </c>
      <c r="H28" s="390">
        <v>6</v>
      </c>
      <c r="I28" s="390">
        <v>2</v>
      </c>
      <c r="J28" s="390">
        <v>2</v>
      </c>
      <c r="K28" s="391">
        <v>4915.3999999999996</v>
      </c>
      <c r="L28" s="391">
        <v>4915.3999999999996</v>
      </c>
      <c r="M28" s="388">
        <v>0</v>
      </c>
      <c r="N28" s="390">
        <v>10</v>
      </c>
      <c r="O28" s="391">
        <v>22395.4</v>
      </c>
      <c r="P28" s="391">
        <v>22395.4</v>
      </c>
      <c r="Q28" s="391">
        <v>0</v>
      </c>
    </row>
    <row r="29" spans="1:17" ht="25.5" x14ac:dyDescent="0.25">
      <c r="A29" s="393">
        <v>21</v>
      </c>
      <c r="B29" s="389" t="s">
        <v>124</v>
      </c>
      <c r="C29" s="385" t="s">
        <v>62</v>
      </c>
      <c r="D29" s="392"/>
      <c r="E29" s="387" t="s">
        <v>428</v>
      </c>
      <c r="F29" s="385" t="s">
        <v>329</v>
      </c>
      <c r="G29" s="386" t="s">
        <v>409</v>
      </c>
      <c r="H29" s="390">
        <v>17</v>
      </c>
      <c r="I29" s="390">
        <v>11</v>
      </c>
      <c r="J29" s="390">
        <v>11</v>
      </c>
      <c r="K29" s="391">
        <v>14887.37</v>
      </c>
      <c r="L29" s="391">
        <v>14887.37</v>
      </c>
      <c r="M29" s="388">
        <v>0</v>
      </c>
      <c r="N29" s="390">
        <v>26</v>
      </c>
      <c r="O29" s="391">
        <v>35829.449999999997</v>
      </c>
      <c r="P29" s="391">
        <v>35829.449999999997</v>
      </c>
      <c r="Q29" s="391">
        <v>0</v>
      </c>
    </row>
    <row r="30" spans="1:17" ht="25.5" x14ac:dyDescent="0.25">
      <c r="A30" s="393">
        <v>22</v>
      </c>
      <c r="B30" s="389" t="s">
        <v>168</v>
      </c>
      <c r="C30" s="385" t="s">
        <v>62</v>
      </c>
      <c r="D30" s="392"/>
      <c r="E30" s="385" t="s">
        <v>371</v>
      </c>
      <c r="F30" s="385" t="s">
        <v>353</v>
      </c>
      <c r="G30" s="386" t="s">
        <v>409</v>
      </c>
      <c r="H30" s="390">
        <v>6</v>
      </c>
      <c r="I30" s="390">
        <v>1</v>
      </c>
      <c r="J30" s="390">
        <v>1</v>
      </c>
      <c r="K30" s="391">
        <v>1409.6</v>
      </c>
      <c r="L30" s="391">
        <v>1409.6</v>
      </c>
      <c r="M30" s="388">
        <v>0</v>
      </c>
      <c r="N30" s="390">
        <v>0</v>
      </c>
      <c r="O30" s="391">
        <v>0</v>
      </c>
      <c r="P30" s="391">
        <v>0</v>
      </c>
      <c r="Q30" s="391">
        <v>0</v>
      </c>
    </row>
    <row r="31" spans="1:17" ht="25.5" x14ac:dyDescent="0.25">
      <c r="A31" s="393">
        <v>23</v>
      </c>
      <c r="B31" s="389" t="s">
        <v>429</v>
      </c>
      <c r="C31" s="385" t="s">
        <v>62</v>
      </c>
      <c r="D31" s="392"/>
      <c r="E31" s="387" t="s">
        <v>74</v>
      </c>
      <c r="F31" s="385" t="s">
        <v>430</v>
      </c>
      <c r="G31" s="386" t="s">
        <v>409</v>
      </c>
      <c r="H31" s="390">
        <v>7</v>
      </c>
      <c r="I31" s="390">
        <v>3</v>
      </c>
      <c r="J31" s="390">
        <v>3</v>
      </c>
      <c r="K31" s="391">
        <v>5178.84</v>
      </c>
      <c r="L31" s="391">
        <v>5178.84</v>
      </c>
      <c r="M31" s="388">
        <v>0</v>
      </c>
      <c r="N31" s="390">
        <v>7</v>
      </c>
      <c r="O31" s="391">
        <v>6995.76</v>
      </c>
      <c r="P31" s="391">
        <v>6995.76</v>
      </c>
      <c r="Q31" s="391">
        <v>0</v>
      </c>
    </row>
    <row r="32" spans="1:17" ht="25.5" x14ac:dyDescent="0.25">
      <c r="A32" s="393">
        <v>24</v>
      </c>
      <c r="B32" s="389" t="s">
        <v>130</v>
      </c>
      <c r="C32" s="385" t="s">
        <v>62</v>
      </c>
      <c r="D32" s="392"/>
      <c r="E32" s="387" t="s">
        <v>74</v>
      </c>
      <c r="F32" s="385" t="s">
        <v>431</v>
      </c>
      <c r="G32" s="386" t="s">
        <v>409</v>
      </c>
      <c r="H32" s="390">
        <v>4</v>
      </c>
      <c r="I32" s="390">
        <v>4</v>
      </c>
      <c r="J32" s="390">
        <v>4</v>
      </c>
      <c r="K32" s="391">
        <v>5204.28</v>
      </c>
      <c r="L32" s="391">
        <v>5204.2</v>
      </c>
      <c r="M32" s="388">
        <v>7.9999999999927199E-2</v>
      </c>
      <c r="N32" s="390">
        <v>5</v>
      </c>
      <c r="O32" s="391">
        <v>10391.459999999999</v>
      </c>
      <c r="P32" s="391">
        <v>10391.459999999999</v>
      </c>
      <c r="Q32" s="391">
        <v>0</v>
      </c>
    </row>
    <row r="33" spans="1:17" ht="25.5" x14ac:dyDescent="0.25">
      <c r="A33" s="393">
        <v>25</v>
      </c>
      <c r="B33" s="389" t="s">
        <v>32</v>
      </c>
      <c r="C33" s="385" t="s">
        <v>62</v>
      </c>
      <c r="D33" s="392"/>
      <c r="E33" s="387" t="s">
        <v>74</v>
      </c>
      <c r="F33" s="385" t="s">
        <v>432</v>
      </c>
      <c r="G33" s="386" t="s">
        <v>409</v>
      </c>
      <c r="H33" s="390">
        <v>14</v>
      </c>
      <c r="I33" s="390">
        <v>8</v>
      </c>
      <c r="J33" s="390">
        <v>8</v>
      </c>
      <c r="K33" s="391">
        <v>11468.46</v>
      </c>
      <c r="L33" s="391">
        <v>11468.46</v>
      </c>
      <c r="M33" s="388">
        <v>0</v>
      </c>
      <c r="N33" s="390">
        <v>8</v>
      </c>
      <c r="O33" s="391">
        <v>17086.599999999999</v>
      </c>
      <c r="P33" s="391">
        <v>17086.599999999999</v>
      </c>
      <c r="Q33" s="391">
        <v>0</v>
      </c>
    </row>
    <row r="34" spans="1:17" ht="25.5" x14ac:dyDescent="0.25">
      <c r="A34" s="393">
        <v>26</v>
      </c>
      <c r="B34" s="389" t="s">
        <v>343</v>
      </c>
      <c r="C34" s="385" t="s">
        <v>62</v>
      </c>
      <c r="D34" s="392"/>
      <c r="E34" s="387" t="s">
        <v>74</v>
      </c>
      <c r="F34" s="385" t="s">
        <v>433</v>
      </c>
      <c r="G34" s="386" t="s">
        <v>409</v>
      </c>
      <c r="H34" s="390">
        <v>15</v>
      </c>
      <c r="I34" s="390">
        <v>10</v>
      </c>
      <c r="J34" s="390">
        <v>10</v>
      </c>
      <c r="K34" s="391">
        <v>18037.599999999999</v>
      </c>
      <c r="L34" s="391">
        <v>18037.599999999999</v>
      </c>
      <c r="M34" s="388">
        <v>0</v>
      </c>
      <c r="N34" s="390">
        <v>0</v>
      </c>
      <c r="O34" s="391">
        <v>0</v>
      </c>
      <c r="P34" s="391">
        <v>0</v>
      </c>
      <c r="Q34" s="391">
        <v>0</v>
      </c>
    </row>
    <row r="35" spans="1:17" ht="25.5" x14ac:dyDescent="0.25">
      <c r="A35" s="393">
        <v>27</v>
      </c>
      <c r="B35" s="389" t="s">
        <v>290</v>
      </c>
      <c r="C35" s="385" t="s">
        <v>62</v>
      </c>
      <c r="D35" s="392"/>
      <c r="E35" s="385" t="s">
        <v>371</v>
      </c>
      <c r="F35" s="385" t="s">
        <v>434</v>
      </c>
      <c r="G35" s="386" t="s">
        <v>409</v>
      </c>
      <c r="H35" s="390">
        <v>4</v>
      </c>
      <c r="I35" s="390">
        <v>1</v>
      </c>
      <c r="J35" s="390">
        <v>1</v>
      </c>
      <c r="K35" s="391">
        <v>1585.8</v>
      </c>
      <c r="L35" s="391">
        <v>1585.8</v>
      </c>
      <c r="M35" s="388">
        <v>0</v>
      </c>
      <c r="N35" s="390">
        <v>0</v>
      </c>
      <c r="O35" s="391">
        <v>0</v>
      </c>
      <c r="P35" s="391">
        <v>0</v>
      </c>
      <c r="Q35" s="391">
        <v>0</v>
      </c>
    </row>
    <row r="36" spans="1:17" ht="25.5" x14ac:dyDescent="0.25">
      <c r="A36" s="393">
        <v>28</v>
      </c>
      <c r="B36" s="389" t="s">
        <v>315</v>
      </c>
      <c r="C36" s="385" t="s">
        <v>62</v>
      </c>
      <c r="D36" s="392"/>
      <c r="E36" s="387" t="s">
        <v>74</v>
      </c>
      <c r="F36" s="385" t="s">
        <v>435</v>
      </c>
      <c r="G36" s="386" t="s">
        <v>409</v>
      </c>
      <c r="H36" s="390">
        <v>18</v>
      </c>
      <c r="I36" s="390">
        <v>3</v>
      </c>
      <c r="J36" s="390">
        <v>3</v>
      </c>
      <c r="K36" s="391">
        <v>4741</v>
      </c>
      <c r="L36" s="391">
        <v>4741</v>
      </c>
      <c r="M36" s="388">
        <v>0</v>
      </c>
      <c r="N36" s="390">
        <v>5</v>
      </c>
      <c r="O36" s="391">
        <v>7208.02</v>
      </c>
      <c r="P36" s="391">
        <v>7208.02</v>
      </c>
      <c r="Q36" s="391">
        <v>0</v>
      </c>
    </row>
    <row r="37" spans="1:17" ht="25.5" x14ac:dyDescent="0.25">
      <c r="A37" s="393">
        <v>29</v>
      </c>
      <c r="B37" s="389" t="s">
        <v>216</v>
      </c>
      <c r="C37" s="385" t="s">
        <v>67</v>
      </c>
      <c r="D37" s="392" t="s">
        <v>436</v>
      </c>
      <c r="E37" s="387" t="s">
        <v>74</v>
      </c>
      <c r="F37" s="385" t="s">
        <v>437</v>
      </c>
      <c r="G37" s="386" t="s">
        <v>409</v>
      </c>
      <c r="H37" s="390">
        <v>18</v>
      </c>
      <c r="I37" s="390">
        <v>6</v>
      </c>
      <c r="J37" s="390">
        <v>6</v>
      </c>
      <c r="K37" s="391">
        <v>12747.36</v>
      </c>
      <c r="L37" s="391">
        <v>12747.36</v>
      </c>
      <c r="M37" s="388">
        <v>0</v>
      </c>
      <c r="N37" s="390">
        <v>0</v>
      </c>
      <c r="O37" s="391">
        <v>0</v>
      </c>
      <c r="P37" s="391">
        <v>0</v>
      </c>
      <c r="Q37" s="391">
        <v>0</v>
      </c>
    </row>
    <row r="38" spans="1:17" ht="25.5" x14ac:dyDescent="0.25">
      <c r="A38" s="393">
        <v>30</v>
      </c>
      <c r="B38" s="389" t="s">
        <v>438</v>
      </c>
      <c r="C38" s="385" t="s">
        <v>62</v>
      </c>
      <c r="D38" s="392"/>
      <c r="E38" s="387" t="s">
        <v>74</v>
      </c>
      <c r="F38" s="385" t="s">
        <v>439</v>
      </c>
      <c r="G38" s="386" t="s">
        <v>409</v>
      </c>
      <c r="H38" s="390">
        <v>7</v>
      </c>
      <c r="I38" s="390">
        <v>0</v>
      </c>
      <c r="J38" s="390">
        <v>0</v>
      </c>
      <c r="K38" s="391">
        <v>0</v>
      </c>
      <c r="L38" s="391">
        <v>0</v>
      </c>
      <c r="M38" s="388">
        <v>0</v>
      </c>
      <c r="N38" s="390">
        <v>0</v>
      </c>
      <c r="O38" s="391">
        <v>0</v>
      </c>
      <c r="P38" s="391">
        <v>0</v>
      </c>
      <c r="Q38" s="391">
        <v>0</v>
      </c>
    </row>
    <row r="39" spans="1:17" ht="25.5" x14ac:dyDescent="0.25">
      <c r="A39" s="393">
        <v>31</v>
      </c>
      <c r="B39" s="389" t="s">
        <v>440</v>
      </c>
      <c r="C39" s="385" t="s">
        <v>62</v>
      </c>
      <c r="D39" s="392"/>
      <c r="E39" s="387" t="s">
        <v>74</v>
      </c>
      <c r="F39" s="385" t="s">
        <v>441</v>
      </c>
      <c r="G39" s="386" t="s">
        <v>409</v>
      </c>
      <c r="H39" s="390">
        <v>7</v>
      </c>
      <c r="I39" s="390">
        <v>3</v>
      </c>
      <c r="J39" s="390">
        <v>3</v>
      </c>
      <c r="K39" s="391">
        <v>3171.6</v>
      </c>
      <c r="L39" s="391">
        <v>3171.6</v>
      </c>
      <c r="M39" s="388">
        <v>0</v>
      </c>
      <c r="N39" s="390">
        <v>0</v>
      </c>
      <c r="O39" s="391">
        <v>0</v>
      </c>
      <c r="P39" s="391">
        <v>0</v>
      </c>
      <c r="Q39" s="391">
        <v>0</v>
      </c>
    </row>
    <row r="40" spans="1:17" ht="25.5" x14ac:dyDescent="0.25">
      <c r="A40" s="393">
        <v>32</v>
      </c>
      <c r="B40" s="389" t="s">
        <v>222</v>
      </c>
      <c r="C40" s="385" t="s">
        <v>64</v>
      </c>
      <c r="D40" s="386" t="s">
        <v>442</v>
      </c>
      <c r="E40" s="387" t="s">
        <v>74</v>
      </c>
      <c r="F40" s="385" t="s">
        <v>443</v>
      </c>
      <c r="G40" s="386" t="s">
        <v>409</v>
      </c>
      <c r="H40" s="390">
        <v>1</v>
      </c>
      <c r="I40" s="390">
        <v>0</v>
      </c>
      <c r="J40" s="390">
        <v>0</v>
      </c>
      <c r="K40" s="391">
        <v>0</v>
      </c>
      <c r="L40" s="391">
        <v>0</v>
      </c>
      <c r="M40" s="388">
        <v>0</v>
      </c>
      <c r="N40" s="390">
        <v>0</v>
      </c>
      <c r="O40" s="391">
        <v>0</v>
      </c>
      <c r="P40" s="391">
        <v>0</v>
      </c>
      <c r="Q40" s="391">
        <v>0</v>
      </c>
    </row>
    <row r="41" spans="1:17" ht="25.5" x14ac:dyDescent="0.25">
      <c r="A41" s="393">
        <v>33</v>
      </c>
      <c r="B41" s="389" t="s">
        <v>444</v>
      </c>
      <c r="C41" s="385" t="s">
        <v>62</v>
      </c>
      <c r="D41" s="392"/>
      <c r="E41" s="387" t="s">
        <v>74</v>
      </c>
      <c r="F41" s="385" t="s">
        <v>445</v>
      </c>
      <c r="G41" s="386" t="s">
        <v>409</v>
      </c>
      <c r="H41" s="390">
        <v>5</v>
      </c>
      <c r="I41" s="390">
        <v>2</v>
      </c>
      <c r="J41" s="390">
        <v>2</v>
      </c>
      <c r="K41" s="391">
        <v>1409.6</v>
      </c>
      <c r="L41" s="391">
        <v>1409.6</v>
      </c>
      <c r="M41" s="388">
        <v>0</v>
      </c>
      <c r="N41" s="390">
        <v>0</v>
      </c>
      <c r="O41" s="391">
        <v>0</v>
      </c>
      <c r="P41" s="391">
        <v>0</v>
      </c>
      <c r="Q41" s="391">
        <v>0</v>
      </c>
    </row>
    <row r="42" spans="1:17" ht="25.5" x14ac:dyDescent="0.25">
      <c r="A42" s="393">
        <v>34</v>
      </c>
      <c r="B42" s="389" t="s">
        <v>129</v>
      </c>
      <c r="C42" s="385" t="s">
        <v>62</v>
      </c>
      <c r="D42" s="392"/>
      <c r="E42" s="387" t="s">
        <v>74</v>
      </c>
      <c r="F42" s="385" t="s">
        <v>446</v>
      </c>
      <c r="G42" s="386" t="s">
        <v>409</v>
      </c>
      <c r="H42" s="390">
        <v>7</v>
      </c>
      <c r="I42" s="390">
        <v>3</v>
      </c>
      <c r="J42" s="390">
        <v>3</v>
      </c>
      <c r="K42" s="391">
        <v>3015.4</v>
      </c>
      <c r="L42" s="391">
        <v>3015.4</v>
      </c>
      <c r="M42" s="388">
        <v>0</v>
      </c>
      <c r="N42" s="390">
        <v>10</v>
      </c>
      <c r="O42" s="391">
        <v>16183.86</v>
      </c>
      <c r="P42" s="391">
        <v>16183.86</v>
      </c>
      <c r="Q42" s="391">
        <v>0</v>
      </c>
    </row>
    <row r="43" spans="1:17" ht="25.5" x14ac:dyDescent="0.25">
      <c r="A43" s="393">
        <v>35</v>
      </c>
      <c r="B43" s="394" t="s">
        <v>104</v>
      </c>
      <c r="C43" s="385" t="s">
        <v>62</v>
      </c>
      <c r="D43" s="392"/>
      <c r="E43" s="387" t="s">
        <v>105</v>
      </c>
      <c r="F43" s="385" t="s">
        <v>447</v>
      </c>
      <c r="G43" s="386" t="s">
        <v>409</v>
      </c>
      <c r="H43" s="390">
        <v>0</v>
      </c>
      <c r="I43" s="390">
        <v>0</v>
      </c>
      <c r="J43" s="390">
        <v>0</v>
      </c>
      <c r="K43" s="391">
        <v>0</v>
      </c>
      <c r="L43" s="391">
        <v>0</v>
      </c>
      <c r="M43" s="388">
        <v>0</v>
      </c>
      <c r="N43" s="390">
        <v>7</v>
      </c>
      <c r="O43" s="391">
        <v>5726.5</v>
      </c>
      <c r="P43" s="391">
        <v>5726.5</v>
      </c>
      <c r="Q43" s="391">
        <v>0</v>
      </c>
    </row>
    <row r="44" spans="1:17" ht="25.5" x14ac:dyDescent="0.25">
      <c r="A44" s="385">
        <v>36</v>
      </c>
      <c r="B44" s="392" t="s">
        <v>156</v>
      </c>
      <c r="C44" s="385" t="s">
        <v>67</v>
      </c>
      <c r="D44" s="392" t="s">
        <v>501</v>
      </c>
      <c r="E44" s="387" t="s">
        <v>74</v>
      </c>
      <c r="F44" s="385" t="s">
        <v>502</v>
      </c>
      <c r="G44" s="386" t="s">
        <v>409</v>
      </c>
      <c r="H44" s="390">
        <v>3</v>
      </c>
      <c r="I44" s="390">
        <v>0</v>
      </c>
      <c r="J44" s="390">
        <v>0</v>
      </c>
      <c r="K44" s="391">
        <v>0</v>
      </c>
      <c r="L44" s="391">
        <v>0</v>
      </c>
      <c r="M44" s="388">
        <v>0</v>
      </c>
      <c r="N44" s="390">
        <v>5</v>
      </c>
      <c r="O44" s="391">
        <v>8865.2999999999993</v>
      </c>
      <c r="P44" s="391">
        <v>8865.2999999999993</v>
      </c>
      <c r="Q44" s="391">
        <v>0</v>
      </c>
    </row>
    <row r="45" spans="1:17" ht="25.5" x14ac:dyDescent="0.25">
      <c r="A45" s="385">
        <v>37</v>
      </c>
      <c r="B45" s="392" t="s">
        <v>133</v>
      </c>
      <c r="C45" s="385" t="s">
        <v>67</v>
      </c>
      <c r="D45" s="392" t="s">
        <v>397</v>
      </c>
      <c r="E45" s="387" t="s">
        <v>74</v>
      </c>
      <c r="F45" s="385" t="s">
        <v>503</v>
      </c>
      <c r="G45" s="386" t="s">
        <v>409</v>
      </c>
      <c r="H45" s="390">
        <v>11</v>
      </c>
      <c r="I45" s="390">
        <v>5</v>
      </c>
      <c r="J45" s="390">
        <v>5</v>
      </c>
      <c r="K45" s="391">
        <v>13731.4</v>
      </c>
      <c r="L45" s="391">
        <v>13522.32</v>
      </c>
      <c r="M45" s="388">
        <v>209.08</v>
      </c>
      <c r="N45" s="390">
        <v>17</v>
      </c>
      <c r="O45" s="391">
        <v>42255.08</v>
      </c>
      <c r="P45" s="391">
        <v>40414.080000000002</v>
      </c>
      <c r="Q45" s="391">
        <v>1841</v>
      </c>
    </row>
    <row r="46" spans="1:17" ht="25.5" x14ac:dyDescent="0.25">
      <c r="A46" s="385">
        <v>38</v>
      </c>
      <c r="B46" s="392" t="s">
        <v>114</v>
      </c>
      <c r="C46" s="385" t="s">
        <v>62</v>
      </c>
      <c r="D46" s="392"/>
      <c r="E46" s="387" t="s">
        <v>115</v>
      </c>
      <c r="F46" s="385" t="s">
        <v>504</v>
      </c>
      <c r="G46" s="386" t="s">
        <v>409</v>
      </c>
      <c r="H46" s="390">
        <v>0</v>
      </c>
      <c r="I46" s="390">
        <v>0</v>
      </c>
      <c r="J46" s="390">
        <v>0</v>
      </c>
      <c r="K46" s="391">
        <v>0</v>
      </c>
      <c r="L46" s="391">
        <v>0</v>
      </c>
      <c r="M46" s="388">
        <v>0</v>
      </c>
      <c r="N46" s="390">
        <v>4</v>
      </c>
      <c r="O46" s="391">
        <v>3524</v>
      </c>
      <c r="P46" s="391">
        <v>3524</v>
      </c>
      <c r="Q46" s="391">
        <v>0</v>
      </c>
    </row>
    <row r="47" spans="1:17" ht="25.5" x14ac:dyDescent="0.25">
      <c r="A47" s="385">
        <v>39</v>
      </c>
      <c r="B47" s="392" t="s">
        <v>505</v>
      </c>
      <c r="C47" s="385" t="s">
        <v>62</v>
      </c>
      <c r="D47" s="392"/>
      <c r="E47" s="387" t="s">
        <v>74</v>
      </c>
      <c r="F47" s="385" t="s">
        <v>506</v>
      </c>
      <c r="G47" s="386" t="s">
        <v>409</v>
      </c>
      <c r="H47" s="390">
        <v>1</v>
      </c>
      <c r="I47" s="390">
        <v>0</v>
      </c>
      <c r="J47" s="390">
        <v>0</v>
      </c>
      <c r="K47" s="391">
        <v>0</v>
      </c>
      <c r="L47" s="391">
        <v>0</v>
      </c>
      <c r="M47" s="388">
        <v>0</v>
      </c>
      <c r="N47" s="390">
        <v>0</v>
      </c>
      <c r="O47" s="391">
        <v>0</v>
      </c>
      <c r="P47" s="391">
        <v>0</v>
      </c>
      <c r="Q47" s="391">
        <v>0</v>
      </c>
    </row>
    <row r="48" spans="1:17" ht="25.5" x14ac:dyDescent="0.25">
      <c r="A48" s="385">
        <v>40</v>
      </c>
      <c r="B48" s="392" t="s">
        <v>473</v>
      </c>
      <c r="C48" s="385" t="s">
        <v>62</v>
      </c>
      <c r="D48" s="392"/>
      <c r="E48" s="385" t="s">
        <v>74</v>
      </c>
      <c r="F48" s="385" t="s">
        <v>558</v>
      </c>
      <c r="G48" s="386" t="s">
        <v>409</v>
      </c>
      <c r="H48" s="390">
        <v>0</v>
      </c>
      <c r="I48" s="390">
        <v>0</v>
      </c>
      <c r="J48" s="390">
        <v>0</v>
      </c>
      <c r="K48" s="391">
        <v>0</v>
      </c>
      <c r="L48" s="391">
        <v>0</v>
      </c>
      <c r="M48" s="388">
        <v>0</v>
      </c>
      <c r="N48" s="390">
        <v>0</v>
      </c>
      <c r="O48" s="391">
        <v>0</v>
      </c>
      <c r="P48" s="391">
        <v>0</v>
      </c>
      <c r="Q48" s="391">
        <v>0</v>
      </c>
    </row>
    <row r="49" spans="1:17" ht="25.5" x14ac:dyDescent="0.25">
      <c r="A49" s="385">
        <v>41</v>
      </c>
      <c r="B49" s="392" t="s">
        <v>376</v>
      </c>
      <c r="C49" s="385" t="s">
        <v>62</v>
      </c>
      <c r="D49" s="392"/>
      <c r="E49" s="385" t="s">
        <v>74</v>
      </c>
      <c r="F49" s="385" t="s">
        <v>559</v>
      </c>
      <c r="G49" s="386" t="s">
        <v>409</v>
      </c>
      <c r="H49" s="390">
        <v>0</v>
      </c>
      <c r="I49" s="390">
        <v>0</v>
      </c>
      <c r="J49" s="390">
        <v>0</v>
      </c>
      <c r="K49" s="391">
        <v>0</v>
      </c>
      <c r="L49" s="391">
        <v>0</v>
      </c>
      <c r="M49" s="388">
        <v>0</v>
      </c>
      <c r="N49" s="390">
        <v>0</v>
      </c>
      <c r="O49" s="391">
        <v>0</v>
      </c>
      <c r="P49" s="391">
        <v>0</v>
      </c>
      <c r="Q49" s="391">
        <v>0</v>
      </c>
    </row>
    <row r="50" spans="1:17" ht="25.5" x14ac:dyDescent="0.25">
      <c r="A50" s="385">
        <v>42</v>
      </c>
      <c r="B50" s="392" t="s">
        <v>119</v>
      </c>
      <c r="C50" s="385" t="s">
        <v>62</v>
      </c>
      <c r="D50" s="392"/>
      <c r="E50" s="385" t="s">
        <v>74</v>
      </c>
      <c r="F50" s="385" t="s">
        <v>560</v>
      </c>
      <c r="G50" s="386" t="s">
        <v>409</v>
      </c>
      <c r="H50" s="390">
        <v>7</v>
      </c>
      <c r="I50" s="390">
        <v>1</v>
      </c>
      <c r="J50" s="390">
        <v>1</v>
      </c>
      <c r="K50" s="391">
        <v>1691.52</v>
      </c>
      <c r="L50" s="391">
        <v>1691.52</v>
      </c>
      <c r="M50" s="388">
        <v>0</v>
      </c>
      <c r="N50" s="390">
        <v>14</v>
      </c>
      <c r="O50" s="391">
        <v>20900.5</v>
      </c>
      <c r="P50" s="391">
        <v>20900.5</v>
      </c>
      <c r="Q50" s="391">
        <v>0</v>
      </c>
    </row>
    <row r="51" spans="1:17" ht="25.5" x14ac:dyDescent="0.25">
      <c r="A51" s="385">
        <v>43</v>
      </c>
      <c r="B51" s="392" t="s">
        <v>47</v>
      </c>
      <c r="C51" s="385" t="s">
        <v>62</v>
      </c>
      <c r="D51" s="392"/>
      <c r="E51" s="385" t="s">
        <v>141</v>
      </c>
      <c r="F51" s="385" t="s">
        <v>589</v>
      </c>
      <c r="G51" s="386" t="s">
        <v>409</v>
      </c>
      <c r="H51" s="390">
        <v>0</v>
      </c>
      <c r="I51" s="390">
        <v>0</v>
      </c>
      <c r="J51" s="390">
        <v>0</v>
      </c>
      <c r="K51" s="391">
        <v>0</v>
      </c>
      <c r="L51" s="391">
        <v>0</v>
      </c>
      <c r="M51" s="388">
        <v>0</v>
      </c>
      <c r="N51" s="390">
        <v>1</v>
      </c>
      <c r="O51" s="391">
        <v>6554.64</v>
      </c>
      <c r="P51" s="391">
        <v>6554.64</v>
      </c>
      <c r="Q51" s="391">
        <v>0</v>
      </c>
    </row>
    <row r="52" spans="1:17" ht="25.5" x14ac:dyDescent="0.25">
      <c r="A52" s="385">
        <v>44</v>
      </c>
      <c r="B52" s="392" t="s">
        <v>37</v>
      </c>
      <c r="C52" s="385" t="s">
        <v>62</v>
      </c>
      <c r="D52" s="385"/>
      <c r="E52" s="385" t="s">
        <v>74</v>
      </c>
      <c r="F52" s="385" t="s">
        <v>590</v>
      </c>
      <c r="G52" s="386" t="s">
        <v>409</v>
      </c>
      <c r="H52" s="390">
        <v>1</v>
      </c>
      <c r="I52" s="390">
        <v>0</v>
      </c>
      <c r="J52" s="390">
        <v>0</v>
      </c>
      <c r="K52" s="391">
        <v>0</v>
      </c>
      <c r="L52" s="391">
        <v>0</v>
      </c>
      <c r="M52" s="388">
        <v>0</v>
      </c>
      <c r="N52" s="390">
        <v>0</v>
      </c>
      <c r="O52" s="391">
        <v>0</v>
      </c>
      <c r="P52" s="391">
        <v>0</v>
      </c>
      <c r="Q52" s="391">
        <v>0</v>
      </c>
    </row>
    <row r="53" spans="1:17" ht="25.5" x14ac:dyDescent="0.25">
      <c r="A53" s="385">
        <v>45</v>
      </c>
      <c r="B53" s="392" t="s">
        <v>97</v>
      </c>
      <c r="C53" s="385" t="s">
        <v>62</v>
      </c>
      <c r="D53" s="385"/>
      <c r="E53" s="385" t="s">
        <v>74</v>
      </c>
      <c r="F53" s="385" t="s">
        <v>591</v>
      </c>
      <c r="G53" s="386" t="s">
        <v>409</v>
      </c>
      <c r="H53" s="390">
        <v>4</v>
      </c>
      <c r="I53" s="390">
        <v>2</v>
      </c>
      <c r="J53" s="390">
        <v>2</v>
      </c>
      <c r="K53" s="391">
        <v>3626.7</v>
      </c>
      <c r="L53" s="391">
        <v>3626.7</v>
      </c>
      <c r="M53" s="388">
        <v>0</v>
      </c>
      <c r="N53" s="390">
        <v>3</v>
      </c>
      <c r="O53" s="391">
        <v>4570.8999999999996</v>
      </c>
      <c r="P53" s="391">
        <v>704.8</v>
      </c>
      <c r="Q53" s="391">
        <v>3866.1</v>
      </c>
    </row>
    <row r="54" spans="1:17" ht="25.5" x14ac:dyDescent="0.25">
      <c r="A54" s="385">
        <v>46</v>
      </c>
      <c r="B54" s="392" t="s">
        <v>613</v>
      </c>
      <c r="C54" s="385" t="s">
        <v>62</v>
      </c>
      <c r="D54" s="385"/>
      <c r="E54" s="385" t="s">
        <v>74</v>
      </c>
      <c r="F54" s="385" t="s">
        <v>614</v>
      </c>
      <c r="G54" s="386" t="s">
        <v>409</v>
      </c>
      <c r="H54" s="390">
        <v>4</v>
      </c>
      <c r="I54" s="390">
        <v>2</v>
      </c>
      <c r="J54" s="390">
        <v>2</v>
      </c>
      <c r="K54" s="391">
        <v>1585.8</v>
      </c>
      <c r="L54" s="391">
        <v>1585.8</v>
      </c>
      <c r="M54" s="388">
        <v>0</v>
      </c>
      <c r="N54" s="390">
        <v>3</v>
      </c>
      <c r="O54" s="391">
        <v>616.70000000000005</v>
      </c>
      <c r="P54" s="391">
        <v>616.70000000000005</v>
      </c>
      <c r="Q54" s="391">
        <v>0</v>
      </c>
    </row>
    <row r="55" spans="1:17" ht="25.5" x14ac:dyDescent="0.25">
      <c r="A55" s="385">
        <v>47</v>
      </c>
      <c r="B55" s="392" t="s">
        <v>615</v>
      </c>
      <c r="C55" s="385" t="s">
        <v>62</v>
      </c>
      <c r="D55" s="385"/>
      <c r="E55" s="385" t="s">
        <v>74</v>
      </c>
      <c r="F55" s="385" t="s">
        <v>616</v>
      </c>
      <c r="G55" s="386" t="s">
        <v>409</v>
      </c>
      <c r="H55" s="390">
        <v>5</v>
      </c>
      <c r="I55" s="390">
        <v>0</v>
      </c>
      <c r="J55" s="390">
        <v>0</v>
      </c>
      <c r="K55" s="391">
        <v>0</v>
      </c>
      <c r="L55" s="391">
        <v>0</v>
      </c>
      <c r="M55" s="388">
        <v>0</v>
      </c>
      <c r="N55" s="390">
        <v>0</v>
      </c>
      <c r="O55" s="391">
        <v>0</v>
      </c>
      <c r="P55" s="391">
        <v>0</v>
      </c>
      <c r="Q55" s="391">
        <v>0</v>
      </c>
    </row>
    <row r="56" spans="1:17" ht="25.5" x14ac:dyDescent="0.25">
      <c r="A56" s="385">
        <v>48</v>
      </c>
      <c r="B56" s="392" t="s">
        <v>357</v>
      </c>
      <c r="C56" s="395" t="s">
        <v>64</v>
      </c>
      <c r="D56" s="387" t="s">
        <v>617</v>
      </c>
      <c r="E56" s="385" t="s">
        <v>74</v>
      </c>
      <c r="F56" s="385" t="s">
        <v>618</v>
      </c>
      <c r="G56" s="386" t="s">
        <v>409</v>
      </c>
      <c r="H56" s="390">
        <v>2</v>
      </c>
      <c r="I56" s="390">
        <v>0</v>
      </c>
      <c r="J56" s="390">
        <v>0</v>
      </c>
      <c r="K56" s="391">
        <v>0</v>
      </c>
      <c r="L56" s="391">
        <v>0</v>
      </c>
      <c r="M56" s="388">
        <v>0</v>
      </c>
      <c r="N56" s="390">
        <v>1</v>
      </c>
      <c r="O56" s="391">
        <v>0</v>
      </c>
      <c r="P56" s="391">
        <v>0</v>
      </c>
      <c r="Q56" s="391">
        <v>0</v>
      </c>
    </row>
    <row r="57" spans="1:17" ht="25.5" x14ac:dyDescent="0.25">
      <c r="A57" s="385">
        <v>49</v>
      </c>
      <c r="B57" s="392" t="s">
        <v>621</v>
      </c>
      <c r="C57" s="385" t="s">
        <v>62</v>
      </c>
      <c r="D57" s="385"/>
      <c r="E57" s="385" t="s">
        <v>74</v>
      </c>
      <c r="F57" s="385" t="s">
        <v>625</v>
      </c>
      <c r="G57" s="386" t="s">
        <v>409</v>
      </c>
      <c r="H57" s="390">
        <v>11</v>
      </c>
      <c r="I57" s="390">
        <v>0</v>
      </c>
      <c r="J57" s="390">
        <v>0</v>
      </c>
      <c r="K57" s="391">
        <v>0</v>
      </c>
      <c r="L57" s="391">
        <v>0</v>
      </c>
      <c r="M57" s="388">
        <v>0</v>
      </c>
      <c r="N57" s="390">
        <v>0</v>
      </c>
      <c r="O57" s="391">
        <v>0</v>
      </c>
      <c r="P57" s="391">
        <v>0</v>
      </c>
      <c r="Q57" s="391">
        <v>0</v>
      </c>
    </row>
    <row r="58" spans="1:17" x14ac:dyDescent="0.25">
      <c r="A58" s="396">
        <v>1</v>
      </c>
      <c r="B58" s="397" t="s">
        <v>146</v>
      </c>
      <c r="C58" s="398" t="s">
        <v>62</v>
      </c>
      <c r="D58" s="398"/>
      <c r="E58" s="398" t="s">
        <v>74</v>
      </c>
      <c r="F58" s="397" t="s">
        <v>325</v>
      </c>
      <c r="G58" s="399" t="s">
        <v>326</v>
      </c>
      <c r="H58" s="399">
        <v>15</v>
      </c>
      <c r="I58" s="399">
        <v>7</v>
      </c>
      <c r="J58" s="399">
        <v>7</v>
      </c>
      <c r="K58" s="400">
        <v>8953.4000000000015</v>
      </c>
      <c r="L58" s="400">
        <v>8953.4000000000015</v>
      </c>
      <c r="M58" s="400">
        <v>0</v>
      </c>
      <c r="N58" s="401">
        <v>6</v>
      </c>
      <c r="O58" s="400">
        <v>5374.1</v>
      </c>
      <c r="P58" s="402">
        <v>5374.1</v>
      </c>
      <c r="Q58" s="402">
        <v>0</v>
      </c>
    </row>
    <row r="59" spans="1:17" x14ac:dyDescent="0.25">
      <c r="A59" s="396">
        <v>2</v>
      </c>
      <c r="B59" s="397" t="s">
        <v>166</v>
      </c>
      <c r="C59" s="398" t="s">
        <v>62</v>
      </c>
      <c r="D59" s="398"/>
      <c r="E59" s="398" t="s">
        <v>158</v>
      </c>
      <c r="F59" s="397" t="s">
        <v>327</v>
      </c>
      <c r="G59" s="397" t="s">
        <v>326</v>
      </c>
      <c r="H59" s="399">
        <v>4</v>
      </c>
      <c r="I59" s="399">
        <v>2</v>
      </c>
      <c r="J59" s="399">
        <v>2</v>
      </c>
      <c r="K59" s="400">
        <v>5462.2000000000007</v>
      </c>
      <c r="L59" s="400">
        <v>5462.2000000000007</v>
      </c>
      <c r="M59" s="400">
        <v>0</v>
      </c>
      <c r="N59" s="401">
        <v>0</v>
      </c>
      <c r="O59" s="400">
        <v>0</v>
      </c>
      <c r="P59" s="402">
        <v>0</v>
      </c>
      <c r="Q59" s="402">
        <v>0</v>
      </c>
    </row>
    <row r="60" spans="1:17" x14ac:dyDescent="0.25">
      <c r="A60" s="396">
        <v>3</v>
      </c>
      <c r="B60" s="397" t="s">
        <v>173</v>
      </c>
      <c r="C60" s="398" t="s">
        <v>67</v>
      </c>
      <c r="D60" s="398" t="s">
        <v>328</v>
      </c>
      <c r="E60" s="398" t="s">
        <v>158</v>
      </c>
      <c r="F60" s="397" t="s">
        <v>329</v>
      </c>
      <c r="G60" s="397" t="s">
        <v>326</v>
      </c>
      <c r="H60" s="399">
        <v>8</v>
      </c>
      <c r="I60" s="399">
        <v>4</v>
      </c>
      <c r="J60" s="399">
        <v>4</v>
      </c>
      <c r="K60" s="400">
        <v>8805.2000000000007</v>
      </c>
      <c r="L60" s="400">
        <v>8805.2000000000007</v>
      </c>
      <c r="M60" s="400">
        <v>0</v>
      </c>
      <c r="N60" s="401">
        <v>0</v>
      </c>
      <c r="O60" s="400">
        <v>0</v>
      </c>
      <c r="P60" s="402">
        <v>0</v>
      </c>
      <c r="Q60" s="402">
        <v>0</v>
      </c>
    </row>
    <row r="61" spans="1:17" x14ac:dyDescent="0.25">
      <c r="A61" s="396">
        <v>4</v>
      </c>
      <c r="B61" s="397" t="s">
        <v>330</v>
      </c>
      <c r="C61" s="398" t="s">
        <v>62</v>
      </c>
      <c r="D61" s="398"/>
      <c r="E61" s="398" t="s">
        <v>158</v>
      </c>
      <c r="F61" s="397" t="s">
        <v>331</v>
      </c>
      <c r="G61" s="397" t="s">
        <v>326</v>
      </c>
      <c r="H61" s="399">
        <v>14</v>
      </c>
      <c r="I61" s="399">
        <v>9</v>
      </c>
      <c r="J61" s="399">
        <v>9</v>
      </c>
      <c r="K61" s="400">
        <v>11981.599999999999</v>
      </c>
      <c r="L61" s="400">
        <v>11981.599999999999</v>
      </c>
      <c r="M61" s="400">
        <v>0</v>
      </c>
      <c r="N61" s="401">
        <v>0</v>
      </c>
      <c r="O61" s="400">
        <v>0</v>
      </c>
      <c r="P61" s="402">
        <v>0</v>
      </c>
      <c r="Q61" s="402">
        <v>0</v>
      </c>
    </row>
    <row r="62" spans="1:17" x14ac:dyDescent="0.25">
      <c r="A62" s="396">
        <v>5</v>
      </c>
      <c r="B62" s="397" t="s">
        <v>147</v>
      </c>
      <c r="C62" s="398" t="s">
        <v>62</v>
      </c>
      <c r="D62" s="403"/>
      <c r="E62" s="398" t="s">
        <v>74</v>
      </c>
      <c r="F62" s="397" t="s">
        <v>332</v>
      </c>
      <c r="G62" s="397" t="s">
        <v>326</v>
      </c>
      <c r="H62" s="404">
        <v>15</v>
      </c>
      <c r="I62" s="404">
        <v>7</v>
      </c>
      <c r="J62" s="404">
        <v>7</v>
      </c>
      <c r="K62" s="405">
        <v>13239.05</v>
      </c>
      <c r="L62" s="400">
        <v>13239.05</v>
      </c>
      <c r="M62" s="400">
        <v>0</v>
      </c>
      <c r="N62" s="401">
        <v>5</v>
      </c>
      <c r="O62" s="406">
        <v>13962.4</v>
      </c>
      <c r="P62" s="407">
        <v>13962.4</v>
      </c>
      <c r="Q62" s="402">
        <v>0</v>
      </c>
    </row>
    <row r="63" spans="1:17" ht="45" x14ac:dyDescent="0.25">
      <c r="A63" s="396">
        <v>6</v>
      </c>
      <c r="B63" s="397" t="s">
        <v>554</v>
      </c>
      <c r="C63" s="398" t="s">
        <v>67</v>
      </c>
      <c r="D63" s="408" t="s">
        <v>555</v>
      </c>
      <c r="E63" s="398" t="s">
        <v>74</v>
      </c>
      <c r="F63" s="397" t="s">
        <v>556</v>
      </c>
      <c r="G63" s="397" t="s">
        <v>326</v>
      </c>
      <c r="H63" s="404">
        <v>2</v>
      </c>
      <c r="I63" s="404">
        <v>0</v>
      </c>
      <c r="J63" s="404">
        <v>0</v>
      </c>
      <c r="K63" s="405">
        <v>0</v>
      </c>
      <c r="L63" s="400">
        <v>0</v>
      </c>
      <c r="M63" s="400">
        <v>0</v>
      </c>
      <c r="N63" s="401">
        <v>0</v>
      </c>
      <c r="O63" s="400">
        <v>0</v>
      </c>
      <c r="P63" s="402">
        <v>0</v>
      </c>
      <c r="Q63" s="402">
        <v>0</v>
      </c>
    </row>
    <row r="64" spans="1:17" x14ac:dyDescent="0.25">
      <c r="A64" s="396">
        <v>7</v>
      </c>
      <c r="B64" s="397" t="s">
        <v>88</v>
      </c>
      <c r="C64" s="398" t="s">
        <v>62</v>
      </c>
      <c r="D64" s="403"/>
      <c r="E64" s="398" t="s">
        <v>74</v>
      </c>
      <c r="F64" s="397" t="s">
        <v>333</v>
      </c>
      <c r="G64" s="397" t="s">
        <v>326</v>
      </c>
      <c r="H64" s="404">
        <v>2</v>
      </c>
      <c r="I64" s="404">
        <v>2</v>
      </c>
      <c r="J64" s="404">
        <v>2</v>
      </c>
      <c r="K64" s="405">
        <v>2290.6</v>
      </c>
      <c r="L64" s="400">
        <v>2290.6</v>
      </c>
      <c r="M64" s="400">
        <v>0</v>
      </c>
      <c r="N64" s="401">
        <v>1</v>
      </c>
      <c r="O64" s="406">
        <v>1145.3</v>
      </c>
      <c r="P64" s="402">
        <v>1145.3</v>
      </c>
      <c r="Q64" s="402">
        <v>0</v>
      </c>
    </row>
    <row r="65" spans="1:17" x14ac:dyDescent="0.25">
      <c r="A65" s="396">
        <v>8</v>
      </c>
      <c r="B65" s="397" t="s">
        <v>182</v>
      </c>
      <c r="C65" s="398" t="s">
        <v>62</v>
      </c>
      <c r="D65" s="403"/>
      <c r="E65" s="398" t="s">
        <v>158</v>
      </c>
      <c r="F65" s="397" t="s">
        <v>334</v>
      </c>
      <c r="G65" s="397" t="s">
        <v>326</v>
      </c>
      <c r="H65" s="404">
        <v>5</v>
      </c>
      <c r="I65" s="404">
        <v>1</v>
      </c>
      <c r="J65" s="404">
        <v>1</v>
      </c>
      <c r="K65" s="405">
        <v>1233.4000000000001</v>
      </c>
      <c r="L65" s="400">
        <v>1233.4000000000001</v>
      </c>
      <c r="M65" s="400">
        <v>0</v>
      </c>
      <c r="N65" s="401">
        <v>0</v>
      </c>
      <c r="O65" s="406">
        <v>0</v>
      </c>
      <c r="P65" s="402">
        <v>0</v>
      </c>
      <c r="Q65" s="402">
        <v>0</v>
      </c>
    </row>
    <row r="66" spans="1:17" x14ac:dyDescent="0.25">
      <c r="A66" s="396">
        <v>9</v>
      </c>
      <c r="B66" s="397" t="s">
        <v>335</v>
      </c>
      <c r="C66" s="398" t="s">
        <v>62</v>
      </c>
      <c r="D66" s="409"/>
      <c r="E66" s="398" t="s">
        <v>74</v>
      </c>
      <c r="F66" s="397" t="s">
        <v>336</v>
      </c>
      <c r="G66" s="397" t="s">
        <v>326</v>
      </c>
      <c r="H66" s="404">
        <v>15</v>
      </c>
      <c r="I66" s="404">
        <v>8</v>
      </c>
      <c r="J66" s="404">
        <v>8</v>
      </c>
      <c r="K66" s="405">
        <v>10903.449999999997</v>
      </c>
      <c r="L66" s="400">
        <v>10903.449999999997</v>
      </c>
      <c r="M66" s="400">
        <v>0</v>
      </c>
      <c r="N66" s="401">
        <v>8</v>
      </c>
      <c r="O66" s="400">
        <v>6739.65</v>
      </c>
      <c r="P66" s="402">
        <v>6739.65</v>
      </c>
      <c r="Q66" s="402">
        <v>0</v>
      </c>
    </row>
    <row r="67" spans="1:17" x14ac:dyDescent="0.25">
      <c r="A67" s="396">
        <v>10</v>
      </c>
      <c r="B67" s="397" t="s">
        <v>27</v>
      </c>
      <c r="C67" s="398" t="s">
        <v>62</v>
      </c>
      <c r="D67" s="403"/>
      <c r="E67" s="398" t="s">
        <v>158</v>
      </c>
      <c r="F67" s="397" t="s">
        <v>337</v>
      </c>
      <c r="G67" s="397" t="s">
        <v>326</v>
      </c>
      <c r="H67" s="404">
        <v>13</v>
      </c>
      <c r="I67" s="404">
        <v>12</v>
      </c>
      <c r="J67" s="404">
        <v>12</v>
      </c>
      <c r="K67" s="405">
        <v>12823.4</v>
      </c>
      <c r="L67" s="400">
        <v>12823.4</v>
      </c>
      <c r="M67" s="400">
        <v>0</v>
      </c>
      <c r="N67" s="401">
        <v>0</v>
      </c>
      <c r="O67" s="406">
        <v>0</v>
      </c>
      <c r="P67" s="407">
        <v>0</v>
      </c>
      <c r="Q67" s="402">
        <v>0</v>
      </c>
    </row>
    <row r="68" spans="1:17" x14ac:dyDescent="0.25">
      <c r="A68" s="410">
        <v>11</v>
      </c>
      <c r="B68" s="397" t="s">
        <v>190</v>
      </c>
      <c r="C68" s="398" t="s">
        <v>62</v>
      </c>
      <c r="D68" s="403"/>
      <c r="E68" s="398" t="s">
        <v>338</v>
      </c>
      <c r="F68" s="397" t="s">
        <v>339</v>
      </c>
      <c r="G68" s="397" t="s">
        <v>326</v>
      </c>
      <c r="H68" s="404">
        <v>20</v>
      </c>
      <c r="I68" s="404">
        <v>11</v>
      </c>
      <c r="J68" s="404">
        <v>11</v>
      </c>
      <c r="K68" s="405">
        <v>20433.8</v>
      </c>
      <c r="L68" s="400">
        <v>18951.09</v>
      </c>
      <c r="M68" s="400">
        <v>1482.7099999999991</v>
      </c>
      <c r="N68" s="401">
        <v>0</v>
      </c>
      <c r="O68" s="406">
        <v>0</v>
      </c>
      <c r="P68" s="402">
        <v>0</v>
      </c>
      <c r="Q68" s="402">
        <v>0</v>
      </c>
    </row>
    <row r="69" spans="1:17" x14ac:dyDescent="0.25">
      <c r="A69" s="410">
        <v>12</v>
      </c>
      <c r="B69" s="397" t="s">
        <v>89</v>
      </c>
      <c r="C69" s="398" t="s">
        <v>62</v>
      </c>
      <c r="D69" s="403"/>
      <c r="E69" s="398" t="s">
        <v>74</v>
      </c>
      <c r="F69" s="397" t="s">
        <v>340</v>
      </c>
      <c r="G69" s="397" t="s">
        <v>326</v>
      </c>
      <c r="H69" s="404">
        <v>6</v>
      </c>
      <c r="I69" s="404">
        <v>6</v>
      </c>
      <c r="J69" s="404">
        <v>6</v>
      </c>
      <c r="K69" s="405">
        <v>8633.7999999999993</v>
      </c>
      <c r="L69" s="400">
        <v>8633.7999999999993</v>
      </c>
      <c r="M69" s="400">
        <v>0</v>
      </c>
      <c r="N69" s="401">
        <v>4</v>
      </c>
      <c r="O69" s="406">
        <v>9250.5</v>
      </c>
      <c r="P69" s="402">
        <v>9250.5</v>
      </c>
      <c r="Q69" s="402">
        <v>0</v>
      </c>
    </row>
    <row r="70" spans="1:17" x14ac:dyDescent="0.25">
      <c r="A70" s="410">
        <v>13</v>
      </c>
      <c r="B70" s="397" t="s">
        <v>196</v>
      </c>
      <c r="C70" s="398" t="s">
        <v>62</v>
      </c>
      <c r="D70" s="403"/>
      <c r="E70" s="398" t="s">
        <v>341</v>
      </c>
      <c r="F70" s="397" t="s">
        <v>342</v>
      </c>
      <c r="G70" s="397" t="s">
        <v>326</v>
      </c>
      <c r="H70" s="404">
        <v>7</v>
      </c>
      <c r="I70" s="404">
        <v>5</v>
      </c>
      <c r="J70" s="404">
        <v>5</v>
      </c>
      <c r="K70" s="405">
        <v>4933.6000000000004</v>
      </c>
      <c r="L70" s="400">
        <v>4933.6000000000004</v>
      </c>
      <c r="M70" s="400">
        <v>0</v>
      </c>
      <c r="N70" s="401">
        <v>0</v>
      </c>
      <c r="O70" s="406">
        <v>0</v>
      </c>
      <c r="P70" s="402">
        <v>0</v>
      </c>
      <c r="Q70" s="402">
        <v>0</v>
      </c>
    </row>
    <row r="71" spans="1:17" x14ac:dyDescent="0.25">
      <c r="A71" s="410">
        <v>14</v>
      </c>
      <c r="B71" s="397" t="s">
        <v>631</v>
      </c>
      <c r="C71" s="398" t="s">
        <v>62</v>
      </c>
      <c r="D71" s="403"/>
      <c r="E71" s="398" t="s">
        <v>74</v>
      </c>
      <c r="F71" s="397" t="s">
        <v>642</v>
      </c>
      <c r="G71" s="397" t="s">
        <v>326</v>
      </c>
      <c r="H71" s="404">
        <v>0</v>
      </c>
      <c r="I71" s="404">
        <v>0</v>
      </c>
      <c r="J71" s="404">
        <v>0</v>
      </c>
      <c r="K71" s="405">
        <v>0</v>
      </c>
      <c r="L71" s="400">
        <v>0</v>
      </c>
      <c r="M71" s="400">
        <v>0</v>
      </c>
      <c r="N71" s="401">
        <v>0</v>
      </c>
      <c r="O71" s="406">
        <v>0</v>
      </c>
      <c r="P71" s="402">
        <v>0</v>
      </c>
      <c r="Q71" s="402">
        <v>0</v>
      </c>
    </row>
    <row r="72" spans="1:17" x14ac:dyDescent="0.25">
      <c r="A72" s="410">
        <v>15</v>
      </c>
      <c r="B72" s="397" t="s">
        <v>628</v>
      </c>
      <c r="C72" s="398" t="s">
        <v>62</v>
      </c>
      <c r="D72" s="403"/>
      <c r="E72" s="398" t="s">
        <v>74</v>
      </c>
      <c r="F72" s="397" t="s">
        <v>629</v>
      </c>
      <c r="G72" s="397" t="s">
        <v>326</v>
      </c>
      <c r="H72" s="404">
        <v>0</v>
      </c>
      <c r="I72" s="404">
        <v>0</v>
      </c>
      <c r="J72" s="404">
        <v>0</v>
      </c>
      <c r="K72" s="405">
        <v>0</v>
      </c>
      <c r="L72" s="400">
        <v>0</v>
      </c>
      <c r="M72" s="400">
        <v>0</v>
      </c>
      <c r="N72" s="401">
        <v>0</v>
      </c>
      <c r="O72" s="406">
        <v>0</v>
      </c>
      <c r="P72" s="402">
        <v>0</v>
      </c>
      <c r="Q72" s="402">
        <v>0</v>
      </c>
    </row>
    <row r="73" spans="1:17" x14ac:dyDescent="0.25">
      <c r="A73" s="410">
        <v>15</v>
      </c>
      <c r="B73" s="397" t="s">
        <v>343</v>
      </c>
      <c r="C73" s="398" t="s">
        <v>62</v>
      </c>
      <c r="D73" s="403"/>
      <c r="E73" s="398" t="s">
        <v>74</v>
      </c>
      <c r="F73" s="397" t="s">
        <v>344</v>
      </c>
      <c r="G73" s="397" t="s">
        <v>326</v>
      </c>
      <c r="H73" s="404">
        <v>9</v>
      </c>
      <c r="I73" s="404">
        <v>2</v>
      </c>
      <c r="J73" s="404">
        <v>2</v>
      </c>
      <c r="K73" s="405">
        <v>2466.8000000000002</v>
      </c>
      <c r="L73" s="400">
        <v>2466.8000000000002</v>
      </c>
      <c r="M73" s="400">
        <v>0</v>
      </c>
      <c r="N73" s="401">
        <v>0</v>
      </c>
      <c r="O73" s="406">
        <v>0</v>
      </c>
      <c r="P73" s="402">
        <v>0</v>
      </c>
      <c r="Q73" s="402">
        <v>0</v>
      </c>
    </row>
    <row r="74" spans="1:17" x14ac:dyDescent="0.25">
      <c r="A74" s="410">
        <v>17</v>
      </c>
      <c r="B74" s="397" t="s">
        <v>154</v>
      </c>
      <c r="C74" s="398" t="s">
        <v>62</v>
      </c>
      <c r="D74" s="403"/>
      <c r="E74" s="398" t="s">
        <v>74</v>
      </c>
      <c r="F74" s="397" t="s">
        <v>345</v>
      </c>
      <c r="G74" s="397" t="s">
        <v>326</v>
      </c>
      <c r="H74" s="404">
        <v>7</v>
      </c>
      <c r="I74" s="404">
        <v>3</v>
      </c>
      <c r="J74" s="404">
        <v>3</v>
      </c>
      <c r="K74" s="405">
        <v>2786.4</v>
      </c>
      <c r="L74" s="400">
        <v>2786.4</v>
      </c>
      <c r="M74" s="400">
        <v>0</v>
      </c>
      <c r="N74" s="401">
        <v>6</v>
      </c>
      <c r="O74" s="406">
        <v>8481.2999999999993</v>
      </c>
      <c r="P74" s="407">
        <v>8481.2999999999993</v>
      </c>
      <c r="Q74" s="402">
        <v>0</v>
      </c>
    </row>
    <row r="75" spans="1:17" x14ac:dyDescent="0.25">
      <c r="A75" s="410">
        <v>18</v>
      </c>
      <c r="B75" s="397" t="s">
        <v>346</v>
      </c>
      <c r="C75" s="398" t="s">
        <v>62</v>
      </c>
      <c r="D75" s="403"/>
      <c r="E75" s="398" t="s">
        <v>158</v>
      </c>
      <c r="F75" s="397" t="s">
        <v>347</v>
      </c>
      <c r="G75" s="397" t="s">
        <v>326</v>
      </c>
      <c r="H75" s="404">
        <v>3</v>
      </c>
      <c r="I75" s="404">
        <v>0</v>
      </c>
      <c r="J75" s="404">
        <v>0</v>
      </c>
      <c r="K75" s="405">
        <v>0</v>
      </c>
      <c r="L75" s="400">
        <v>0</v>
      </c>
      <c r="M75" s="400">
        <v>0</v>
      </c>
      <c r="N75" s="401">
        <v>0</v>
      </c>
      <c r="O75" s="406">
        <v>0</v>
      </c>
      <c r="P75" s="402">
        <v>0</v>
      </c>
      <c r="Q75" s="402">
        <v>0</v>
      </c>
    </row>
    <row r="76" spans="1:17" x14ac:dyDescent="0.25">
      <c r="A76" s="410">
        <v>19</v>
      </c>
      <c r="B76" s="397" t="s">
        <v>348</v>
      </c>
      <c r="C76" s="398" t="s">
        <v>62</v>
      </c>
      <c r="D76" s="403"/>
      <c r="E76" s="398" t="s">
        <v>158</v>
      </c>
      <c r="F76" s="397" t="s">
        <v>349</v>
      </c>
      <c r="G76" s="397" t="s">
        <v>326</v>
      </c>
      <c r="H76" s="404">
        <v>6</v>
      </c>
      <c r="I76" s="404">
        <v>0</v>
      </c>
      <c r="J76" s="404">
        <v>0</v>
      </c>
      <c r="K76" s="405">
        <v>0</v>
      </c>
      <c r="L76" s="400">
        <v>0</v>
      </c>
      <c r="M76" s="400">
        <v>0</v>
      </c>
      <c r="N76" s="401">
        <v>0</v>
      </c>
      <c r="O76" s="406">
        <v>0</v>
      </c>
      <c r="P76" s="402">
        <v>0</v>
      </c>
      <c r="Q76" s="402">
        <v>0</v>
      </c>
    </row>
    <row r="77" spans="1:17" x14ac:dyDescent="0.25">
      <c r="A77" s="410">
        <v>20</v>
      </c>
      <c r="B77" s="397" t="s">
        <v>350</v>
      </c>
      <c r="C77" s="398" t="s">
        <v>62</v>
      </c>
      <c r="D77" s="403"/>
      <c r="E77" s="398" t="s">
        <v>74</v>
      </c>
      <c r="F77" s="397" t="s">
        <v>351</v>
      </c>
      <c r="G77" s="397" t="s">
        <v>326</v>
      </c>
      <c r="H77" s="404">
        <v>1</v>
      </c>
      <c r="I77" s="404">
        <v>1</v>
      </c>
      <c r="J77" s="404">
        <v>1</v>
      </c>
      <c r="K77" s="405">
        <v>528.6</v>
      </c>
      <c r="L77" s="400">
        <v>528.6</v>
      </c>
      <c r="M77" s="400">
        <v>0</v>
      </c>
      <c r="N77" s="401">
        <v>4</v>
      </c>
      <c r="O77" s="406">
        <v>5065.75</v>
      </c>
      <c r="P77" s="402">
        <v>5065.75</v>
      </c>
      <c r="Q77" s="402">
        <v>0</v>
      </c>
    </row>
    <row r="78" spans="1:17" ht="60" x14ac:dyDescent="0.25">
      <c r="A78" s="411">
        <v>21</v>
      </c>
      <c r="B78" s="397" t="s">
        <v>222</v>
      </c>
      <c r="C78" s="398" t="s">
        <v>64</v>
      </c>
      <c r="D78" s="412" t="s">
        <v>352</v>
      </c>
      <c r="E78" s="398" t="s">
        <v>158</v>
      </c>
      <c r="F78" s="397" t="s">
        <v>353</v>
      </c>
      <c r="G78" s="397" t="s">
        <v>326</v>
      </c>
      <c r="H78" s="404">
        <v>6</v>
      </c>
      <c r="I78" s="404">
        <v>2</v>
      </c>
      <c r="J78" s="404">
        <v>2</v>
      </c>
      <c r="K78" s="405">
        <v>3524</v>
      </c>
      <c r="L78" s="400">
        <v>3524</v>
      </c>
      <c r="M78" s="400">
        <v>0</v>
      </c>
      <c r="N78" s="401">
        <v>0</v>
      </c>
      <c r="O78" s="400">
        <v>0</v>
      </c>
      <c r="P78" s="402">
        <v>0</v>
      </c>
      <c r="Q78" s="402">
        <v>0</v>
      </c>
    </row>
    <row r="79" spans="1:17" x14ac:dyDescent="0.25">
      <c r="A79" s="410">
        <v>22</v>
      </c>
      <c r="B79" s="397" t="s">
        <v>238</v>
      </c>
      <c r="C79" s="398" t="s">
        <v>62</v>
      </c>
      <c r="D79" s="403"/>
      <c r="E79" s="398" t="s">
        <v>158</v>
      </c>
      <c r="F79" s="397" t="s">
        <v>354</v>
      </c>
      <c r="G79" s="397" t="s">
        <v>326</v>
      </c>
      <c r="H79" s="404">
        <v>8</v>
      </c>
      <c r="I79" s="404">
        <v>6</v>
      </c>
      <c r="J79" s="404">
        <v>6</v>
      </c>
      <c r="K79" s="405">
        <v>8060.55</v>
      </c>
      <c r="L79" s="400">
        <v>8060.55</v>
      </c>
      <c r="M79" s="400">
        <v>0</v>
      </c>
      <c r="N79" s="401">
        <v>0</v>
      </c>
      <c r="O79" s="406">
        <v>0</v>
      </c>
      <c r="P79" s="402">
        <v>0</v>
      </c>
      <c r="Q79" s="402">
        <v>0</v>
      </c>
    </row>
    <row r="80" spans="1:17" x14ac:dyDescent="0.25">
      <c r="A80" s="410">
        <v>23</v>
      </c>
      <c r="B80" s="397" t="s">
        <v>355</v>
      </c>
      <c r="C80" s="398" t="s">
        <v>62</v>
      </c>
      <c r="D80" s="403"/>
      <c r="E80" s="398" t="s">
        <v>158</v>
      </c>
      <c r="F80" s="397" t="s">
        <v>356</v>
      </c>
      <c r="G80" s="397" t="s">
        <v>326</v>
      </c>
      <c r="H80" s="404">
        <v>7</v>
      </c>
      <c r="I80" s="404">
        <v>2</v>
      </c>
      <c r="J80" s="404">
        <v>2</v>
      </c>
      <c r="K80" s="405">
        <v>1762</v>
      </c>
      <c r="L80" s="400">
        <v>1762</v>
      </c>
      <c r="M80" s="400">
        <v>0</v>
      </c>
      <c r="N80" s="401">
        <v>0</v>
      </c>
      <c r="O80" s="406">
        <v>0</v>
      </c>
      <c r="P80" s="402">
        <v>0</v>
      </c>
      <c r="Q80" s="402">
        <v>0</v>
      </c>
    </row>
    <row r="81" spans="1:17" ht="38.25" x14ac:dyDescent="0.25">
      <c r="A81" s="411">
        <v>24</v>
      </c>
      <c r="B81" s="397" t="s">
        <v>357</v>
      </c>
      <c r="C81" s="398" t="s">
        <v>64</v>
      </c>
      <c r="D81" s="396" t="s">
        <v>358</v>
      </c>
      <c r="E81" s="398" t="s">
        <v>158</v>
      </c>
      <c r="F81" s="398" t="s">
        <v>507</v>
      </c>
      <c r="G81" s="397" t="s">
        <v>326</v>
      </c>
      <c r="H81" s="404">
        <v>3</v>
      </c>
      <c r="I81" s="409">
        <v>1</v>
      </c>
      <c r="J81" s="409">
        <v>1</v>
      </c>
      <c r="K81" s="405">
        <v>1288.7</v>
      </c>
      <c r="L81" s="400">
        <v>1288.7</v>
      </c>
      <c r="M81" s="400">
        <v>0</v>
      </c>
      <c r="N81" s="401">
        <v>0</v>
      </c>
      <c r="O81" s="400">
        <v>0</v>
      </c>
      <c r="P81" s="402">
        <v>0</v>
      </c>
      <c r="Q81" s="402">
        <v>0</v>
      </c>
    </row>
    <row r="82" spans="1:17" x14ac:dyDescent="0.25">
      <c r="A82" s="411">
        <v>25</v>
      </c>
      <c r="B82" s="397" t="s">
        <v>36</v>
      </c>
      <c r="C82" s="398" t="s">
        <v>62</v>
      </c>
      <c r="D82" s="396"/>
      <c r="E82" s="398" t="s">
        <v>74</v>
      </c>
      <c r="F82" s="413" t="s">
        <v>630</v>
      </c>
      <c r="G82" s="397" t="s">
        <v>326</v>
      </c>
      <c r="H82" s="404">
        <v>2</v>
      </c>
      <c r="I82" s="409">
        <v>1</v>
      </c>
      <c r="J82" s="409">
        <v>1</v>
      </c>
      <c r="K82" s="405">
        <v>552.29999999999995</v>
      </c>
      <c r="L82" s="400">
        <v>552.29999999999995</v>
      </c>
      <c r="M82" s="400">
        <v>0</v>
      </c>
      <c r="N82" s="401">
        <v>0</v>
      </c>
      <c r="O82" s="400">
        <v>0</v>
      </c>
      <c r="P82" s="402">
        <v>0</v>
      </c>
      <c r="Q82" s="402">
        <v>0</v>
      </c>
    </row>
    <row r="83" spans="1:17" x14ac:dyDescent="0.25">
      <c r="A83" s="410">
        <v>26</v>
      </c>
      <c r="B83" s="397" t="s">
        <v>359</v>
      </c>
      <c r="C83" s="398" t="s">
        <v>62</v>
      </c>
      <c r="D83" s="396"/>
      <c r="E83" s="398" t="s">
        <v>158</v>
      </c>
      <c r="F83" s="398" t="s">
        <v>360</v>
      </c>
      <c r="G83" s="397" t="s">
        <v>326</v>
      </c>
      <c r="H83" s="404">
        <v>5</v>
      </c>
      <c r="I83" s="404">
        <v>5</v>
      </c>
      <c r="J83" s="404">
        <v>5</v>
      </c>
      <c r="K83" s="405">
        <v>4933.5999999999995</v>
      </c>
      <c r="L83" s="400">
        <v>4933.5999999999995</v>
      </c>
      <c r="M83" s="400">
        <v>0</v>
      </c>
      <c r="N83" s="401">
        <v>0</v>
      </c>
      <c r="O83" s="406">
        <v>0</v>
      </c>
      <c r="P83" s="407">
        <v>0</v>
      </c>
      <c r="Q83" s="402">
        <v>0</v>
      </c>
    </row>
    <row r="84" spans="1:17" x14ac:dyDescent="0.25">
      <c r="A84" s="410">
        <v>27</v>
      </c>
      <c r="B84" s="397" t="s">
        <v>118</v>
      </c>
      <c r="C84" s="398" t="s">
        <v>62</v>
      </c>
      <c r="D84" s="403"/>
      <c r="E84" s="398" t="s">
        <v>338</v>
      </c>
      <c r="F84" s="397" t="s">
        <v>361</v>
      </c>
      <c r="G84" s="397" t="s">
        <v>326</v>
      </c>
      <c r="H84" s="404">
        <v>1</v>
      </c>
      <c r="I84" s="404">
        <v>1</v>
      </c>
      <c r="J84" s="404">
        <v>1</v>
      </c>
      <c r="K84" s="405">
        <v>1012.55</v>
      </c>
      <c r="L84" s="400">
        <v>1012.55</v>
      </c>
      <c r="M84" s="400">
        <v>0</v>
      </c>
      <c r="N84" s="401">
        <v>0</v>
      </c>
      <c r="O84" s="406">
        <v>0</v>
      </c>
      <c r="P84" s="402">
        <v>0</v>
      </c>
      <c r="Q84" s="402">
        <v>0</v>
      </c>
    </row>
    <row r="85" spans="1:17" x14ac:dyDescent="0.25">
      <c r="A85" s="410">
        <v>28</v>
      </c>
      <c r="B85" s="397" t="s">
        <v>246</v>
      </c>
      <c r="C85" s="398" t="s">
        <v>62</v>
      </c>
      <c r="D85" s="403"/>
      <c r="E85" s="398" t="s">
        <v>158</v>
      </c>
      <c r="F85" s="397" t="s">
        <v>362</v>
      </c>
      <c r="G85" s="397" t="s">
        <v>326</v>
      </c>
      <c r="H85" s="404">
        <v>5</v>
      </c>
      <c r="I85" s="404">
        <v>3</v>
      </c>
      <c r="J85" s="404">
        <v>3</v>
      </c>
      <c r="K85" s="405">
        <v>2522.1000000000004</v>
      </c>
      <c r="L85" s="400">
        <v>2522.1000000000004</v>
      </c>
      <c r="M85" s="400">
        <v>0</v>
      </c>
      <c r="N85" s="401">
        <v>0</v>
      </c>
      <c r="O85" s="406">
        <v>0</v>
      </c>
      <c r="P85" s="402">
        <v>0</v>
      </c>
      <c r="Q85" s="402">
        <v>0</v>
      </c>
    </row>
    <row r="86" spans="1:17" x14ac:dyDescent="0.25">
      <c r="A86" s="410">
        <v>29</v>
      </c>
      <c r="B86" s="397" t="s">
        <v>643</v>
      </c>
      <c r="C86" s="398" t="s">
        <v>62</v>
      </c>
      <c r="D86" s="403"/>
      <c r="E86" s="398" t="s">
        <v>74</v>
      </c>
      <c r="F86" s="397" t="s">
        <v>644</v>
      </c>
      <c r="G86" s="397" t="s">
        <v>326</v>
      </c>
      <c r="H86" s="404">
        <v>2</v>
      </c>
      <c r="I86" s="404">
        <v>0</v>
      </c>
      <c r="J86" s="404">
        <v>0</v>
      </c>
      <c r="K86" s="405">
        <v>0</v>
      </c>
      <c r="L86" s="400">
        <v>0</v>
      </c>
      <c r="M86" s="400">
        <v>0</v>
      </c>
      <c r="N86" s="401">
        <v>0</v>
      </c>
      <c r="O86" s="406">
        <v>0</v>
      </c>
      <c r="P86" s="402">
        <v>0</v>
      </c>
      <c r="Q86" s="402">
        <v>0</v>
      </c>
    </row>
    <row r="87" spans="1:17" x14ac:dyDescent="0.25">
      <c r="A87" s="410">
        <v>30</v>
      </c>
      <c r="B87" s="397" t="s">
        <v>43</v>
      </c>
      <c r="C87" s="398" t="s">
        <v>62</v>
      </c>
      <c r="D87" s="403"/>
      <c r="E87" s="398" t="s">
        <v>74</v>
      </c>
      <c r="F87" s="397" t="s">
        <v>363</v>
      </c>
      <c r="G87" s="397" t="s">
        <v>326</v>
      </c>
      <c r="H87" s="404">
        <v>3</v>
      </c>
      <c r="I87" s="404">
        <v>1</v>
      </c>
      <c r="J87" s="404">
        <v>1</v>
      </c>
      <c r="K87" s="405">
        <v>660.75</v>
      </c>
      <c r="L87" s="400">
        <v>660.75</v>
      </c>
      <c r="M87" s="400">
        <v>0</v>
      </c>
      <c r="N87" s="401">
        <v>0</v>
      </c>
      <c r="O87" s="406">
        <v>0</v>
      </c>
      <c r="P87" s="402">
        <v>0</v>
      </c>
      <c r="Q87" s="402">
        <v>0</v>
      </c>
    </row>
    <row r="88" spans="1:17" x14ac:dyDescent="0.25">
      <c r="A88" s="410">
        <v>31</v>
      </c>
      <c r="B88" s="397" t="s">
        <v>364</v>
      </c>
      <c r="C88" s="398" t="s">
        <v>62</v>
      </c>
      <c r="D88" s="403"/>
      <c r="E88" s="398" t="s">
        <v>74</v>
      </c>
      <c r="F88" s="397" t="s">
        <v>365</v>
      </c>
      <c r="G88" s="397" t="s">
        <v>326</v>
      </c>
      <c r="H88" s="404">
        <v>7</v>
      </c>
      <c r="I88" s="404">
        <v>2</v>
      </c>
      <c r="J88" s="404">
        <v>2</v>
      </c>
      <c r="K88" s="405">
        <v>2466.8000000000002</v>
      </c>
      <c r="L88" s="400">
        <v>2466.8000000000002</v>
      </c>
      <c r="M88" s="400">
        <v>0</v>
      </c>
      <c r="N88" s="401">
        <v>3</v>
      </c>
      <c r="O88" s="406">
        <v>9692.9599999999991</v>
      </c>
      <c r="P88" s="402">
        <v>9692.9599999999991</v>
      </c>
      <c r="Q88" s="402">
        <v>0</v>
      </c>
    </row>
    <row r="89" spans="1:17" x14ac:dyDescent="0.25">
      <c r="A89" s="410">
        <v>32</v>
      </c>
      <c r="B89" s="397" t="s">
        <v>46</v>
      </c>
      <c r="C89" s="398" t="s">
        <v>62</v>
      </c>
      <c r="D89" s="403"/>
      <c r="E89" s="398" t="s">
        <v>366</v>
      </c>
      <c r="F89" s="397" t="s">
        <v>367</v>
      </c>
      <c r="G89" s="397" t="s">
        <v>326</v>
      </c>
      <c r="H89" s="404">
        <v>0</v>
      </c>
      <c r="I89" s="404">
        <v>0</v>
      </c>
      <c r="J89" s="404">
        <v>0</v>
      </c>
      <c r="K89" s="405">
        <v>0</v>
      </c>
      <c r="L89" s="400">
        <v>0</v>
      </c>
      <c r="M89" s="400">
        <v>0</v>
      </c>
      <c r="N89" s="401">
        <v>2</v>
      </c>
      <c r="O89" s="406">
        <v>4669.3</v>
      </c>
      <c r="P89" s="407">
        <v>4669.3</v>
      </c>
      <c r="Q89" s="402">
        <v>0</v>
      </c>
    </row>
    <row r="90" spans="1:17" x14ac:dyDescent="0.25">
      <c r="A90" s="410">
        <v>33</v>
      </c>
      <c r="B90" s="397" t="s">
        <v>270</v>
      </c>
      <c r="C90" s="398" t="s">
        <v>62</v>
      </c>
      <c r="D90" s="403"/>
      <c r="E90" s="398" t="s">
        <v>74</v>
      </c>
      <c r="F90" s="397" t="s">
        <v>539</v>
      </c>
      <c r="G90" s="397" t="s">
        <v>326</v>
      </c>
      <c r="H90" s="404">
        <v>2</v>
      </c>
      <c r="I90" s="404">
        <v>1</v>
      </c>
      <c r="J90" s="404">
        <v>1</v>
      </c>
      <c r="K90" s="405">
        <v>1012.55</v>
      </c>
      <c r="L90" s="400">
        <v>1012.55</v>
      </c>
      <c r="M90" s="400">
        <v>0</v>
      </c>
      <c r="N90" s="401">
        <v>0</v>
      </c>
      <c r="O90" s="406">
        <v>0</v>
      </c>
      <c r="P90" s="407">
        <v>0</v>
      </c>
      <c r="Q90" s="402">
        <v>0</v>
      </c>
    </row>
    <row r="91" spans="1:17" x14ac:dyDescent="0.25">
      <c r="A91" s="410">
        <v>34</v>
      </c>
      <c r="B91" s="397" t="s">
        <v>621</v>
      </c>
      <c r="C91" s="398" t="s">
        <v>62</v>
      </c>
      <c r="D91" s="403"/>
      <c r="E91" s="398" t="s">
        <v>74</v>
      </c>
      <c r="F91" s="397" t="s">
        <v>622</v>
      </c>
      <c r="G91" s="397" t="s">
        <v>326</v>
      </c>
      <c r="H91" s="404">
        <v>2</v>
      </c>
      <c r="I91" s="404">
        <v>1</v>
      </c>
      <c r="J91" s="404">
        <v>1</v>
      </c>
      <c r="K91" s="405">
        <v>1012.55</v>
      </c>
      <c r="L91" s="400">
        <v>0</v>
      </c>
      <c r="M91" s="400">
        <v>1012.55</v>
      </c>
      <c r="N91" s="401">
        <v>0</v>
      </c>
      <c r="O91" s="406">
        <v>0</v>
      </c>
      <c r="P91" s="407">
        <v>0</v>
      </c>
      <c r="Q91" s="402">
        <v>0</v>
      </c>
    </row>
    <row r="92" spans="1:17" x14ac:dyDescent="0.25">
      <c r="A92" s="410">
        <v>35</v>
      </c>
      <c r="B92" s="397" t="s">
        <v>96</v>
      </c>
      <c r="C92" s="398" t="s">
        <v>62</v>
      </c>
      <c r="D92" s="403"/>
      <c r="E92" s="398" t="s">
        <v>98</v>
      </c>
      <c r="F92" s="397" t="s">
        <v>540</v>
      </c>
      <c r="G92" s="397" t="s">
        <v>326</v>
      </c>
      <c r="H92" s="404">
        <v>1</v>
      </c>
      <c r="I92" s="404">
        <v>0</v>
      </c>
      <c r="J92" s="404">
        <v>0</v>
      </c>
      <c r="K92" s="405">
        <v>0</v>
      </c>
      <c r="L92" s="400">
        <v>0</v>
      </c>
      <c r="M92" s="400">
        <v>0</v>
      </c>
      <c r="N92" s="401">
        <v>1</v>
      </c>
      <c r="O92" s="406">
        <v>0</v>
      </c>
      <c r="P92" s="407">
        <v>0</v>
      </c>
      <c r="Q92" s="402">
        <v>0</v>
      </c>
    </row>
    <row r="93" spans="1:17" x14ac:dyDescent="0.25">
      <c r="A93" s="410">
        <v>36</v>
      </c>
      <c r="B93" s="397" t="s">
        <v>124</v>
      </c>
      <c r="C93" s="398" t="s">
        <v>62</v>
      </c>
      <c r="D93" s="403"/>
      <c r="E93" s="398" t="s">
        <v>74</v>
      </c>
      <c r="F93" s="397" t="s">
        <v>368</v>
      </c>
      <c r="G93" s="397" t="s">
        <v>326</v>
      </c>
      <c r="H93" s="404">
        <v>27</v>
      </c>
      <c r="I93" s="404">
        <v>18</v>
      </c>
      <c r="J93" s="404">
        <v>18</v>
      </c>
      <c r="K93" s="405">
        <v>17959.7</v>
      </c>
      <c r="L93" s="400">
        <v>17959.7</v>
      </c>
      <c r="M93" s="400">
        <v>0</v>
      </c>
      <c r="N93" s="401">
        <v>8</v>
      </c>
      <c r="O93" s="406">
        <v>4753.3999999999996</v>
      </c>
      <c r="P93" s="402">
        <v>4753.3999999999996</v>
      </c>
      <c r="Q93" s="400">
        <v>0</v>
      </c>
    </row>
    <row r="94" spans="1:17" x14ac:dyDescent="0.25">
      <c r="A94" s="410">
        <v>37</v>
      </c>
      <c r="B94" s="397" t="s">
        <v>51</v>
      </c>
      <c r="C94" s="398" t="s">
        <v>62</v>
      </c>
      <c r="D94" s="403"/>
      <c r="E94" s="398" t="s">
        <v>74</v>
      </c>
      <c r="F94" s="397" t="s">
        <v>369</v>
      </c>
      <c r="G94" s="397" t="s">
        <v>326</v>
      </c>
      <c r="H94" s="404">
        <v>0</v>
      </c>
      <c r="I94" s="404">
        <v>0</v>
      </c>
      <c r="J94" s="404">
        <v>0</v>
      </c>
      <c r="K94" s="405">
        <v>0</v>
      </c>
      <c r="L94" s="400">
        <v>0</v>
      </c>
      <c r="M94" s="400">
        <v>0</v>
      </c>
      <c r="N94" s="401">
        <v>1</v>
      </c>
      <c r="O94" s="406">
        <v>2290.6</v>
      </c>
      <c r="P94" s="402">
        <v>2290.6</v>
      </c>
      <c r="Q94" s="402">
        <v>0</v>
      </c>
    </row>
    <row r="95" spans="1:17" x14ac:dyDescent="0.25">
      <c r="A95" s="410">
        <v>38</v>
      </c>
      <c r="B95" s="397" t="s">
        <v>286</v>
      </c>
      <c r="C95" s="398" t="s">
        <v>62</v>
      </c>
      <c r="D95" s="403"/>
      <c r="E95" s="398" t="s">
        <v>74</v>
      </c>
      <c r="F95" s="397" t="s">
        <v>476</v>
      </c>
      <c r="G95" s="397" t="s">
        <v>326</v>
      </c>
      <c r="H95" s="404">
        <v>8</v>
      </c>
      <c r="I95" s="404">
        <v>4</v>
      </c>
      <c r="J95" s="404">
        <v>4</v>
      </c>
      <c r="K95" s="405">
        <v>3195.3</v>
      </c>
      <c r="L95" s="400">
        <v>3195.3</v>
      </c>
      <c r="M95" s="400">
        <v>0</v>
      </c>
      <c r="N95" s="401">
        <v>0</v>
      </c>
      <c r="O95" s="406">
        <v>0</v>
      </c>
      <c r="P95" s="402">
        <v>0</v>
      </c>
      <c r="Q95" s="402">
        <v>0</v>
      </c>
    </row>
    <row r="96" spans="1:17" x14ac:dyDescent="0.25">
      <c r="A96" s="410">
        <v>39</v>
      </c>
      <c r="B96" s="397" t="s">
        <v>290</v>
      </c>
      <c r="C96" s="398" t="s">
        <v>62</v>
      </c>
      <c r="D96" s="403"/>
      <c r="E96" s="398" t="s">
        <v>371</v>
      </c>
      <c r="F96" s="397" t="s">
        <v>372</v>
      </c>
      <c r="G96" s="397" t="s">
        <v>326</v>
      </c>
      <c r="H96" s="404">
        <v>8</v>
      </c>
      <c r="I96" s="404">
        <v>6</v>
      </c>
      <c r="J96" s="404">
        <v>6</v>
      </c>
      <c r="K96" s="405">
        <v>2114.3999999999996</v>
      </c>
      <c r="L96" s="400">
        <v>2114.3999999999996</v>
      </c>
      <c r="M96" s="400">
        <v>0</v>
      </c>
      <c r="N96" s="401">
        <v>0</v>
      </c>
      <c r="O96" s="406">
        <v>0</v>
      </c>
      <c r="P96" s="407">
        <v>0</v>
      </c>
      <c r="Q96" s="402">
        <v>0</v>
      </c>
    </row>
    <row r="97" spans="1:17" x14ac:dyDescent="0.25">
      <c r="A97" s="410">
        <v>40</v>
      </c>
      <c r="B97" s="397" t="s">
        <v>134</v>
      </c>
      <c r="C97" s="398" t="s">
        <v>62</v>
      </c>
      <c r="D97" s="403"/>
      <c r="E97" s="398" t="s">
        <v>74</v>
      </c>
      <c r="F97" s="397" t="s">
        <v>373</v>
      </c>
      <c r="G97" s="397" t="s">
        <v>326</v>
      </c>
      <c r="H97" s="404">
        <v>3</v>
      </c>
      <c r="I97" s="404">
        <v>1</v>
      </c>
      <c r="J97" s="404">
        <v>1</v>
      </c>
      <c r="K97" s="405">
        <v>1938.2</v>
      </c>
      <c r="L97" s="400">
        <v>1938.2</v>
      </c>
      <c r="M97" s="400">
        <v>0</v>
      </c>
      <c r="N97" s="401">
        <v>2</v>
      </c>
      <c r="O97" s="406">
        <v>2643</v>
      </c>
      <c r="P97" s="402">
        <v>2643</v>
      </c>
      <c r="Q97" s="402">
        <v>0</v>
      </c>
    </row>
    <row r="98" spans="1:17" x14ac:dyDescent="0.25">
      <c r="A98" s="410">
        <v>41</v>
      </c>
      <c r="B98" s="397" t="s">
        <v>135</v>
      </c>
      <c r="C98" s="398" t="s">
        <v>62</v>
      </c>
      <c r="D98" s="403"/>
      <c r="E98" s="398" t="s">
        <v>74</v>
      </c>
      <c r="F98" s="397" t="s">
        <v>374</v>
      </c>
      <c r="G98" s="397" t="s">
        <v>326</v>
      </c>
      <c r="H98" s="404">
        <v>19</v>
      </c>
      <c r="I98" s="404">
        <v>4</v>
      </c>
      <c r="J98" s="404">
        <v>4</v>
      </c>
      <c r="K98" s="405">
        <v>5990.8</v>
      </c>
      <c r="L98" s="400">
        <v>5990.7999999999993</v>
      </c>
      <c r="M98" s="400">
        <v>0</v>
      </c>
      <c r="N98" s="401">
        <v>89</v>
      </c>
      <c r="O98" s="406">
        <v>33956.26</v>
      </c>
      <c r="P98" s="402">
        <v>33956.26</v>
      </c>
      <c r="Q98" s="400">
        <v>0</v>
      </c>
    </row>
    <row r="99" spans="1:17" ht="25.5" x14ac:dyDescent="0.25">
      <c r="A99" s="411">
        <v>42</v>
      </c>
      <c r="B99" s="397" t="s">
        <v>508</v>
      </c>
      <c r="C99" s="398" t="s">
        <v>64</v>
      </c>
      <c r="D99" s="396" t="s">
        <v>509</v>
      </c>
      <c r="E99" s="398" t="s">
        <v>74</v>
      </c>
      <c r="F99" s="397" t="s">
        <v>510</v>
      </c>
      <c r="G99" s="397" t="s">
        <v>326</v>
      </c>
      <c r="H99" s="404">
        <v>3</v>
      </c>
      <c r="I99" s="404">
        <v>2</v>
      </c>
      <c r="J99" s="404">
        <v>2</v>
      </c>
      <c r="K99" s="405">
        <v>4418.3999999999996</v>
      </c>
      <c r="L99" s="400">
        <v>4418.3999999999996</v>
      </c>
      <c r="M99" s="400">
        <v>0</v>
      </c>
      <c r="N99" s="401">
        <v>0</v>
      </c>
      <c r="O99" s="400">
        <v>0</v>
      </c>
      <c r="P99" s="402">
        <v>0</v>
      </c>
      <c r="Q99" s="402">
        <v>0</v>
      </c>
    </row>
    <row r="100" spans="1:17" x14ac:dyDescent="0.25">
      <c r="A100" s="410">
        <v>43</v>
      </c>
      <c r="B100" s="397" t="s">
        <v>299</v>
      </c>
      <c r="C100" s="398" t="s">
        <v>62</v>
      </c>
      <c r="D100" s="403"/>
      <c r="E100" s="398" t="s">
        <v>158</v>
      </c>
      <c r="F100" s="397" t="s">
        <v>375</v>
      </c>
      <c r="G100" s="397" t="s">
        <v>326</v>
      </c>
      <c r="H100" s="404">
        <v>3</v>
      </c>
      <c r="I100" s="404">
        <v>1</v>
      </c>
      <c r="J100" s="404">
        <v>1</v>
      </c>
      <c r="K100" s="405">
        <v>704.8</v>
      </c>
      <c r="L100" s="400">
        <v>704.8</v>
      </c>
      <c r="M100" s="400">
        <v>0</v>
      </c>
      <c r="N100" s="401">
        <v>0</v>
      </c>
      <c r="O100" s="406">
        <v>0</v>
      </c>
      <c r="P100" s="402">
        <v>0</v>
      </c>
      <c r="Q100" s="402">
        <v>0</v>
      </c>
    </row>
    <row r="101" spans="1:17" x14ac:dyDescent="0.25">
      <c r="A101" s="410">
        <v>44</v>
      </c>
      <c r="B101" s="397" t="s">
        <v>376</v>
      </c>
      <c r="C101" s="398" t="s">
        <v>62</v>
      </c>
      <c r="D101" s="403"/>
      <c r="E101" s="398" t="s">
        <v>74</v>
      </c>
      <c r="F101" s="397" t="s">
        <v>377</v>
      </c>
      <c r="G101" s="397" t="s">
        <v>326</v>
      </c>
      <c r="H101" s="404">
        <v>8</v>
      </c>
      <c r="I101" s="404">
        <v>6</v>
      </c>
      <c r="J101" s="404">
        <v>6</v>
      </c>
      <c r="K101" s="405">
        <v>6169.75</v>
      </c>
      <c r="L101" s="400">
        <v>6169.75</v>
      </c>
      <c r="M101" s="400">
        <v>0</v>
      </c>
      <c r="N101" s="401">
        <v>0</v>
      </c>
      <c r="O101" s="406">
        <v>0</v>
      </c>
      <c r="P101" s="402">
        <v>0</v>
      </c>
      <c r="Q101" s="402">
        <v>0</v>
      </c>
    </row>
    <row r="102" spans="1:17" x14ac:dyDescent="0.25">
      <c r="A102" s="410">
        <v>45</v>
      </c>
      <c r="B102" s="397" t="s">
        <v>129</v>
      </c>
      <c r="C102" s="398" t="s">
        <v>62</v>
      </c>
      <c r="D102" s="403"/>
      <c r="E102" s="398" t="s">
        <v>74</v>
      </c>
      <c r="F102" s="397" t="s">
        <v>378</v>
      </c>
      <c r="G102" s="397" t="s">
        <v>326</v>
      </c>
      <c r="H102" s="404">
        <v>44</v>
      </c>
      <c r="I102" s="404">
        <v>32</v>
      </c>
      <c r="J102" s="404">
        <v>32</v>
      </c>
      <c r="K102" s="405">
        <v>46091.180000000015</v>
      </c>
      <c r="L102" s="400">
        <v>46091.180000000008</v>
      </c>
      <c r="M102" s="400">
        <v>0</v>
      </c>
      <c r="N102" s="401">
        <v>39</v>
      </c>
      <c r="O102" s="406">
        <v>73984.460000000006</v>
      </c>
      <c r="P102" s="407">
        <v>73984.459999999992</v>
      </c>
      <c r="Q102" s="402">
        <v>0</v>
      </c>
    </row>
    <row r="103" spans="1:17" x14ac:dyDescent="0.25">
      <c r="A103" s="410">
        <v>46</v>
      </c>
      <c r="B103" s="397" t="s">
        <v>379</v>
      </c>
      <c r="C103" s="398" t="s">
        <v>62</v>
      </c>
      <c r="D103" s="403"/>
      <c r="E103" s="398" t="s">
        <v>158</v>
      </c>
      <c r="F103" s="397" t="s">
        <v>380</v>
      </c>
      <c r="G103" s="397" t="s">
        <v>326</v>
      </c>
      <c r="H103" s="404">
        <v>3</v>
      </c>
      <c r="I103" s="404">
        <v>2</v>
      </c>
      <c r="J103" s="404">
        <v>2</v>
      </c>
      <c r="K103" s="405">
        <v>1717.35</v>
      </c>
      <c r="L103" s="400">
        <v>1717.35</v>
      </c>
      <c r="M103" s="400">
        <v>0</v>
      </c>
      <c r="N103" s="401">
        <v>0</v>
      </c>
      <c r="O103" s="406">
        <v>0</v>
      </c>
      <c r="P103" s="402">
        <v>0</v>
      </c>
      <c r="Q103" s="402">
        <v>0</v>
      </c>
    </row>
    <row r="104" spans="1:17" x14ac:dyDescent="0.25">
      <c r="A104" s="410">
        <v>47</v>
      </c>
      <c r="B104" s="397" t="s">
        <v>130</v>
      </c>
      <c r="C104" s="398" t="s">
        <v>62</v>
      </c>
      <c r="D104" s="403"/>
      <c r="E104" s="398" t="s">
        <v>74</v>
      </c>
      <c r="F104" s="397" t="s">
        <v>557</v>
      </c>
      <c r="G104" s="397" t="s">
        <v>326</v>
      </c>
      <c r="H104" s="404">
        <v>1</v>
      </c>
      <c r="I104" s="404">
        <v>0</v>
      </c>
      <c r="J104" s="404">
        <v>0</v>
      </c>
      <c r="K104" s="405">
        <v>0</v>
      </c>
      <c r="L104" s="400">
        <v>0</v>
      </c>
      <c r="M104" s="400">
        <v>0</v>
      </c>
      <c r="N104" s="401">
        <v>2</v>
      </c>
      <c r="O104" s="406">
        <v>3700.2</v>
      </c>
      <c r="P104" s="402">
        <v>3700.2</v>
      </c>
      <c r="Q104" s="402">
        <v>0</v>
      </c>
    </row>
    <row r="105" spans="1:17" x14ac:dyDescent="0.25">
      <c r="A105" s="410">
        <v>48</v>
      </c>
      <c r="B105" s="397" t="s">
        <v>382</v>
      </c>
      <c r="C105" s="398" t="s">
        <v>62</v>
      </c>
      <c r="D105" s="403"/>
      <c r="E105" s="398" t="s">
        <v>383</v>
      </c>
      <c r="F105" s="397" t="s">
        <v>384</v>
      </c>
      <c r="G105" s="397" t="s">
        <v>326</v>
      </c>
      <c r="H105" s="404">
        <v>1</v>
      </c>
      <c r="I105" s="404">
        <v>1</v>
      </c>
      <c r="J105" s="404">
        <v>1</v>
      </c>
      <c r="K105" s="405">
        <v>704.8</v>
      </c>
      <c r="L105" s="400">
        <v>704.8</v>
      </c>
      <c r="M105" s="400">
        <v>0</v>
      </c>
      <c r="N105" s="401">
        <v>0</v>
      </c>
      <c r="O105" s="406">
        <v>0</v>
      </c>
      <c r="P105" s="402">
        <v>0</v>
      </c>
      <c r="Q105" s="402">
        <v>0</v>
      </c>
    </row>
    <row r="106" spans="1:17" x14ac:dyDescent="0.25">
      <c r="A106" s="410">
        <v>49</v>
      </c>
      <c r="B106" s="397" t="s">
        <v>385</v>
      </c>
      <c r="C106" s="398" t="s">
        <v>62</v>
      </c>
      <c r="D106" s="403"/>
      <c r="E106" s="403" t="s">
        <v>145</v>
      </c>
      <c r="F106" s="397" t="s">
        <v>386</v>
      </c>
      <c r="G106" s="397" t="s">
        <v>326</v>
      </c>
      <c r="H106" s="404">
        <v>12</v>
      </c>
      <c r="I106" s="404">
        <v>6</v>
      </c>
      <c r="J106" s="404">
        <v>6</v>
      </c>
      <c r="K106" s="405">
        <v>4184.75</v>
      </c>
      <c r="L106" s="400">
        <v>4184.75</v>
      </c>
      <c r="M106" s="400">
        <v>0</v>
      </c>
      <c r="N106" s="401">
        <v>18</v>
      </c>
      <c r="O106" s="406">
        <v>9602.9</v>
      </c>
      <c r="P106" s="407">
        <v>9602.9</v>
      </c>
      <c r="Q106" s="402">
        <v>0</v>
      </c>
    </row>
    <row r="107" spans="1:17" x14ac:dyDescent="0.25">
      <c r="A107" s="410">
        <v>50</v>
      </c>
      <c r="B107" s="397" t="s">
        <v>150</v>
      </c>
      <c r="C107" s="398" t="s">
        <v>62</v>
      </c>
      <c r="D107" s="403"/>
      <c r="E107" s="398" t="s">
        <v>74</v>
      </c>
      <c r="F107" s="397" t="s">
        <v>370</v>
      </c>
      <c r="G107" s="397" t="s">
        <v>326</v>
      </c>
      <c r="H107" s="404">
        <v>0</v>
      </c>
      <c r="I107" s="404">
        <v>0</v>
      </c>
      <c r="J107" s="404">
        <v>0</v>
      </c>
      <c r="K107" s="405">
        <v>0</v>
      </c>
      <c r="L107" s="400">
        <v>0</v>
      </c>
      <c r="M107" s="400">
        <v>0</v>
      </c>
      <c r="N107" s="401">
        <v>0</v>
      </c>
      <c r="O107" s="406">
        <v>0</v>
      </c>
      <c r="P107" s="407">
        <v>0</v>
      </c>
      <c r="Q107" s="402">
        <v>0</v>
      </c>
    </row>
    <row r="108" spans="1:17" x14ac:dyDescent="0.25">
      <c r="A108" s="410">
        <v>51</v>
      </c>
      <c r="B108" s="397" t="s">
        <v>387</v>
      </c>
      <c r="C108" s="398" t="s">
        <v>62</v>
      </c>
      <c r="D108" s="403"/>
      <c r="E108" s="398" t="s">
        <v>157</v>
      </c>
      <c r="F108" s="397" t="s">
        <v>388</v>
      </c>
      <c r="G108" s="397" t="s">
        <v>326</v>
      </c>
      <c r="H108" s="404">
        <v>0</v>
      </c>
      <c r="I108" s="404">
        <v>0</v>
      </c>
      <c r="J108" s="404">
        <v>0</v>
      </c>
      <c r="K108" s="414">
        <v>0</v>
      </c>
      <c r="L108" s="400">
        <v>0</v>
      </c>
      <c r="M108" s="400">
        <v>0</v>
      </c>
      <c r="N108" s="401">
        <v>0</v>
      </c>
      <c r="O108" s="406">
        <v>0</v>
      </c>
      <c r="P108" s="402">
        <v>0</v>
      </c>
      <c r="Q108" s="402">
        <v>0</v>
      </c>
    </row>
    <row r="109" spans="1:17" x14ac:dyDescent="0.25">
      <c r="A109" s="410">
        <v>52</v>
      </c>
      <c r="B109" s="397" t="s">
        <v>54</v>
      </c>
      <c r="C109" s="398" t="s">
        <v>62</v>
      </c>
      <c r="D109" s="403"/>
      <c r="E109" s="398" t="s">
        <v>338</v>
      </c>
      <c r="F109" s="397" t="s">
        <v>391</v>
      </c>
      <c r="G109" s="397" t="s">
        <v>326</v>
      </c>
      <c r="H109" s="404">
        <v>0</v>
      </c>
      <c r="I109" s="404">
        <v>0</v>
      </c>
      <c r="J109" s="403">
        <v>0</v>
      </c>
      <c r="K109" s="414">
        <v>0</v>
      </c>
      <c r="L109" s="400">
        <v>0</v>
      </c>
      <c r="M109" s="400">
        <v>0</v>
      </c>
      <c r="N109" s="401">
        <v>0</v>
      </c>
      <c r="O109" s="406">
        <v>0</v>
      </c>
      <c r="P109" s="407">
        <v>0</v>
      </c>
      <c r="Q109" s="402">
        <v>0</v>
      </c>
    </row>
    <row r="110" spans="1:17" ht="39" x14ac:dyDescent="0.25">
      <c r="A110" s="411">
        <v>53</v>
      </c>
      <c r="B110" s="397" t="s">
        <v>131</v>
      </c>
      <c r="C110" s="398" t="s">
        <v>64</v>
      </c>
      <c r="D110" s="415" t="s">
        <v>392</v>
      </c>
      <c r="E110" s="398" t="s">
        <v>158</v>
      </c>
      <c r="F110" s="399" t="s">
        <v>393</v>
      </c>
      <c r="G110" s="397" t="s">
        <v>326</v>
      </c>
      <c r="H110" s="404">
        <v>0</v>
      </c>
      <c r="I110" s="404">
        <v>0</v>
      </c>
      <c r="J110" s="409">
        <v>0</v>
      </c>
      <c r="K110" s="416">
        <v>0</v>
      </c>
      <c r="L110" s="402">
        <v>0</v>
      </c>
      <c r="M110" s="400">
        <v>0</v>
      </c>
      <c r="N110" s="399">
        <v>0</v>
      </c>
      <c r="O110" s="402">
        <v>0</v>
      </c>
      <c r="P110" s="402">
        <v>0</v>
      </c>
      <c r="Q110" s="402">
        <v>0</v>
      </c>
    </row>
    <row r="111" spans="1:17" ht="25.5" x14ac:dyDescent="0.25">
      <c r="A111" s="63">
        <v>1</v>
      </c>
      <c r="B111" s="420" t="s">
        <v>21</v>
      </c>
      <c r="C111" s="420" t="s">
        <v>62</v>
      </c>
      <c r="D111" s="420"/>
      <c r="E111" s="420" t="s">
        <v>157</v>
      </c>
      <c r="F111" s="420" t="s">
        <v>523</v>
      </c>
      <c r="G111" s="420" t="s">
        <v>524</v>
      </c>
      <c r="H111" s="422">
        <v>1</v>
      </c>
      <c r="I111" s="422">
        <v>0</v>
      </c>
      <c r="J111" s="422">
        <v>0</v>
      </c>
      <c r="K111" s="423">
        <v>0</v>
      </c>
      <c r="L111" s="423">
        <v>0</v>
      </c>
      <c r="M111" s="423">
        <v>0</v>
      </c>
      <c r="N111" s="422">
        <v>2</v>
      </c>
      <c r="O111" s="423">
        <v>8045.1</v>
      </c>
      <c r="P111" s="423">
        <v>8045.1</v>
      </c>
      <c r="Q111" s="423">
        <v>0</v>
      </c>
    </row>
    <row r="112" spans="1:17" ht="25.5" x14ac:dyDescent="0.25">
      <c r="A112" s="63">
        <v>2</v>
      </c>
      <c r="B112" s="420" t="s">
        <v>147</v>
      </c>
      <c r="C112" s="420" t="s">
        <v>62</v>
      </c>
      <c r="D112" s="420"/>
      <c r="E112" s="420" t="s">
        <v>158</v>
      </c>
      <c r="F112" s="420" t="s">
        <v>525</v>
      </c>
      <c r="G112" s="420" t="s">
        <v>524</v>
      </c>
      <c r="H112" s="422">
        <v>1</v>
      </c>
      <c r="I112" s="422">
        <v>1</v>
      </c>
      <c r="J112" s="422">
        <v>1</v>
      </c>
      <c r="K112" s="423">
        <v>1762</v>
      </c>
      <c r="L112" s="423">
        <v>1762</v>
      </c>
      <c r="M112" s="423">
        <v>0</v>
      </c>
      <c r="N112" s="422">
        <v>2</v>
      </c>
      <c r="O112" s="423">
        <v>10751.3</v>
      </c>
      <c r="P112" s="423">
        <v>10751.3</v>
      </c>
      <c r="Q112" s="423">
        <v>0</v>
      </c>
    </row>
    <row r="113" spans="1:1022" ht="25.5" x14ac:dyDescent="0.25">
      <c r="A113" s="63">
        <v>3</v>
      </c>
      <c r="B113" s="419" t="s">
        <v>526</v>
      </c>
      <c r="C113" s="420" t="s">
        <v>62</v>
      </c>
      <c r="D113" s="420"/>
      <c r="E113" s="420" t="s">
        <v>527</v>
      </c>
      <c r="F113" s="420" t="s">
        <v>528</v>
      </c>
      <c r="G113" s="420" t="s">
        <v>524</v>
      </c>
      <c r="H113" s="422">
        <v>0</v>
      </c>
      <c r="I113" s="422">
        <v>0</v>
      </c>
      <c r="J113" s="422">
        <v>0</v>
      </c>
      <c r="K113" s="423">
        <v>0</v>
      </c>
      <c r="L113" s="423">
        <v>0</v>
      </c>
      <c r="M113" s="423">
        <v>0</v>
      </c>
      <c r="N113" s="422">
        <v>0</v>
      </c>
      <c r="O113" s="424">
        <v>0</v>
      </c>
      <c r="P113" s="423">
        <v>0</v>
      </c>
      <c r="Q113" s="423">
        <v>0</v>
      </c>
    </row>
    <row r="114" spans="1:1022" ht="25.5" x14ac:dyDescent="0.25">
      <c r="A114" s="63">
        <v>4</v>
      </c>
      <c r="B114" s="420" t="s">
        <v>305</v>
      </c>
      <c r="C114" s="420" t="s">
        <v>62</v>
      </c>
      <c r="D114" s="420"/>
      <c r="E114" s="420" t="s">
        <v>157</v>
      </c>
      <c r="F114" s="420" t="s">
        <v>531</v>
      </c>
      <c r="G114" s="420" t="s">
        <v>524</v>
      </c>
      <c r="H114" s="422">
        <v>4</v>
      </c>
      <c r="I114" s="422">
        <v>4</v>
      </c>
      <c r="J114" s="422">
        <v>4</v>
      </c>
      <c r="K114" s="423">
        <v>10545.1</v>
      </c>
      <c r="L114" s="423">
        <v>10545.1</v>
      </c>
      <c r="M114" s="423">
        <v>0</v>
      </c>
      <c r="N114" s="422">
        <v>0</v>
      </c>
      <c r="O114" s="423">
        <v>0</v>
      </c>
      <c r="P114" s="423">
        <v>0</v>
      </c>
      <c r="Q114" s="423">
        <v>0</v>
      </c>
    </row>
    <row r="115" spans="1:1022" ht="25.5" x14ac:dyDescent="0.25">
      <c r="A115" s="63">
        <v>5</v>
      </c>
      <c r="B115" s="420" t="s">
        <v>407</v>
      </c>
      <c r="C115" s="420" t="s">
        <v>62</v>
      </c>
      <c r="D115" s="420"/>
      <c r="E115" s="420" t="s">
        <v>157</v>
      </c>
      <c r="F115" s="420" t="s">
        <v>532</v>
      </c>
      <c r="G115" s="420" t="s">
        <v>524</v>
      </c>
      <c r="H115" s="422">
        <v>4</v>
      </c>
      <c r="I115" s="422">
        <v>1</v>
      </c>
      <c r="J115" s="422">
        <v>1</v>
      </c>
      <c r="K115" s="423">
        <v>3866.1</v>
      </c>
      <c r="L115" s="423">
        <v>3866.1</v>
      </c>
      <c r="M115" s="423">
        <v>0</v>
      </c>
      <c r="N115" s="422">
        <v>0</v>
      </c>
      <c r="O115" s="423">
        <v>0</v>
      </c>
      <c r="P115" s="423">
        <v>0</v>
      </c>
      <c r="Q115" s="423">
        <v>0</v>
      </c>
    </row>
    <row r="116" spans="1:1022" ht="25.5" x14ac:dyDescent="0.25">
      <c r="A116" s="63">
        <v>6</v>
      </c>
      <c r="B116" s="420" t="s">
        <v>185</v>
      </c>
      <c r="C116" s="420" t="s">
        <v>62</v>
      </c>
      <c r="D116" s="420"/>
      <c r="E116" s="420" t="s">
        <v>157</v>
      </c>
      <c r="F116" s="420" t="s">
        <v>533</v>
      </c>
      <c r="G116" s="420" t="s">
        <v>524</v>
      </c>
      <c r="H116" s="422">
        <v>4</v>
      </c>
      <c r="I116" s="422">
        <v>3</v>
      </c>
      <c r="J116" s="422">
        <v>3</v>
      </c>
      <c r="K116" s="423">
        <v>12249.46</v>
      </c>
      <c r="L116" s="423">
        <v>12249.46</v>
      </c>
      <c r="M116" s="423">
        <v>0</v>
      </c>
      <c r="N116" s="422">
        <v>0</v>
      </c>
      <c r="O116" s="423">
        <v>0</v>
      </c>
      <c r="P116" s="423">
        <v>0</v>
      </c>
      <c r="Q116" s="423">
        <v>0</v>
      </c>
    </row>
    <row r="117" spans="1:1022" ht="25.5" x14ac:dyDescent="0.25">
      <c r="A117" s="63">
        <v>7</v>
      </c>
      <c r="B117" s="420" t="s">
        <v>534</v>
      </c>
      <c r="C117" s="420" t="s">
        <v>62</v>
      </c>
      <c r="D117" s="420"/>
      <c r="E117" s="420" t="s">
        <v>157</v>
      </c>
      <c r="F117" s="420" t="s">
        <v>535</v>
      </c>
      <c r="G117" s="420" t="s">
        <v>524</v>
      </c>
      <c r="H117" s="422">
        <v>1</v>
      </c>
      <c r="I117" s="422">
        <v>0</v>
      </c>
      <c r="J117" s="422">
        <v>0</v>
      </c>
      <c r="K117" s="423">
        <v>0</v>
      </c>
      <c r="L117" s="423">
        <v>0</v>
      </c>
      <c r="M117" s="423">
        <v>0</v>
      </c>
      <c r="N117" s="422">
        <v>0</v>
      </c>
      <c r="O117" s="423">
        <v>0</v>
      </c>
      <c r="P117" s="423">
        <v>0</v>
      </c>
      <c r="Q117" s="423">
        <v>0</v>
      </c>
    </row>
    <row r="118" spans="1:1022" ht="25.5" x14ac:dyDescent="0.25">
      <c r="A118" s="63">
        <v>8</v>
      </c>
      <c r="B118" s="420" t="s">
        <v>104</v>
      </c>
      <c r="C118" s="420" t="s">
        <v>62</v>
      </c>
      <c r="D118" s="420"/>
      <c r="E118" s="420" t="s">
        <v>158</v>
      </c>
      <c r="F118" s="421" t="s">
        <v>536</v>
      </c>
      <c r="G118" s="420" t="s">
        <v>524</v>
      </c>
      <c r="H118" s="422">
        <v>0</v>
      </c>
      <c r="I118" s="422">
        <v>0</v>
      </c>
      <c r="J118" s="422">
        <v>0</v>
      </c>
      <c r="K118" s="423">
        <v>0</v>
      </c>
      <c r="L118" s="423">
        <v>0</v>
      </c>
      <c r="M118" s="423">
        <v>0</v>
      </c>
      <c r="N118" s="422">
        <v>1</v>
      </c>
      <c r="O118" s="423">
        <v>3187.89</v>
      </c>
      <c r="P118" s="423">
        <v>3187.89</v>
      </c>
      <c r="Q118" s="423">
        <v>0</v>
      </c>
    </row>
    <row r="119" spans="1:1022" ht="25.5" x14ac:dyDescent="0.25">
      <c r="A119" s="63">
        <v>9</v>
      </c>
      <c r="B119" s="420" t="s">
        <v>30</v>
      </c>
      <c r="C119" s="420" t="s">
        <v>62</v>
      </c>
      <c r="D119" s="420"/>
      <c r="E119" s="420" t="s">
        <v>537</v>
      </c>
      <c r="F119" s="420" t="s">
        <v>592</v>
      </c>
      <c r="G119" s="420" t="s">
        <v>524</v>
      </c>
      <c r="H119" s="422">
        <v>0</v>
      </c>
      <c r="I119" s="422">
        <v>0</v>
      </c>
      <c r="J119" s="422">
        <v>0</v>
      </c>
      <c r="K119" s="423">
        <v>0</v>
      </c>
      <c r="L119" s="423">
        <v>0</v>
      </c>
      <c r="M119" s="423">
        <v>0</v>
      </c>
      <c r="N119" s="422">
        <v>0</v>
      </c>
      <c r="O119" s="423">
        <v>0</v>
      </c>
      <c r="P119" s="423">
        <v>0</v>
      </c>
      <c r="Q119" s="423">
        <v>0</v>
      </c>
    </row>
    <row r="120" spans="1:1022" ht="25.5" x14ac:dyDescent="0.25">
      <c r="A120" s="63">
        <v>10</v>
      </c>
      <c r="B120" s="420" t="s">
        <v>621</v>
      </c>
      <c r="C120" s="420" t="s">
        <v>62</v>
      </c>
      <c r="D120" s="420"/>
      <c r="E120" s="420" t="s">
        <v>158</v>
      </c>
      <c r="F120" s="420" t="s">
        <v>645</v>
      </c>
      <c r="G120" s="420" t="s">
        <v>524</v>
      </c>
      <c r="H120" s="422">
        <v>0</v>
      </c>
      <c r="I120" s="422">
        <v>0</v>
      </c>
      <c r="J120" s="422">
        <v>0</v>
      </c>
      <c r="K120" s="423">
        <v>0</v>
      </c>
      <c r="L120" s="423">
        <v>0</v>
      </c>
      <c r="M120" s="423">
        <v>0</v>
      </c>
      <c r="N120" s="422">
        <v>0</v>
      </c>
      <c r="O120" s="423">
        <v>0</v>
      </c>
      <c r="P120" s="423">
        <v>0</v>
      </c>
      <c r="Q120" s="423">
        <v>0</v>
      </c>
    </row>
    <row r="121" spans="1:1022" x14ac:dyDescent="0.25">
      <c r="A121" s="426">
        <v>1</v>
      </c>
      <c r="B121" s="427" t="s">
        <v>47</v>
      </c>
      <c r="C121" s="427" t="s">
        <v>62</v>
      </c>
      <c r="D121" s="426"/>
      <c r="E121" s="428" t="s">
        <v>141</v>
      </c>
      <c r="F121" s="417" t="s">
        <v>448</v>
      </c>
      <c r="G121" s="428" t="s">
        <v>142</v>
      </c>
      <c r="H121" s="430">
        <v>7</v>
      </c>
      <c r="I121" s="430">
        <v>1</v>
      </c>
      <c r="J121" s="430">
        <v>1</v>
      </c>
      <c r="K121" s="431">
        <v>1233.4000000000001</v>
      </c>
      <c r="L121" s="431">
        <v>1233.4000000000001</v>
      </c>
      <c r="M121" s="431">
        <v>0</v>
      </c>
      <c r="N121" s="430">
        <v>22</v>
      </c>
      <c r="O121" s="431">
        <v>37867.42</v>
      </c>
      <c r="P121" s="431">
        <v>37867.42</v>
      </c>
      <c r="Q121" s="431">
        <v>0</v>
      </c>
      <c r="R121" s="425"/>
      <c r="S121" s="425"/>
      <c r="T121" s="425"/>
      <c r="U121" s="425"/>
      <c r="V121" s="425"/>
      <c r="W121" s="425"/>
      <c r="X121" s="425"/>
      <c r="Y121" s="425"/>
      <c r="Z121" s="425"/>
      <c r="AA121" s="425"/>
      <c r="AB121" s="425"/>
      <c r="AC121" s="425"/>
      <c r="AD121" s="425"/>
      <c r="AE121" s="425"/>
      <c r="AF121" s="425"/>
      <c r="AG121" s="425"/>
      <c r="AH121" s="425"/>
      <c r="AI121" s="425"/>
      <c r="AJ121" s="425"/>
      <c r="AK121" s="425"/>
      <c r="AL121" s="425"/>
      <c r="AM121" s="425"/>
      <c r="AN121" s="425"/>
      <c r="AO121" s="425"/>
      <c r="AP121" s="425"/>
      <c r="AQ121" s="425"/>
      <c r="AR121" s="425"/>
      <c r="AS121" s="425"/>
      <c r="AT121" s="425"/>
      <c r="AU121" s="425"/>
      <c r="AV121" s="425"/>
      <c r="AW121" s="425"/>
      <c r="AX121" s="425"/>
      <c r="AY121" s="425"/>
      <c r="AZ121" s="425"/>
      <c r="BA121" s="425"/>
      <c r="BB121" s="425"/>
      <c r="BC121" s="425"/>
      <c r="BD121" s="425"/>
      <c r="BE121" s="425"/>
      <c r="BF121" s="425"/>
      <c r="BG121" s="425"/>
      <c r="BH121" s="425"/>
      <c r="BI121" s="425"/>
      <c r="BJ121" s="425"/>
      <c r="BK121" s="425"/>
      <c r="BL121" s="425"/>
      <c r="BM121" s="425"/>
      <c r="BN121" s="425"/>
      <c r="BO121" s="425"/>
      <c r="BP121" s="425"/>
      <c r="BQ121" s="425"/>
      <c r="BR121" s="425"/>
      <c r="BS121" s="425"/>
      <c r="BT121" s="425"/>
      <c r="BU121" s="425"/>
      <c r="BV121" s="425"/>
      <c r="BW121" s="425"/>
      <c r="BX121" s="425"/>
      <c r="BY121" s="425"/>
      <c r="BZ121" s="425"/>
      <c r="CA121" s="425"/>
      <c r="CB121" s="425"/>
      <c r="CC121" s="425"/>
      <c r="CD121" s="425"/>
      <c r="CE121" s="425"/>
      <c r="CF121" s="425"/>
      <c r="CG121" s="425"/>
      <c r="CH121" s="425"/>
      <c r="CI121" s="425"/>
      <c r="CJ121" s="425"/>
      <c r="CK121" s="425"/>
      <c r="CL121" s="425"/>
      <c r="CM121" s="425"/>
      <c r="CN121" s="425"/>
      <c r="CO121" s="425"/>
      <c r="CP121" s="425"/>
      <c r="CQ121" s="425"/>
      <c r="CR121" s="425"/>
      <c r="CS121" s="425"/>
      <c r="CT121" s="425"/>
      <c r="CU121" s="425"/>
      <c r="CV121" s="425"/>
      <c r="CW121" s="425"/>
      <c r="CX121" s="425"/>
      <c r="CY121" s="425"/>
      <c r="CZ121" s="425"/>
      <c r="DA121" s="425"/>
      <c r="DB121" s="425"/>
      <c r="DC121" s="425"/>
      <c r="DD121" s="425"/>
      <c r="DE121" s="425"/>
      <c r="DF121" s="425"/>
      <c r="DG121" s="425"/>
      <c r="DH121" s="425"/>
      <c r="DI121" s="425"/>
      <c r="DJ121" s="425"/>
      <c r="DK121" s="425"/>
      <c r="DL121" s="425"/>
      <c r="DM121" s="425"/>
      <c r="DN121" s="425"/>
      <c r="DO121" s="425"/>
      <c r="DP121" s="425"/>
      <c r="DQ121" s="425"/>
      <c r="DR121" s="425"/>
      <c r="DS121" s="425"/>
      <c r="DT121" s="425"/>
      <c r="DU121" s="425"/>
      <c r="DV121" s="425"/>
      <c r="DW121" s="425"/>
      <c r="DX121" s="425"/>
      <c r="DY121" s="425"/>
      <c r="DZ121" s="425"/>
      <c r="EA121" s="425"/>
      <c r="EB121" s="425"/>
      <c r="EC121" s="425"/>
      <c r="ED121" s="425"/>
      <c r="EE121" s="425"/>
      <c r="EF121" s="425"/>
      <c r="EG121" s="425"/>
      <c r="EH121" s="425"/>
      <c r="EI121" s="425"/>
      <c r="EJ121" s="425"/>
      <c r="EK121" s="425"/>
      <c r="EL121" s="425"/>
      <c r="EM121" s="425"/>
      <c r="EN121" s="425"/>
      <c r="EO121" s="425"/>
      <c r="EP121" s="425"/>
      <c r="EQ121" s="425"/>
      <c r="ER121" s="425"/>
      <c r="ES121" s="425"/>
      <c r="ET121" s="425"/>
      <c r="EU121" s="425"/>
      <c r="EV121" s="425"/>
      <c r="EW121" s="425"/>
      <c r="EX121" s="425"/>
      <c r="EY121" s="425"/>
      <c r="EZ121" s="425"/>
      <c r="FA121" s="425"/>
      <c r="FB121" s="425"/>
      <c r="FC121" s="425"/>
      <c r="FD121" s="425"/>
      <c r="FE121" s="425"/>
      <c r="FF121" s="425"/>
      <c r="FG121" s="425"/>
      <c r="FH121" s="425"/>
      <c r="FI121" s="425"/>
      <c r="FJ121" s="425"/>
      <c r="FK121" s="425"/>
      <c r="FL121" s="425"/>
      <c r="FM121" s="425"/>
      <c r="FN121" s="425"/>
      <c r="FO121" s="425"/>
      <c r="FP121" s="425"/>
      <c r="FQ121" s="425"/>
      <c r="FR121" s="425"/>
      <c r="FS121" s="425"/>
      <c r="FT121" s="425"/>
      <c r="FU121" s="425"/>
      <c r="FV121" s="425"/>
      <c r="FW121" s="425"/>
      <c r="FX121" s="425"/>
      <c r="FY121" s="425"/>
      <c r="FZ121" s="425"/>
      <c r="GA121" s="425"/>
      <c r="GB121" s="425"/>
      <c r="GC121" s="425"/>
      <c r="GD121" s="425"/>
      <c r="GE121" s="425"/>
      <c r="GF121" s="425"/>
      <c r="GG121" s="425"/>
      <c r="GH121" s="425"/>
      <c r="GI121" s="425"/>
      <c r="GJ121" s="425"/>
      <c r="GK121" s="425"/>
      <c r="GL121" s="425"/>
      <c r="GM121" s="425"/>
      <c r="GN121" s="425"/>
      <c r="GO121" s="425"/>
      <c r="GP121" s="425"/>
      <c r="GQ121" s="425"/>
      <c r="GR121" s="425"/>
      <c r="GS121" s="425"/>
      <c r="GT121" s="425"/>
      <c r="GU121" s="425"/>
      <c r="GV121" s="425"/>
      <c r="GW121" s="425"/>
      <c r="GX121" s="425"/>
      <c r="GY121" s="425"/>
      <c r="GZ121" s="425"/>
      <c r="HA121" s="425"/>
      <c r="HB121" s="425"/>
      <c r="HC121" s="425"/>
      <c r="HD121" s="425"/>
      <c r="HE121" s="425"/>
      <c r="HF121" s="425"/>
      <c r="HG121" s="425"/>
      <c r="HH121" s="425"/>
      <c r="HI121" s="425"/>
      <c r="HJ121" s="425"/>
      <c r="HK121" s="425"/>
      <c r="HL121" s="425"/>
      <c r="HM121" s="425"/>
      <c r="HN121" s="425"/>
      <c r="HO121" s="425"/>
      <c r="HP121" s="425"/>
      <c r="HQ121" s="425"/>
      <c r="HR121" s="425"/>
      <c r="HS121" s="425"/>
      <c r="HT121" s="425"/>
      <c r="HU121" s="425"/>
      <c r="HV121" s="425"/>
      <c r="HW121" s="425"/>
      <c r="HX121" s="425"/>
      <c r="HY121" s="425"/>
      <c r="HZ121" s="425"/>
      <c r="IA121" s="425"/>
      <c r="IB121" s="425"/>
      <c r="IC121" s="425"/>
      <c r="ID121" s="425"/>
      <c r="IE121" s="425"/>
      <c r="IF121" s="425"/>
      <c r="IG121" s="425"/>
      <c r="IH121" s="425"/>
      <c r="II121" s="425"/>
      <c r="IJ121" s="425"/>
      <c r="IK121" s="425"/>
      <c r="IL121" s="425"/>
      <c r="IM121" s="425"/>
      <c r="IN121" s="425"/>
      <c r="IO121" s="425"/>
      <c r="IP121" s="425"/>
      <c r="IQ121" s="425"/>
      <c r="IR121" s="425"/>
      <c r="IS121" s="425"/>
      <c r="IT121" s="425"/>
      <c r="IU121" s="425"/>
      <c r="IV121" s="425"/>
      <c r="IW121" s="425"/>
      <c r="IX121" s="425"/>
      <c r="IY121" s="425"/>
      <c r="IZ121" s="425"/>
      <c r="JA121" s="425"/>
      <c r="JB121" s="425"/>
      <c r="JC121" s="425"/>
      <c r="JD121" s="425"/>
      <c r="JE121" s="425"/>
      <c r="JF121" s="425"/>
      <c r="JG121" s="425"/>
      <c r="JH121" s="425"/>
      <c r="JI121" s="425"/>
      <c r="JJ121" s="425"/>
      <c r="JK121" s="425"/>
      <c r="JL121" s="425"/>
      <c r="JM121" s="425"/>
      <c r="JN121" s="425"/>
      <c r="JO121" s="425"/>
      <c r="JP121" s="425"/>
      <c r="JQ121" s="425"/>
      <c r="JR121" s="425"/>
      <c r="JS121" s="425"/>
      <c r="JT121" s="425"/>
      <c r="JU121" s="425"/>
      <c r="JV121" s="425"/>
      <c r="JW121" s="425"/>
      <c r="JX121" s="425"/>
      <c r="JY121" s="425"/>
      <c r="JZ121" s="425"/>
      <c r="KA121" s="425"/>
      <c r="KB121" s="425"/>
      <c r="KC121" s="425"/>
      <c r="KD121" s="425"/>
      <c r="KE121" s="425"/>
      <c r="KF121" s="425"/>
      <c r="KG121" s="425"/>
      <c r="KH121" s="425"/>
      <c r="KI121" s="425"/>
      <c r="KJ121" s="425"/>
      <c r="KK121" s="425"/>
      <c r="KL121" s="425"/>
      <c r="KM121" s="425"/>
      <c r="KN121" s="425"/>
      <c r="KO121" s="425"/>
      <c r="KP121" s="425"/>
      <c r="KQ121" s="425"/>
      <c r="KR121" s="425"/>
      <c r="KS121" s="425"/>
      <c r="KT121" s="425"/>
      <c r="KU121" s="425"/>
      <c r="KV121" s="425"/>
      <c r="KW121" s="425"/>
      <c r="KX121" s="425"/>
      <c r="KY121" s="425"/>
      <c r="KZ121" s="425"/>
      <c r="LA121" s="425"/>
      <c r="LB121" s="425"/>
      <c r="LC121" s="425"/>
      <c r="LD121" s="425"/>
      <c r="LE121" s="425"/>
      <c r="LF121" s="425"/>
      <c r="LG121" s="425"/>
      <c r="LH121" s="425"/>
      <c r="LI121" s="425"/>
      <c r="LJ121" s="425"/>
      <c r="LK121" s="425"/>
      <c r="LL121" s="425"/>
      <c r="LM121" s="425"/>
      <c r="LN121" s="425"/>
      <c r="LO121" s="425"/>
      <c r="LP121" s="425"/>
      <c r="LQ121" s="425"/>
      <c r="LR121" s="425"/>
      <c r="LS121" s="425"/>
      <c r="LT121" s="425"/>
      <c r="LU121" s="425"/>
      <c r="LV121" s="425"/>
      <c r="LW121" s="425"/>
      <c r="LX121" s="425"/>
      <c r="LY121" s="425"/>
      <c r="LZ121" s="425"/>
      <c r="MA121" s="425"/>
      <c r="MB121" s="425"/>
      <c r="MC121" s="425"/>
      <c r="MD121" s="425"/>
      <c r="ME121" s="425"/>
      <c r="MF121" s="425"/>
      <c r="MG121" s="425"/>
      <c r="MH121" s="425"/>
      <c r="MI121" s="425"/>
      <c r="MJ121" s="425"/>
      <c r="MK121" s="425"/>
      <c r="ML121" s="425"/>
      <c r="MM121" s="425"/>
      <c r="MN121" s="425"/>
      <c r="MO121" s="425"/>
      <c r="MP121" s="425"/>
      <c r="MQ121" s="425"/>
      <c r="MR121" s="425"/>
      <c r="MS121" s="425"/>
      <c r="MT121" s="425"/>
      <c r="MU121" s="425"/>
      <c r="MV121" s="425"/>
      <c r="MW121" s="425"/>
      <c r="MX121" s="425"/>
      <c r="MY121" s="425"/>
      <c r="MZ121" s="425"/>
      <c r="NA121" s="425"/>
      <c r="NB121" s="425"/>
      <c r="NC121" s="425"/>
      <c r="ND121" s="425"/>
      <c r="NE121" s="425"/>
      <c r="NF121" s="425"/>
      <c r="NG121" s="425"/>
      <c r="NH121" s="425"/>
      <c r="NI121" s="425"/>
      <c r="NJ121" s="425"/>
      <c r="NK121" s="425"/>
      <c r="NL121" s="425"/>
      <c r="NM121" s="425"/>
      <c r="NN121" s="425"/>
      <c r="NO121" s="425"/>
      <c r="NP121" s="425"/>
      <c r="NQ121" s="425"/>
      <c r="NR121" s="425"/>
      <c r="NS121" s="425"/>
      <c r="NT121" s="425"/>
      <c r="NU121" s="425"/>
      <c r="NV121" s="425"/>
      <c r="NW121" s="425"/>
      <c r="NX121" s="425"/>
      <c r="NY121" s="425"/>
      <c r="NZ121" s="425"/>
      <c r="OA121" s="425"/>
      <c r="OB121" s="425"/>
      <c r="OC121" s="425"/>
      <c r="OD121" s="425"/>
      <c r="OE121" s="425"/>
      <c r="OF121" s="425"/>
      <c r="OG121" s="425"/>
      <c r="OH121" s="425"/>
      <c r="OI121" s="425"/>
      <c r="OJ121" s="425"/>
      <c r="OK121" s="425"/>
      <c r="OL121" s="425"/>
      <c r="OM121" s="425"/>
      <c r="ON121" s="425"/>
      <c r="OO121" s="425"/>
      <c r="OP121" s="425"/>
      <c r="OQ121" s="425"/>
      <c r="OR121" s="425"/>
      <c r="OS121" s="425"/>
      <c r="OT121" s="425"/>
      <c r="OU121" s="425"/>
      <c r="OV121" s="425"/>
      <c r="OW121" s="425"/>
      <c r="OX121" s="425"/>
      <c r="OY121" s="425"/>
      <c r="OZ121" s="425"/>
      <c r="PA121" s="425"/>
      <c r="PB121" s="425"/>
      <c r="PC121" s="425"/>
      <c r="PD121" s="425"/>
      <c r="PE121" s="425"/>
      <c r="PF121" s="425"/>
      <c r="PG121" s="425"/>
      <c r="PH121" s="425"/>
      <c r="PI121" s="425"/>
      <c r="PJ121" s="425"/>
      <c r="PK121" s="425"/>
      <c r="PL121" s="425"/>
      <c r="PM121" s="425"/>
      <c r="PN121" s="425"/>
      <c r="PO121" s="425"/>
      <c r="PP121" s="425"/>
      <c r="PQ121" s="425"/>
      <c r="PR121" s="425"/>
      <c r="PS121" s="425"/>
      <c r="PT121" s="425"/>
      <c r="PU121" s="425"/>
      <c r="PV121" s="425"/>
      <c r="PW121" s="425"/>
      <c r="PX121" s="425"/>
      <c r="PY121" s="425"/>
      <c r="PZ121" s="425"/>
      <c r="QA121" s="425"/>
      <c r="QB121" s="425"/>
      <c r="QC121" s="425"/>
      <c r="QD121" s="425"/>
      <c r="QE121" s="425"/>
      <c r="QF121" s="425"/>
      <c r="QG121" s="425"/>
      <c r="QH121" s="425"/>
      <c r="QI121" s="425"/>
      <c r="QJ121" s="425"/>
      <c r="QK121" s="425"/>
      <c r="QL121" s="425"/>
      <c r="QM121" s="425"/>
      <c r="QN121" s="425"/>
      <c r="QO121" s="425"/>
      <c r="QP121" s="425"/>
      <c r="QQ121" s="425"/>
      <c r="QR121" s="425"/>
      <c r="QS121" s="425"/>
      <c r="QT121" s="425"/>
      <c r="QU121" s="425"/>
      <c r="QV121" s="425"/>
      <c r="QW121" s="425"/>
      <c r="QX121" s="425"/>
      <c r="QY121" s="425"/>
      <c r="QZ121" s="425"/>
      <c r="RA121" s="425"/>
      <c r="RB121" s="425"/>
      <c r="RC121" s="425"/>
      <c r="RD121" s="425"/>
      <c r="RE121" s="425"/>
      <c r="RF121" s="425"/>
      <c r="RG121" s="425"/>
      <c r="RH121" s="425"/>
      <c r="RI121" s="425"/>
      <c r="RJ121" s="425"/>
      <c r="RK121" s="425"/>
      <c r="RL121" s="425"/>
      <c r="RM121" s="425"/>
      <c r="RN121" s="425"/>
      <c r="RO121" s="425"/>
      <c r="RP121" s="425"/>
      <c r="RQ121" s="425"/>
      <c r="RR121" s="425"/>
      <c r="RS121" s="425"/>
      <c r="RT121" s="425"/>
      <c r="RU121" s="425"/>
      <c r="RV121" s="425"/>
      <c r="RW121" s="425"/>
      <c r="RX121" s="425"/>
      <c r="RY121" s="425"/>
      <c r="RZ121" s="425"/>
      <c r="SA121" s="425"/>
      <c r="SB121" s="425"/>
      <c r="SC121" s="425"/>
      <c r="SD121" s="425"/>
      <c r="SE121" s="425"/>
      <c r="SF121" s="425"/>
      <c r="SG121" s="425"/>
      <c r="SH121" s="425"/>
      <c r="SI121" s="425"/>
      <c r="SJ121" s="425"/>
      <c r="SK121" s="425"/>
      <c r="SL121" s="425"/>
      <c r="SM121" s="425"/>
      <c r="SN121" s="425"/>
      <c r="SO121" s="425"/>
      <c r="SP121" s="425"/>
      <c r="SQ121" s="425"/>
      <c r="SR121" s="425"/>
      <c r="SS121" s="425"/>
      <c r="ST121" s="425"/>
      <c r="SU121" s="425"/>
      <c r="SV121" s="425"/>
      <c r="SW121" s="425"/>
      <c r="SX121" s="425"/>
      <c r="SY121" s="425"/>
      <c r="SZ121" s="425"/>
      <c r="TA121" s="425"/>
      <c r="TB121" s="425"/>
      <c r="TC121" s="425"/>
      <c r="TD121" s="425"/>
      <c r="TE121" s="425"/>
      <c r="TF121" s="425"/>
      <c r="TG121" s="425"/>
      <c r="TH121" s="425"/>
      <c r="TI121" s="425"/>
      <c r="TJ121" s="425"/>
      <c r="TK121" s="425"/>
      <c r="TL121" s="425"/>
      <c r="TM121" s="425"/>
      <c r="TN121" s="425"/>
      <c r="TO121" s="425"/>
      <c r="TP121" s="425"/>
      <c r="TQ121" s="425"/>
      <c r="TR121" s="425"/>
      <c r="TS121" s="425"/>
      <c r="TT121" s="425"/>
      <c r="TU121" s="425"/>
      <c r="TV121" s="425"/>
      <c r="TW121" s="425"/>
      <c r="TX121" s="425"/>
      <c r="TY121" s="425"/>
      <c r="TZ121" s="425"/>
      <c r="UA121" s="425"/>
      <c r="UB121" s="425"/>
      <c r="UC121" s="425"/>
      <c r="UD121" s="425"/>
      <c r="UE121" s="425"/>
      <c r="UF121" s="425"/>
      <c r="UG121" s="425"/>
      <c r="UH121" s="425"/>
      <c r="UI121" s="425"/>
      <c r="UJ121" s="425"/>
      <c r="UK121" s="425"/>
      <c r="UL121" s="425"/>
      <c r="UM121" s="425"/>
      <c r="UN121" s="425"/>
      <c r="UO121" s="425"/>
      <c r="UP121" s="425"/>
      <c r="UQ121" s="425"/>
      <c r="UR121" s="425"/>
      <c r="US121" s="425"/>
      <c r="UT121" s="425"/>
      <c r="UU121" s="425"/>
      <c r="UV121" s="425"/>
      <c r="UW121" s="425"/>
      <c r="UX121" s="425"/>
      <c r="UY121" s="425"/>
      <c r="UZ121" s="425"/>
      <c r="VA121" s="425"/>
      <c r="VB121" s="425"/>
      <c r="VC121" s="425"/>
      <c r="VD121" s="425"/>
      <c r="VE121" s="425"/>
      <c r="VF121" s="425"/>
      <c r="VG121" s="425"/>
      <c r="VH121" s="425"/>
      <c r="VI121" s="425"/>
      <c r="VJ121" s="425"/>
      <c r="VK121" s="425"/>
      <c r="VL121" s="425"/>
      <c r="VM121" s="425"/>
      <c r="VN121" s="425"/>
      <c r="VO121" s="425"/>
      <c r="VP121" s="425"/>
      <c r="VQ121" s="425"/>
      <c r="VR121" s="425"/>
      <c r="VS121" s="425"/>
      <c r="VT121" s="425"/>
      <c r="VU121" s="425"/>
      <c r="VV121" s="425"/>
      <c r="VW121" s="425"/>
      <c r="VX121" s="425"/>
      <c r="VY121" s="425"/>
      <c r="VZ121" s="425"/>
      <c r="WA121" s="425"/>
      <c r="WB121" s="425"/>
      <c r="WC121" s="425"/>
      <c r="WD121" s="425"/>
      <c r="WE121" s="425"/>
      <c r="WF121" s="425"/>
      <c r="WG121" s="425"/>
      <c r="WH121" s="425"/>
      <c r="WI121" s="425"/>
      <c r="WJ121" s="425"/>
      <c r="WK121" s="425"/>
      <c r="WL121" s="425"/>
      <c r="WM121" s="425"/>
      <c r="WN121" s="425"/>
      <c r="WO121" s="425"/>
      <c r="WP121" s="425"/>
      <c r="WQ121" s="425"/>
      <c r="WR121" s="425"/>
      <c r="WS121" s="425"/>
      <c r="WT121" s="425"/>
      <c r="WU121" s="425"/>
      <c r="WV121" s="425"/>
      <c r="WW121" s="425"/>
      <c r="WX121" s="425"/>
      <c r="WY121" s="425"/>
      <c r="WZ121" s="425"/>
      <c r="XA121" s="425"/>
      <c r="XB121" s="425"/>
      <c r="XC121" s="425"/>
      <c r="XD121" s="425"/>
      <c r="XE121" s="425"/>
      <c r="XF121" s="425"/>
      <c r="XG121" s="425"/>
      <c r="XH121" s="425"/>
      <c r="XI121" s="425"/>
      <c r="XJ121" s="425"/>
      <c r="XK121" s="425"/>
      <c r="XL121" s="425"/>
      <c r="XM121" s="425"/>
      <c r="XN121" s="425"/>
      <c r="XO121" s="425"/>
      <c r="XP121" s="425"/>
      <c r="XQ121" s="425"/>
      <c r="XR121" s="425"/>
      <c r="XS121" s="425"/>
      <c r="XT121" s="425"/>
      <c r="XU121" s="425"/>
      <c r="XV121" s="425"/>
      <c r="XW121" s="425"/>
      <c r="XX121" s="425"/>
      <c r="XY121" s="425"/>
      <c r="XZ121" s="425"/>
      <c r="YA121" s="425"/>
      <c r="YB121" s="425"/>
      <c r="YC121" s="425"/>
      <c r="YD121" s="425"/>
      <c r="YE121" s="425"/>
      <c r="YF121" s="425"/>
      <c r="YG121" s="425"/>
      <c r="YH121" s="425"/>
      <c r="YI121" s="425"/>
      <c r="YJ121" s="425"/>
      <c r="YK121" s="425"/>
      <c r="YL121" s="425"/>
      <c r="YM121" s="425"/>
      <c r="YN121" s="425"/>
      <c r="YO121" s="425"/>
      <c r="YP121" s="425"/>
      <c r="YQ121" s="425"/>
      <c r="YR121" s="425"/>
      <c r="YS121" s="425"/>
      <c r="YT121" s="425"/>
      <c r="YU121" s="425"/>
      <c r="YV121" s="425"/>
      <c r="YW121" s="425"/>
      <c r="YX121" s="425"/>
      <c r="YY121" s="425"/>
      <c r="YZ121" s="425"/>
      <c r="ZA121" s="425"/>
      <c r="ZB121" s="425"/>
      <c r="ZC121" s="425"/>
      <c r="ZD121" s="425"/>
      <c r="ZE121" s="425"/>
      <c r="ZF121" s="425"/>
      <c r="ZG121" s="425"/>
      <c r="ZH121" s="425"/>
      <c r="ZI121" s="425"/>
      <c r="ZJ121" s="425"/>
      <c r="ZK121" s="425"/>
      <c r="ZL121" s="425"/>
      <c r="ZM121" s="425"/>
      <c r="ZN121" s="425"/>
      <c r="ZO121" s="425"/>
      <c r="ZP121" s="425"/>
      <c r="ZQ121" s="425"/>
      <c r="ZR121" s="425"/>
      <c r="ZS121" s="425"/>
      <c r="ZT121" s="425"/>
      <c r="ZU121" s="425"/>
      <c r="ZV121" s="425"/>
      <c r="ZW121" s="425"/>
      <c r="ZX121" s="425"/>
      <c r="ZY121" s="425"/>
      <c r="ZZ121" s="425"/>
      <c r="AAA121" s="425"/>
      <c r="AAB121" s="425"/>
      <c r="AAC121" s="425"/>
      <c r="AAD121" s="425"/>
      <c r="AAE121" s="425"/>
      <c r="AAF121" s="425"/>
      <c r="AAG121" s="425"/>
      <c r="AAH121" s="425"/>
      <c r="AAI121" s="425"/>
      <c r="AAJ121" s="425"/>
      <c r="AAK121" s="425"/>
      <c r="AAL121" s="425"/>
      <c r="AAM121" s="425"/>
      <c r="AAN121" s="425"/>
      <c r="AAO121" s="425"/>
      <c r="AAP121" s="425"/>
      <c r="AAQ121" s="425"/>
      <c r="AAR121" s="425"/>
      <c r="AAS121" s="425"/>
      <c r="AAT121" s="425"/>
      <c r="AAU121" s="425"/>
      <c r="AAV121" s="425"/>
      <c r="AAW121" s="425"/>
      <c r="AAX121" s="425"/>
      <c r="AAY121" s="425"/>
      <c r="AAZ121" s="425"/>
      <c r="ABA121" s="425"/>
      <c r="ABB121" s="425"/>
      <c r="ABC121" s="425"/>
      <c r="ABD121" s="425"/>
      <c r="ABE121" s="425"/>
      <c r="ABF121" s="425"/>
      <c r="ABG121" s="425"/>
      <c r="ABH121" s="425"/>
      <c r="ABI121" s="425"/>
      <c r="ABJ121" s="425"/>
      <c r="ABK121" s="425"/>
      <c r="ABL121" s="425"/>
      <c r="ABM121" s="425"/>
      <c r="ABN121" s="425"/>
      <c r="ABO121" s="425"/>
      <c r="ABP121" s="425"/>
      <c r="ABQ121" s="425"/>
      <c r="ABR121" s="425"/>
      <c r="ABS121" s="425"/>
      <c r="ABT121" s="425"/>
      <c r="ABU121" s="425"/>
      <c r="ABV121" s="425"/>
      <c r="ABW121" s="425"/>
      <c r="ABX121" s="425"/>
      <c r="ABY121" s="425"/>
      <c r="ABZ121" s="425"/>
      <c r="ACA121" s="425"/>
      <c r="ACB121" s="425"/>
      <c r="ACC121" s="425"/>
      <c r="ACD121" s="425"/>
      <c r="ACE121" s="425"/>
      <c r="ACF121" s="425"/>
      <c r="ACG121" s="425"/>
      <c r="ACH121" s="425"/>
      <c r="ACI121" s="425"/>
      <c r="ACJ121" s="425"/>
      <c r="ACK121" s="425"/>
      <c r="ACL121" s="425"/>
      <c r="ACM121" s="425"/>
      <c r="ACN121" s="425"/>
      <c r="ACO121" s="425"/>
      <c r="ACP121" s="425"/>
      <c r="ACQ121" s="425"/>
      <c r="ACR121" s="425"/>
      <c r="ACS121" s="425"/>
      <c r="ACT121" s="425"/>
      <c r="ACU121" s="425"/>
      <c r="ACV121" s="425"/>
      <c r="ACW121" s="425"/>
      <c r="ACX121" s="425"/>
      <c r="ACY121" s="425"/>
      <c r="ACZ121" s="425"/>
      <c r="ADA121" s="425"/>
      <c r="ADB121" s="425"/>
      <c r="ADC121" s="425"/>
      <c r="ADD121" s="425"/>
      <c r="ADE121" s="425"/>
      <c r="ADF121" s="425"/>
      <c r="ADG121" s="425"/>
      <c r="ADH121" s="425"/>
      <c r="ADI121" s="425"/>
      <c r="ADJ121" s="425"/>
      <c r="ADK121" s="425"/>
      <c r="ADL121" s="425"/>
      <c r="ADM121" s="425"/>
      <c r="ADN121" s="425"/>
      <c r="ADO121" s="425"/>
      <c r="ADP121" s="425"/>
      <c r="ADQ121" s="425"/>
      <c r="ADR121" s="425"/>
      <c r="ADS121" s="425"/>
      <c r="ADT121" s="425"/>
      <c r="ADU121" s="425"/>
      <c r="ADV121" s="425"/>
      <c r="ADW121" s="425"/>
      <c r="ADX121" s="425"/>
      <c r="ADY121" s="425"/>
      <c r="ADZ121" s="425"/>
      <c r="AEA121" s="425"/>
      <c r="AEB121" s="425"/>
      <c r="AEC121" s="425"/>
      <c r="AED121" s="425"/>
      <c r="AEE121" s="425"/>
      <c r="AEF121" s="425"/>
      <c r="AEG121" s="425"/>
      <c r="AEH121" s="425"/>
      <c r="AEI121" s="425"/>
      <c r="AEJ121" s="425"/>
      <c r="AEK121" s="425"/>
      <c r="AEL121" s="425"/>
      <c r="AEM121" s="425"/>
      <c r="AEN121" s="425"/>
      <c r="AEO121" s="425"/>
      <c r="AEP121" s="425"/>
      <c r="AEQ121" s="425"/>
      <c r="AER121" s="425"/>
      <c r="AES121" s="425"/>
      <c r="AET121" s="425"/>
      <c r="AEU121" s="425"/>
      <c r="AEV121" s="425"/>
      <c r="AEW121" s="425"/>
      <c r="AEX121" s="425"/>
      <c r="AEY121" s="425"/>
      <c r="AEZ121" s="425"/>
      <c r="AFA121" s="425"/>
      <c r="AFB121" s="425"/>
      <c r="AFC121" s="425"/>
      <c r="AFD121" s="425"/>
      <c r="AFE121" s="425"/>
      <c r="AFF121" s="425"/>
      <c r="AFG121" s="425"/>
      <c r="AFH121" s="425"/>
      <c r="AFI121" s="425"/>
      <c r="AFJ121" s="425"/>
      <c r="AFK121" s="425"/>
      <c r="AFL121" s="425"/>
      <c r="AFM121" s="425"/>
      <c r="AFN121" s="425"/>
      <c r="AFO121" s="425"/>
      <c r="AFP121" s="425"/>
      <c r="AFQ121" s="425"/>
      <c r="AFR121" s="425"/>
      <c r="AFS121" s="425"/>
      <c r="AFT121" s="425"/>
      <c r="AFU121" s="425"/>
      <c r="AFV121" s="425"/>
      <c r="AFW121" s="425"/>
      <c r="AFX121" s="425"/>
      <c r="AFY121" s="425"/>
      <c r="AFZ121" s="425"/>
      <c r="AGA121" s="425"/>
      <c r="AGB121" s="425"/>
      <c r="AGC121" s="425"/>
      <c r="AGD121" s="425"/>
      <c r="AGE121" s="425"/>
      <c r="AGF121" s="425"/>
      <c r="AGG121" s="425"/>
      <c r="AGH121" s="425"/>
      <c r="AGI121" s="425"/>
      <c r="AGJ121" s="425"/>
      <c r="AGK121" s="425"/>
      <c r="AGL121" s="425"/>
      <c r="AGM121" s="425"/>
      <c r="AGN121" s="425"/>
      <c r="AGO121" s="425"/>
      <c r="AGP121" s="425"/>
      <c r="AGQ121" s="425"/>
      <c r="AGR121" s="425"/>
      <c r="AGS121" s="425"/>
      <c r="AGT121" s="425"/>
      <c r="AGU121" s="425"/>
      <c r="AGV121" s="425"/>
      <c r="AGW121" s="425"/>
      <c r="AGX121" s="425"/>
      <c r="AGY121" s="425"/>
      <c r="AGZ121" s="425"/>
      <c r="AHA121" s="425"/>
      <c r="AHB121" s="425"/>
      <c r="AHC121" s="425"/>
      <c r="AHD121" s="425"/>
      <c r="AHE121" s="425"/>
      <c r="AHF121" s="425"/>
      <c r="AHG121" s="425"/>
      <c r="AHH121" s="425"/>
      <c r="AHI121" s="425"/>
      <c r="AHJ121" s="425"/>
      <c r="AHK121" s="425"/>
      <c r="AHL121" s="425"/>
      <c r="AHM121" s="425"/>
      <c r="AHN121" s="425"/>
      <c r="AHO121" s="425"/>
      <c r="AHP121" s="425"/>
      <c r="AHQ121" s="425"/>
      <c r="AHR121" s="425"/>
      <c r="AHS121" s="425"/>
      <c r="AHT121" s="425"/>
      <c r="AHU121" s="425"/>
      <c r="AHV121" s="425"/>
      <c r="AHW121" s="425"/>
      <c r="AHX121" s="425"/>
      <c r="AHY121" s="425"/>
      <c r="AHZ121" s="425"/>
      <c r="AIA121" s="425"/>
      <c r="AIB121" s="425"/>
      <c r="AIC121" s="425"/>
      <c r="AID121" s="425"/>
      <c r="AIE121" s="425"/>
      <c r="AIF121" s="425"/>
      <c r="AIG121" s="425"/>
      <c r="AIH121" s="425"/>
      <c r="AII121" s="425"/>
      <c r="AIJ121" s="425"/>
      <c r="AIK121" s="425"/>
      <c r="AIL121" s="425"/>
      <c r="AIM121" s="425"/>
      <c r="AIN121" s="425"/>
      <c r="AIO121" s="425"/>
      <c r="AIP121" s="425"/>
      <c r="AIQ121" s="425"/>
      <c r="AIR121" s="425"/>
      <c r="AIS121" s="425"/>
      <c r="AIT121" s="425"/>
      <c r="AIU121" s="425"/>
      <c r="AIV121" s="425"/>
      <c r="AIW121" s="425"/>
      <c r="AIX121" s="425"/>
      <c r="AIY121" s="425"/>
      <c r="AIZ121" s="425"/>
      <c r="AJA121" s="425"/>
      <c r="AJB121" s="425"/>
      <c r="AJC121" s="425"/>
      <c r="AJD121" s="425"/>
      <c r="AJE121" s="425"/>
      <c r="AJF121" s="425"/>
      <c r="AJG121" s="425"/>
      <c r="AJH121" s="425"/>
      <c r="AJI121" s="425"/>
      <c r="AJJ121" s="425"/>
      <c r="AJK121" s="425"/>
      <c r="AJL121" s="425"/>
      <c r="AJM121" s="425"/>
      <c r="AJN121" s="425"/>
      <c r="AJO121" s="425"/>
      <c r="AJP121" s="425"/>
      <c r="AJQ121" s="425"/>
      <c r="AJR121" s="425"/>
      <c r="AJS121" s="425"/>
      <c r="AJT121" s="425"/>
      <c r="AJU121" s="425"/>
      <c r="AJV121" s="425"/>
      <c r="AJW121" s="425"/>
      <c r="AJX121" s="425"/>
      <c r="AJY121" s="425"/>
      <c r="AJZ121" s="425"/>
      <c r="AKA121" s="425"/>
      <c r="AKB121" s="425"/>
      <c r="AKC121" s="425"/>
      <c r="AKD121" s="425"/>
      <c r="AKE121" s="425"/>
      <c r="AKF121" s="425"/>
      <c r="AKG121" s="425"/>
      <c r="AKH121" s="425"/>
      <c r="AKI121" s="425"/>
      <c r="AKJ121" s="425"/>
      <c r="AKK121" s="425"/>
      <c r="AKL121" s="425"/>
      <c r="AKM121" s="425"/>
      <c r="AKN121" s="425"/>
      <c r="AKO121" s="425"/>
      <c r="AKP121" s="425"/>
      <c r="AKQ121" s="425"/>
      <c r="AKR121" s="425"/>
      <c r="AKS121" s="425"/>
      <c r="AKT121" s="425"/>
      <c r="AKU121" s="425"/>
      <c r="AKV121" s="425"/>
      <c r="AKW121" s="425"/>
      <c r="AKX121" s="425"/>
      <c r="AKY121" s="425"/>
      <c r="AKZ121" s="425"/>
      <c r="ALA121" s="425"/>
      <c r="ALB121" s="425"/>
      <c r="ALC121" s="425"/>
      <c r="ALD121" s="425"/>
      <c r="ALE121" s="425"/>
      <c r="ALF121" s="425"/>
      <c r="ALG121" s="425"/>
      <c r="ALH121" s="425"/>
      <c r="ALI121" s="425"/>
      <c r="ALJ121" s="425"/>
      <c r="ALK121" s="425"/>
      <c r="ALL121" s="425"/>
      <c r="ALM121" s="425"/>
      <c r="ALN121" s="425"/>
      <c r="ALO121" s="425"/>
      <c r="ALP121" s="425"/>
      <c r="ALQ121" s="425"/>
      <c r="ALR121" s="425"/>
      <c r="ALS121" s="425"/>
      <c r="ALT121" s="425"/>
      <c r="ALU121" s="425"/>
      <c r="ALV121" s="425"/>
      <c r="ALW121" s="425"/>
      <c r="ALX121" s="425"/>
      <c r="ALY121" s="425"/>
      <c r="ALZ121" s="425"/>
      <c r="AMA121" s="425"/>
      <c r="AMB121" s="425"/>
      <c r="AMC121" s="425"/>
      <c r="AMD121" s="425"/>
      <c r="AME121" s="425"/>
      <c r="AMF121" s="425"/>
      <c r="AMG121" s="425"/>
      <c r="AMH121" s="418"/>
    </row>
    <row r="122" spans="1:1022" x14ac:dyDescent="0.25">
      <c r="A122" s="426">
        <v>2</v>
      </c>
      <c r="B122" s="427" t="s">
        <v>55</v>
      </c>
      <c r="C122" s="427" t="s">
        <v>62</v>
      </c>
      <c r="D122" s="426"/>
      <c r="E122" s="428" t="s">
        <v>141</v>
      </c>
      <c r="F122" s="417" t="s">
        <v>449</v>
      </c>
      <c r="G122" s="428" t="s">
        <v>142</v>
      </c>
      <c r="H122" s="430">
        <v>8</v>
      </c>
      <c r="I122" s="430">
        <v>4</v>
      </c>
      <c r="J122" s="430">
        <v>4</v>
      </c>
      <c r="K122" s="431">
        <v>4284.1000000000004</v>
      </c>
      <c r="L122" s="431">
        <v>4284.1000000000004</v>
      </c>
      <c r="M122" s="431">
        <v>0</v>
      </c>
      <c r="N122" s="430">
        <v>14</v>
      </c>
      <c r="O122" s="431">
        <v>29300.9</v>
      </c>
      <c r="P122" s="431">
        <v>29300.9</v>
      </c>
      <c r="Q122" s="431">
        <v>0</v>
      </c>
      <c r="R122" s="425"/>
      <c r="S122" s="425"/>
      <c r="T122" s="425"/>
      <c r="U122" s="425"/>
      <c r="V122" s="425"/>
      <c r="W122" s="425"/>
      <c r="X122" s="425"/>
      <c r="Y122" s="425"/>
      <c r="Z122" s="425"/>
      <c r="AA122" s="425"/>
      <c r="AB122" s="425"/>
      <c r="AC122" s="425"/>
      <c r="AD122" s="425"/>
      <c r="AE122" s="425"/>
      <c r="AF122" s="425"/>
      <c r="AG122" s="425"/>
      <c r="AH122" s="425"/>
      <c r="AI122" s="425"/>
      <c r="AJ122" s="425"/>
      <c r="AK122" s="425"/>
      <c r="AL122" s="425"/>
      <c r="AM122" s="425"/>
      <c r="AN122" s="425"/>
      <c r="AO122" s="425"/>
      <c r="AP122" s="425"/>
      <c r="AQ122" s="425"/>
      <c r="AR122" s="425"/>
      <c r="AS122" s="425"/>
      <c r="AT122" s="425"/>
      <c r="AU122" s="425"/>
      <c r="AV122" s="425"/>
      <c r="AW122" s="425"/>
      <c r="AX122" s="425"/>
      <c r="AY122" s="425"/>
      <c r="AZ122" s="425"/>
      <c r="BA122" s="425"/>
      <c r="BB122" s="425"/>
      <c r="BC122" s="425"/>
      <c r="BD122" s="425"/>
      <c r="BE122" s="425"/>
      <c r="BF122" s="425"/>
      <c r="BG122" s="425"/>
      <c r="BH122" s="425"/>
      <c r="BI122" s="425"/>
      <c r="BJ122" s="425"/>
      <c r="BK122" s="425"/>
      <c r="BL122" s="425"/>
      <c r="BM122" s="425"/>
      <c r="BN122" s="425"/>
      <c r="BO122" s="425"/>
      <c r="BP122" s="425"/>
      <c r="BQ122" s="425"/>
      <c r="BR122" s="425"/>
      <c r="BS122" s="425"/>
      <c r="BT122" s="425"/>
      <c r="BU122" s="425"/>
      <c r="BV122" s="425"/>
      <c r="BW122" s="425"/>
      <c r="BX122" s="425"/>
      <c r="BY122" s="425"/>
      <c r="BZ122" s="425"/>
      <c r="CA122" s="425"/>
      <c r="CB122" s="425"/>
      <c r="CC122" s="425"/>
      <c r="CD122" s="425"/>
      <c r="CE122" s="425"/>
      <c r="CF122" s="425"/>
      <c r="CG122" s="425"/>
      <c r="CH122" s="425"/>
      <c r="CI122" s="425"/>
      <c r="CJ122" s="425"/>
      <c r="CK122" s="425"/>
      <c r="CL122" s="425"/>
      <c r="CM122" s="425"/>
      <c r="CN122" s="425"/>
      <c r="CO122" s="425"/>
      <c r="CP122" s="425"/>
      <c r="CQ122" s="425"/>
      <c r="CR122" s="425"/>
      <c r="CS122" s="425"/>
      <c r="CT122" s="425"/>
      <c r="CU122" s="425"/>
      <c r="CV122" s="425"/>
      <c r="CW122" s="425"/>
      <c r="CX122" s="425"/>
      <c r="CY122" s="425"/>
      <c r="CZ122" s="425"/>
      <c r="DA122" s="425"/>
      <c r="DB122" s="425"/>
      <c r="DC122" s="425"/>
      <c r="DD122" s="425"/>
      <c r="DE122" s="425"/>
      <c r="DF122" s="425"/>
      <c r="DG122" s="425"/>
      <c r="DH122" s="425"/>
      <c r="DI122" s="425"/>
      <c r="DJ122" s="425"/>
      <c r="DK122" s="425"/>
      <c r="DL122" s="425"/>
      <c r="DM122" s="425"/>
      <c r="DN122" s="425"/>
      <c r="DO122" s="425"/>
      <c r="DP122" s="425"/>
      <c r="DQ122" s="425"/>
      <c r="DR122" s="425"/>
      <c r="DS122" s="425"/>
      <c r="DT122" s="425"/>
      <c r="DU122" s="425"/>
      <c r="DV122" s="425"/>
      <c r="DW122" s="425"/>
      <c r="DX122" s="425"/>
      <c r="DY122" s="425"/>
      <c r="DZ122" s="425"/>
      <c r="EA122" s="425"/>
      <c r="EB122" s="425"/>
      <c r="EC122" s="425"/>
      <c r="ED122" s="425"/>
      <c r="EE122" s="425"/>
      <c r="EF122" s="425"/>
      <c r="EG122" s="425"/>
      <c r="EH122" s="425"/>
      <c r="EI122" s="425"/>
      <c r="EJ122" s="425"/>
      <c r="EK122" s="425"/>
      <c r="EL122" s="425"/>
      <c r="EM122" s="425"/>
      <c r="EN122" s="425"/>
      <c r="EO122" s="425"/>
      <c r="EP122" s="425"/>
      <c r="EQ122" s="425"/>
      <c r="ER122" s="425"/>
      <c r="ES122" s="425"/>
      <c r="ET122" s="425"/>
      <c r="EU122" s="425"/>
      <c r="EV122" s="425"/>
      <c r="EW122" s="425"/>
      <c r="EX122" s="425"/>
      <c r="EY122" s="425"/>
      <c r="EZ122" s="425"/>
      <c r="FA122" s="425"/>
      <c r="FB122" s="425"/>
      <c r="FC122" s="425"/>
      <c r="FD122" s="425"/>
      <c r="FE122" s="425"/>
      <c r="FF122" s="425"/>
      <c r="FG122" s="425"/>
      <c r="FH122" s="425"/>
      <c r="FI122" s="425"/>
      <c r="FJ122" s="425"/>
      <c r="FK122" s="425"/>
      <c r="FL122" s="425"/>
      <c r="FM122" s="425"/>
      <c r="FN122" s="425"/>
      <c r="FO122" s="425"/>
      <c r="FP122" s="425"/>
      <c r="FQ122" s="425"/>
      <c r="FR122" s="425"/>
      <c r="FS122" s="425"/>
      <c r="FT122" s="425"/>
      <c r="FU122" s="425"/>
      <c r="FV122" s="425"/>
      <c r="FW122" s="425"/>
      <c r="FX122" s="425"/>
      <c r="FY122" s="425"/>
      <c r="FZ122" s="425"/>
      <c r="GA122" s="425"/>
      <c r="GB122" s="425"/>
      <c r="GC122" s="425"/>
      <c r="GD122" s="425"/>
      <c r="GE122" s="425"/>
      <c r="GF122" s="425"/>
      <c r="GG122" s="425"/>
      <c r="GH122" s="425"/>
      <c r="GI122" s="425"/>
      <c r="GJ122" s="425"/>
      <c r="GK122" s="425"/>
      <c r="GL122" s="425"/>
      <c r="GM122" s="425"/>
      <c r="GN122" s="425"/>
      <c r="GO122" s="425"/>
      <c r="GP122" s="425"/>
      <c r="GQ122" s="425"/>
      <c r="GR122" s="425"/>
      <c r="GS122" s="425"/>
      <c r="GT122" s="425"/>
      <c r="GU122" s="425"/>
      <c r="GV122" s="425"/>
      <c r="GW122" s="425"/>
      <c r="GX122" s="425"/>
      <c r="GY122" s="425"/>
      <c r="GZ122" s="425"/>
      <c r="HA122" s="425"/>
      <c r="HB122" s="425"/>
      <c r="HC122" s="425"/>
      <c r="HD122" s="425"/>
      <c r="HE122" s="425"/>
      <c r="HF122" s="425"/>
      <c r="HG122" s="425"/>
      <c r="HH122" s="425"/>
      <c r="HI122" s="425"/>
      <c r="HJ122" s="425"/>
      <c r="HK122" s="425"/>
      <c r="HL122" s="425"/>
      <c r="HM122" s="425"/>
      <c r="HN122" s="425"/>
      <c r="HO122" s="425"/>
      <c r="HP122" s="425"/>
      <c r="HQ122" s="425"/>
      <c r="HR122" s="425"/>
      <c r="HS122" s="425"/>
      <c r="HT122" s="425"/>
      <c r="HU122" s="425"/>
      <c r="HV122" s="425"/>
      <c r="HW122" s="425"/>
      <c r="HX122" s="425"/>
      <c r="HY122" s="425"/>
      <c r="HZ122" s="425"/>
      <c r="IA122" s="425"/>
      <c r="IB122" s="425"/>
      <c r="IC122" s="425"/>
      <c r="ID122" s="425"/>
      <c r="IE122" s="425"/>
      <c r="IF122" s="425"/>
      <c r="IG122" s="425"/>
      <c r="IH122" s="425"/>
      <c r="II122" s="425"/>
      <c r="IJ122" s="425"/>
      <c r="IK122" s="425"/>
      <c r="IL122" s="425"/>
      <c r="IM122" s="425"/>
      <c r="IN122" s="425"/>
      <c r="IO122" s="425"/>
      <c r="IP122" s="425"/>
      <c r="IQ122" s="425"/>
      <c r="IR122" s="425"/>
      <c r="IS122" s="425"/>
      <c r="IT122" s="425"/>
      <c r="IU122" s="425"/>
      <c r="IV122" s="425"/>
      <c r="IW122" s="425"/>
      <c r="IX122" s="425"/>
      <c r="IY122" s="425"/>
      <c r="IZ122" s="425"/>
      <c r="JA122" s="425"/>
      <c r="JB122" s="425"/>
      <c r="JC122" s="425"/>
      <c r="JD122" s="425"/>
      <c r="JE122" s="425"/>
      <c r="JF122" s="425"/>
      <c r="JG122" s="425"/>
      <c r="JH122" s="425"/>
      <c r="JI122" s="425"/>
      <c r="JJ122" s="425"/>
      <c r="JK122" s="425"/>
      <c r="JL122" s="425"/>
      <c r="JM122" s="425"/>
      <c r="JN122" s="425"/>
      <c r="JO122" s="425"/>
      <c r="JP122" s="425"/>
      <c r="JQ122" s="425"/>
      <c r="JR122" s="425"/>
      <c r="JS122" s="425"/>
      <c r="JT122" s="425"/>
      <c r="JU122" s="425"/>
      <c r="JV122" s="425"/>
      <c r="JW122" s="425"/>
      <c r="JX122" s="425"/>
      <c r="JY122" s="425"/>
      <c r="JZ122" s="425"/>
      <c r="KA122" s="425"/>
      <c r="KB122" s="425"/>
      <c r="KC122" s="425"/>
      <c r="KD122" s="425"/>
      <c r="KE122" s="425"/>
      <c r="KF122" s="425"/>
      <c r="KG122" s="425"/>
      <c r="KH122" s="425"/>
      <c r="KI122" s="425"/>
      <c r="KJ122" s="425"/>
      <c r="KK122" s="425"/>
      <c r="KL122" s="425"/>
      <c r="KM122" s="425"/>
      <c r="KN122" s="425"/>
      <c r="KO122" s="425"/>
      <c r="KP122" s="425"/>
      <c r="KQ122" s="425"/>
      <c r="KR122" s="425"/>
      <c r="KS122" s="425"/>
      <c r="KT122" s="425"/>
      <c r="KU122" s="425"/>
      <c r="KV122" s="425"/>
      <c r="KW122" s="425"/>
      <c r="KX122" s="425"/>
      <c r="KY122" s="425"/>
      <c r="KZ122" s="425"/>
      <c r="LA122" s="425"/>
      <c r="LB122" s="425"/>
      <c r="LC122" s="425"/>
      <c r="LD122" s="425"/>
      <c r="LE122" s="425"/>
      <c r="LF122" s="425"/>
      <c r="LG122" s="425"/>
      <c r="LH122" s="425"/>
      <c r="LI122" s="425"/>
      <c r="LJ122" s="425"/>
      <c r="LK122" s="425"/>
      <c r="LL122" s="425"/>
      <c r="LM122" s="425"/>
      <c r="LN122" s="425"/>
      <c r="LO122" s="425"/>
      <c r="LP122" s="425"/>
      <c r="LQ122" s="425"/>
      <c r="LR122" s="425"/>
      <c r="LS122" s="425"/>
      <c r="LT122" s="425"/>
      <c r="LU122" s="425"/>
      <c r="LV122" s="425"/>
      <c r="LW122" s="425"/>
      <c r="LX122" s="425"/>
      <c r="LY122" s="425"/>
      <c r="LZ122" s="425"/>
      <c r="MA122" s="425"/>
      <c r="MB122" s="425"/>
      <c r="MC122" s="425"/>
      <c r="MD122" s="425"/>
      <c r="ME122" s="425"/>
      <c r="MF122" s="425"/>
      <c r="MG122" s="425"/>
      <c r="MH122" s="425"/>
      <c r="MI122" s="425"/>
      <c r="MJ122" s="425"/>
      <c r="MK122" s="425"/>
      <c r="ML122" s="425"/>
      <c r="MM122" s="425"/>
      <c r="MN122" s="425"/>
      <c r="MO122" s="425"/>
      <c r="MP122" s="425"/>
      <c r="MQ122" s="425"/>
      <c r="MR122" s="425"/>
      <c r="MS122" s="425"/>
      <c r="MT122" s="425"/>
      <c r="MU122" s="425"/>
      <c r="MV122" s="425"/>
      <c r="MW122" s="425"/>
      <c r="MX122" s="425"/>
      <c r="MY122" s="425"/>
      <c r="MZ122" s="425"/>
      <c r="NA122" s="425"/>
      <c r="NB122" s="425"/>
      <c r="NC122" s="425"/>
      <c r="ND122" s="425"/>
      <c r="NE122" s="425"/>
      <c r="NF122" s="425"/>
      <c r="NG122" s="425"/>
      <c r="NH122" s="425"/>
      <c r="NI122" s="425"/>
      <c r="NJ122" s="425"/>
      <c r="NK122" s="425"/>
      <c r="NL122" s="425"/>
      <c r="NM122" s="425"/>
      <c r="NN122" s="425"/>
      <c r="NO122" s="425"/>
      <c r="NP122" s="425"/>
      <c r="NQ122" s="425"/>
      <c r="NR122" s="425"/>
      <c r="NS122" s="425"/>
      <c r="NT122" s="425"/>
      <c r="NU122" s="425"/>
      <c r="NV122" s="425"/>
      <c r="NW122" s="425"/>
      <c r="NX122" s="425"/>
      <c r="NY122" s="425"/>
      <c r="NZ122" s="425"/>
      <c r="OA122" s="425"/>
      <c r="OB122" s="425"/>
      <c r="OC122" s="425"/>
      <c r="OD122" s="425"/>
      <c r="OE122" s="425"/>
      <c r="OF122" s="425"/>
      <c r="OG122" s="425"/>
      <c r="OH122" s="425"/>
      <c r="OI122" s="425"/>
      <c r="OJ122" s="425"/>
      <c r="OK122" s="425"/>
      <c r="OL122" s="425"/>
      <c r="OM122" s="425"/>
      <c r="ON122" s="425"/>
      <c r="OO122" s="425"/>
      <c r="OP122" s="425"/>
      <c r="OQ122" s="425"/>
      <c r="OR122" s="425"/>
      <c r="OS122" s="425"/>
      <c r="OT122" s="425"/>
      <c r="OU122" s="425"/>
      <c r="OV122" s="425"/>
      <c r="OW122" s="425"/>
      <c r="OX122" s="425"/>
      <c r="OY122" s="425"/>
      <c r="OZ122" s="425"/>
      <c r="PA122" s="425"/>
      <c r="PB122" s="425"/>
      <c r="PC122" s="425"/>
      <c r="PD122" s="425"/>
      <c r="PE122" s="425"/>
      <c r="PF122" s="425"/>
      <c r="PG122" s="425"/>
      <c r="PH122" s="425"/>
      <c r="PI122" s="425"/>
      <c r="PJ122" s="425"/>
      <c r="PK122" s="425"/>
      <c r="PL122" s="425"/>
      <c r="PM122" s="425"/>
      <c r="PN122" s="425"/>
      <c r="PO122" s="425"/>
      <c r="PP122" s="425"/>
      <c r="PQ122" s="425"/>
      <c r="PR122" s="425"/>
      <c r="PS122" s="425"/>
      <c r="PT122" s="425"/>
      <c r="PU122" s="425"/>
      <c r="PV122" s="425"/>
      <c r="PW122" s="425"/>
      <c r="PX122" s="425"/>
      <c r="PY122" s="425"/>
      <c r="PZ122" s="425"/>
      <c r="QA122" s="425"/>
      <c r="QB122" s="425"/>
      <c r="QC122" s="425"/>
      <c r="QD122" s="425"/>
      <c r="QE122" s="425"/>
      <c r="QF122" s="425"/>
      <c r="QG122" s="425"/>
      <c r="QH122" s="425"/>
      <c r="QI122" s="425"/>
      <c r="QJ122" s="425"/>
      <c r="QK122" s="425"/>
      <c r="QL122" s="425"/>
      <c r="QM122" s="425"/>
      <c r="QN122" s="425"/>
      <c r="QO122" s="425"/>
      <c r="QP122" s="425"/>
      <c r="QQ122" s="425"/>
      <c r="QR122" s="425"/>
      <c r="QS122" s="425"/>
      <c r="QT122" s="425"/>
      <c r="QU122" s="425"/>
      <c r="QV122" s="425"/>
      <c r="QW122" s="425"/>
      <c r="QX122" s="425"/>
      <c r="QY122" s="425"/>
      <c r="QZ122" s="425"/>
      <c r="RA122" s="425"/>
      <c r="RB122" s="425"/>
      <c r="RC122" s="425"/>
      <c r="RD122" s="425"/>
      <c r="RE122" s="425"/>
      <c r="RF122" s="425"/>
      <c r="RG122" s="425"/>
      <c r="RH122" s="425"/>
      <c r="RI122" s="425"/>
      <c r="RJ122" s="425"/>
      <c r="RK122" s="425"/>
      <c r="RL122" s="425"/>
      <c r="RM122" s="425"/>
      <c r="RN122" s="425"/>
      <c r="RO122" s="425"/>
      <c r="RP122" s="425"/>
      <c r="RQ122" s="425"/>
      <c r="RR122" s="425"/>
      <c r="RS122" s="425"/>
      <c r="RT122" s="425"/>
      <c r="RU122" s="425"/>
      <c r="RV122" s="425"/>
      <c r="RW122" s="425"/>
      <c r="RX122" s="425"/>
      <c r="RY122" s="425"/>
      <c r="RZ122" s="425"/>
      <c r="SA122" s="425"/>
      <c r="SB122" s="425"/>
      <c r="SC122" s="425"/>
      <c r="SD122" s="425"/>
      <c r="SE122" s="425"/>
      <c r="SF122" s="425"/>
      <c r="SG122" s="425"/>
      <c r="SH122" s="425"/>
      <c r="SI122" s="425"/>
      <c r="SJ122" s="425"/>
      <c r="SK122" s="425"/>
      <c r="SL122" s="425"/>
      <c r="SM122" s="425"/>
      <c r="SN122" s="425"/>
      <c r="SO122" s="425"/>
      <c r="SP122" s="425"/>
      <c r="SQ122" s="425"/>
      <c r="SR122" s="425"/>
      <c r="SS122" s="425"/>
      <c r="ST122" s="425"/>
      <c r="SU122" s="425"/>
      <c r="SV122" s="425"/>
      <c r="SW122" s="425"/>
      <c r="SX122" s="425"/>
      <c r="SY122" s="425"/>
      <c r="SZ122" s="425"/>
      <c r="TA122" s="425"/>
      <c r="TB122" s="425"/>
      <c r="TC122" s="425"/>
      <c r="TD122" s="425"/>
      <c r="TE122" s="425"/>
      <c r="TF122" s="425"/>
      <c r="TG122" s="425"/>
      <c r="TH122" s="425"/>
      <c r="TI122" s="425"/>
      <c r="TJ122" s="425"/>
      <c r="TK122" s="425"/>
      <c r="TL122" s="425"/>
      <c r="TM122" s="425"/>
      <c r="TN122" s="425"/>
      <c r="TO122" s="425"/>
      <c r="TP122" s="425"/>
      <c r="TQ122" s="425"/>
      <c r="TR122" s="425"/>
      <c r="TS122" s="425"/>
      <c r="TT122" s="425"/>
      <c r="TU122" s="425"/>
      <c r="TV122" s="425"/>
      <c r="TW122" s="425"/>
      <c r="TX122" s="425"/>
      <c r="TY122" s="425"/>
      <c r="TZ122" s="425"/>
      <c r="UA122" s="425"/>
      <c r="UB122" s="425"/>
      <c r="UC122" s="425"/>
      <c r="UD122" s="425"/>
      <c r="UE122" s="425"/>
      <c r="UF122" s="425"/>
      <c r="UG122" s="425"/>
      <c r="UH122" s="425"/>
      <c r="UI122" s="425"/>
      <c r="UJ122" s="425"/>
      <c r="UK122" s="425"/>
      <c r="UL122" s="425"/>
      <c r="UM122" s="425"/>
      <c r="UN122" s="425"/>
      <c r="UO122" s="425"/>
      <c r="UP122" s="425"/>
      <c r="UQ122" s="425"/>
      <c r="UR122" s="425"/>
      <c r="US122" s="425"/>
      <c r="UT122" s="425"/>
      <c r="UU122" s="425"/>
      <c r="UV122" s="425"/>
      <c r="UW122" s="425"/>
      <c r="UX122" s="425"/>
      <c r="UY122" s="425"/>
      <c r="UZ122" s="425"/>
      <c r="VA122" s="425"/>
      <c r="VB122" s="425"/>
      <c r="VC122" s="425"/>
      <c r="VD122" s="425"/>
      <c r="VE122" s="425"/>
      <c r="VF122" s="425"/>
      <c r="VG122" s="425"/>
      <c r="VH122" s="425"/>
      <c r="VI122" s="425"/>
      <c r="VJ122" s="425"/>
      <c r="VK122" s="425"/>
      <c r="VL122" s="425"/>
      <c r="VM122" s="425"/>
      <c r="VN122" s="425"/>
      <c r="VO122" s="425"/>
      <c r="VP122" s="425"/>
      <c r="VQ122" s="425"/>
      <c r="VR122" s="425"/>
      <c r="VS122" s="425"/>
      <c r="VT122" s="425"/>
      <c r="VU122" s="425"/>
      <c r="VV122" s="425"/>
      <c r="VW122" s="425"/>
      <c r="VX122" s="425"/>
      <c r="VY122" s="425"/>
      <c r="VZ122" s="425"/>
      <c r="WA122" s="425"/>
      <c r="WB122" s="425"/>
      <c r="WC122" s="425"/>
      <c r="WD122" s="425"/>
      <c r="WE122" s="425"/>
      <c r="WF122" s="425"/>
      <c r="WG122" s="425"/>
      <c r="WH122" s="425"/>
      <c r="WI122" s="425"/>
      <c r="WJ122" s="425"/>
      <c r="WK122" s="425"/>
      <c r="WL122" s="425"/>
      <c r="WM122" s="425"/>
      <c r="WN122" s="425"/>
      <c r="WO122" s="425"/>
      <c r="WP122" s="425"/>
      <c r="WQ122" s="425"/>
      <c r="WR122" s="425"/>
      <c r="WS122" s="425"/>
      <c r="WT122" s="425"/>
      <c r="WU122" s="425"/>
      <c r="WV122" s="425"/>
      <c r="WW122" s="425"/>
      <c r="WX122" s="425"/>
      <c r="WY122" s="425"/>
      <c r="WZ122" s="425"/>
      <c r="XA122" s="425"/>
      <c r="XB122" s="425"/>
      <c r="XC122" s="425"/>
      <c r="XD122" s="425"/>
      <c r="XE122" s="425"/>
      <c r="XF122" s="425"/>
      <c r="XG122" s="425"/>
      <c r="XH122" s="425"/>
      <c r="XI122" s="425"/>
      <c r="XJ122" s="425"/>
      <c r="XK122" s="425"/>
      <c r="XL122" s="425"/>
      <c r="XM122" s="425"/>
      <c r="XN122" s="425"/>
      <c r="XO122" s="425"/>
      <c r="XP122" s="425"/>
      <c r="XQ122" s="425"/>
      <c r="XR122" s="425"/>
      <c r="XS122" s="425"/>
      <c r="XT122" s="425"/>
      <c r="XU122" s="425"/>
      <c r="XV122" s="425"/>
      <c r="XW122" s="425"/>
      <c r="XX122" s="425"/>
      <c r="XY122" s="425"/>
      <c r="XZ122" s="425"/>
      <c r="YA122" s="425"/>
      <c r="YB122" s="425"/>
      <c r="YC122" s="425"/>
      <c r="YD122" s="425"/>
      <c r="YE122" s="425"/>
      <c r="YF122" s="425"/>
      <c r="YG122" s="425"/>
      <c r="YH122" s="425"/>
      <c r="YI122" s="425"/>
      <c r="YJ122" s="425"/>
      <c r="YK122" s="425"/>
      <c r="YL122" s="425"/>
      <c r="YM122" s="425"/>
      <c r="YN122" s="425"/>
      <c r="YO122" s="425"/>
      <c r="YP122" s="425"/>
      <c r="YQ122" s="425"/>
      <c r="YR122" s="425"/>
      <c r="YS122" s="425"/>
      <c r="YT122" s="425"/>
      <c r="YU122" s="425"/>
      <c r="YV122" s="425"/>
      <c r="YW122" s="425"/>
      <c r="YX122" s="425"/>
      <c r="YY122" s="425"/>
      <c r="YZ122" s="425"/>
      <c r="ZA122" s="425"/>
      <c r="ZB122" s="425"/>
      <c r="ZC122" s="425"/>
      <c r="ZD122" s="425"/>
      <c r="ZE122" s="425"/>
      <c r="ZF122" s="425"/>
      <c r="ZG122" s="425"/>
      <c r="ZH122" s="425"/>
      <c r="ZI122" s="425"/>
      <c r="ZJ122" s="425"/>
      <c r="ZK122" s="425"/>
      <c r="ZL122" s="425"/>
      <c r="ZM122" s="425"/>
      <c r="ZN122" s="425"/>
      <c r="ZO122" s="425"/>
      <c r="ZP122" s="425"/>
      <c r="ZQ122" s="425"/>
      <c r="ZR122" s="425"/>
      <c r="ZS122" s="425"/>
      <c r="ZT122" s="425"/>
      <c r="ZU122" s="425"/>
      <c r="ZV122" s="425"/>
      <c r="ZW122" s="425"/>
      <c r="ZX122" s="425"/>
      <c r="ZY122" s="425"/>
      <c r="ZZ122" s="425"/>
      <c r="AAA122" s="425"/>
      <c r="AAB122" s="425"/>
      <c r="AAC122" s="425"/>
      <c r="AAD122" s="425"/>
      <c r="AAE122" s="425"/>
      <c r="AAF122" s="425"/>
      <c r="AAG122" s="425"/>
      <c r="AAH122" s="425"/>
      <c r="AAI122" s="425"/>
      <c r="AAJ122" s="425"/>
      <c r="AAK122" s="425"/>
      <c r="AAL122" s="425"/>
      <c r="AAM122" s="425"/>
      <c r="AAN122" s="425"/>
      <c r="AAO122" s="425"/>
      <c r="AAP122" s="425"/>
      <c r="AAQ122" s="425"/>
      <c r="AAR122" s="425"/>
      <c r="AAS122" s="425"/>
      <c r="AAT122" s="425"/>
      <c r="AAU122" s="425"/>
      <c r="AAV122" s="425"/>
      <c r="AAW122" s="425"/>
      <c r="AAX122" s="425"/>
      <c r="AAY122" s="425"/>
      <c r="AAZ122" s="425"/>
      <c r="ABA122" s="425"/>
      <c r="ABB122" s="425"/>
      <c r="ABC122" s="425"/>
      <c r="ABD122" s="425"/>
      <c r="ABE122" s="425"/>
      <c r="ABF122" s="425"/>
      <c r="ABG122" s="425"/>
      <c r="ABH122" s="425"/>
      <c r="ABI122" s="425"/>
      <c r="ABJ122" s="425"/>
      <c r="ABK122" s="425"/>
      <c r="ABL122" s="425"/>
      <c r="ABM122" s="425"/>
      <c r="ABN122" s="425"/>
      <c r="ABO122" s="425"/>
      <c r="ABP122" s="425"/>
      <c r="ABQ122" s="425"/>
      <c r="ABR122" s="425"/>
      <c r="ABS122" s="425"/>
      <c r="ABT122" s="425"/>
      <c r="ABU122" s="425"/>
      <c r="ABV122" s="425"/>
      <c r="ABW122" s="425"/>
      <c r="ABX122" s="425"/>
      <c r="ABY122" s="425"/>
      <c r="ABZ122" s="425"/>
      <c r="ACA122" s="425"/>
      <c r="ACB122" s="425"/>
      <c r="ACC122" s="425"/>
      <c r="ACD122" s="425"/>
      <c r="ACE122" s="425"/>
      <c r="ACF122" s="425"/>
      <c r="ACG122" s="425"/>
      <c r="ACH122" s="425"/>
      <c r="ACI122" s="425"/>
      <c r="ACJ122" s="425"/>
      <c r="ACK122" s="425"/>
      <c r="ACL122" s="425"/>
      <c r="ACM122" s="425"/>
      <c r="ACN122" s="425"/>
      <c r="ACO122" s="425"/>
      <c r="ACP122" s="425"/>
      <c r="ACQ122" s="425"/>
      <c r="ACR122" s="425"/>
      <c r="ACS122" s="425"/>
      <c r="ACT122" s="425"/>
      <c r="ACU122" s="425"/>
      <c r="ACV122" s="425"/>
      <c r="ACW122" s="425"/>
      <c r="ACX122" s="425"/>
      <c r="ACY122" s="425"/>
      <c r="ACZ122" s="425"/>
      <c r="ADA122" s="425"/>
      <c r="ADB122" s="425"/>
      <c r="ADC122" s="425"/>
      <c r="ADD122" s="425"/>
      <c r="ADE122" s="425"/>
      <c r="ADF122" s="425"/>
      <c r="ADG122" s="425"/>
      <c r="ADH122" s="425"/>
      <c r="ADI122" s="425"/>
      <c r="ADJ122" s="425"/>
      <c r="ADK122" s="425"/>
      <c r="ADL122" s="425"/>
      <c r="ADM122" s="425"/>
      <c r="ADN122" s="425"/>
      <c r="ADO122" s="425"/>
      <c r="ADP122" s="425"/>
      <c r="ADQ122" s="425"/>
      <c r="ADR122" s="425"/>
      <c r="ADS122" s="425"/>
      <c r="ADT122" s="425"/>
      <c r="ADU122" s="425"/>
      <c r="ADV122" s="425"/>
      <c r="ADW122" s="425"/>
      <c r="ADX122" s="425"/>
      <c r="ADY122" s="425"/>
      <c r="ADZ122" s="425"/>
      <c r="AEA122" s="425"/>
      <c r="AEB122" s="425"/>
      <c r="AEC122" s="425"/>
      <c r="AED122" s="425"/>
      <c r="AEE122" s="425"/>
      <c r="AEF122" s="425"/>
      <c r="AEG122" s="425"/>
      <c r="AEH122" s="425"/>
      <c r="AEI122" s="425"/>
      <c r="AEJ122" s="425"/>
      <c r="AEK122" s="425"/>
      <c r="AEL122" s="425"/>
      <c r="AEM122" s="425"/>
      <c r="AEN122" s="425"/>
      <c r="AEO122" s="425"/>
      <c r="AEP122" s="425"/>
      <c r="AEQ122" s="425"/>
      <c r="AER122" s="425"/>
      <c r="AES122" s="425"/>
      <c r="AET122" s="425"/>
      <c r="AEU122" s="425"/>
      <c r="AEV122" s="425"/>
      <c r="AEW122" s="425"/>
      <c r="AEX122" s="425"/>
      <c r="AEY122" s="425"/>
      <c r="AEZ122" s="425"/>
      <c r="AFA122" s="425"/>
      <c r="AFB122" s="425"/>
      <c r="AFC122" s="425"/>
      <c r="AFD122" s="425"/>
      <c r="AFE122" s="425"/>
      <c r="AFF122" s="425"/>
      <c r="AFG122" s="425"/>
      <c r="AFH122" s="425"/>
      <c r="AFI122" s="425"/>
      <c r="AFJ122" s="425"/>
      <c r="AFK122" s="425"/>
      <c r="AFL122" s="425"/>
      <c r="AFM122" s="425"/>
      <c r="AFN122" s="425"/>
      <c r="AFO122" s="425"/>
      <c r="AFP122" s="425"/>
      <c r="AFQ122" s="425"/>
      <c r="AFR122" s="425"/>
      <c r="AFS122" s="425"/>
      <c r="AFT122" s="425"/>
      <c r="AFU122" s="425"/>
      <c r="AFV122" s="425"/>
      <c r="AFW122" s="425"/>
      <c r="AFX122" s="425"/>
      <c r="AFY122" s="425"/>
      <c r="AFZ122" s="425"/>
      <c r="AGA122" s="425"/>
      <c r="AGB122" s="425"/>
      <c r="AGC122" s="425"/>
      <c r="AGD122" s="425"/>
      <c r="AGE122" s="425"/>
      <c r="AGF122" s="425"/>
      <c r="AGG122" s="425"/>
      <c r="AGH122" s="425"/>
      <c r="AGI122" s="425"/>
      <c r="AGJ122" s="425"/>
      <c r="AGK122" s="425"/>
      <c r="AGL122" s="425"/>
      <c r="AGM122" s="425"/>
      <c r="AGN122" s="425"/>
      <c r="AGO122" s="425"/>
      <c r="AGP122" s="425"/>
      <c r="AGQ122" s="425"/>
      <c r="AGR122" s="425"/>
      <c r="AGS122" s="425"/>
      <c r="AGT122" s="425"/>
      <c r="AGU122" s="425"/>
      <c r="AGV122" s="425"/>
      <c r="AGW122" s="425"/>
      <c r="AGX122" s="425"/>
      <c r="AGY122" s="425"/>
      <c r="AGZ122" s="425"/>
      <c r="AHA122" s="425"/>
      <c r="AHB122" s="425"/>
      <c r="AHC122" s="425"/>
      <c r="AHD122" s="425"/>
      <c r="AHE122" s="425"/>
      <c r="AHF122" s="425"/>
      <c r="AHG122" s="425"/>
      <c r="AHH122" s="425"/>
      <c r="AHI122" s="425"/>
      <c r="AHJ122" s="425"/>
      <c r="AHK122" s="425"/>
      <c r="AHL122" s="425"/>
      <c r="AHM122" s="425"/>
      <c r="AHN122" s="425"/>
      <c r="AHO122" s="425"/>
      <c r="AHP122" s="425"/>
      <c r="AHQ122" s="425"/>
      <c r="AHR122" s="425"/>
      <c r="AHS122" s="425"/>
      <c r="AHT122" s="425"/>
      <c r="AHU122" s="425"/>
      <c r="AHV122" s="425"/>
      <c r="AHW122" s="425"/>
      <c r="AHX122" s="425"/>
      <c r="AHY122" s="425"/>
      <c r="AHZ122" s="425"/>
      <c r="AIA122" s="425"/>
      <c r="AIB122" s="425"/>
      <c r="AIC122" s="425"/>
      <c r="AID122" s="425"/>
      <c r="AIE122" s="425"/>
      <c r="AIF122" s="425"/>
      <c r="AIG122" s="425"/>
      <c r="AIH122" s="425"/>
      <c r="AII122" s="425"/>
      <c r="AIJ122" s="425"/>
      <c r="AIK122" s="425"/>
      <c r="AIL122" s="425"/>
      <c r="AIM122" s="425"/>
      <c r="AIN122" s="425"/>
      <c r="AIO122" s="425"/>
      <c r="AIP122" s="425"/>
      <c r="AIQ122" s="425"/>
      <c r="AIR122" s="425"/>
      <c r="AIS122" s="425"/>
      <c r="AIT122" s="425"/>
      <c r="AIU122" s="425"/>
      <c r="AIV122" s="425"/>
      <c r="AIW122" s="425"/>
      <c r="AIX122" s="425"/>
      <c r="AIY122" s="425"/>
      <c r="AIZ122" s="425"/>
      <c r="AJA122" s="425"/>
      <c r="AJB122" s="425"/>
      <c r="AJC122" s="425"/>
      <c r="AJD122" s="425"/>
      <c r="AJE122" s="425"/>
      <c r="AJF122" s="425"/>
      <c r="AJG122" s="425"/>
      <c r="AJH122" s="425"/>
      <c r="AJI122" s="425"/>
      <c r="AJJ122" s="425"/>
      <c r="AJK122" s="425"/>
      <c r="AJL122" s="425"/>
      <c r="AJM122" s="425"/>
      <c r="AJN122" s="425"/>
      <c r="AJO122" s="425"/>
      <c r="AJP122" s="425"/>
      <c r="AJQ122" s="425"/>
      <c r="AJR122" s="425"/>
      <c r="AJS122" s="425"/>
      <c r="AJT122" s="425"/>
      <c r="AJU122" s="425"/>
      <c r="AJV122" s="425"/>
      <c r="AJW122" s="425"/>
      <c r="AJX122" s="425"/>
      <c r="AJY122" s="425"/>
      <c r="AJZ122" s="425"/>
      <c r="AKA122" s="425"/>
      <c r="AKB122" s="425"/>
      <c r="AKC122" s="425"/>
      <c r="AKD122" s="425"/>
      <c r="AKE122" s="425"/>
      <c r="AKF122" s="425"/>
      <c r="AKG122" s="425"/>
      <c r="AKH122" s="425"/>
      <c r="AKI122" s="425"/>
      <c r="AKJ122" s="425"/>
      <c r="AKK122" s="425"/>
      <c r="AKL122" s="425"/>
      <c r="AKM122" s="425"/>
      <c r="AKN122" s="425"/>
      <c r="AKO122" s="425"/>
      <c r="AKP122" s="425"/>
      <c r="AKQ122" s="425"/>
      <c r="AKR122" s="425"/>
      <c r="AKS122" s="425"/>
      <c r="AKT122" s="425"/>
      <c r="AKU122" s="425"/>
      <c r="AKV122" s="425"/>
      <c r="AKW122" s="425"/>
      <c r="AKX122" s="425"/>
      <c r="AKY122" s="425"/>
      <c r="AKZ122" s="425"/>
      <c r="ALA122" s="425"/>
      <c r="ALB122" s="425"/>
      <c r="ALC122" s="425"/>
      <c r="ALD122" s="425"/>
      <c r="ALE122" s="425"/>
      <c r="ALF122" s="425"/>
      <c r="ALG122" s="425"/>
      <c r="ALH122" s="425"/>
      <c r="ALI122" s="425"/>
      <c r="ALJ122" s="425"/>
      <c r="ALK122" s="425"/>
      <c r="ALL122" s="425"/>
      <c r="ALM122" s="425"/>
      <c r="ALN122" s="425"/>
      <c r="ALO122" s="425"/>
      <c r="ALP122" s="425"/>
      <c r="ALQ122" s="425"/>
      <c r="ALR122" s="425"/>
      <c r="ALS122" s="425"/>
      <c r="ALT122" s="425"/>
      <c r="ALU122" s="425"/>
      <c r="ALV122" s="425"/>
      <c r="ALW122" s="425"/>
      <c r="ALX122" s="425"/>
      <c r="ALY122" s="425"/>
      <c r="ALZ122" s="425"/>
      <c r="AMA122" s="425"/>
      <c r="AMB122" s="425"/>
      <c r="AMC122" s="425"/>
      <c r="AMD122" s="425"/>
      <c r="AME122" s="425"/>
      <c r="AMF122" s="425"/>
      <c r="AMG122" s="425"/>
      <c r="AMH122" s="418"/>
    </row>
    <row r="123" spans="1:1022" x14ac:dyDescent="0.25">
      <c r="A123" s="426">
        <v>3</v>
      </c>
      <c r="B123" s="427" t="s">
        <v>122</v>
      </c>
      <c r="C123" s="427" t="s">
        <v>62</v>
      </c>
      <c r="D123" s="426"/>
      <c r="E123" s="428" t="s">
        <v>143</v>
      </c>
      <c r="F123" s="417" t="s">
        <v>450</v>
      </c>
      <c r="G123" s="428" t="s">
        <v>142</v>
      </c>
      <c r="H123" s="430">
        <v>5</v>
      </c>
      <c r="I123" s="430">
        <v>2</v>
      </c>
      <c r="J123" s="430">
        <v>2</v>
      </c>
      <c r="K123" s="431">
        <v>2301.25</v>
      </c>
      <c r="L123" s="431">
        <v>2301.25</v>
      </c>
      <c r="M123" s="431">
        <v>0</v>
      </c>
      <c r="N123" s="430">
        <v>6</v>
      </c>
      <c r="O123" s="431">
        <v>13201.89</v>
      </c>
      <c r="P123" s="431">
        <v>13201.89</v>
      </c>
      <c r="Q123" s="431">
        <v>0</v>
      </c>
      <c r="R123" s="425"/>
      <c r="S123" s="425"/>
      <c r="T123" s="425"/>
      <c r="U123" s="425"/>
      <c r="V123" s="425"/>
      <c r="W123" s="425"/>
      <c r="X123" s="425"/>
      <c r="Y123" s="425"/>
      <c r="Z123" s="425"/>
      <c r="AA123" s="425"/>
      <c r="AB123" s="425"/>
      <c r="AC123" s="425"/>
      <c r="AD123" s="425"/>
      <c r="AE123" s="425"/>
      <c r="AF123" s="425"/>
      <c r="AG123" s="425"/>
      <c r="AH123" s="425"/>
      <c r="AI123" s="425"/>
      <c r="AJ123" s="425"/>
      <c r="AK123" s="425"/>
      <c r="AL123" s="425"/>
      <c r="AM123" s="425"/>
      <c r="AN123" s="425"/>
      <c r="AO123" s="425"/>
      <c r="AP123" s="425"/>
      <c r="AQ123" s="425"/>
      <c r="AR123" s="425"/>
      <c r="AS123" s="425"/>
      <c r="AT123" s="425"/>
      <c r="AU123" s="425"/>
      <c r="AV123" s="425"/>
      <c r="AW123" s="425"/>
      <c r="AX123" s="425"/>
      <c r="AY123" s="425"/>
      <c r="AZ123" s="425"/>
      <c r="BA123" s="425"/>
      <c r="BB123" s="425"/>
      <c r="BC123" s="425"/>
      <c r="BD123" s="425"/>
      <c r="BE123" s="425"/>
      <c r="BF123" s="425"/>
      <c r="BG123" s="425"/>
      <c r="BH123" s="425"/>
      <c r="BI123" s="425"/>
      <c r="BJ123" s="425"/>
      <c r="BK123" s="425"/>
      <c r="BL123" s="425"/>
      <c r="BM123" s="425"/>
      <c r="BN123" s="425"/>
      <c r="BO123" s="425"/>
      <c r="BP123" s="425"/>
      <c r="BQ123" s="425"/>
      <c r="BR123" s="425"/>
      <c r="BS123" s="425"/>
      <c r="BT123" s="425"/>
      <c r="BU123" s="425"/>
      <c r="BV123" s="425"/>
      <c r="BW123" s="425"/>
      <c r="BX123" s="425"/>
      <c r="BY123" s="425"/>
      <c r="BZ123" s="425"/>
      <c r="CA123" s="425"/>
      <c r="CB123" s="425"/>
      <c r="CC123" s="425"/>
      <c r="CD123" s="425"/>
      <c r="CE123" s="425"/>
      <c r="CF123" s="425"/>
      <c r="CG123" s="425"/>
      <c r="CH123" s="425"/>
      <c r="CI123" s="425"/>
      <c r="CJ123" s="425"/>
      <c r="CK123" s="425"/>
      <c r="CL123" s="425"/>
      <c r="CM123" s="425"/>
      <c r="CN123" s="425"/>
      <c r="CO123" s="425"/>
      <c r="CP123" s="425"/>
      <c r="CQ123" s="425"/>
      <c r="CR123" s="425"/>
      <c r="CS123" s="425"/>
      <c r="CT123" s="425"/>
      <c r="CU123" s="425"/>
      <c r="CV123" s="425"/>
      <c r="CW123" s="425"/>
      <c r="CX123" s="425"/>
      <c r="CY123" s="425"/>
      <c r="CZ123" s="425"/>
      <c r="DA123" s="425"/>
      <c r="DB123" s="425"/>
      <c r="DC123" s="425"/>
      <c r="DD123" s="425"/>
      <c r="DE123" s="425"/>
      <c r="DF123" s="425"/>
      <c r="DG123" s="425"/>
      <c r="DH123" s="425"/>
      <c r="DI123" s="425"/>
      <c r="DJ123" s="425"/>
      <c r="DK123" s="425"/>
      <c r="DL123" s="425"/>
      <c r="DM123" s="425"/>
      <c r="DN123" s="425"/>
      <c r="DO123" s="425"/>
      <c r="DP123" s="425"/>
      <c r="DQ123" s="425"/>
      <c r="DR123" s="425"/>
      <c r="DS123" s="425"/>
      <c r="DT123" s="425"/>
      <c r="DU123" s="425"/>
      <c r="DV123" s="425"/>
      <c r="DW123" s="425"/>
      <c r="DX123" s="425"/>
      <c r="DY123" s="425"/>
      <c r="DZ123" s="425"/>
      <c r="EA123" s="425"/>
      <c r="EB123" s="425"/>
      <c r="EC123" s="425"/>
      <c r="ED123" s="425"/>
      <c r="EE123" s="425"/>
      <c r="EF123" s="425"/>
      <c r="EG123" s="425"/>
      <c r="EH123" s="425"/>
      <c r="EI123" s="425"/>
      <c r="EJ123" s="425"/>
      <c r="EK123" s="425"/>
      <c r="EL123" s="425"/>
      <c r="EM123" s="425"/>
      <c r="EN123" s="425"/>
      <c r="EO123" s="425"/>
      <c r="EP123" s="425"/>
      <c r="EQ123" s="425"/>
      <c r="ER123" s="425"/>
      <c r="ES123" s="425"/>
      <c r="ET123" s="425"/>
      <c r="EU123" s="425"/>
      <c r="EV123" s="425"/>
      <c r="EW123" s="425"/>
      <c r="EX123" s="425"/>
      <c r="EY123" s="425"/>
      <c r="EZ123" s="425"/>
      <c r="FA123" s="425"/>
      <c r="FB123" s="425"/>
      <c r="FC123" s="425"/>
      <c r="FD123" s="425"/>
      <c r="FE123" s="425"/>
      <c r="FF123" s="425"/>
      <c r="FG123" s="425"/>
      <c r="FH123" s="425"/>
      <c r="FI123" s="425"/>
      <c r="FJ123" s="425"/>
      <c r="FK123" s="425"/>
      <c r="FL123" s="425"/>
      <c r="FM123" s="425"/>
      <c r="FN123" s="425"/>
      <c r="FO123" s="425"/>
      <c r="FP123" s="425"/>
      <c r="FQ123" s="425"/>
      <c r="FR123" s="425"/>
      <c r="FS123" s="425"/>
      <c r="FT123" s="425"/>
      <c r="FU123" s="425"/>
      <c r="FV123" s="425"/>
      <c r="FW123" s="425"/>
      <c r="FX123" s="425"/>
      <c r="FY123" s="425"/>
      <c r="FZ123" s="425"/>
      <c r="GA123" s="425"/>
      <c r="GB123" s="425"/>
      <c r="GC123" s="425"/>
      <c r="GD123" s="425"/>
      <c r="GE123" s="425"/>
      <c r="GF123" s="425"/>
      <c r="GG123" s="425"/>
      <c r="GH123" s="425"/>
      <c r="GI123" s="425"/>
      <c r="GJ123" s="425"/>
      <c r="GK123" s="425"/>
      <c r="GL123" s="425"/>
      <c r="GM123" s="425"/>
      <c r="GN123" s="425"/>
      <c r="GO123" s="425"/>
      <c r="GP123" s="425"/>
      <c r="GQ123" s="425"/>
      <c r="GR123" s="425"/>
      <c r="GS123" s="425"/>
      <c r="GT123" s="425"/>
      <c r="GU123" s="425"/>
      <c r="GV123" s="425"/>
      <c r="GW123" s="425"/>
      <c r="GX123" s="425"/>
      <c r="GY123" s="425"/>
      <c r="GZ123" s="425"/>
      <c r="HA123" s="425"/>
      <c r="HB123" s="425"/>
      <c r="HC123" s="425"/>
      <c r="HD123" s="425"/>
      <c r="HE123" s="425"/>
      <c r="HF123" s="425"/>
      <c r="HG123" s="425"/>
      <c r="HH123" s="425"/>
      <c r="HI123" s="425"/>
      <c r="HJ123" s="425"/>
      <c r="HK123" s="425"/>
      <c r="HL123" s="425"/>
      <c r="HM123" s="425"/>
      <c r="HN123" s="425"/>
      <c r="HO123" s="425"/>
      <c r="HP123" s="425"/>
      <c r="HQ123" s="425"/>
      <c r="HR123" s="425"/>
      <c r="HS123" s="425"/>
      <c r="HT123" s="425"/>
      <c r="HU123" s="425"/>
      <c r="HV123" s="425"/>
      <c r="HW123" s="425"/>
      <c r="HX123" s="425"/>
      <c r="HY123" s="425"/>
      <c r="HZ123" s="425"/>
      <c r="IA123" s="425"/>
      <c r="IB123" s="425"/>
      <c r="IC123" s="425"/>
      <c r="ID123" s="425"/>
      <c r="IE123" s="425"/>
      <c r="IF123" s="425"/>
      <c r="IG123" s="425"/>
      <c r="IH123" s="425"/>
      <c r="II123" s="425"/>
      <c r="IJ123" s="425"/>
      <c r="IK123" s="425"/>
      <c r="IL123" s="425"/>
      <c r="IM123" s="425"/>
      <c r="IN123" s="425"/>
      <c r="IO123" s="425"/>
      <c r="IP123" s="425"/>
      <c r="IQ123" s="425"/>
      <c r="IR123" s="425"/>
      <c r="IS123" s="425"/>
      <c r="IT123" s="425"/>
      <c r="IU123" s="425"/>
      <c r="IV123" s="425"/>
      <c r="IW123" s="425"/>
      <c r="IX123" s="425"/>
      <c r="IY123" s="425"/>
      <c r="IZ123" s="425"/>
      <c r="JA123" s="425"/>
      <c r="JB123" s="425"/>
      <c r="JC123" s="425"/>
      <c r="JD123" s="425"/>
      <c r="JE123" s="425"/>
      <c r="JF123" s="425"/>
      <c r="JG123" s="425"/>
      <c r="JH123" s="425"/>
      <c r="JI123" s="425"/>
      <c r="JJ123" s="425"/>
      <c r="JK123" s="425"/>
      <c r="JL123" s="425"/>
      <c r="JM123" s="425"/>
      <c r="JN123" s="425"/>
      <c r="JO123" s="425"/>
      <c r="JP123" s="425"/>
      <c r="JQ123" s="425"/>
      <c r="JR123" s="425"/>
      <c r="JS123" s="425"/>
      <c r="JT123" s="425"/>
      <c r="JU123" s="425"/>
      <c r="JV123" s="425"/>
      <c r="JW123" s="425"/>
      <c r="JX123" s="425"/>
      <c r="JY123" s="425"/>
      <c r="JZ123" s="425"/>
      <c r="KA123" s="425"/>
      <c r="KB123" s="425"/>
      <c r="KC123" s="425"/>
      <c r="KD123" s="425"/>
      <c r="KE123" s="425"/>
      <c r="KF123" s="425"/>
      <c r="KG123" s="425"/>
      <c r="KH123" s="425"/>
      <c r="KI123" s="425"/>
      <c r="KJ123" s="425"/>
      <c r="KK123" s="425"/>
      <c r="KL123" s="425"/>
      <c r="KM123" s="425"/>
      <c r="KN123" s="425"/>
      <c r="KO123" s="425"/>
      <c r="KP123" s="425"/>
      <c r="KQ123" s="425"/>
      <c r="KR123" s="425"/>
      <c r="KS123" s="425"/>
      <c r="KT123" s="425"/>
      <c r="KU123" s="425"/>
      <c r="KV123" s="425"/>
      <c r="KW123" s="425"/>
      <c r="KX123" s="425"/>
      <c r="KY123" s="425"/>
      <c r="KZ123" s="425"/>
      <c r="LA123" s="425"/>
      <c r="LB123" s="425"/>
      <c r="LC123" s="425"/>
      <c r="LD123" s="425"/>
      <c r="LE123" s="425"/>
      <c r="LF123" s="425"/>
      <c r="LG123" s="425"/>
      <c r="LH123" s="425"/>
      <c r="LI123" s="425"/>
      <c r="LJ123" s="425"/>
      <c r="LK123" s="425"/>
      <c r="LL123" s="425"/>
      <c r="LM123" s="425"/>
      <c r="LN123" s="425"/>
      <c r="LO123" s="425"/>
      <c r="LP123" s="425"/>
      <c r="LQ123" s="425"/>
      <c r="LR123" s="425"/>
      <c r="LS123" s="425"/>
      <c r="LT123" s="425"/>
      <c r="LU123" s="425"/>
      <c r="LV123" s="425"/>
      <c r="LW123" s="425"/>
      <c r="LX123" s="425"/>
      <c r="LY123" s="425"/>
      <c r="LZ123" s="425"/>
      <c r="MA123" s="425"/>
      <c r="MB123" s="425"/>
      <c r="MC123" s="425"/>
      <c r="MD123" s="425"/>
      <c r="ME123" s="425"/>
      <c r="MF123" s="425"/>
      <c r="MG123" s="425"/>
      <c r="MH123" s="425"/>
      <c r="MI123" s="425"/>
      <c r="MJ123" s="425"/>
      <c r="MK123" s="425"/>
      <c r="ML123" s="425"/>
      <c r="MM123" s="425"/>
      <c r="MN123" s="425"/>
      <c r="MO123" s="425"/>
      <c r="MP123" s="425"/>
      <c r="MQ123" s="425"/>
      <c r="MR123" s="425"/>
      <c r="MS123" s="425"/>
      <c r="MT123" s="425"/>
      <c r="MU123" s="425"/>
      <c r="MV123" s="425"/>
      <c r="MW123" s="425"/>
      <c r="MX123" s="425"/>
      <c r="MY123" s="425"/>
      <c r="MZ123" s="425"/>
      <c r="NA123" s="425"/>
      <c r="NB123" s="425"/>
      <c r="NC123" s="425"/>
      <c r="ND123" s="425"/>
      <c r="NE123" s="425"/>
      <c r="NF123" s="425"/>
      <c r="NG123" s="425"/>
      <c r="NH123" s="425"/>
      <c r="NI123" s="425"/>
      <c r="NJ123" s="425"/>
      <c r="NK123" s="425"/>
      <c r="NL123" s="425"/>
      <c r="NM123" s="425"/>
      <c r="NN123" s="425"/>
      <c r="NO123" s="425"/>
      <c r="NP123" s="425"/>
      <c r="NQ123" s="425"/>
      <c r="NR123" s="425"/>
      <c r="NS123" s="425"/>
      <c r="NT123" s="425"/>
      <c r="NU123" s="425"/>
      <c r="NV123" s="425"/>
      <c r="NW123" s="425"/>
      <c r="NX123" s="425"/>
      <c r="NY123" s="425"/>
      <c r="NZ123" s="425"/>
      <c r="OA123" s="425"/>
      <c r="OB123" s="425"/>
      <c r="OC123" s="425"/>
      <c r="OD123" s="425"/>
      <c r="OE123" s="425"/>
      <c r="OF123" s="425"/>
      <c r="OG123" s="425"/>
      <c r="OH123" s="425"/>
      <c r="OI123" s="425"/>
      <c r="OJ123" s="425"/>
      <c r="OK123" s="425"/>
      <c r="OL123" s="425"/>
      <c r="OM123" s="425"/>
      <c r="ON123" s="425"/>
      <c r="OO123" s="425"/>
      <c r="OP123" s="425"/>
      <c r="OQ123" s="425"/>
      <c r="OR123" s="425"/>
      <c r="OS123" s="425"/>
      <c r="OT123" s="425"/>
      <c r="OU123" s="425"/>
      <c r="OV123" s="425"/>
      <c r="OW123" s="425"/>
      <c r="OX123" s="425"/>
      <c r="OY123" s="425"/>
      <c r="OZ123" s="425"/>
      <c r="PA123" s="425"/>
      <c r="PB123" s="425"/>
      <c r="PC123" s="425"/>
      <c r="PD123" s="425"/>
      <c r="PE123" s="425"/>
      <c r="PF123" s="425"/>
      <c r="PG123" s="425"/>
      <c r="PH123" s="425"/>
      <c r="PI123" s="425"/>
      <c r="PJ123" s="425"/>
      <c r="PK123" s="425"/>
      <c r="PL123" s="425"/>
      <c r="PM123" s="425"/>
      <c r="PN123" s="425"/>
      <c r="PO123" s="425"/>
      <c r="PP123" s="425"/>
      <c r="PQ123" s="425"/>
      <c r="PR123" s="425"/>
      <c r="PS123" s="425"/>
      <c r="PT123" s="425"/>
      <c r="PU123" s="425"/>
      <c r="PV123" s="425"/>
      <c r="PW123" s="425"/>
      <c r="PX123" s="425"/>
      <c r="PY123" s="425"/>
      <c r="PZ123" s="425"/>
      <c r="QA123" s="425"/>
      <c r="QB123" s="425"/>
      <c r="QC123" s="425"/>
      <c r="QD123" s="425"/>
      <c r="QE123" s="425"/>
      <c r="QF123" s="425"/>
      <c r="QG123" s="425"/>
      <c r="QH123" s="425"/>
      <c r="QI123" s="425"/>
      <c r="QJ123" s="425"/>
      <c r="QK123" s="425"/>
      <c r="QL123" s="425"/>
      <c r="QM123" s="425"/>
      <c r="QN123" s="425"/>
      <c r="QO123" s="425"/>
      <c r="QP123" s="425"/>
      <c r="QQ123" s="425"/>
      <c r="QR123" s="425"/>
      <c r="QS123" s="425"/>
      <c r="QT123" s="425"/>
      <c r="QU123" s="425"/>
      <c r="QV123" s="425"/>
      <c r="QW123" s="425"/>
      <c r="QX123" s="425"/>
      <c r="QY123" s="425"/>
      <c r="QZ123" s="425"/>
      <c r="RA123" s="425"/>
      <c r="RB123" s="425"/>
      <c r="RC123" s="425"/>
      <c r="RD123" s="425"/>
      <c r="RE123" s="425"/>
      <c r="RF123" s="425"/>
      <c r="RG123" s="425"/>
      <c r="RH123" s="425"/>
      <c r="RI123" s="425"/>
      <c r="RJ123" s="425"/>
      <c r="RK123" s="425"/>
      <c r="RL123" s="425"/>
      <c r="RM123" s="425"/>
      <c r="RN123" s="425"/>
      <c r="RO123" s="425"/>
      <c r="RP123" s="425"/>
      <c r="RQ123" s="425"/>
      <c r="RR123" s="425"/>
      <c r="RS123" s="425"/>
      <c r="RT123" s="425"/>
      <c r="RU123" s="425"/>
      <c r="RV123" s="425"/>
      <c r="RW123" s="425"/>
      <c r="RX123" s="425"/>
      <c r="RY123" s="425"/>
      <c r="RZ123" s="425"/>
      <c r="SA123" s="425"/>
      <c r="SB123" s="425"/>
      <c r="SC123" s="425"/>
      <c r="SD123" s="425"/>
      <c r="SE123" s="425"/>
      <c r="SF123" s="425"/>
      <c r="SG123" s="425"/>
      <c r="SH123" s="425"/>
      <c r="SI123" s="425"/>
      <c r="SJ123" s="425"/>
      <c r="SK123" s="425"/>
      <c r="SL123" s="425"/>
      <c r="SM123" s="425"/>
      <c r="SN123" s="425"/>
      <c r="SO123" s="425"/>
      <c r="SP123" s="425"/>
      <c r="SQ123" s="425"/>
      <c r="SR123" s="425"/>
      <c r="SS123" s="425"/>
      <c r="ST123" s="425"/>
      <c r="SU123" s="425"/>
      <c r="SV123" s="425"/>
      <c r="SW123" s="425"/>
      <c r="SX123" s="425"/>
      <c r="SY123" s="425"/>
      <c r="SZ123" s="425"/>
      <c r="TA123" s="425"/>
      <c r="TB123" s="425"/>
      <c r="TC123" s="425"/>
      <c r="TD123" s="425"/>
      <c r="TE123" s="425"/>
      <c r="TF123" s="425"/>
      <c r="TG123" s="425"/>
      <c r="TH123" s="425"/>
      <c r="TI123" s="425"/>
      <c r="TJ123" s="425"/>
      <c r="TK123" s="425"/>
      <c r="TL123" s="425"/>
      <c r="TM123" s="425"/>
      <c r="TN123" s="425"/>
      <c r="TO123" s="425"/>
      <c r="TP123" s="425"/>
      <c r="TQ123" s="425"/>
      <c r="TR123" s="425"/>
      <c r="TS123" s="425"/>
      <c r="TT123" s="425"/>
      <c r="TU123" s="425"/>
      <c r="TV123" s="425"/>
      <c r="TW123" s="425"/>
      <c r="TX123" s="425"/>
      <c r="TY123" s="425"/>
      <c r="TZ123" s="425"/>
      <c r="UA123" s="425"/>
      <c r="UB123" s="425"/>
      <c r="UC123" s="425"/>
      <c r="UD123" s="425"/>
      <c r="UE123" s="425"/>
      <c r="UF123" s="425"/>
      <c r="UG123" s="425"/>
      <c r="UH123" s="425"/>
      <c r="UI123" s="425"/>
      <c r="UJ123" s="425"/>
      <c r="UK123" s="425"/>
      <c r="UL123" s="425"/>
      <c r="UM123" s="425"/>
      <c r="UN123" s="425"/>
      <c r="UO123" s="425"/>
      <c r="UP123" s="425"/>
      <c r="UQ123" s="425"/>
      <c r="UR123" s="425"/>
      <c r="US123" s="425"/>
      <c r="UT123" s="425"/>
      <c r="UU123" s="425"/>
      <c r="UV123" s="425"/>
      <c r="UW123" s="425"/>
      <c r="UX123" s="425"/>
      <c r="UY123" s="425"/>
      <c r="UZ123" s="425"/>
      <c r="VA123" s="425"/>
      <c r="VB123" s="425"/>
      <c r="VC123" s="425"/>
      <c r="VD123" s="425"/>
      <c r="VE123" s="425"/>
      <c r="VF123" s="425"/>
      <c r="VG123" s="425"/>
      <c r="VH123" s="425"/>
      <c r="VI123" s="425"/>
      <c r="VJ123" s="425"/>
      <c r="VK123" s="425"/>
      <c r="VL123" s="425"/>
      <c r="VM123" s="425"/>
      <c r="VN123" s="425"/>
      <c r="VO123" s="425"/>
      <c r="VP123" s="425"/>
      <c r="VQ123" s="425"/>
      <c r="VR123" s="425"/>
      <c r="VS123" s="425"/>
      <c r="VT123" s="425"/>
      <c r="VU123" s="425"/>
      <c r="VV123" s="425"/>
      <c r="VW123" s="425"/>
      <c r="VX123" s="425"/>
      <c r="VY123" s="425"/>
      <c r="VZ123" s="425"/>
      <c r="WA123" s="425"/>
      <c r="WB123" s="425"/>
      <c r="WC123" s="425"/>
      <c r="WD123" s="425"/>
      <c r="WE123" s="425"/>
      <c r="WF123" s="425"/>
      <c r="WG123" s="425"/>
      <c r="WH123" s="425"/>
      <c r="WI123" s="425"/>
      <c r="WJ123" s="425"/>
      <c r="WK123" s="425"/>
      <c r="WL123" s="425"/>
      <c r="WM123" s="425"/>
      <c r="WN123" s="425"/>
      <c r="WO123" s="425"/>
      <c r="WP123" s="425"/>
      <c r="WQ123" s="425"/>
      <c r="WR123" s="425"/>
      <c r="WS123" s="425"/>
      <c r="WT123" s="425"/>
      <c r="WU123" s="425"/>
      <c r="WV123" s="425"/>
      <c r="WW123" s="425"/>
      <c r="WX123" s="425"/>
      <c r="WY123" s="425"/>
      <c r="WZ123" s="425"/>
      <c r="XA123" s="425"/>
      <c r="XB123" s="425"/>
      <c r="XC123" s="425"/>
      <c r="XD123" s="425"/>
      <c r="XE123" s="425"/>
      <c r="XF123" s="425"/>
      <c r="XG123" s="425"/>
      <c r="XH123" s="425"/>
      <c r="XI123" s="425"/>
      <c r="XJ123" s="425"/>
      <c r="XK123" s="425"/>
      <c r="XL123" s="425"/>
      <c r="XM123" s="425"/>
      <c r="XN123" s="425"/>
      <c r="XO123" s="425"/>
      <c r="XP123" s="425"/>
      <c r="XQ123" s="425"/>
      <c r="XR123" s="425"/>
      <c r="XS123" s="425"/>
      <c r="XT123" s="425"/>
      <c r="XU123" s="425"/>
      <c r="XV123" s="425"/>
      <c r="XW123" s="425"/>
      <c r="XX123" s="425"/>
      <c r="XY123" s="425"/>
      <c r="XZ123" s="425"/>
      <c r="YA123" s="425"/>
      <c r="YB123" s="425"/>
      <c r="YC123" s="425"/>
      <c r="YD123" s="425"/>
      <c r="YE123" s="425"/>
      <c r="YF123" s="425"/>
      <c r="YG123" s="425"/>
      <c r="YH123" s="425"/>
      <c r="YI123" s="425"/>
      <c r="YJ123" s="425"/>
      <c r="YK123" s="425"/>
      <c r="YL123" s="425"/>
      <c r="YM123" s="425"/>
      <c r="YN123" s="425"/>
      <c r="YO123" s="425"/>
      <c r="YP123" s="425"/>
      <c r="YQ123" s="425"/>
      <c r="YR123" s="425"/>
      <c r="YS123" s="425"/>
      <c r="YT123" s="425"/>
      <c r="YU123" s="425"/>
      <c r="YV123" s="425"/>
      <c r="YW123" s="425"/>
      <c r="YX123" s="425"/>
      <c r="YY123" s="425"/>
      <c r="YZ123" s="425"/>
      <c r="ZA123" s="425"/>
      <c r="ZB123" s="425"/>
      <c r="ZC123" s="425"/>
      <c r="ZD123" s="425"/>
      <c r="ZE123" s="425"/>
      <c r="ZF123" s="425"/>
      <c r="ZG123" s="425"/>
      <c r="ZH123" s="425"/>
      <c r="ZI123" s="425"/>
      <c r="ZJ123" s="425"/>
      <c r="ZK123" s="425"/>
      <c r="ZL123" s="425"/>
      <c r="ZM123" s="425"/>
      <c r="ZN123" s="425"/>
      <c r="ZO123" s="425"/>
      <c r="ZP123" s="425"/>
      <c r="ZQ123" s="425"/>
      <c r="ZR123" s="425"/>
      <c r="ZS123" s="425"/>
      <c r="ZT123" s="425"/>
      <c r="ZU123" s="425"/>
      <c r="ZV123" s="425"/>
      <c r="ZW123" s="425"/>
      <c r="ZX123" s="425"/>
      <c r="ZY123" s="425"/>
      <c r="ZZ123" s="425"/>
      <c r="AAA123" s="425"/>
      <c r="AAB123" s="425"/>
      <c r="AAC123" s="425"/>
      <c r="AAD123" s="425"/>
      <c r="AAE123" s="425"/>
      <c r="AAF123" s="425"/>
      <c r="AAG123" s="425"/>
      <c r="AAH123" s="425"/>
      <c r="AAI123" s="425"/>
      <c r="AAJ123" s="425"/>
      <c r="AAK123" s="425"/>
      <c r="AAL123" s="425"/>
      <c r="AAM123" s="425"/>
      <c r="AAN123" s="425"/>
      <c r="AAO123" s="425"/>
      <c r="AAP123" s="425"/>
      <c r="AAQ123" s="425"/>
      <c r="AAR123" s="425"/>
      <c r="AAS123" s="425"/>
      <c r="AAT123" s="425"/>
      <c r="AAU123" s="425"/>
      <c r="AAV123" s="425"/>
      <c r="AAW123" s="425"/>
      <c r="AAX123" s="425"/>
      <c r="AAY123" s="425"/>
      <c r="AAZ123" s="425"/>
      <c r="ABA123" s="425"/>
      <c r="ABB123" s="425"/>
      <c r="ABC123" s="425"/>
      <c r="ABD123" s="425"/>
      <c r="ABE123" s="425"/>
      <c r="ABF123" s="425"/>
      <c r="ABG123" s="425"/>
      <c r="ABH123" s="425"/>
      <c r="ABI123" s="425"/>
      <c r="ABJ123" s="425"/>
      <c r="ABK123" s="425"/>
      <c r="ABL123" s="425"/>
      <c r="ABM123" s="425"/>
      <c r="ABN123" s="425"/>
      <c r="ABO123" s="425"/>
      <c r="ABP123" s="425"/>
      <c r="ABQ123" s="425"/>
      <c r="ABR123" s="425"/>
      <c r="ABS123" s="425"/>
      <c r="ABT123" s="425"/>
      <c r="ABU123" s="425"/>
      <c r="ABV123" s="425"/>
      <c r="ABW123" s="425"/>
      <c r="ABX123" s="425"/>
      <c r="ABY123" s="425"/>
      <c r="ABZ123" s="425"/>
      <c r="ACA123" s="425"/>
      <c r="ACB123" s="425"/>
      <c r="ACC123" s="425"/>
      <c r="ACD123" s="425"/>
      <c r="ACE123" s="425"/>
      <c r="ACF123" s="425"/>
      <c r="ACG123" s="425"/>
      <c r="ACH123" s="425"/>
      <c r="ACI123" s="425"/>
      <c r="ACJ123" s="425"/>
      <c r="ACK123" s="425"/>
      <c r="ACL123" s="425"/>
      <c r="ACM123" s="425"/>
      <c r="ACN123" s="425"/>
      <c r="ACO123" s="425"/>
      <c r="ACP123" s="425"/>
      <c r="ACQ123" s="425"/>
      <c r="ACR123" s="425"/>
      <c r="ACS123" s="425"/>
      <c r="ACT123" s="425"/>
      <c r="ACU123" s="425"/>
      <c r="ACV123" s="425"/>
      <c r="ACW123" s="425"/>
      <c r="ACX123" s="425"/>
      <c r="ACY123" s="425"/>
      <c r="ACZ123" s="425"/>
      <c r="ADA123" s="425"/>
      <c r="ADB123" s="425"/>
      <c r="ADC123" s="425"/>
      <c r="ADD123" s="425"/>
      <c r="ADE123" s="425"/>
      <c r="ADF123" s="425"/>
      <c r="ADG123" s="425"/>
      <c r="ADH123" s="425"/>
      <c r="ADI123" s="425"/>
      <c r="ADJ123" s="425"/>
      <c r="ADK123" s="425"/>
      <c r="ADL123" s="425"/>
      <c r="ADM123" s="425"/>
      <c r="ADN123" s="425"/>
      <c r="ADO123" s="425"/>
      <c r="ADP123" s="425"/>
      <c r="ADQ123" s="425"/>
      <c r="ADR123" s="425"/>
      <c r="ADS123" s="425"/>
      <c r="ADT123" s="425"/>
      <c r="ADU123" s="425"/>
      <c r="ADV123" s="425"/>
      <c r="ADW123" s="425"/>
      <c r="ADX123" s="425"/>
      <c r="ADY123" s="425"/>
      <c r="ADZ123" s="425"/>
      <c r="AEA123" s="425"/>
      <c r="AEB123" s="425"/>
      <c r="AEC123" s="425"/>
      <c r="AED123" s="425"/>
      <c r="AEE123" s="425"/>
      <c r="AEF123" s="425"/>
      <c r="AEG123" s="425"/>
      <c r="AEH123" s="425"/>
      <c r="AEI123" s="425"/>
      <c r="AEJ123" s="425"/>
      <c r="AEK123" s="425"/>
      <c r="AEL123" s="425"/>
      <c r="AEM123" s="425"/>
      <c r="AEN123" s="425"/>
      <c r="AEO123" s="425"/>
      <c r="AEP123" s="425"/>
      <c r="AEQ123" s="425"/>
      <c r="AER123" s="425"/>
      <c r="AES123" s="425"/>
      <c r="AET123" s="425"/>
      <c r="AEU123" s="425"/>
      <c r="AEV123" s="425"/>
      <c r="AEW123" s="425"/>
      <c r="AEX123" s="425"/>
      <c r="AEY123" s="425"/>
      <c r="AEZ123" s="425"/>
      <c r="AFA123" s="425"/>
      <c r="AFB123" s="425"/>
      <c r="AFC123" s="425"/>
      <c r="AFD123" s="425"/>
      <c r="AFE123" s="425"/>
      <c r="AFF123" s="425"/>
      <c r="AFG123" s="425"/>
      <c r="AFH123" s="425"/>
      <c r="AFI123" s="425"/>
      <c r="AFJ123" s="425"/>
      <c r="AFK123" s="425"/>
      <c r="AFL123" s="425"/>
      <c r="AFM123" s="425"/>
      <c r="AFN123" s="425"/>
      <c r="AFO123" s="425"/>
      <c r="AFP123" s="425"/>
      <c r="AFQ123" s="425"/>
      <c r="AFR123" s="425"/>
      <c r="AFS123" s="425"/>
      <c r="AFT123" s="425"/>
      <c r="AFU123" s="425"/>
      <c r="AFV123" s="425"/>
      <c r="AFW123" s="425"/>
      <c r="AFX123" s="425"/>
      <c r="AFY123" s="425"/>
      <c r="AFZ123" s="425"/>
      <c r="AGA123" s="425"/>
      <c r="AGB123" s="425"/>
      <c r="AGC123" s="425"/>
      <c r="AGD123" s="425"/>
      <c r="AGE123" s="425"/>
      <c r="AGF123" s="425"/>
      <c r="AGG123" s="425"/>
      <c r="AGH123" s="425"/>
      <c r="AGI123" s="425"/>
      <c r="AGJ123" s="425"/>
      <c r="AGK123" s="425"/>
      <c r="AGL123" s="425"/>
      <c r="AGM123" s="425"/>
      <c r="AGN123" s="425"/>
      <c r="AGO123" s="425"/>
      <c r="AGP123" s="425"/>
      <c r="AGQ123" s="425"/>
      <c r="AGR123" s="425"/>
      <c r="AGS123" s="425"/>
      <c r="AGT123" s="425"/>
      <c r="AGU123" s="425"/>
      <c r="AGV123" s="425"/>
      <c r="AGW123" s="425"/>
      <c r="AGX123" s="425"/>
      <c r="AGY123" s="425"/>
      <c r="AGZ123" s="425"/>
      <c r="AHA123" s="425"/>
      <c r="AHB123" s="425"/>
      <c r="AHC123" s="425"/>
      <c r="AHD123" s="425"/>
      <c r="AHE123" s="425"/>
      <c r="AHF123" s="425"/>
      <c r="AHG123" s="425"/>
      <c r="AHH123" s="425"/>
      <c r="AHI123" s="425"/>
      <c r="AHJ123" s="425"/>
      <c r="AHK123" s="425"/>
      <c r="AHL123" s="425"/>
      <c r="AHM123" s="425"/>
      <c r="AHN123" s="425"/>
      <c r="AHO123" s="425"/>
      <c r="AHP123" s="425"/>
      <c r="AHQ123" s="425"/>
      <c r="AHR123" s="425"/>
      <c r="AHS123" s="425"/>
      <c r="AHT123" s="425"/>
      <c r="AHU123" s="425"/>
      <c r="AHV123" s="425"/>
      <c r="AHW123" s="425"/>
      <c r="AHX123" s="425"/>
      <c r="AHY123" s="425"/>
      <c r="AHZ123" s="425"/>
      <c r="AIA123" s="425"/>
      <c r="AIB123" s="425"/>
      <c r="AIC123" s="425"/>
      <c r="AID123" s="425"/>
      <c r="AIE123" s="425"/>
      <c r="AIF123" s="425"/>
      <c r="AIG123" s="425"/>
      <c r="AIH123" s="425"/>
      <c r="AII123" s="425"/>
      <c r="AIJ123" s="425"/>
      <c r="AIK123" s="425"/>
      <c r="AIL123" s="425"/>
      <c r="AIM123" s="425"/>
      <c r="AIN123" s="425"/>
      <c r="AIO123" s="425"/>
      <c r="AIP123" s="425"/>
      <c r="AIQ123" s="425"/>
      <c r="AIR123" s="425"/>
      <c r="AIS123" s="425"/>
      <c r="AIT123" s="425"/>
      <c r="AIU123" s="425"/>
      <c r="AIV123" s="425"/>
      <c r="AIW123" s="425"/>
      <c r="AIX123" s="425"/>
      <c r="AIY123" s="425"/>
      <c r="AIZ123" s="425"/>
      <c r="AJA123" s="425"/>
      <c r="AJB123" s="425"/>
      <c r="AJC123" s="425"/>
      <c r="AJD123" s="425"/>
      <c r="AJE123" s="425"/>
      <c r="AJF123" s="425"/>
      <c r="AJG123" s="425"/>
      <c r="AJH123" s="425"/>
      <c r="AJI123" s="425"/>
      <c r="AJJ123" s="425"/>
      <c r="AJK123" s="425"/>
      <c r="AJL123" s="425"/>
      <c r="AJM123" s="425"/>
      <c r="AJN123" s="425"/>
      <c r="AJO123" s="425"/>
      <c r="AJP123" s="425"/>
      <c r="AJQ123" s="425"/>
      <c r="AJR123" s="425"/>
      <c r="AJS123" s="425"/>
      <c r="AJT123" s="425"/>
      <c r="AJU123" s="425"/>
      <c r="AJV123" s="425"/>
      <c r="AJW123" s="425"/>
      <c r="AJX123" s="425"/>
      <c r="AJY123" s="425"/>
      <c r="AJZ123" s="425"/>
      <c r="AKA123" s="425"/>
      <c r="AKB123" s="425"/>
      <c r="AKC123" s="425"/>
      <c r="AKD123" s="425"/>
      <c r="AKE123" s="425"/>
      <c r="AKF123" s="425"/>
      <c r="AKG123" s="425"/>
      <c r="AKH123" s="425"/>
      <c r="AKI123" s="425"/>
      <c r="AKJ123" s="425"/>
      <c r="AKK123" s="425"/>
      <c r="AKL123" s="425"/>
      <c r="AKM123" s="425"/>
      <c r="AKN123" s="425"/>
      <c r="AKO123" s="425"/>
      <c r="AKP123" s="425"/>
      <c r="AKQ123" s="425"/>
      <c r="AKR123" s="425"/>
      <c r="AKS123" s="425"/>
      <c r="AKT123" s="425"/>
      <c r="AKU123" s="425"/>
      <c r="AKV123" s="425"/>
      <c r="AKW123" s="425"/>
      <c r="AKX123" s="425"/>
      <c r="AKY123" s="425"/>
      <c r="AKZ123" s="425"/>
      <c r="ALA123" s="425"/>
      <c r="ALB123" s="425"/>
      <c r="ALC123" s="425"/>
      <c r="ALD123" s="425"/>
      <c r="ALE123" s="425"/>
      <c r="ALF123" s="425"/>
      <c r="ALG123" s="425"/>
      <c r="ALH123" s="425"/>
      <c r="ALI123" s="425"/>
      <c r="ALJ123" s="425"/>
      <c r="ALK123" s="425"/>
      <c r="ALL123" s="425"/>
      <c r="ALM123" s="425"/>
      <c r="ALN123" s="425"/>
      <c r="ALO123" s="425"/>
      <c r="ALP123" s="425"/>
      <c r="ALQ123" s="425"/>
      <c r="ALR123" s="425"/>
      <c r="ALS123" s="425"/>
      <c r="ALT123" s="425"/>
      <c r="ALU123" s="425"/>
      <c r="ALV123" s="425"/>
      <c r="ALW123" s="425"/>
      <c r="ALX123" s="425"/>
      <c r="ALY123" s="425"/>
      <c r="ALZ123" s="425"/>
      <c r="AMA123" s="425"/>
      <c r="AMB123" s="425"/>
      <c r="AMC123" s="425"/>
      <c r="AMD123" s="425"/>
      <c r="AME123" s="425"/>
      <c r="AMF123" s="425"/>
      <c r="AMG123" s="425"/>
      <c r="AMH123" s="418"/>
    </row>
    <row r="124" spans="1:1022" x14ac:dyDescent="0.25">
      <c r="A124" s="426">
        <v>4</v>
      </c>
      <c r="B124" s="427" t="s">
        <v>144</v>
      </c>
      <c r="C124" s="427" t="s">
        <v>62</v>
      </c>
      <c r="D124" s="426"/>
      <c r="E124" s="428" t="s">
        <v>141</v>
      </c>
      <c r="F124" s="417" t="s">
        <v>451</v>
      </c>
      <c r="G124" s="428" t="s">
        <v>142</v>
      </c>
      <c r="H124" s="430">
        <v>7</v>
      </c>
      <c r="I124" s="430">
        <v>7</v>
      </c>
      <c r="J124" s="430">
        <v>7</v>
      </c>
      <c r="K124" s="431">
        <v>8121.62</v>
      </c>
      <c r="L124" s="431">
        <v>8121.62</v>
      </c>
      <c r="M124" s="431">
        <v>0</v>
      </c>
      <c r="N124" s="430">
        <v>3</v>
      </c>
      <c r="O124" s="431">
        <v>3595.1</v>
      </c>
      <c r="P124" s="431">
        <v>3595.1</v>
      </c>
      <c r="Q124" s="431">
        <v>0</v>
      </c>
      <c r="R124" s="425"/>
      <c r="S124" s="425"/>
      <c r="T124" s="425"/>
      <c r="U124" s="425"/>
      <c r="V124" s="425"/>
      <c r="W124" s="425"/>
      <c r="X124" s="425"/>
      <c r="Y124" s="425"/>
      <c r="Z124" s="425"/>
      <c r="AA124" s="425"/>
      <c r="AB124" s="425"/>
      <c r="AC124" s="425"/>
      <c r="AD124" s="425"/>
      <c r="AE124" s="425"/>
      <c r="AF124" s="425"/>
      <c r="AG124" s="425"/>
      <c r="AH124" s="425"/>
      <c r="AI124" s="425"/>
      <c r="AJ124" s="425"/>
      <c r="AK124" s="425"/>
      <c r="AL124" s="425"/>
      <c r="AM124" s="425"/>
      <c r="AN124" s="425"/>
      <c r="AO124" s="425"/>
      <c r="AP124" s="425"/>
      <c r="AQ124" s="425"/>
      <c r="AR124" s="425"/>
      <c r="AS124" s="425"/>
      <c r="AT124" s="425"/>
      <c r="AU124" s="425"/>
      <c r="AV124" s="425"/>
      <c r="AW124" s="425"/>
      <c r="AX124" s="425"/>
      <c r="AY124" s="425"/>
      <c r="AZ124" s="425"/>
      <c r="BA124" s="425"/>
      <c r="BB124" s="425"/>
      <c r="BC124" s="425"/>
      <c r="BD124" s="425"/>
      <c r="BE124" s="425"/>
      <c r="BF124" s="425"/>
      <c r="BG124" s="425"/>
      <c r="BH124" s="425"/>
      <c r="BI124" s="425"/>
      <c r="BJ124" s="425"/>
      <c r="BK124" s="425"/>
      <c r="BL124" s="425"/>
      <c r="BM124" s="425"/>
      <c r="BN124" s="425"/>
      <c r="BO124" s="425"/>
      <c r="BP124" s="425"/>
      <c r="BQ124" s="425"/>
      <c r="BR124" s="425"/>
      <c r="BS124" s="425"/>
      <c r="BT124" s="425"/>
      <c r="BU124" s="425"/>
      <c r="BV124" s="425"/>
      <c r="BW124" s="425"/>
      <c r="BX124" s="425"/>
      <c r="BY124" s="425"/>
      <c r="BZ124" s="425"/>
      <c r="CA124" s="425"/>
      <c r="CB124" s="425"/>
      <c r="CC124" s="425"/>
      <c r="CD124" s="425"/>
      <c r="CE124" s="425"/>
      <c r="CF124" s="425"/>
      <c r="CG124" s="425"/>
      <c r="CH124" s="425"/>
      <c r="CI124" s="425"/>
      <c r="CJ124" s="425"/>
      <c r="CK124" s="425"/>
      <c r="CL124" s="425"/>
      <c r="CM124" s="425"/>
      <c r="CN124" s="425"/>
      <c r="CO124" s="425"/>
      <c r="CP124" s="425"/>
      <c r="CQ124" s="425"/>
      <c r="CR124" s="425"/>
      <c r="CS124" s="425"/>
      <c r="CT124" s="425"/>
      <c r="CU124" s="425"/>
      <c r="CV124" s="425"/>
      <c r="CW124" s="425"/>
      <c r="CX124" s="425"/>
      <c r="CY124" s="425"/>
      <c r="CZ124" s="425"/>
      <c r="DA124" s="425"/>
      <c r="DB124" s="425"/>
      <c r="DC124" s="425"/>
      <c r="DD124" s="425"/>
      <c r="DE124" s="425"/>
      <c r="DF124" s="425"/>
      <c r="DG124" s="425"/>
      <c r="DH124" s="425"/>
      <c r="DI124" s="425"/>
      <c r="DJ124" s="425"/>
      <c r="DK124" s="425"/>
      <c r="DL124" s="425"/>
      <c r="DM124" s="425"/>
      <c r="DN124" s="425"/>
      <c r="DO124" s="425"/>
      <c r="DP124" s="425"/>
      <c r="DQ124" s="425"/>
      <c r="DR124" s="425"/>
      <c r="DS124" s="425"/>
      <c r="DT124" s="425"/>
      <c r="DU124" s="425"/>
      <c r="DV124" s="425"/>
      <c r="DW124" s="425"/>
      <c r="DX124" s="425"/>
      <c r="DY124" s="425"/>
      <c r="DZ124" s="425"/>
      <c r="EA124" s="425"/>
      <c r="EB124" s="425"/>
      <c r="EC124" s="425"/>
      <c r="ED124" s="425"/>
      <c r="EE124" s="425"/>
      <c r="EF124" s="425"/>
      <c r="EG124" s="425"/>
      <c r="EH124" s="425"/>
      <c r="EI124" s="425"/>
      <c r="EJ124" s="425"/>
      <c r="EK124" s="425"/>
      <c r="EL124" s="425"/>
      <c r="EM124" s="425"/>
      <c r="EN124" s="425"/>
      <c r="EO124" s="425"/>
      <c r="EP124" s="425"/>
      <c r="EQ124" s="425"/>
      <c r="ER124" s="425"/>
      <c r="ES124" s="425"/>
      <c r="ET124" s="425"/>
      <c r="EU124" s="425"/>
      <c r="EV124" s="425"/>
      <c r="EW124" s="425"/>
      <c r="EX124" s="425"/>
      <c r="EY124" s="425"/>
      <c r="EZ124" s="425"/>
      <c r="FA124" s="425"/>
      <c r="FB124" s="425"/>
      <c r="FC124" s="425"/>
      <c r="FD124" s="425"/>
      <c r="FE124" s="425"/>
      <c r="FF124" s="425"/>
      <c r="FG124" s="425"/>
      <c r="FH124" s="425"/>
      <c r="FI124" s="425"/>
      <c r="FJ124" s="425"/>
      <c r="FK124" s="425"/>
      <c r="FL124" s="425"/>
      <c r="FM124" s="425"/>
      <c r="FN124" s="425"/>
      <c r="FO124" s="425"/>
      <c r="FP124" s="425"/>
      <c r="FQ124" s="425"/>
      <c r="FR124" s="425"/>
      <c r="FS124" s="425"/>
      <c r="FT124" s="425"/>
      <c r="FU124" s="425"/>
      <c r="FV124" s="425"/>
      <c r="FW124" s="425"/>
      <c r="FX124" s="425"/>
      <c r="FY124" s="425"/>
      <c r="FZ124" s="425"/>
      <c r="GA124" s="425"/>
      <c r="GB124" s="425"/>
      <c r="GC124" s="425"/>
      <c r="GD124" s="425"/>
      <c r="GE124" s="425"/>
      <c r="GF124" s="425"/>
      <c r="GG124" s="425"/>
      <c r="GH124" s="425"/>
      <c r="GI124" s="425"/>
      <c r="GJ124" s="425"/>
      <c r="GK124" s="425"/>
      <c r="GL124" s="425"/>
      <c r="GM124" s="425"/>
      <c r="GN124" s="425"/>
      <c r="GO124" s="425"/>
      <c r="GP124" s="425"/>
      <c r="GQ124" s="425"/>
      <c r="GR124" s="425"/>
      <c r="GS124" s="425"/>
      <c r="GT124" s="425"/>
      <c r="GU124" s="425"/>
      <c r="GV124" s="425"/>
      <c r="GW124" s="425"/>
      <c r="GX124" s="425"/>
      <c r="GY124" s="425"/>
      <c r="GZ124" s="425"/>
      <c r="HA124" s="425"/>
      <c r="HB124" s="425"/>
      <c r="HC124" s="425"/>
      <c r="HD124" s="425"/>
      <c r="HE124" s="425"/>
      <c r="HF124" s="425"/>
      <c r="HG124" s="425"/>
      <c r="HH124" s="425"/>
      <c r="HI124" s="425"/>
      <c r="HJ124" s="425"/>
      <c r="HK124" s="425"/>
      <c r="HL124" s="425"/>
      <c r="HM124" s="425"/>
      <c r="HN124" s="425"/>
      <c r="HO124" s="425"/>
      <c r="HP124" s="425"/>
      <c r="HQ124" s="425"/>
      <c r="HR124" s="425"/>
      <c r="HS124" s="425"/>
      <c r="HT124" s="425"/>
      <c r="HU124" s="425"/>
      <c r="HV124" s="425"/>
      <c r="HW124" s="425"/>
      <c r="HX124" s="425"/>
      <c r="HY124" s="425"/>
      <c r="HZ124" s="425"/>
      <c r="IA124" s="425"/>
      <c r="IB124" s="425"/>
      <c r="IC124" s="425"/>
      <c r="ID124" s="425"/>
      <c r="IE124" s="425"/>
      <c r="IF124" s="425"/>
      <c r="IG124" s="425"/>
      <c r="IH124" s="425"/>
      <c r="II124" s="425"/>
      <c r="IJ124" s="425"/>
      <c r="IK124" s="425"/>
      <c r="IL124" s="425"/>
      <c r="IM124" s="425"/>
      <c r="IN124" s="425"/>
      <c r="IO124" s="425"/>
      <c r="IP124" s="425"/>
      <c r="IQ124" s="425"/>
      <c r="IR124" s="425"/>
      <c r="IS124" s="425"/>
      <c r="IT124" s="425"/>
      <c r="IU124" s="425"/>
      <c r="IV124" s="425"/>
      <c r="IW124" s="425"/>
      <c r="IX124" s="425"/>
      <c r="IY124" s="425"/>
      <c r="IZ124" s="425"/>
      <c r="JA124" s="425"/>
      <c r="JB124" s="425"/>
      <c r="JC124" s="425"/>
      <c r="JD124" s="425"/>
      <c r="JE124" s="425"/>
      <c r="JF124" s="425"/>
      <c r="JG124" s="425"/>
      <c r="JH124" s="425"/>
      <c r="JI124" s="425"/>
      <c r="JJ124" s="425"/>
      <c r="JK124" s="425"/>
      <c r="JL124" s="425"/>
      <c r="JM124" s="425"/>
      <c r="JN124" s="425"/>
      <c r="JO124" s="425"/>
      <c r="JP124" s="425"/>
      <c r="JQ124" s="425"/>
      <c r="JR124" s="425"/>
      <c r="JS124" s="425"/>
      <c r="JT124" s="425"/>
      <c r="JU124" s="425"/>
      <c r="JV124" s="425"/>
      <c r="JW124" s="425"/>
      <c r="JX124" s="425"/>
      <c r="JY124" s="425"/>
      <c r="JZ124" s="425"/>
      <c r="KA124" s="425"/>
      <c r="KB124" s="425"/>
      <c r="KC124" s="425"/>
      <c r="KD124" s="425"/>
      <c r="KE124" s="425"/>
      <c r="KF124" s="425"/>
      <c r="KG124" s="425"/>
      <c r="KH124" s="425"/>
      <c r="KI124" s="425"/>
      <c r="KJ124" s="425"/>
      <c r="KK124" s="425"/>
      <c r="KL124" s="425"/>
      <c r="KM124" s="425"/>
      <c r="KN124" s="425"/>
      <c r="KO124" s="425"/>
      <c r="KP124" s="425"/>
      <c r="KQ124" s="425"/>
      <c r="KR124" s="425"/>
      <c r="KS124" s="425"/>
      <c r="KT124" s="425"/>
      <c r="KU124" s="425"/>
      <c r="KV124" s="425"/>
      <c r="KW124" s="425"/>
      <c r="KX124" s="425"/>
      <c r="KY124" s="425"/>
      <c r="KZ124" s="425"/>
      <c r="LA124" s="425"/>
      <c r="LB124" s="425"/>
      <c r="LC124" s="425"/>
      <c r="LD124" s="425"/>
      <c r="LE124" s="425"/>
      <c r="LF124" s="425"/>
      <c r="LG124" s="425"/>
      <c r="LH124" s="425"/>
      <c r="LI124" s="425"/>
      <c r="LJ124" s="425"/>
      <c r="LK124" s="425"/>
      <c r="LL124" s="425"/>
      <c r="LM124" s="425"/>
      <c r="LN124" s="425"/>
      <c r="LO124" s="425"/>
      <c r="LP124" s="425"/>
      <c r="LQ124" s="425"/>
      <c r="LR124" s="425"/>
      <c r="LS124" s="425"/>
      <c r="LT124" s="425"/>
      <c r="LU124" s="425"/>
      <c r="LV124" s="425"/>
      <c r="LW124" s="425"/>
      <c r="LX124" s="425"/>
      <c r="LY124" s="425"/>
      <c r="LZ124" s="425"/>
      <c r="MA124" s="425"/>
      <c r="MB124" s="425"/>
      <c r="MC124" s="425"/>
      <c r="MD124" s="425"/>
      <c r="ME124" s="425"/>
      <c r="MF124" s="425"/>
      <c r="MG124" s="425"/>
      <c r="MH124" s="425"/>
      <c r="MI124" s="425"/>
      <c r="MJ124" s="425"/>
      <c r="MK124" s="425"/>
      <c r="ML124" s="425"/>
      <c r="MM124" s="425"/>
      <c r="MN124" s="425"/>
      <c r="MO124" s="425"/>
      <c r="MP124" s="425"/>
      <c r="MQ124" s="425"/>
      <c r="MR124" s="425"/>
      <c r="MS124" s="425"/>
      <c r="MT124" s="425"/>
      <c r="MU124" s="425"/>
      <c r="MV124" s="425"/>
      <c r="MW124" s="425"/>
      <c r="MX124" s="425"/>
      <c r="MY124" s="425"/>
      <c r="MZ124" s="425"/>
      <c r="NA124" s="425"/>
      <c r="NB124" s="425"/>
      <c r="NC124" s="425"/>
      <c r="ND124" s="425"/>
      <c r="NE124" s="425"/>
      <c r="NF124" s="425"/>
      <c r="NG124" s="425"/>
      <c r="NH124" s="425"/>
      <c r="NI124" s="425"/>
      <c r="NJ124" s="425"/>
      <c r="NK124" s="425"/>
      <c r="NL124" s="425"/>
      <c r="NM124" s="425"/>
      <c r="NN124" s="425"/>
      <c r="NO124" s="425"/>
      <c r="NP124" s="425"/>
      <c r="NQ124" s="425"/>
      <c r="NR124" s="425"/>
      <c r="NS124" s="425"/>
      <c r="NT124" s="425"/>
      <c r="NU124" s="425"/>
      <c r="NV124" s="425"/>
      <c r="NW124" s="425"/>
      <c r="NX124" s="425"/>
      <c r="NY124" s="425"/>
      <c r="NZ124" s="425"/>
      <c r="OA124" s="425"/>
      <c r="OB124" s="425"/>
      <c r="OC124" s="425"/>
      <c r="OD124" s="425"/>
      <c r="OE124" s="425"/>
      <c r="OF124" s="425"/>
      <c r="OG124" s="425"/>
      <c r="OH124" s="425"/>
      <c r="OI124" s="425"/>
      <c r="OJ124" s="425"/>
      <c r="OK124" s="425"/>
      <c r="OL124" s="425"/>
      <c r="OM124" s="425"/>
      <c r="ON124" s="425"/>
      <c r="OO124" s="425"/>
      <c r="OP124" s="425"/>
      <c r="OQ124" s="425"/>
      <c r="OR124" s="425"/>
      <c r="OS124" s="425"/>
      <c r="OT124" s="425"/>
      <c r="OU124" s="425"/>
      <c r="OV124" s="425"/>
      <c r="OW124" s="425"/>
      <c r="OX124" s="425"/>
      <c r="OY124" s="425"/>
      <c r="OZ124" s="425"/>
      <c r="PA124" s="425"/>
      <c r="PB124" s="425"/>
      <c r="PC124" s="425"/>
      <c r="PD124" s="425"/>
      <c r="PE124" s="425"/>
      <c r="PF124" s="425"/>
      <c r="PG124" s="425"/>
      <c r="PH124" s="425"/>
      <c r="PI124" s="425"/>
      <c r="PJ124" s="425"/>
      <c r="PK124" s="425"/>
      <c r="PL124" s="425"/>
      <c r="PM124" s="425"/>
      <c r="PN124" s="425"/>
      <c r="PO124" s="425"/>
      <c r="PP124" s="425"/>
      <c r="PQ124" s="425"/>
      <c r="PR124" s="425"/>
      <c r="PS124" s="425"/>
      <c r="PT124" s="425"/>
      <c r="PU124" s="425"/>
      <c r="PV124" s="425"/>
      <c r="PW124" s="425"/>
      <c r="PX124" s="425"/>
      <c r="PY124" s="425"/>
      <c r="PZ124" s="425"/>
      <c r="QA124" s="425"/>
      <c r="QB124" s="425"/>
      <c r="QC124" s="425"/>
      <c r="QD124" s="425"/>
      <c r="QE124" s="425"/>
      <c r="QF124" s="425"/>
      <c r="QG124" s="425"/>
      <c r="QH124" s="425"/>
      <c r="QI124" s="425"/>
      <c r="QJ124" s="425"/>
      <c r="QK124" s="425"/>
      <c r="QL124" s="425"/>
      <c r="QM124" s="425"/>
      <c r="QN124" s="425"/>
      <c r="QO124" s="425"/>
      <c r="QP124" s="425"/>
      <c r="QQ124" s="425"/>
      <c r="QR124" s="425"/>
      <c r="QS124" s="425"/>
      <c r="QT124" s="425"/>
      <c r="QU124" s="425"/>
      <c r="QV124" s="425"/>
      <c r="QW124" s="425"/>
      <c r="QX124" s="425"/>
      <c r="QY124" s="425"/>
      <c r="QZ124" s="425"/>
      <c r="RA124" s="425"/>
      <c r="RB124" s="425"/>
      <c r="RC124" s="425"/>
      <c r="RD124" s="425"/>
      <c r="RE124" s="425"/>
      <c r="RF124" s="425"/>
      <c r="RG124" s="425"/>
      <c r="RH124" s="425"/>
      <c r="RI124" s="425"/>
      <c r="RJ124" s="425"/>
      <c r="RK124" s="425"/>
      <c r="RL124" s="425"/>
      <c r="RM124" s="425"/>
      <c r="RN124" s="425"/>
      <c r="RO124" s="425"/>
      <c r="RP124" s="425"/>
      <c r="RQ124" s="425"/>
      <c r="RR124" s="425"/>
      <c r="RS124" s="425"/>
      <c r="RT124" s="425"/>
      <c r="RU124" s="425"/>
      <c r="RV124" s="425"/>
      <c r="RW124" s="425"/>
      <c r="RX124" s="425"/>
      <c r="RY124" s="425"/>
      <c r="RZ124" s="425"/>
      <c r="SA124" s="425"/>
      <c r="SB124" s="425"/>
      <c r="SC124" s="425"/>
      <c r="SD124" s="425"/>
      <c r="SE124" s="425"/>
      <c r="SF124" s="425"/>
      <c r="SG124" s="425"/>
      <c r="SH124" s="425"/>
      <c r="SI124" s="425"/>
      <c r="SJ124" s="425"/>
      <c r="SK124" s="425"/>
      <c r="SL124" s="425"/>
      <c r="SM124" s="425"/>
      <c r="SN124" s="425"/>
      <c r="SO124" s="425"/>
      <c r="SP124" s="425"/>
      <c r="SQ124" s="425"/>
      <c r="SR124" s="425"/>
      <c r="SS124" s="425"/>
      <c r="ST124" s="425"/>
      <c r="SU124" s="425"/>
      <c r="SV124" s="425"/>
      <c r="SW124" s="425"/>
      <c r="SX124" s="425"/>
      <c r="SY124" s="425"/>
      <c r="SZ124" s="425"/>
      <c r="TA124" s="425"/>
      <c r="TB124" s="425"/>
      <c r="TC124" s="425"/>
      <c r="TD124" s="425"/>
      <c r="TE124" s="425"/>
      <c r="TF124" s="425"/>
      <c r="TG124" s="425"/>
      <c r="TH124" s="425"/>
      <c r="TI124" s="425"/>
      <c r="TJ124" s="425"/>
      <c r="TK124" s="425"/>
      <c r="TL124" s="425"/>
      <c r="TM124" s="425"/>
      <c r="TN124" s="425"/>
      <c r="TO124" s="425"/>
      <c r="TP124" s="425"/>
      <c r="TQ124" s="425"/>
      <c r="TR124" s="425"/>
      <c r="TS124" s="425"/>
      <c r="TT124" s="425"/>
      <c r="TU124" s="425"/>
      <c r="TV124" s="425"/>
      <c r="TW124" s="425"/>
      <c r="TX124" s="425"/>
      <c r="TY124" s="425"/>
      <c r="TZ124" s="425"/>
      <c r="UA124" s="425"/>
      <c r="UB124" s="425"/>
      <c r="UC124" s="425"/>
      <c r="UD124" s="425"/>
      <c r="UE124" s="425"/>
      <c r="UF124" s="425"/>
      <c r="UG124" s="425"/>
      <c r="UH124" s="425"/>
      <c r="UI124" s="425"/>
      <c r="UJ124" s="425"/>
      <c r="UK124" s="425"/>
      <c r="UL124" s="425"/>
      <c r="UM124" s="425"/>
      <c r="UN124" s="425"/>
      <c r="UO124" s="425"/>
      <c r="UP124" s="425"/>
      <c r="UQ124" s="425"/>
      <c r="UR124" s="425"/>
      <c r="US124" s="425"/>
      <c r="UT124" s="425"/>
      <c r="UU124" s="425"/>
      <c r="UV124" s="425"/>
      <c r="UW124" s="425"/>
      <c r="UX124" s="425"/>
      <c r="UY124" s="425"/>
      <c r="UZ124" s="425"/>
      <c r="VA124" s="425"/>
      <c r="VB124" s="425"/>
      <c r="VC124" s="425"/>
      <c r="VD124" s="425"/>
      <c r="VE124" s="425"/>
      <c r="VF124" s="425"/>
      <c r="VG124" s="425"/>
      <c r="VH124" s="425"/>
      <c r="VI124" s="425"/>
      <c r="VJ124" s="425"/>
      <c r="VK124" s="425"/>
      <c r="VL124" s="425"/>
      <c r="VM124" s="425"/>
      <c r="VN124" s="425"/>
      <c r="VO124" s="425"/>
      <c r="VP124" s="425"/>
      <c r="VQ124" s="425"/>
      <c r="VR124" s="425"/>
      <c r="VS124" s="425"/>
      <c r="VT124" s="425"/>
      <c r="VU124" s="425"/>
      <c r="VV124" s="425"/>
      <c r="VW124" s="425"/>
      <c r="VX124" s="425"/>
      <c r="VY124" s="425"/>
      <c r="VZ124" s="425"/>
      <c r="WA124" s="425"/>
      <c r="WB124" s="425"/>
      <c r="WC124" s="425"/>
      <c r="WD124" s="425"/>
      <c r="WE124" s="425"/>
      <c r="WF124" s="425"/>
      <c r="WG124" s="425"/>
      <c r="WH124" s="425"/>
      <c r="WI124" s="425"/>
      <c r="WJ124" s="425"/>
      <c r="WK124" s="425"/>
      <c r="WL124" s="425"/>
      <c r="WM124" s="425"/>
      <c r="WN124" s="425"/>
      <c r="WO124" s="425"/>
      <c r="WP124" s="425"/>
      <c r="WQ124" s="425"/>
      <c r="WR124" s="425"/>
      <c r="WS124" s="425"/>
      <c r="WT124" s="425"/>
      <c r="WU124" s="425"/>
      <c r="WV124" s="425"/>
      <c r="WW124" s="425"/>
      <c r="WX124" s="425"/>
      <c r="WY124" s="425"/>
      <c r="WZ124" s="425"/>
      <c r="XA124" s="425"/>
      <c r="XB124" s="425"/>
      <c r="XC124" s="425"/>
      <c r="XD124" s="425"/>
      <c r="XE124" s="425"/>
      <c r="XF124" s="425"/>
      <c r="XG124" s="425"/>
      <c r="XH124" s="425"/>
      <c r="XI124" s="425"/>
      <c r="XJ124" s="425"/>
      <c r="XK124" s="425"/>
      <c r="XL124" s="425"/>
      <c r="XM124" s="425"/>
      <c r="XN124" s="425"/>
      <c r="XO124" s="425"/>
      <c r="XP124" s="425"/>
      <c r="XQ124" s="425"/>
      <c r="XR124" s="425"/>
      <c r="XS124" s="425"/>
      <c r="XT124" s="425"/>
      <c r="XU124" s="425"/>
      <c r="XV124" s="425"/>
      <c r="XW124" s="425"/>
      <c r="XX124" s="425"/>
      <c r="XY124" s="425"/>
      <c r="XZ124" s="425"/>
      <c r="YA124" s="425"/>
      <c r="YB124" s="425"/>
      <c r="YC124" s="425"/>
      <c r="YD124" s="425"/>
      <c r="YE124" s="425"/>
      <c r="YF124" s="425"/>
      <c r="YG124" s="425"/>
      <c r="YH124" s="425"/>
      <c r="YI124" s="425"/>
      <c r="YJ124" s="425"/>
      <c r="YK124" s="425"/>
      <c r="YL124" s="425"/>
      <c r="YM124" s="425"/>
      <c r="YN124" s="425"/>
      <c r="YO124" s="425"/>
      <c r="YP124" s="425"/>
      <c r="YQ124" s="425"/>
      <c r="YR124" s="425"/>
      <c r="YS124" s="425"/>
      <c r="YT124" s="425"/>
      <c r="YU124" s="425"/>
      <c r="YV124" s="425"/>
      <c r="YW124" s="425"/>
      <c r="YX124" s="425"/>
      <c r="YY124" s="425"/>
      <c r="YZ124" s="425"/>
      <c r="ZA124" s="425"/>
      <c r="ZB124" s="425"/>
      <c r="ZC124" s="425"/>
      <c r="ZD124" s="425"/>
      <c r="ZE124" s="425"/>
      <c r="ZF124" s="425"/>
      <c r="ZG124" s="425"/>
      <c r="ZH124" s="425"/>
      <c r="ZI124" s="425"/>
      <c r="ZJ124" s="425"/>
      <c r="ZK124" s="425"/>
      <c r="ZL124" s="425"/>
      <c r="ZM124" s="425"/>
      <c r="ZN124" s="425"/>
      <c r="ZO124" s="425"/>
      <c r="ZP124" s="425"/>
      <c r="ZQ124" s="425"/>
      <c r="ZR124" s="425"/>
      <c r="ZS124" s="425"/>
      <c r="ZT124" s="425"/>
      <c r="ZU124" s="425"/>
      <c r="ZV124" s="425"/>
      <c r="ZW124" s="425"/>
      <c r="ZX124" s="425"/>
      <c r="ZY124" s="425"/>
      <c r="ZZ124" s="425"/>
      <c r="AAA124" s="425"/>
      <c r="AAB124" s="425"/>
      <c r="AAC124" s="425"/>
      <c r="AAD124" s="425"/>
      <c r="AAE124" s="425"/>
      <c r="AAF124" s="425"/>
      <c r="AAG124" s="425"/>
      <c r="AAH124" s="425"/>
      <c r="AAI124" s="425"/>
      <c r="AAJ124" s="425"/>
      <c r="AAK124" s="425"/>
      <c r="AAL124" s="425"/>
      <c r="AAM124" s="425"/>
      <c r="AAN124" s="425"/>
      <c r="AAO124" s="425"/>
      <c r="AAP124" s="425"/>
      <c r="AAQ124" s="425"/>
      <c r="AAR124" s="425"/>
      <c r="AAS124" s="425"/>
      <c r="AAT124" s="425"/>
      <c r="AAU124" s="425"/>
      <c r="AAV124" s="425"/>
      <c r="AAW124" s="425"/>
      <c r="AAX124" s="425"/>
      <c r="AAY124" s="425"/>
      <c r="AAZ124" s="425"/>
      <c r="ABA124" s="425"/>
      <c r="ABB124" s="425"/>
      <c r="ABC124" s="425"/>
      <c r="ABD124" s="425"/>
      <c r="ABE124" s="425"/>
      <c r="ABF124" s="425"/>
      <c r="ABG124" s="425"/>
      <c r="ABH124" s="425"/>
      <c r="ABI124" s="425"/>
      <c r="ABJ124" s="425"/>
      <c r="ABK124" s="425"/>
      <c r="ABL124" s="425"/>
      <c r="ABM124" s="425"/>
      <c r="ABN124" s="425"/>
      <c r="ABO124" s="425"/>
      <c r="ABP124" s="425"/>
      <c r="ABQ124" s="425"/>
      <c r="ABR124" s="425"/>
      <c r="ABS124" s="425"/>
      <c r="ABT124" s="425"/>
      <c r="ABU124" s="425"/>
      <c r="ABV124" s="425"/>
      <c r="ABW124" s="425"/>
      <c r="ABX124" s="425"/>
      <c r="ABY124" s="425"/>
      <c r="ABZ124" s="425"/>
      <c r="ACA124" s="425"/>
      <c r="ACB124" s="425"/>
      <c r="ACC124" s="425"/>
      <c r="ACD124" s="425"/>
      <c r="ACE124" s="425"/>
      <c r="ACF124" s="425"/>
      <c r="ACG124" s="425"/>
      <c r="ACH124" s="425"/>
      <c r="ACI124" s="425"/>
      <c r="ACJ124" s="425"/>
      <c r="ACK124" s="425"/>
      <c r="ACL124" s="425"/>
      <c r="ACM124" s="425"/>
      <c r="ACN124" s="425"/>
      <c r="ACO124" s="425"/>
      <c r="ACP124" s="425"/>
      <c r="ACQ124" s="425"/>
      <c r="ACR124" s="425"/>
      <c r="ACS124" s="425"/>
      <c r="ACT124" s="425"/>
      <c r="ACU124" s="425"/>
      <c r="ACV124" s="425"/>
      <c r="ACW124" s="425"/>
      <c r="ACX124" s="425"/>
      <c r="ACY124" s="425"/>
      <c r="ACZ124" s="425"/>
      <c r="ADA124" s="425"/>
      <c r="ADB124" s="425"/>
      <c r="ADC124" s="425"/>
      <c r="ADD124" s="425"/>
      <c r="ADE124" s="425"/>
      <c r="ADF124" s="425"/>
      <c r="ADG124" s="425"/>
      <c r="ADH124" s="425"/>
      <c r="ADI124" s="425"/>
      <c r="ADJ124" s="425"/>
      <c r="ADK124" s="425"/>
      <c r="ADL124" s="425"/>
      <c r="ADM124" s="425"/>
      <c r="ADN124" s="425"/>
      <c r="ADO124" s="425"/>
      <c r="ADP124" s="425"/>
      <c r="ADQ124" s="425"/>
      <c r="ADR124" s="425"/>
      <c r="ADS124" s="425"/>
      <c r="ADT124" s="425"/>
      <c r="ADU124" s="425"/>
      <c r="ADV124" s="425"/>
      <c r="ADW124" s="425"/>
      <c r="ADX124" s="425"/>
      <c r="ADY124" s="425"/>
      <c r="ADZ124" s="425"/>
      <c r="AEA124" s="425"/>
      <c r="AEB124" s="425"/>
      <c r="AEC124" s="425"/>
      <c r="AED124" s="425"/>
      <c r="AEE124" s="425"/>
      <c r="AEF124" s="425"/>
      <c r="AEG124" s="425"/>
      <c r="AEH124" s="425"/>
      <c r="AEI124" s="425"/>
      <c r="AEJ124" s="425"/>
      <c r="AEK124" s="425"/>
      <c r="AEL124" s="425"/>
      <c r="AEM124" s="425"/>
      <c r="AEN124" s="425"/>
      <c r="AEO124" s="425"/>
      <c r="AEP124" s="425"/>
      <c r="AEQ124" s="425"/>
      <c r="AER124" s="425"/>
      <c r="AES124" s="425"/>
      <c r="AET124" s="425"/>
      <c r="AEU124" s="425"/>
      <c r="AEV124" s="425"/>
      <c r="AEW124" s="425"/>
      <c r="AEX124" s="425"/>
      <c r="AEY124" s="425"/>
      <c r="AEZ124" s="425"/>
      <c r="AFA124" s="425"/>
      <c r="AFB124" s="425"/>
      <c r="AFC124" s="425"/>
      <c r="AFD124" s="425"/>
      <c r="AFE124" s="425"/>
      <c r="AFF124" s="425"/>
      <c r="AFG124" s="425"/>
      <c r="AFH124" s="425"/>
      <c r="AFI124" s="425"/>
      <c r="AFJ124" s="425"/>
      <c r="AFK124" s="425"/>
      <c r="AFL124" s="425"/>
      <c r="AFM124" s="425"/>
      <c r="AFN124" s="425"/>
      <c r="AFO124" s="425"/>
      <c r="AFP124" s="425"/>
      <c r="AFQ124" s="425"/>
      <c r="AFR124" s="425"/>
      <c r="AFS124" s="425"/>
      <c r="AFT124" s="425"/>
      <c r="AFU124" s="425"/>
      <c r="AFV124" s="425"/>
      <c r="AFW124" s="425"/>
      <c r="AFX124" s="425"/>
      <c r="AFY124" s="425"/>
      <c r="AFZ124" s="425"/>
      <c r="AGA124" s="425"/>
      <c r="AGB124" s="425"/>
      <c r="AGC124" s="425"/>
      <c r="AGD124" s="425"/>
      <c r="AGE124" s="425"/>
      <c r="AGF124" s="425"/>
      <c r="AGG124" s="425"/>
      <c r="AGH124" s="425"/>
      <c r="AGI124" s="425"/>
      <c r="AGJ124" s="425"/>
      <c r="AGK124" s="425"/>
      <c r="AGL124" s="425"/>
      <c r="AGM124" s="425"/>
      <c r="AGN124" s="425"/>
      <c r="AGO124" s="425"/>
      <c r="AGP124" s="425"/>
      <c r="AGQ124" s="425"/>
      <c r="AGR124" s="425"/>
      <c r="AGS124" s="425"/>
      <c r="AGT124" s="425"/>
      <c r="AGU124" s="425"/>
      <c r="AGV124" s="425"/>
      <c r="AGW124" s="425"/>
      <c r="AGX124" s="425"/>
      <c r="AGY124" s="425"/>
      <c r="AGZ124" s="425"/>
      <c r="AHA124" s="425"/>
      <c r="AHB124" s="425"/>
      <c r="AHC124" s="425"/>
      <c r="AHD124" s="425"/>
      <c r="AHE124" s="425"/>
      <c r="AHF124" s="425"/>
      <c r="AHG124" s="425"/>
      <c r="AHH124" s="425"/>
      <c r="AHI124" s="425"/>
      <c r="AHJ124" s="425"/>
      <c r="AHK124" s="425"/>
      <c r="AHL124" s="425"/>
      <c r="AHM124" s="425"/>
      <c r="AHN124" s="425"/>
      <c r="AHO124" s="425"/>
      <c r="AHP124" s="425"/>
      <c r="AHQ124" s="425"/>
      <c r="AHR124" s="425"/>
      <c r="AHS124" s="425"/>
      <c r="AHT124" s="425"/>
      <c r="AHU124" s="425"/>
      <c r="AHV124" s="425"/>
      <c r="AHW124" s="425"/>
      <c r="AHX124" s="425"/>
      <c r="AHY124" s="425"/>
      <c r="AHZ124" s="425"/>
      <c r="AIA124" s="425"/>
      <c r="AIB124" s="425"/>
      <c r="AIC124" s="425"/>
      <c r="AID124" s="425"/>
      <c r="AIE124" s="425"/>
      <c r="AIF124" s="425"/>
      <c r="AIG124" s="425"/>
      <c r="AIH124" s="425"/>
      <c r="AII124" s="425"/>
      <c r="AIJ124" s="425"/>
      <c r="AIK124" s="425"/>
      <c r="AIL124" s="425"/>
      <c r="AIM124" s="425"/>
      <c r="AIN124" s="425"/>
      <c r="AIO124" s="425"/>
      <c r="AIP124" s="425"/>
      <c r="AIQ124" s="425"/>
      <c r="AIR124" s="425"/>
      <c r="AIS124" s="425"/>
      <c r="AIT124" s="425"/>
      <c r="AIU124" s="425"/>
      <c r="AIV124" s="425"/>
      <c r="AIW124" s="425"/>
      <c r="AIX124" s="425"/>
      <c r="AIY124" s="425"/>
      <c r="AIZ124" s="425"/>
      <c r="AJA124" s="425"/>
      <c r="AJB124" s="425"/>
      <c r="AJC124" s="425"/>
      <c r="AJD124" s="425"/>
      <c r="AJE124" s="425"/>
      <c r="AJF124" s="425"/>
      <c r="AJG124" s="425"/>
      <c r="AJH124" s="425"/>
      <c r="AJI124" s="425"/>
      <c r="AJJ124" s="425"/>
      <c r="AJK124" s="425"/>
      <c r="AJL124" s="425"/>
      <c r="AJM124" s="425"/>
      <c r="AJN124" s="425"/>
      <c r="AJO124" s="425"/>
      <c r="AJP124" s="425"/>
      <c r="AJQ124" s="425"/>
      <c r="AJR124" s="425"/>
      <c r="AJS124" s="425"/>
      <c r="AJT124" s="425"/>
      <c r="AJU124" s="425"/>
      <c r="AJV124" s="425"/>
      <c r="AJW124" s="425"/>
      <c r="AJX124" s="425"/>
      <c r="AJY124" s="425"/>
      <c r="AJZ124" s="425"/>
      <c r="AKA124" s="425"/>
      <c r="AKB124" s="425"/>
      <c r="AKC124" s="425"/>
      <c r="AKD124" s="425"/>
      <c r="AKE124" s="425"/>
      <c r="AKF124" s="425"/>
      <c r="AKG124" s="425"/>
      <c r="AKH124" s="425"/>
      <c r="AKI124" s="425"/>
      <c r="AKJ124" s="425"/>
      <c r="AKK124" s="425"/>
      <c r="AKL124" s="425"/>
      <c r="AKM124" s="425"/>
      <c r="AKN124" s="425"/>
      <c r="AKO124" s="425"/>
      <c r="AKP124" s="425"/>
      <c r="AKQ124" s="425"/>
      <c r="AKR124" s="425"/>
      <c r="AKS124" s="425"/>
      <c r="AKT124" s="425"/>
      <c r="AKU124" s="425"/>
      <c r="AKV124" s="425"/>
      <c r="AKW124" s="425"/>
      <c r="AKX124" s="425"/>
      <c r="AKY124" s="425"/>
      <c r="AKZ124" s="425"/>
      <c r="ALA124" s="425"/>
      <c r="ALB124" s="425"/>
      <c r="ALC124" s="425"/>
      <c r="ALD124" s="425"/>
      <c r="ALE124" s="425"/>
      <c r="ALF124" s="425"/>
      <c r="ALG124" s="425"/>
      <c r="ALH124" s="425"/>
      <c r="ALI124" s="425"/>
      <c r="ALJ124" s="425"/>
      <c r="ALK124" s="425"/>
      <c r="ALL124" s="425"/>
      <c r="ALM124" s="425"/>
      <c r="ALN124" s="425"/>
      <c r="ALO124" s="425"/>
      <c r="ALP124" s="425"/>
      <c r="ALQ124" s="425"/>
      <c r="ALR124" s="425"/>
      <c r="ALS124" s="425"/>
      <c r="ALT124" s="425"/>
      <c r="ALU124" s="425"/>
      <c r="ALV124" s="425"/>
      <c r="ALW124" s="425"/>
      <c r="ALX124" s="425"/>
      <c r="ALY124" s="425"/>
      <c r="ALZ124" s="425"/>
      <c r="AMA124" s="425"/>
      <c r="AMB124" s="425"/>
      <c r="AMC124" s="425"/>
      <c r="AMD124" s="425"/>
      <c r="AME124" s="425"/>
      <c r="AMF124" s="425"/>
      <c r="AMG124" s="425"/>
      <c r="AMH124" s="418"/>
    </row>
    <row r="125" spans="1:1022" x14ac:dyDescent="0.25">
      <c r="A125" s="426">
        <v>5</v>
      </c>
      <c r="B125" s="427" t="s">
        <v>46</v>
      </c>
      <c r="C125" s="427" t="s">
        <v>62</v>
      </c>
      <c r="D125" s="426"/>
      <c r="E125" s="428" t="s">
        <v>452</v>
      </c>
      <c r="F125" s="417" t="s">
        <v>453</v>
      </c>
      <c r="G125" s="428" t="s">
        <v>142</v>
      </c>
      <c r="H125" s="430">
        <v>0</v>
      </c>
      <c r="I125" s="430">
        <v>0</v>
      </c>
      <c r="J125" s="430">
        <v>0</v>
      </c>
      <c r="K125" s="431">
        <v>0</v>
      </c>
      <c r="L125" s="431">
        <v>0</v>
      </c>
      <c r="M125" s="431">
        <v>0</v>
      </c>
      <c r="N125" s="430">
        <v>0</v>
      </c>
      <c r="O125" s="431">
        <v>0</v>
      </c>
      <c r="P125" s="431">
        <v>0</v>
      </c>
      <c r="Q125" s="431">
        <v>0</v>
      </c>
      <c r="R125" s="432"/>
      <c r="S125" s="432"/>
      <c r="T125" s="432"/>
      <c r="U125" s="432"/>
      <c r="V125" s="432"/>
      <c r="W125" s="432"/>
      <c r="X125" s="432"/>
      <c r="Y125" s="432"/>
      <c r="Z125" s="432"/>
      <c r="AA125" s="432"/>
      <c r="AB125" s="432"/>
      <c r="AC125" s="432"/>
      <c r="AD125" s="432"/>
      <c r="AE125" s="432"/>
      <c r="AF125" s="432"/>
      <c r="AG125" s="432"/>
      <c r="AH125" s="432"/>
      <c r="AI125" s="432"/>
      <c r="AJ125" s="432"/>
      <c r="AK125" s="432"/>
      <c r="AL125" s="432"/>
      <c r="AM125" s="432"/>
      <c r="AN125" s="432"/>
      <c r="AO125" s="432"/>
      <c r="AP125" s="432"/>
      <c r="AQ125" s="432"/>
      <c r="AR125" s="432"/>
      <c r="AS125" s="432"/>
      <c r="AT125" s="432"/>
      <c r="AU125" s="432"/>
      <c r="AV125" s="432"/>
      <c r="AW125" s="432"/>
      <c r="AX125" s="432"/>
      <c r="AY125" s="432"/>
      <c r="AZ125" s="432"/>
      <c r="BA125" s="432"/>
      <c r="BB125" s="432"/>
      <c r="BC125" s="432"/>
      <c r="BD125" s="432"/>
      <c r="BE125" s="432"/>
      <c r="BF125" s="432"/>
      <c r="BG125" s="432"/>
      <c r="BH125" s="432"/>
      <c r="BI125" s="432"/>
      <c r="BJ125" s="432"/>
      <c r="BK125" s="432"/>
      <c r="BL125" s="432"/>
      <c r="BM125" s="433"/>
      <c r="BN125" s="433"/>
      <c r="BO125" s="433"/>
      <c r="BP125" s="433"/>
      <c r="BQ125" s="433"/>
      <c r="BR125" s="433"/>
      <c r="BS125" s="433"/>
      <c r="BT125" s="433"/>
      <c r="BU125" s="433"/>
      <c r="BV125" s="433"/>
      <c r="BW125" s="433"/>
      <c r="BX125" s="433"/>
      <c r="BY125" s="433"/>
      <c r="BZ125" s="433"/>
      <c r="CA125" s="433"/>
      <c r="CB125" s="433"/>
      <c r="CC125" s="433"/>
      <c r="CD125" s="433"/>
      <c r="CE125" s="433"/>
      <c r="CF125" s="433"/>
      <c r="CG125" s="433"/>
      <c r="CH125" s="433"/>
      <c r="CI125" s="433"/>
      <c r="CJ125" s="433"/>
      <c r="CK125" s="433"/>
      <c r="CL125" s="433"/>
      <c r="CM125" s="433"/>
      <c r="CN125" s="433"/>
      <c r="CO125" s="433"/>
      <c r="CP125" s="433"/>
      <c r="CQ125" s="433"/>
      <c r="CR125" s="433"/>
      <c r="CS125" s="433"/>
      <c r="CT125" s="433"/>
      <c r="CU125" s="433"/>
      <c r="CV125" s="433"/>
      <c r="CW125" s="433"/>
      <c r="CX125" s="433"/>
      <c r="CY125" s="433"/>
      <c r="CZ125" s="433"/>
      <c r="DA125" s="433"/>
      <c r="DB125" s="433"/>
      <c r="DC125" s="433"/>
      <c r="DD125" s="433"/>
      <c r="DE125" s="433"/>
      <c r="DF125" s="433"/>
      <c r="DG125" s="433"/>
      <c r="DH125" s="433"/>
      <c r="DI125" s="433"/>
      <c r="DJ125" s="433"/>
      <c r="DK125" s="433"/>
      <c r="DL125" s="433"/>
      <c r="DM125" s="433"/>
      <c r="DN125" s="433"/>
      <c r="DO125" s="433"/>
      <c r="DP125" s="433"/>
      <c r="DQ125" s="433"/>
      <c r="DR125" s="433"/>
      <c r="DS125" s="433"/>
      <c r="DT125" s="433"/>
      <c r="DU125" s="433"/>
      <c r="DV125" s="433"/>
      <c r="DW125" s="433"/>
      <c r="DX125" s="433"/>
      <c r="DY125" s="433"/>
      <c r="DZ125" s="433"/>
      <c r="EA125" s="433"/>
      <c r="EB125" s="433"/>
      <c r="EC125" s="433"/>
      <c r="ED125" s="433"/>
      <c r="EE125" s="433"/>
      <c r="EF125" s="433"/>
      <c r="EG125" s="433"/>
      <c r="EH125" s="433"/>
      <c r="EI125" s="433"/>
      <c r="EJ125" s="433"/>
      <c r="EK125" s="433"/>
      <c r="EL125" s="433"/>
      <c r="EM125" s="433"/>
      <c r="EN125" s="433"/>
      <c r="EO125" s="433"/>
      <c r="EP125" s="433"/>
      <c r="EQ125" s="433"/>
      <c r="ER125" s="433"/>
      <c r="ES125" s="433"/>
      <c r="ET125" s="433"/>
      <c r="EU125" s="433"/>
      <c r="EV125" s="433"/>
      <c r="EW125" s="433"/>
      <c r="EX125" s="433"/>
      <c r="EY125" s="433"/>
      <c r="EZ125" s="433"/>
      <c r="FA125" s="433"/>
      <c r="FB125" s="433"/>
      <c r="FC125" s="433"/>
      <c r="FD125" s="433"/>
      <c r="FE125" s="433"/>
      <c r="FF125" s="433"/>
      <c r="FG125" s="433"/>
      <c r="FH125" s="433"/>
      <c r="FI125" s="433"/>
      <c r="FJ125" s="433"/>
      <c r="FK125" s="433"/>
      <c r="FL125" s="433"/>
      <c r="FM125" s="433"/>
      <c r="FN125" s="433"/>
      <c r="FO125" s="433"/>
      <c r="FP125" s="433"/>
      <c r="FQ125" s="433"/>
      <c r="FR125" s="433"/>
      <c r="FS125" s="433"/>
      <c r="FT125" s="433"/>
      <c r="FU125" s="433"/>
      <c r="FV125" s="433"/>
      <c r="FW125" s="433"/>
      <c r="FX125" s="433"/>
      <c r="FY125" s="433"/>
      <c r="FZ125" s="433"/>
      <c r="GA125" s="433"/>
      <c r="GB125" s="433"/>
      <c r="GC125" s="433"/>
      <c r="GD125" s="433"/>
      <c r="GE125" s="433"/>
      <c r="GF125" s="433"/>
      <c r="GG125" s="433"/>
      <c r="GH125" s="433"/>
      <c r="GI125" s="433"/>
      <c r="GJ125" s="433"/>
      <c r="GK125" s="433"/>
      <c r="GL125" s="433"/>
      <c r="GM125" s="433"/>
      <c r="GN125" s="433"/>
      <c r="GO125" s="433"/>
      <c r="GP125" s="433"/>
      <c r="GQ125" s="433"/>
      <c r="GR125" s="433"/>
      <c r="GS125" s="433"/>
      <c r="GT125" s="433"/>
      <c r="GU125" s="433"/>
      <c r="GV125" s="433"/>
      <c r="GW125" s="433"/>
      <c r="GX125" s="433"/>
      <c r="GY125" s="433"/>
      <c r="GZ125" s="433"/>
      <c r="HA125" s="433"/>
      <c r="HB125" s="433"/>
      <c r="HC125" s="433"/>
      <c r="HD125" s="433"/>
      <c r="HE125" s="433"/>
      <c r="HF125" s="433"/>
      <c r="HG125" s="433"/>
      <c r="HH125" s="433"/>
      <c r="HI125" s="433"/>
      <c r="HJ125" s="433"/>
      <c r="HK125" s="433"/>
      <c r="HL125" s="433"/>
      <c r="HM125" s="433"/>
      <c r="HN125" s="433"/>
      <c r="HO125" s="433"/>
      <c r="HP125" s="433"/>
      <c r="HQ125" s="433"/>
      <c r="HR125" s="433"/>
      <c r="HS125" s="433"/>
      <c r="HT125" s="433"/>
      <c r="HU125" s="433"/>
      <c r="HV125" s="433"/>
      <c r="HW125" s="433"/>
      <c r="HX125" s="433"/>
      <c r="HY125" s="433"/>
      <c r="HZ125" s="433"/>
      <c r="IA125" s="433"/>
      <c r="IB125" s="433"/>
      <c r="IC125" s="433"/>
      <c r="ID125" s="433"/>
      <c r="IE125" s="433"/>
      <c r="IF125" s="433"/>
      <c r="IG125" s="433"/>
      <c r="IH125" s="433"/>
      <c r="II125" s="433"/>
      <c r="IJ125" s="433"/>
      <c r="IK125" s="433"/>
      <c r="IL125" s="433"/>
      <c r="IM125" s="433"/>
      <c r="IN125" s="433"/>
      <c r="IO125" s="433"/>
      <c r="IP125" s="433"/>
      <c r="IQ125" s="433"/>
      <c r="IR125" s="433"/>
      <c r="IS125" s="433"/>
      <c r="IT125" s="433"/>
      <c r="IU125" s="433"/>
      <c r="IV125" s="433"/>
      <c r="IW125" s="433"/>
      <c r="IX125" s="433"/>
      <c r="IY125" s="433"/>
      <c r="IZ125" s="433"/>
      <c r="JA125" s="433"/>
      <c r="JB125" s="433"/>
      <c r="JC125" s="433"/>
      <c r="JD125" s="433"/>
      <c r="JE125" s="433"/>
      <c r="JF125" s="433"/>
      <c r="JG125" s="433"/>
      <c r="JH125" s="433"/>
      <c r="JI125" s="433"/>
      <c r="JJ125" s="433"/>
      <c r="JK125" s="433"/>
      <c r="JL125" s="433"/>
      <c r="JM125" s="433"/>
      <c r="JN125" s="433"/>
      <c r="JO125" s="433"/>
      <c r="JP125" s="433"/>
      <c r="JQ125" s="433"/>
      <c r="JR125" s="433"/>
      <c r="JS125" s="433"/>
      <c r="JT125" s="433"/>
      <c r="JU125" s="433"/>
      <c r="JV125" s="433"/>
      <c r="JW125" s="433"/>
      <c r="JX125" s="433"/>
      <c r="JY125" s="433"/>
      <c r="JZ125" s="433"/>
      <c r="KA125" s="433"/>
      <c r="KB125" s="433"/>
      <c r="KC125" s="433"/>
      <c r="KD125" s="433"/>
      <c r="KE125" s="433"/>
      <c r="KF125" s="433"/>
      <c r="KG125" s="433"/>
      <c r="KH125" s="433"/>
      <c r="KI125" s="433"/>
      <c r="KJ125" s="433"/>
      <c r="KK125" s="433"/>
      <c r="KL125" s="433"/>
      <c r="KM125" s="433"/>
      <c r="KN125" s="433"/>
      <c r="KO125" s="433"/>
      <c r="KP125" s="433"/>
      <c r="KQ125" s="433"/>
      <c r="KR125" s="433"/>
      <c r="KS125" s="433"/>
      <c r="KT125" s="433"/>
      <c r="KU125" s="433"/>
      <c r="KV125" s="433"/>
      <c r="KW125" s="433"/>
      <c r="KX125" s="433"/>
      <c r="KY125" s="433"/>
      <c r="KZ125" s="433"/>
      <c r="LA125" s="433"/>
      <c r="LB125" s="433"/>
      <c r="LC125" s="433"/>
      <c r="LD125" s="433"/>
      <c r="LE125" s="433"/>
      <c r="LF125" s="433"/>
      <c r="LG125" s="433"/>
      <c r="LH125" s="433"/>
      <c r="LI125" s="433"/>
      <c r="LJ125" s="433"/>
      <c r="LK125" s="433"/>
      <c r="LL125" s="433"/>
      <c r="LM125" s="433"/>
      <c r="LN125" s="433"/>
      <c r="LO125" s="433"/>
      <c r="LP125" s="433"/>
      <c r="LQ125" s="433"/>
      <c r="LR125" s="433"/>
      <c r="LS125" s="433"/>
      <c r="LT125" s="433"/>
      <c r="LU125" s="433"/>
      <c r="LV125" s="433"/>
      <c r="LW125" s="433"/>
      <c r="LX125" s="433"/>
      <c r="LY125" s="433"/>
      <c r="LZ125" s="433"/>
      <c r="MA125" s="433"/>
      <c r="MB125" s="433"/>
      <c r="MC125" s="433"/>
      <c r="MD125" s="433"/>
      <c r="ME125" s="433"/>
      <c r="MF125" s="433"/>
      <c r="MG125" s="433"/>
      <c r="MH125" s="433"/>
      <c r="MI125" s="433"/>
      <c r="MJ125" s="433"/>
      <c r="MK125" s="433"/>
      <c r="ML125" s="433"/>
      <c r="MM125" s="433"/>
      <c r="MN125" s="433"/>
      <c r="MO125" s="433"/>
      <c r="MP125" s="433"/>
      <c r="MQ125" s="433"/>
      <c r="MR125" s="433"/>
      <c r="MS125" s="433"/>
      <c r="MT125" s="433"/>
      <c r="MU125" s="433"/>
      <c r="MV125" s="433"/>
      <c r="MW125" s="433"/>
      <c r="MX125" s="433"/>
      <c r="MY125" s="433"/>
      <c r="MZ125" s="433"/>
      <c r="NA125" s="433"/>
      <c r="NB125" s="433"/>
      <c r="NC125" s="433"/>
      <c r="ND125" s="433"/>
      <c r="NE125" s="433"/>
      <c r="NF125" s="433"/>
      <c r="NG125" s="433"/>
      <c r="NH125" s="433"/>
      <c r="NI125" s="433"/>
      <c r="NJ125" s="433"/>
      <c r="NK125" s="433"/>
      <c r="NL125" s="433"/>
      <c r="NM125" s="433"/>
      <c r="NN125" s="433"/>
      <c r="NO125" s="433"/>
      <c r="NP125" s="433"/>
      <c r="NQ125" s="433"/>
      <c r="NR125" s="433"/>
      <c r="NS125" s="433"/>
      <c r="NT125" s="433"/>
      <c r="NU125" s="433"/>
      <c r="NV125" s="433"/>
      <c r="NW125" s="433"/>
      <c r="NX125" s="433"/>
      <c r="NY125" s="433"/>
      <c r="NZ125" s="433"/>
      <c r="OA125" s="433"/>
      <c r="OB125" s="433"/>
      <c r="OC125" s="433"/>
      <c r="OD125" s="433"/>
      <c r="OE125" s="433"/>
      <c r="OF125" s="433"/>
      <c r="OG125" s="433"/>
      <c r="OH125" s="433"/>
      <c r="OI125" s="433"/>
      <c r="OJ125" s="433"/>
      <c r="OK125" s="433"/>
      <c r="OL125" s="433"/>
      <c r="OM125" s="433"/>
      <c r="ON125" s="433"/>
      <c r="OO125" s="433"/>
      <c r="OP125" s="433"/>
      <c r="OQ125" s="433"/>
      <c r="OR125" s="433"/>
      <c r="OS125" s="433"/>
      <c r="OT125" s="433"/>
      <c r="OU125" s="433"/>
      <c r="OV125" s="433"/>
      <c r="OW125" s="433"/>
      <c r="OX125" s="433"/>
      <c r="OY125" s="433"/>
      <c r="OZ125" s="433"/>
      <c r="PA125" s="433"/>
      <c r="PB125" s="433"/>
      <c r="PC125" s="433"/>
      <c r="PD125" s="433"/>
      <c r="PE125" s="433"/>
      <c r="PF125" s="433"/>
      <c r="PG125" s="433"/>
      <c r="PH125" s="433"/>
      <c r="PI125" s="433"/>
      <c r="PJ125" s="433"/>
      <c r="PK125" s="433"/>
      <c r="PL125" s="433"/>
      <c r="PM125" s="433"/>
      <c r="PN125" s="433"/>
      <c r="PO125" s="433"/>
      <c r="PP125" s="433"/>
      <c r="PQ125" s="433"/>
      <c r="PR125" s="433"/>
      <c r="PS125" s="433"/>
      <c r="PT125" s="433"/>
      <c r="PU125" s="433"/>
      <c r="PV125" s="433"/>
      <c r="PW125" s="433"/>
      <c r="PX125" s="433"/>
      <c r="PY125" s="433"/>
      <c r="PZ125" s="433"/>
      <c r="QA125" s="433"/>
      <c r="QB125" s="433"/>
      <c r="QC125" s="433"/>
      <c r="QD125" s="433"/>
      <c r="QE125" s="433"/>
      <c r="QF125" s="433"/>
      <c r="QG125" s="433"/>
      <c r="QH125" s="433"/>
      <c r="QI125" s="433"/>
      <c r="QJ125" s="433"/>
      <c r="QK125" s="433"/>
      <c r="QL125" s="433"/>
      <c r="QM125" s="433"/>
      <c r="QN125" s="433"/>
      <c r="QO125" s="433"/>
      <c r="QP125" s="433"/>
      <c r="QQ125" s="433"/>
      <c r="QR125" s="433"/>
      <c r="QS125" s="433"/>
      <c r="QT125" s="433"/>
      <c r="QU125" s="433"/>
      <c r="QV125" s="433"/>
      <c r="QW125" s="433"/>
      <c r="QX125" s="433"/>
      <c r="QY125" s="433"/>
      <c r="QZ125" s="433"/>
      <c r="RA125" s="433"/>
      <c r="RB125" s="433"/>
      <c r="RC125" s="433"/>
      <c r="RD125" s="433"/>
      <c r="RE125" s="433"/>
      <c r="RF125" s="433"/>
      <c r="RG125" s="433"/>
      <c r="RH125" s="433"/>
      <c r="RI125" s="433"/>
      <c r="RJ125" s="433"/>
      <c r="RK125" s="433"/>
      <c r="RL125" s="433"/>
      <c r="RM125" s="433"/>
      <c r="RN125" s="433"/>
      <c r="RO125" s="433"/>
      <c r="RP125" s="433"/>
      <c r="RQ125" s="433"/>
      <c r="RR125" s="433"/>
      <c r="RS125" s="433"/>
      <c r="RT125" s="433"/>
      <c r="RU125" s="433"/>
      <c r="RV125" s="433"/>
      <c r="RW125" s="433"/>
      <c r="RX125" s="433"/>
      <c r="RY125" s="433"/>
      <c r="RZ125" s="433"/>
      <c r="SA125" s="433"/>
      <c r="SB125" s="433"/>
      <c r="SC125" s="433"/>
      <c r="SD125" s="433"/>
      <c r="SE125" s="433"/>
      <c r="SF125" s="433"/>
      <c r="SG125" s="433"/>
      <c r="SH125" s="433"/>
      <c r="SI125" s="433"/>
      <c r="SJ125" s="433"/>
      <c r="SK125" s="433"/>
      <c r="SL125" s="433"/>
      <c r="SM125" s="433"/>
      <c r="SN125" s="433"/>
      <c r="SO125" s="433"/>
      <c r="SP125" s="433"/>
      <c r="SQ125" s="433"/>
      <c r="SR125" s="433"/>
      <c r="SS125" s="433"/>
      <c r="ST125" s="433"/>
      <c r="SU125" s="433"/>
      <c r="SV125" s="433"/>
      <c r="SW125" s="433"/>
      <c r="SX125" s="433"/>
      <c r="SY125" s="433"/>
      <c r="SZ125" s="433"/>
      <c r="TA125" s="433"/>
      <c r="TB125" s="433"/>
      <c r="TC125" s="433"/>
      <c r="TD125" s="433"/>
      <c r="TE125" s="433"/>
      <c r="TF125" s="433"/>
      <c r="TG125" s="433"/>
      <c r="TH125" s="433"/>
      <c r="TI125" s="433"/>
      <c r="TJ125" s="433"/>
      <c r="TK125" s="433"/>
      <c r="TL125" s="433"/>
      <c r="TM125" s="433"/>
      <c r="TN125" s="433"/>
      <c r="TO125" s="433"/>
      <c r="TP125" s="433"/>
      <c r="TQ125" s="433"/>
      <c r="TR125" s="433"/>
      <c r="TS125" s="433"/>
      <c r="TT125" s="433"/>
      <c r="TU125" s="433"/>
      <c r="TV125" s="433"/>
      <c r="TW125" s="433"/>
      <c r="TX125" s="433"/>
      <c r="TY125" s="433"/>
      <c r="TZ125" s="433"/>
      <c r="UA125" s="433"/>
      <c r="UB125" s="433"/>
      <c r="UC125" s="433"/>
      <c r="UD125" s="433"/>
      <c r="UE125" s="433"/>
      <c r="UF125" s="433"/>
      <c r="UG125" s="433"/>
      <c r="UH125" s="433"/>
      <c r="UI125" s="433"/>
      <c r="UJ125" s="433"/>
      <c r="UK125" s="433"/>
      <c r="UL125" s="433"/>
      <c r="UM125" s="433"/>
      <c r="UN125" s="433"/>
      <c r="UO125" s="433"/>
      <c r="UP125" s="433"/>
      <c r="UQ125" s="433"/>
      <c r="UR125" s="433"/>
      <c r="US125" s="433"/>
      <c r="UT125" s="433"/>
      <c r="UU125" s="433"/>
      <c r="UV125" s="433"/>
      <c r="UW125" s="433"/>
      <c r="UX125" s="433"/>
      <c r="UY125" s="433"/>
      <c r="UZ125" s="433"/>
      <c r="VA125" s="433"/>
      <c r="VB125" s="433"/>
      <c r="VC125" s="433"/>
      <c r="VD125" s="433"/>
      <c r="VE125" s="433"/>
      <c r="VF125" s="433"/>
      <c r="VG125" s="433"/>
      <c r="VH125" s="433"/>
      <c r="VI125" s="433"/>
      <c r="VJ125" s="433"/>
      <c r="VK125" s="433"/>
      <c r="VL125" s="433"/>
      <c r="VM125" s="433"/>
      <c r="VN125" s="433"/>
      <c r="VO125" s="433"/>
      <c r="VP125" s="433"/>
      <c r="VQ125" s="433"/>
      <c r="VR125" s="433"/>
      <c r="VS125" s="433"/>
      <c r="VT125" s="433"/>
      <c r="VU125" s="433"/>
      <c r="VV125" s="433"/>
      <c r="VW125" s="433"/>
      <c r="VX125" s="433"/>
      <c r="VY125" s="433"/>
      <c r="VZ125" s="433"/>
      <c r="WA125" s="433"/>
      <c r="WB125" s="433"/>
      <c r="WC125" s="433"/>
      <c r="WD125" s="433"/>
      <c r="WE125" s="433"/>
      <c r="WF125" s="433"/>
      <c r="WG125" s="433"/>
      <c r="WH125" s="433"/>
      <c r="WI125" s="433"/>
      <c r="WJ125" s="433"/>
      <c r="WK125" s="433"/>
      <c r="WL125" s="433"/>
      <c r="WM125" s="433"/>
      <c r="WN125" s="433"/>
      <c r="WO125" s="433"/>
      <c r="WP125" s="433"/>
      <c r="WQ125" s="433"/>
      <c r="WR125" s="433"/>
      <c r="WS125" s="433"/>
      <c r="WT125" s="433"/>
      <c r="WU125" s="433"/>
      <c r="WV125" s="433"/>
      <c r="WW125" s="433"/>
      <c r="WX125" s="433"/>
      <c r="WY125" s="433"/>
      <c r="WZ125" s="433"/>
      <c r="XA125" s="433"/>
      <c r="XB125" s="433"/>
      <c r="XC125" s="433"/>
      <c r="XD125" s="433"/>
      <c r="XE125" s="433"/>
      <c r="XF125" s="433"/>
      <c r="XG125" s="433"/>
      <c r="XH125" s="433"/>
      <c r="XI125" s="433"/>
      <c r="XJ125" s="433"/>
      <c r="XK125" s="433"/>
      <c r="XL125" s="433"/>
      <c r="XM125" s="433"/>
      <c r="XN125" s="433"/>
      <c r="XO125" s="433"/>
      <c r="XP125" s="433"/>
      <c r="XQ125" s="433"/>
      <c r="XR125" s="433"/>
      <c r="XS125" s="433"/>
      <c r="XT125" s="433"/>
      <c r="XU125" s="433"/>
      <c r="XV125" s="433"/>
      <c r="XW125" s="433"/>
      <c r="XX125" s="433"/>
      <c r="XY125" s="433"/>
      <c r="XZ125" s="433"/>
      <c r="YA125" s="433"/>
      <c r="YB125" s="433"/>
      <c r="YC125" s="433"/>
      <c r="YD125" s="433"/>
      <c r="YE125" s="433"/>
      <c r="YF125" s="433"/>
      <c r="YG125" s="433"/>
      <c r="YH125" s="433"/>
      <c r="YI125" s="433"/>
      <c r="YJ125" s="433"/>
      <c r="YK125" s="433"/>
      <c r="YL125" s="433"/>
      <c r="YM125" s="433"/>
      <c r="YN125" s="433"/>
      <c r="YO125" s="433"/>
      <c r="YP125" s="433"/>
      <c r="YQ125" s="433"/>
      <c r="YR125" s="433"/>
      <c r="YS125" s="433"/>
      <c r="YT125" s="433"/>
      <c r="YU125" s="433"/>
      <c r="YV125" s="433"/>
      <c r="YW125" s="433"/>
      <c r="YX125" s="433"/>
      <c r="YY125" s="433"/>
      <c r="YZ125" s="433"/>
      <c r="ZA125" s="433"/>
      <c r="ZB125" s="433"/>
      <c r="ZC125" s="433"/>
      <c r="ZD125" s="433"/>
      <c r="ZE125" s="433"/>
      <c r="ZF125" s="433"/>
      <c r="ZG125" s="433"/>
      <c r="ZH125" s="433"/>
      <c r="ZI125" s="433"/>
      <c r="ZJ125" s="433"/>
      <c r="ZK125" s="433"/>
      <c r="ZL125" s="433"/>
      <c r="ZM125" s="433"/>
      <c r="ZN125" s="433"/>
      <c r="ZO125" s="433"/>
      <c r="ZP125" s="433"/>
      <c r="ZQ125" s="433"/>
      <c r="ZR125" s="433"/>
      <c r="ZS125" s="433"/>
      <c r="ZT125" s="433"/>
      <c r="ZU125" s="433"/>
      <c r="ZV125" s="433"/>
      <c r="ZW125" s="433"/>
      <c r="ZX125" s="433"/>
      <c r="ZY125" s="433"/>
      <c r="ZZ125" s="433"/>
      <c r="AAA125" s="433"/>
      <c r="AAB125" s="433"/>
      <c r="AAC125" s="433"/>
      <c r="AAD125" s="433"/>
      <c r="AAE125" s="433"/>
      <c r="AAF125" s="433"/>
      <c r="AAG125" s="433"/>
      <c r="AAH125" s="433"/>
      <c r="AAI125" s="433"/>
      <c r="AAJ125" s="433"/>
      <c r="AAK125" s="433"/>
      <c r="AAL125" s="433"/>
      <c r="AAM125" s="433"/>
      <c r="AAN125" s="433"/>
      <c r="AAO125" s="433"/>
      <c r="AAP125" s="433"/>
      <c r="AAQ125" s="433"/>
      <c r="AAR125" s="433"/>
      <c r="AAS125" s="433"/>
      <c r="AAT125" s="433"/>
      <c r="AAU125" s="433"/>
      <c r="AAV125" s="433"/>
      <c r="AAW125" s="433"/>
      <c r="AAX125" s="433"/>
      <c r="AAY125" s="433"/>
      <c r="AAZ125" s="433"/>
      <c r="ABA125" s="433"/>
      <c r="ABB125" s="433"/>
      <c r="ABC125" s="433"/>
      <c r="ABD125" s="433"/>
      <c r="ABE125" s="433"/>
      <c r="ABF125" s="433"/>
      <c r="ABG125" s="433"/>
      <c r="ABH125" s="433"/>
      <c r="ABI125" s="433"/>
      <c r="ABJ125" s="433"/>
      <c r="ABK125" s="433"/>
      <c r="ABL125" s="433"/>
      <c r="ABM125" s="433"/>
      <c r="ABN125" s="433"/>
      <c r="ABO125" s="433"/>
      <c r="ABP125" s="433"/>
      <c r="ABQ125" s="433"/>
      <c r="ABR125" s="433"/>
      <c r="ABS125" s="433"/>
      <c r="ABT125" s="433"/>
      <c r="ABU125" s="433"/>
      <c r="ABV125" s="433"/>
      <c r="ABW125" s="433"/>
      <c r="ABX125" s="433"/>
      <c r="ABY125" s="433"/>
      <c r="ABZ125" s="433"/>
      <c r="ACA125" s="433"/>
      <c r="ACB125" s="433"/>
      <c r="ACC125" s="433"/>
      <c r="ACD125" s="433"/>
      <c r="ACE125" s="433"/>
      <c r="ACF125" s="433"/>
      <c r="ACG125" s="433"/>
      <c r="ACH125" s="433"/>
      <c r="ACI125" s="433"/>
      <c r="ACJ125" s="433"/>
      <c r="ACK125" s="433"/>
      <c r="ACL125" s="433"/>
      <c r="ACM125" s="433"/>
      <c r="ACN125" s="433"/>
      <c r="ACO125" s="433"/>
      <c r="ACP125" s="433"/>
      <c r="ACQ125" s="433"/>
      <c r="ACR125" s="433"/>
      <c r="ACS125" s="433"/>
      <c r="ACT125" s="433"/>
      <c r="ACU125" s="433"/>
      <c r="ACV125" s="433"/>
      <c r="ACW125" s="433"/>
      <c r="ACX125" s="433"/>
      <c r="ACY125" s="433"/>
      <c r="ACZ125" s="433"/>
      <c r="ADA125" s="433"/>
      <c r="ADB125" s="433"/>
      <c r="ADC125" s="433"/>
      <c r="ADD125" s="433"/>
      <c r="ADE125" s="433"/>
      <c r="ADF125" s="433"/>
      <c r="ADG125" s="433"/>
      <c r="ADH125" s="433"/>
      <c r="ADI125" s="433"/>
      <c r="ADJ125" s="433"/>
      <c r="ADK125" s="433"/>
      <c r="ADL125" s="433"/>
      <c r="ADM125" s="433"/>
      <c r="ADN125" s="433"/>
      <c r="ADO125" s="433"/>
      <c r="ADP125" s="433"/>
      <c r="ADQ125" s="433"/>
      <c r="ADR125" s="433"/>
      <c r="ADS125" s="433"/>
      <c r="ADT125" s="433"/>
      <c r="ADU125" s="433"/>
      <c r="ADV125" s="433"/>
      <c r="ADW125" s="433"/>
      <c r="ADX125" s="433"/>
      <c r="ADY125" s="433"/>
      <c r="ADZ125" s="433"/>
      <c r="AEA125" s="433"/>
      <c r="AEB125" s="433"/>
      <c r="AEC125" s="433"/>
      <c r="AED125" s="433"/>
      <c r="AEE125" s="433"/>
      <c r="AEF125" s="433"/>
      <c r="AEG125" s="433"/>
      <c r="AEH125" s="433"/>
      <c r="AEI125" s="433"/>
      <c r="AEJ125" s="433"/>
      <c r="AEK125" s="433"/>
      <c r="AEL125" s="433"/>
      <c r="AEM125" s="433"/>
      <c r="AEN125" s="433"/>
      <c r="AEO125" s="433"/>
      <c r="AEP125" s="433"/>
      <c r="AEQ125" s="433"/>
      <c r="AER125" s="433"/>
      <c r="AES125" s="433"/>
      <c r="AET125" s="433"/>
      <c r="AEU125" s="433"/>
      <c r="AEV125" s="433"/>
      <c r="AEW125" s="433"/>
      <c r="AEX125" s="433"/>
      <c r="AEY125" s="433"/>
      <c r="AEZ125" s="433"/>
      <c r="AFA125" s="433"/>
      <c r="AFB125" s="433"/>
      <c r="AFC125" s="433"/>
      <c r="AFD125" s="433"/>
      <c r="AFE125" s="433"/>
      <c r="AFF125" s="433"/>
      <c r="AFG125" s="433"/>
      <c r="AFH125" s="433"/>
      <c r="AFI125" s="433"/>
      <c r="AFJ125" s="433"/>
      <c r="AFK125" s="433"/>
      <c r="AFL125" s="433"/>
      <c r="AFM125" s="433"/>
      <c r="AFN125" s="433"/>
      <c r="AFO125" s="433"/>
      <c r="AFP125" s="433"/>
      <c r="AFQ125" s="433"/>
      <c r="AFR125" s="433"/>
      <c r="AFS125" s="433"/>
      <c r="AFT125" s="433"/>
      <c r="AFU125" s="433"/>
      <c r="AFV125" s="433"/>
      <c r="AFW125" s="433"/>
      <c r="AFX125" s="433"/>
      <c r="AFY125" s="433"/>
      <c r="AFZ125" s="433"/>
      <c r="AGA125" s="433"/>
      <c r="AGB125" s="433"/>
      <c r="AGC125" s="433"/>
      <c r="AGD125" s="433"/>
      <c r="AGE125" s="433"/>
      <c r="AGF125" s="433"/>
      <c r="AGG125" s="433"/>
      <c r="AGH125" s="433"/>
      <c r="AGI125" s="433"/>
      <c r="AGJ125" s="433"/>
      <c r="AGK125" s="433"/>
      <c r="AGL125" s="433"/>
      <c r="AGM125" s="433"/>
      <c r="AGN125" s="433"/>
      <c r="AGO125" s="433"/>
      <c r="AGP125" s="433"/>
      <c r="AGQ125" s="433"/>
      <c r="AGR125" s="433"/>
      <c r="AGS125" s="433"/>
      <c r="AGT125" s="433"/>
      <c r="AGU125" s="433"/>
      <c r="AGV125" s="433"/>
      <c r="AGW125" s="433"/>
      <c r="AGX125" s="433"/>
      <c r="AGY125" s="433"/>
      <c r="AGZ125" s="433"/>
      <c r="AHA125" s="433"/>
      <c r="AHB125" s="433"/>
      <c r="AHC125" s="433"/>
      <c r="AHD125" s="433"/>
      <c r="AHE125" s="433"/>
      <c r="AHF125" s="433"/>
      <c r="AHG125" s="433"/>
      <c r="AHH125" s="433"/>
      <c r="AHI125" s="433"/>
      <c r="AHJ125" s="433"/>
      <c r="AHK125" s="433"/>
      <c r="AHL125" s="433"/>
      <c r="AHM125" s="433"/>
      <c r="AHN125" s="433"/>
      <c r="AHO125" s="433"/>
      <c r="AHP125" s="433"/>
      <c r="AHQ125" s="433"/>
      <c r="AHR125" s="433"/>
      <c r="AHS125" s="433"/>
      <c r="AHT125" s="433"/>
      <c r="AHU125" s="433"/>
      <c r="AHV125" s="433"/>
      <c r="AHW125" s="433"/>
      <c r="AHX125" s="433"/>
      <c r="AHY125" s="433"/>
      <c r="AHZ125" s="433"/>
      <c r="AIA125" s="433"/>
      <c r="AIB125" s="433"/>
      <c r="AIC125" s="433"/>
      <c r="AID125" s="433"/>
      <c r="AIE125" s="433"/>
      <c r="AIF125" s="433"/>
      <c r="AIG125" s="433"/>
      <c r="AIH125" s="433"/>
      <c r="AII125" s="433"/>
      <c r="AIJ125" s="433"/>
      <c r="AIK125" s="433"/>
      <c r="AIL125" s="433"/>
      <c r="AIM125" s="433"/>
      <c r="AIN125" s="433"/>
      <c r="AIO125" s="433"/>
      <c r="AIP125" s="433"/>
      <c r="AIQ125" s="433"/>
      <c r="AIR125" s="433"/>
      <c r="AIS125" s="433"/>
      <c r="AIT125" s="433"/>
      <c r="AIU125" s="433"/>
      <c r="AIV125" s="433"/>
      <c r="AIW125" s="433"/>
      <c r="AIX125" s="433"/>
      <c r="AIY125" s="433"/>
      <c r="AIZ125" s="433"/>
      <c r="AJA125" s="433"/>
      <c r="AJB125" s="433"/>
      <c r="AJC125" s="433"/>
      <c r="AJD125" s="433"/>
      <c r="AJE125" s="433"/>
      <c r="AJF125" s="433"/>
      <c r="AJG125" s="433"/>
      <c r="AJH125" s="433"/>
      <c r="AJI125" s="433"/>
      <c r="AJJ125" s="433"/>
      <c r="AJK125" s="433"/>
      <c r="AJL125" s="433"/>
      <c r="AJM125" s="433"/>
      <c r="AJN125" s="433"/>
      <c r="AJO125" s="433"/>
      <c r="AJP125" s="433"/>
      <c r="AJQ125" s="433"/>
      <c r="AJR125" s="433"/>
      <c r="AJS125" s="433"/>
      <c r="AJT125" s="433"/>
      <c r="AJU125" s="433"/>
      <c r="AJV125" s="433"/>
      <c r="AJW125" s="433"/>
      <c r="AJX125" s="433"/>
      <c r="AJY125" s="433"/>
      <c r="AJZ125" s="433"/>
      <c r="AKA125" s="433"/>
      <c r="AKB125" s="433"/>
      <c r="AKC125" s="433"/>
      <c r="AKD125" s="433"/>
      <c r="AKE125" s="433"/>
      <c r="AKF125" s="433"/>
      <c r="AKG125" s="433"/>
      <c r="AKH125" s="433"/>
      <c r="AKI125" s="433"/>
      <c r="AKJ125" s="433"/>
      <c r="AKK125" s="433"/>
      <c r="AKL125" s="433"/>
      <c r="AKM125" s="433"/>
      <c r="AKN125" s="433"/>
      <c r="AKO125" s="433"/>
      <c r="AKP125" s="433"/>
      <c r="AKQ125" s="433"/>
      <c r="AKR125" s="433"/>
      <c r="AKS125" s="433"/>
      <c r="AKT125" s="433"/>
      <c r="AKU125" s="433"/>
      <c r="AKV125" s="433"/>
      <c r="AKW125" s="433"/>
      <c r="AKX125" s="433"/>
      <c r="AKY125" s="433"/>
      <c r="AKZ125" s="433"/>
      <c r="ALA125" s="433"/>
      <c r="ALB125" s="433"/>
      <c r="ALC125" s="433"/>
      <c r="ALD125" s="433"/>
      <c r="ALE125" s="433"/>
      <c r="ALF125" s="433"/>
      <c r="ALG125" s="433"/>
      <c r="ALH125" s="433"/>
      <c r="ALI125" s="433"/>
      <c r="ALJ125" s="433"/>
      <c r="ALK125" s="433"/>
      <c r="ALL125" s="433"/>
      <c r="ALM125" s="433"/>
      <c r="ALN125" s="433"/>
      <c r="ALO125" s="433"/>
      <c r="ALP125" s="433"/>
      <c r="ALQ125" s="433"/>
      <c r="ALR125" s="433"/>
      <c r="ALS125" s="433"/>
      <c r="ALT125" s="433"/>
      <c r="ALU125" s="433"/>
      <c r="ALV125" s="433"/>
      <c r="ALW125" s="433"/>
      <c r="ALX125" s="433"/>
      <c r="ALY125" s="433"/>
      <c r="ALZ125" s="433"/>
      <c r="AMA125" s="433"/>
      <c r="AMB125" s="433"/>
      <c r="AMC125" s="433"/>
      <c r="AMD125" s="433"/>
      <c r="AME125" s="433"/>
      <c r="AMF125" s="433"/>
      <c r="AMG125" s="433"/>
      <c r="AMH125" s="418"/>
    </row>
    <row r="126" spans="1:1022" x14ac:dyDescent="0.25">
      <c r="A126" s="429">
        <v>6</v>
      </c>
      <c r="B126" s="428" t="s">
        <v>133</v>
      </c>
      <c r="C126" s="428" t="s">
        <v>67</v>
      </c>
      <c r="D126" s="428" t="s">
        <v>397</v>
      </c>
      <c r="E126" s="428" t="s">
        <v>74</v>
      </c>
      <c r="F126" s="417" t="s">
        <v>593</v>
      </c>
      <c r="G126" s="428" t="s">
        <v>142</v>
      </c>
      <c r="H126" s="430">
        <v>0</v>
      </c>
      <c r="I126" s="434">
        <v>0</v>
      </c>
      <c r="J126" s="434">
        <v>0</v>
      </c>
      <c r="K126" s="435">
        <v>0</v>
      </c>
      <c r="L126" s="435">
        <v>0</v>
      </c>
      <c r="M126" s="435">
        <v>0</v>
      </c>
      <c r="N126" s="430">
        <v>0</v>
      </c>
      <c r="O126" s="431">
        <v>0</v>
      </c>
      <c r="P126" s="431">
        <v>0</v>
      </c>
      <c r="Q126" s="431">
        <v>0</v>
      </c>
      <c r="R126" s="432"/>
      <c r="S126" s="432"/>
      <c r="T126" s="432"/>
      <c r="U126" s="432"/>
      <c r="V126" s="432"/>
      <c r="W126" s="432"/>
      <c r="X126" s="432"/>
      <c r="Y126" s="432"/>
      <c r="Z126" s="432"/>
      <c r="AA126" s="432"/>
      <c r="AB126" s="432"/>
      <c r="AC126" s="432"/>
      <c r="AD126" s="432"/>
      <c r="AE126" s="432"/>
      <c r="AF126" s="432"/>
      <c r="AG126" s="432"/>
      <c r="AH126" s="432"/>
      <c r="AI126" s="432"/>
      <c r="AJ126" s="432"/>
      <c r="AK126" s="432"/>
      <c r="AL126" s="432"/>
      <c r="AM126" s="432"/>
      <c r="AN126" s="432"/>
      <c r="AO126" s="432"/>
      <c r="AP126" s="432"/>
      <c r="AQ126" s="432"/>
      <c r="AR126" s="432"/>
      <c r="AS126" s="432"/>
      <c r="AT126" s="432"/>
      <c r="AU126" s="432"/>
      <c r="AV126" s="432"/>
      <c r="AW126" s="432"/>
      <c r="AX126" s="432"/>
      <c r="AY126" s="432"/>
      <c r="AZ126" s="432"/>
      <c r="BA126" s="432"/>
      <c r="BB126" s="432"/>
      <c r="BC126" s="432"/>
      <c r="BD126" s="432"/>
      <c r="BE126" s="432"/>
      <c r="BF126" s="432"/>
      <c r="BG126" s="432"/>
      <c r="BH126" s="432"/>
      <c r="BI126" s="432"/>
      <c r="BJ126" s="432"/>
      <c r="BK126" s="432"/>
      <c r="BL126" s="432"/>
      <c r="BM126" s="425"/>
      <c r="BN126" s="425"/>
      <c r="BO126" s="425"/>
      <c r="BP126" s="425"/>
      <c r="BQ126" s="425"/>
      <c r="BR126" s="425"/>
      <c r="BS126" s="425"/>
      <c r="BT126" s="425"/>
      <c r="BU126" s="425"/>
      <c r="BV126" s="425"/>
      <c r="BW126" s="425"/>
      <c r="BX126" s="425"/>
      <c r="BY126" s="425"/>
      <c r="BZ126" s="425"/>
      <c r="CA126" s="425"/>
      <c r="CB126" s="425"/>
      <c r="CC126" s="425"/>
      <c r="CD126" s="425"/>
      <c r="CE126" s="425"/>
      <c r="CF126" s="425"/>
      <c r="CG126" s="425"/>
      <c r="CH126" s="425"/>
      <c r="CI126" s="425"/>
      <c r="CJ126" s="425"/>
      <c r="CK126" s="425"/>
      <c r="CL126" s="425"/>
      <c r="CM126" s="425"/>
      <c r="CN126" s="425"/>
      <c r="CO126" s="425"/>
      <c r="CP126" s="425"/>
      <c r="CQ126" s="425"/>
      <c r="CR126" s="425"/>
      <c r="CS126" s="425"/>
      <c r="CT126" s="425"/>
      <c r="CU126" s="425"/>
      <c r="CV126" s="425"/>
      <c r="CW126" s="425"/>
      <c r="CX126" s="425"/>
      <c r="CY126" s="425"/>
      <c r="CZ126" s="425"/>
      <c r="DA126" s="425"/>
      <c r="DB126" s="425"/>
      <c r="DC126" s="425"/>
      <c r="DD126" s="425"/>
      <c r="DE126" s="425"/>
      <c r="DF126" s="425"/>
      <c r="DG126" s="425"/>
      <c r="DH126" s="425"/>
      <c r="DI126" s="425"/>
      <c r="DJ126" s="425"/>
      <c r="DK126" s="425"/>
      <c r="DL126" s="425"/>
      <c r="DM126" s="425"/>
      <c r="DN126" s="425"/>
      <c r="DO126" s="425"/>
      <c r="DP126" s="425"/>
      <c r="DQ126" s="425"/>
      <c r="DR126" s="425"/>
      <c r="DS126" s="425"/>
      <c r="DT126" s="425"/>
      <c r="DU126" s="425"/>
      <c r="DV126" s="425"/>
      <c r="DW126" s="425"/>
      <c r="DX126" s="425"/>
      <c r="DY126" s="425"/>
      <c r="DZ126" s="425"/>
      <c r="EA126" s="425"/>
      <c r="EB126" s="425"/>
      <c r="EC126" s="425"/>
      <c r="ED126" s="425"/>
      <c r="EE126" s="425"/>
      <c r="EF126" s="425"/>
      <c r="EG126" s="425"/>
      <c r="EH126" s="425"/>
      <c r="EI126" s="425"/>
      <c r="EJ126" s="425"/>
      <c r="EK126" s="425"/>
      <c r="EL126" s="425"/>
      <c r="EM126" s="425"/>
      <c r="EN126" s="425"/>
      <c r="EO126" s="425"/>
      <c r="EP126" s="425"/>
      <c r="EQ126" s="425"/>
      <c r="ER126" s="425"/>
      <c r="ES126" s="425"/>
      <c r="ET126" s="425"/>
      <c r="EU126" s="425"/>
      <c r="EV126" s="425"/>
      <c r="EW126" s="425"/>
      <c r="EX126" s="425"/>
      <c r="EY126" s="425"/>
      <c r="EZ126" s="425"/>
      <c r="FA126" s="425"/>
      <c r="FB126" s="425"/>
      <c r="FC126" s="425"/>
      <c r="FD126" s="425"/>
      <c r="FE126" s="425"/>
      <c r="FF126" s="425"/>
      <c r="FG126" s="425"/>
      <c r="FH126" s="425"/>
      <c r="FI126" s="425"/>
      <c r="FJ126" s="425"/>
      <c r="FK126" s="425"/>
      <c r="FL126" s="425"/>
      <c r="FM126" s="425"/>
      <c r="FN126" s="425"/>
      <c r="FO126" s="425"/>
      <c r="FP126" s="425"/>
      <c r="FQ126" s="425"/>
      <c r="FR126" s="425"/>
      <c r="FS126" s="425"/>
      <c r="FT126" s="425"/>
      <c r="FU126" s="425"/>
      <c r="FV126" s="425"/>
      <c r="FW126" s="425"/>
      <c r="FX126" s="425"/>
      <c r="FY126" s="425"/>
      <c r="FZ126" s="425"/>
      <c r="GA126" s="425"/>
      <c r="GB126" s="425"/>
      <c r="GC126" s="425"/>
      <c r="GD126" s="425"/>
      <c r="GE126" s="425"/>
      <c r="GF126" s="425"/>
      <c r="GG126" s="425"/>
      <c r="GH126" s="425"/>
      <c r="GI126" s="425"/>
      <c r="GJ126" s="425"/>
      <c r="GK126" s="425"/>
      <c r="GL126" s="425"/>
      <c r="GM126" s="425"/>
      <c r="GN126" s="425"/>
      <c r="GO126" s="425"/>
      <c r="GP126" s="425"/>
      <c r="GQ126" s="425"/>
      <c r="GR126" s="425"/>
      <c r="GS126" s="425"/>
      <c r="GT126" s="425"/>
      <c r="GU126" s="425"/>
      <c r="GV126" s="425"/>
      <c r="GW126" s="425"/>
      <c r="GX126" s="425"/>
      <c r="GY126" s="425"/>
      <c r="GZ126" s="425"/>
      <c r="HA126" s="425"/>
      <c r="HB126" s="425"/>
      <c r="HC126" s="425"/>
      <c r="HD126" s="425"/>
      <c r="HE126" s="425"/>
      <c r="HF126" s="425"/>
      <c r="HG126" s="425"/>
      <c r="HH126" s="425"/>
      <c r="HI126" s="425"/>
      <c r="HJ126" s="425"/>
      <c r="HK126" s="425"/>
      <c r="HL126" s="425"/>
      <c r="HM126" s="425"/>
      <c r="HN126" s="425"/>
      <c r="HO126" s="425"/>
      <c r="HP126" s="425"/>
      <c r="HQ126" s="425"/>
      <c r="HR126" s="425"/>
      <c r="HS126" s="425"/>
      <c r="HT126" s="425"/>
      <c r="HU126" s="425"/>
      <c r="HV126" s="425"/>
      <c r="HW126" s="425"/>
      <c r="HX126" s="425"/>
      <c r="HY126" s="425"/>
      <c r="HZ126" s="425"/>
      <c r="IA126" s="425"/>
      <c r="IB126" s="425"/>
      <c r="IC126" s="425"/>
      <c r="ID126" s="425"/>
      <c r="IE126" s="425"/>
      <c r="IF126" s="425"/>
      <c r="IG126" s="425"/>
      <c r="IH126" s="425"/>
      <c r="II126" s="425"/>
      <c r="IJ126" s="425"/>
      <c r="IK126" s="425"/>
      <c r="IL126" s="425"/>
      <c r="IM126" s="425"/>
      <c r="IN126" s="425"/>
      <c r="IO126" s="425"/>
      <c r="IP126" s="425"/>
      <c r="IQ126" s="425"/>
      <c r="IR126" s="425"/>
      <c r="IS126" s="425"/>
      <c r="IT126" s="425"/>
      <c r="IU126" s="425"/>
      <c r="IV126" s="425"/>
      <c r="IW126" s="425"/>
      <c r="IX126" s="425"/>
      <c r="IY126" s="425"/>
      <c r="IZ126" s="425"/>
      <c r="JA126" s="425"/>
      <c r="JB126" s="425"/>
      <c r="JC126" s="425"/>
      <c r="JD126" s="425"/>
      <c r="JE126" s="425"/>
      <c r="JF126" s="425"/>
      <c r="JG126" s="425"/>
      <c r="JH126" s="425"/>
      <c r="JI126" s="425"/>
      <c r="JJ126" s="425"/>
      <c r="JK126" s="425"/>
      <c r="JL126" s="425"/>
      <c r="JM126" s="425"/>
      <c r="JN126" s="425"/>
      <c r="JO126" s="425"/>
      <c r="JP126" s="425"/>
      <c r="JQ126" s="425"/>
      <c r="JR126" s="425"/>
      <c r="JS126" s="425"/>
      <c r="JT126" s="425"/>
      <c r="JU126" s="425"/>
      <c r="JV126" s="425"/>
      <c r="JW126" s="425"/>
      <c r="JX126" s="425"/>
      <c r="JY126" s="425"/>
      <c r="JZ126" s="425"/>
      <c r="KA126" s="425"/>
      <c r="KB126" s="425"/>
      <c r="KC126" s="425"/>
      <c r="KD126" s="425"/>
      <c r="KE126" s="425"/>
      <c r="KF126" s="425"/>
      <c r="KG126" s="425"/>
      <c r="KH126" s="425"/>
      <c r="KI126" s="425"/>
      <c r="KJ126" s="425"/>
      <c r="KK126" s="425"/>
      <c r="KL126" s="425"/>
      <c r="KM126" s="425"/>
      <c r="KN126" s="425"/>
      <c r="KO126" s="425"/>
      <c r="KP126" s="425"/>
      <c r="KQ126" s="425"/>
      <c r="KR126" s="425"/>
      <c r="KS126" s="425"/>
      <c r="KT126" s="425"/>
      <c r="KU126" s="425"/>
      <c r="KV126" s="425"/>
      <c r="KW126" s="425"/>
      <c r="KX126" s="425"/>
      <c r="KY126" s="425"/>
      <c r="KZ126" s="425"/>
      <c r="LA126" s="425"/>
      <c r="LB126" s="425"/>
      <c r="LC126" s="425"/>
      <c r="LD126" s="425"/>
      <c r="LE126" s="425"/>
      <c r="LF126" s="425"/>
      <c r="LG126" s="425"/>
      <c r="LH126" s="425"/>
      <c r="LI126" s="425"/>
      <c r="LJ126" s="425"/>
      <c r="LK126" s="425"/>
      <c r="LL126" s="425"/>
      <c r="LM126" s="425"/>
      <c r="LN126" s="425"/>
      <c r="LO126" s="425"/>
      <c r="LP126" s="425"/>
      <c r="LQ126" s="425"/>
      <c r="LR126" s="425"/>
      <c r="LS126" s="425"/>
      <c r="LT126" s="425"/>
      <c r="LU126" s="425"/>
      <c r="LV126" s="425"/>
      <c r="LW126" s="425"/>
      <c r="LX126" s="425"/>
      <c r="LY126" s="425"/>
      <c r="LZ126" s="425"/>
      <c r="MA126" s="425"/>
      <c r="MB126" s="425"/>
      <c r="MC126" s="425"/>
      <c r="MD126" s="425"/>
      <c r="ME126" s="425"/>
      <c r="MF126" s="425"/>
      <c r="MG126" s="425"/>
      <c r="MH126" s="425"/>
      <c r="MI126" s="425"/>
      <c r="MJ126" s="425"/>
      <c r="MK126" s="425"/>
      <c r="ML126" s="425"/>
      <c r="MM126" s="425"/>
      <c r="MN126" s="425"/>
      <c r="MO126" s="425"/>
      <c r="MP126" s="425"/>
      <c r="MQ126" s="425"/>
      <c r="MR126" s="425"/>
      <c r="MS126" s="425"/>
      <c r="MT126" s="425"/>
      <c r="MU126" s="425"/>
      <c r="MV126" s="425"/>
      <c r="MW126" s="425"/>
      <c r="MX126" s="425"/>
      <c r="MY126" s="425"/>
      <c r="MZ126" s="425"/>
      <c r="NA126" s="425"/>
      <c r="NB126" s="425"/>
      <c r="NC126" s="425"/>
      <c r="ND126" s="425"/>
      <c r="NE126" s="425"/>
      <c r="NF126" s="425"/>
      <c r="NG126" s="425"/>
      <c r="NH126" s="425"/>
      <c r="NI126" s="425"/>
      <c r="NJ126" s="425"/>
      <c r="NK126" s="425"/>
      <c r="NL126" s="425"/>
      <c r="NM126" s="425"/>
      <c r="NN126" s="425"/>
      <c r="NO126" s="425"/>
      <c r="NP126" s="425"/>
      <c r="NQ126" s="425"/>
      <c r="NR126" s="425"/>
      <c r="NS126" s="425"/>
      <c r="NT126" s="425"/>
      <c r="NU126" s="425"/>
      <c r="NV126" s="425"/>
      <c r="NW126" s="425"/>
      <c r="NX126" s="425"/>
      <c r="NY126" s="425"/>
      <c r="NZ126" s="425"/>
      <c r="OA126" s="425"/>
      <c r="OB126" s="425"/>
      <c r="OC126" s="425"/>
      <c r="OD126" s="425"/>
      <c r="OE126" s="425"/>
      <c r="OF126" s="425"/>
      <c r="OG126" s="425"/>
      <c r="OH126" s="425"/>
      <c r="OI126" s="425"/>
      <c r="OJ126" s="425"/>
      <c r="OK126" s="425"/>
      <c r="OL126" s="425"/>
      <c r="OM126" s="425"/>
      <c r="ON126" s="425"/>
      <c r="OO126" s="425"/>
      <c r="OP126" s="425"/>
      <c r="OQ126" s="425"/>
      <c r="OR126" s="425"/>
      <c r="OS126" s="425"/>
      <c r="OT126" s="425"/>
      <c r="OU126" s="425"/>
      <c r="OV126" s="425"/>
      <c r="OW126" s="425"/>
      <c r="OX126" s="425"/>
      <c r="OY126" s="425"/>
      <c r="OZ126" s="425"/>
      <c r="PA126" s="425"/>
      <c r="PB126" s="425"/>
      <c r="PC126" s="425"/>
      <c r="PD126" s="425"/>
      <c r="PE126" s="425"/>
      <c r="PF126" s="425"/>
      <c r="PG126" s="425"/>
      <c r="PH126" s="425"/>
      <c r="PI126" s="425"/>
      <c r="PJ126" s="425"/>
      <c r="PK126" s="425"/>
      <c r="PL126" s="425"/>
      <c r="PM126" s="425"/>
      <c r="PN126" s="425"/>
      <c r="PO126" s="425"/>
      <c r="PP126" s="425"/>
      <c r="PQ126" s="425"/>
      <c r="PR126" s="425"/>
      <c r="PS126" s="425"/>
      <c r="PT126" s="425"/>
      <c r="PU126" s="425"/>
      <c r="PV126" s="425"/>
      <c r="PW126" s="425"/>
      <c r="PX126" s="425"/>
      <c r="PY126" s="425"/>
      <c r="PZ126" s="425"/>
      <c r="QA126" s="425"/>
      <c r="QB126" s="425"/>
      <c r="QC126" s="425"/>
      <c r="QD126" s="425"/>
      <c r="QE126" s="425"/>
      <c r="QF126" s="425"/>
      <c r="QG126" s="425"/>
      <c r="QH126" s="425"/>
      <c r="QI126" s="425"/>
      <c r="QJ126" s="425"/>
      <c r="QK126" s="425"/>
      <c r="QL126" s="425"/>
      <c r="QM126" s="425"/>
      <c r="QN126" s="425"/>
      <c r="QO126" s="425"/>
      <c r="QP126" s="425"/>
      <c r="QQ126" s="425"/>
      <c r="QR126" s="425"/>
      <c r="QS126" s="425"/>
      <c r="QT126" s="425"/>
      <c r="QU126" s="425"/>
      <c r="QV126" s="425"/>
      <c r="QW126" s="425"/>
      <c r="QX126" s="425"/>
      <c r="QY126" s="425"/>
      <c r="QZ126" s="425"/>
      <c r="RA126" s="425"/>
      <c r="RB126" s="425"/>
      <c r="RC126" s="425"/>
      <c r="RD126" s="425"/>
      <c r="RE126" s="425"/>
      <c r="RF126" s="425"/>
      <c r="RG126" s="425"/>
      <c r="RH126" s="425"/>
      <c r="RI126" s="425"/>
      <c r="RJ126" s="425"/>
      <c r="RK126" s="425"/>
      <c r="RL126" s="425"/>
      <c r="RM126" s="425"/>
      <c r="RN126" s="425"/>
      <c r="RO126" s="425"/>
      <c r="RP126" s="425"/>
      <c r="RQ126" s="425"/>
      <c r="RR126" s="425"/>
      <c r="RS126" s="425"/>
      <c r="RT126" s="425"/>
      <c r="RU126" s="425"/>
      <c r="RV126" s="425"/>
      <c r="RW126" s="425"/>
      <c r="RX126" s="425"/>
      <c r="RY126" s="425"/>
      <c r="RZ126" s="425"/>
      <c r="SA126" s="425"/>
      <c r="SB126" s="425"/>
      <c r="SC126" s="425"/>
      <c r="SD126" s="425"/>
      <c r="SE126" s="425"/>
      <c r="SF126" s="425"/>
      <c r="SG126" s="425"/>
      <c r="SH126" s="425"/>
      <c r="SI126" s="425"/>
      <c r="SJ126" s="425"/>
      <c r="SK126" s="425"/>
      <c r="SL126" s="425"/>
      <c r="SM126" s="425"/>
      <c r="SN126" s="425"/>
      <c r="SO126" s="425"/>
      <c r="SP126" s="425"/>
      <c r="SQ126" s="425"/>
      <c r="SR126" s="425"/>
      <c r="SS126" s="425"/>
      <c r="ST126" s="425"/>
      <c r="SU126" s="425"/>
      <c r="SV126" s="425"/>
      <c r="SW126" s="425"/>
      <c r="SX126" s="425"/>
      <c r="SY126" s="425"/>
      <c r="SZ126" s="425"/>
      <c r="TA126" s="425"/>
      <c r="TB126" s="425"/>
      <c r="TC126" s="425"/>
      <c r="TD126" s="425"/>
      <c r="TE126" s="425"/>
      <c r="TF126" s="425"/>
      <c r="TG126" s="425"/>
      <c r="TH126" s="425"/>
      <c r="TI126" s="425"/>
      <c r="TJ126" s="425"/>
      <c r="TK126" s="425"/>
      <c r="TL126" s="425"/>
      <c r="TM126" s="425"/>
      <c r="TN126" s="425"/>
      <c r="TO126" s="425"/>
      <c r="TP126" s="425"/>
      <c r="TQ126" s="425"/>
      <c r="TR126" s="425"/>
      <c r="TS126" s="425"/>
      <c r="TT126" s="425"/>
      <c r="TU126" s="425"/>
      <c r="TV126" s="425"/>
      <c r="TW126" s="425"/>
      <c r="TX126" s="425"/>
      <c r="TY126" s="425"/>
      <c r="TZ126" s="425"/>
      <c r="UA126" s="425"/>
      <c r="UB126" s="425"/>
      <c r="UC126" s="425"/>
      <c r="UD126" s="425"/>
      <c r="UE126" s="425"/>
      <c r="UF126" s="425"/>
      <c r="UG126" s="425"/>
      <c r="UH126" s="425"/>
      <c r="UI126" s="425"/>
      <c r="UJ126" s="425"/>
      <c r="UK126" s="425"/>
      <c r="UL126" s="425"/>
      <c r="UM126" s="425"/>
      <c r="UN126" s="425"/>
      <c r="UO126" s="425"/>
      <c r="UP126" s="425"/>
      <c r="UQ126" s="425"/>
      <c r="UR126" s="425"/>
      <c r="US126" s="425"/>
      <c r="UT126" s="425"/>
      <c r="UU126" s="425"/>
      <c r="UV126" s="425"/>
      <c r="UW126" s="425"/>
      <c r="UX126" s="425"/>
      <c r="UY126" s="425"/>
      <c r="UZ126" s="425"/>
      <c r="VA126" s="425"/>
      <c r="VB126" s="425"/>
      <c r="VC126" s="425"/>
      <c r="VD126" s="425"/>
      <c r="VE126" s="425"/>
      <c r="VF126" s="425"/>
      <c r="VG126" s="425"/>
      <c r="VH126" s="425"/>
      <c r="VI126" s="425"/>
      <c r="VJ126" s="425"/>
      <c r="VK126" s="425"/>
      <c r="VL126" s="425"/>
      <c r="VM126" s="425"/>
      <c r="VN126" s="425"/>
      <c r="VO126" s="425"/>
      <c r="VP126" s="425"/>
      <c r="VQ126" s="425"/>
      <c r="VR126" s="425"/>
      <c r="VS126" s="425"/>
      <c r="VT126" s="425"/>
      <c r="VU126" s="425"/>
      <c r="VV126" s="425"/>
      <c r="VW126" s="425"/>
      <c r="VX126" s="425"/>
      <c r="VY126" s="425"/>
      <c r="VZ126" s="425"/>
      <c r="WA126" s="425"/>
      <c r="WB126" s="425"/>
      <c r="WC126" s="425"/>
      <c r="WD126" s="425"/>
      <c r="WE126" s="425"/>
      <c r="WF126" s="425"/>
      <c r="WG126" s="425"/>
      <c r="WH126" s="425"/>
      <c r="WI126" s="425"/>
      <c r="WJ126" s="425"/>
      <c r="WK126" s="425"/>
      <c r="WL126" s="425"/>
      <c r="WM126" s="425"/>
      <c r="WN126" s="425"/>
      <c r="WO126" s="425"/>
      <c r="WP126" s="425"/>
      <c r="WQ126" s="425"/>
      <c r="WR126" s="425"/>
      <c r="WS126" s="425"/>
      <c r="WT126" s="425"/>
      <c r="WU126" s="425"/>
      <c r="WV126" s="425"/>
      <c r="WW126" s="425"/>
      <c r="WX126" s="425"/>
      <c r="WY126" s="425"/>
      <c r="WZ126" s="425"/>
      <c r="XA126" s="425"/>
      <c r="XB126" s="425"/>
      <c r="XC126" s="425"/>
      <c r="XD126" s="425"/>
      <c r="XE126" s="425"/>
      <c r="XF126" s="425"/>
      <c r="XG126" s="425"/>
      <c r="XH126" s="425"/>
      <c r="XI126" s="425"/>
      <c r="XJ126" s="425"/>
      <c r="XK126" s="425"/>
      <c r="XL126" s="425"/>
      <c r="XM126" s="425"/>
      <c r="XN126" s="425"/>
      <c r="XO126" s="425"/>
      <c r="XP126" s="425"/>
      <c r="XQ126" s="425"/>
      <c r="XR126" s="425"/>
      <c r="XS126" s="425"/>
      <c r="XT126" s="425"/>
      <c r="XU126" s="425"/>
      <c r="XV126" s="425"/>
      <c r="XW126" s="425"/>
      <c r="XX126" s="425"/>
      <c r="XY126" s="425"/>
      <c r="XZ126" s="425"/>
      <c r="YA126" s="425"/>
      <c r="YB126" s="425"/>
      <c r="YC126" s="425"/>
      <c r="YD126" s="425"/>
      <c r="YE126" s="425"/>
      <c r="YF126" s="425"/>
      <c r="YG126" s="425"/>
      <c r="YH126" s="425"/>
      <c r="YI126" s="425"/>
      <c r="YJ126" s="425"/>
      <c r="YK126" s="425"/>
      <c r="YL126" s="425"/>
      <c r="YM126" s="425"/>
      <c r="YN126" s="425"/>
      <c r="YO126" s="425"/>
      <c r="YP126" s="425"/>
      <c r="YQ126" s="425"/>
      <c r="YR126" s="425"/>
      <c r="YS126" s="425"/>
      <c r="YT126" s="425"/>
      <c r="YU126" s="425"/>
      <c r="YV126" s="425"/>
      <c r="YW126" s="425"/>
      <c r="YX126" s="425"/>
      <c r="YY126" s="425"/>
      <c r="YZ126" s="425"/>
      <c r="ZA126" s="425"/>
      <c r="ZB126" s="425"/>
      <c r="ZC126" s="425"/>
      <c r="ZD126" s="425"/>
      <c r="ZE126" s="425"/>
      <c r="ZF126" s="425"/>
      <c r="ZG126" s="425"/>
      <c r="ZH126" s="425"/>
      <c r="ZI126" s="425"/>
      <c r="ZJ126" s="425"/>
      <c r="ZK126" s="425"/>
      <c r="ZL126" s="425"/>
      <c r="ZM126" s="425"/>
      <c r="ZN126" s="425"/>
      <c r="ZO126" s="425"/>
      <c r="ZP126" s="425"/>
      <c r="ZQ126" s="425"/>
      <c r="ZR126" s="425"/>
      <c r="ZS126" s="425"/>
      <c r="ZT126" s="425"/>
      <c r="ZU126" s="425"/>
      <c r="ZV126" s="425"/>
      <c r="ZW126" s="425"/>
      <c r="ZX126" s="425"/>
      <c r="ZY126" s="425"/>
      <c r="ZZ126" s="425"/>
      <c r="AAA126" s="425"/>
      <c r="AAB126" s="425"/>
      <c r="AAC126" s="425"/>
      <c r="AAD126" s="425"/>
      <c r="AAE126" s="425"/>
      <c r="AAF126" s="425"/>
      <c r="AAG126" s="425"/>
      <c r="AAH126" s="425"/>
      <c r="AAI126" s="425"/>
      <c r="AAJ126" s="425"/>
      <c r="AAK126" s="425"/>
      <c r="AAL126" s="425"/>
      <c r="AAM126" s="425"/>
      <c r="AAN126" s="425"/>
      <c r="AAO126" s="425"/>
      <c r="AAP126" s="425"/>
      <c r="AAQ126" s="425"/>
      <c r="AAR126" s="425"/>
      <c r="AAS126" s="425"/>
      <c r="AAT126" s="425"/>
      <c r="AAU126" s="425"/>
      <c r="AAV126" s="425"/>
      <c r="AAW126" s="425"/>
      <c r="AAX126" s="425"/>
      <c r="AAY126" s="425"/>
      <c r="AAZ126" s="425"/>
      <c r="ABA126" s="425"/>
      <c r="ABB126" s="425"/>
      <c r="ABC126" s="425"/>
      <c r="ABD126" s="425"/>
      <c r="ABE126" s="425"/>
      <c r="ABF126" s="425"/>
      <c r="ABG126" s="425"/>
      <c r="ABH126" s="425"/>
      <c r="ABI126" s="425"/>
      <c r="ABJ126" s="425"/>
      <c r="ABK126" s="425"/>
      <c r="ABL126" s="425"/>
      <c r="ABM126" s="425"/>
      <c r="ABN126" s="425"/>
      <c r="ABO126" s="425"/>
      <c r="ABP126" s="425"/>
      <c r="ABQ126" s="425"/>
      <c r="ABR126" s="425"/>
      <c r="ABS126" s="425"/>
      <c r="ABT126" s="425"/>
      <c r="ABU126" s="425"/>
      <c r="ABV126" s="425"/>
      <c r="ABW126" s="425"/>
      <c r="ABX126" s="425"/>
      <c r="ABY126" s="425"/>
      <c r="ABZ126" s="425"/>
      <c r="ACA126" s="425"/>
      <c r="ACB126" s="425"/>
      <c r="ACC126" s="425"/>
      <c r="ACD126" s="425"/>
      <c r="ACE126" s="425"/>
      <c r="ACF126" s="425"/>
      <c r="ACG126" s="425"/>
      <c r="ACH126" s="425"/>
      <c r="ACI126" s="425"/>
      <c r="ACJ126" s="425"/>
      <c r="ACK126" s="425"/>
      <c r="ACL126" s="425"/>
      <c r="ACM126" s="425"/>
      <c r="ACN126" s="425"/>
      <c r="ACO126" s="425"/>
      <c r="ACP126" s="425"/>
      <c r="ACQ126" s="425"/>
      <c r="ACR126" s="425"/>
      <c r="ACS126" s="425"/>
      <c r="ACT126" s="425"/>
      <c r="ACU126" s="425"/>
      <c r="ACV126" s="425"/>
      <c r="ACW126" s="425"/>
      <c r="ACX126" s="425"/>
      <c r="ACY126" s="425"/>
      <c r="ACZ126" s="425"/>
      <c r="ADA126" s="425"/>
      <c r="ADB126" s="425"/>
      <c r="ADC126" s="425"/>
      <c r="ADD126" s="425"/>
      <c r="ADE126" s="425"/>
      <c r="ADF126" s="425"/>
      <c r="ADG126" s="425"/>
      <c r="ADH126" s="425"/>
      <c r="ADI126" s="425"/>
      <c r="ADJ126" s="425"/>
      <c r="ADK126" s="425"/>
      <c r="ADL126" s="425"/>
      <c r="ADM126" s="425"/>
      <c r="ADN126" s="425"/>
      <c r="ADO126" s="425"/>
      <c r="ADP126" s="425"/>
      <c r="ADQ126" s="425"/>
      <c r="ADR126" s="425"/>
      <c r="ADS126" s="425"/>
      <c r="ADT126" s="425"/>
      <c r="ADU126" s="425"/>
      <c r="ADV126" s="425"/>
      <c r="ADW126" s="425"/>
      <c r="ADX126" s="425"/>
      <c r="ADY126" s="425"/>
      <c r="ADZ126" s="425"/>
      <c r="AEA126" s="425"/>
      <c r="AEB126" s="425"/>
      <c r="AEC126" s="425"/>
      <c r="AED126" s="425"/>
      <c r="AEE126" s="425"/>
      <c r="AEF126" s="425"/>
      <c r="AEG126" s="425"/>
      <c r="AEH126" s="425"/>
      <c r="AEI126" s="425"/>
      <c r="AEJ126" s="425"/>
      <c r="AEK126" s="425"/>
      <c r="AEL126" s="425"/>
      <c r="AEM126" s="425"/>
      <c r="AEN126" s="425"/>
      <c r="AEO126" s="425"/>
      <c r="AEP126" s="425"/>
      <c r="AEQ126" s="425"/>
      <c r="AER126" s="425"/>
      <c r="AES126" s="425"/>
      <c r="AET126" s="425"/>
      <c r="AEU126" s="425"/>
      <c r="AEV126" s="425"/>
      <c r="AEW126" s="425"/>
      <c r="AEX126" s="425"/>
      <c r="AEY126" s="425"/>
      <c r="AEZ126" s="425"/>
      <c r="AFA126" s="425"/>
      <c r="AFB126" s="425"/>
      <c r="AFC126" s="425"/>
      <c r="AFD126" s="425"/>
      <c r="AFE126" s="425"/>
      <c r="AFF126" s="425"/>
      <c r="AFG126" s="425"/>
      <c r="AFH126" s="425"/>
      <c r="AFI126" s="425"/>
      <c r="AFJ126" s="425"/>
      <c r="AFK126" s="425"/>
      <c r="AFL126" s="425"/>
      <c r="AFM126" s="425"/>
      <c r="AFN126" s="425"/>
      <c r="AFO126" s="425"/>
      <c r="AFP126" s="425"/>
      <c r="AFQ126" s="425"/>
      <c r="AFR126" s="425"/>
      <c r="AFS126" s="425"/>
      <c r="AFT126" s="425"/>
      <c r="AFU126" s="425"/>
      <c r="AFV126" s="425"/>
      <c r="AFW126" s="425"/>
      <c r="AFX126" s="425"/>
      <c r="AFY126" s="425"/>
      <c r="AFZ126" s="425"/>
      <c r="AGA126" s="425"/>
      <c r="AGB126" s="425"/>
      <c r="AGC126" s="425"/>
      <c r="AGD126" s="425"/>
      <c r="AGE126" s="425"/>
      <c r="AGF126" s="425"/>
      <c r="AGG126" s="425"/>
      <c r="AGH126" s="425"/>
      <c r="AGI126" s="425"/>
      <c r="AGJ126" s="425"/>
      <c r="AGK126" s="425"/>
      <c r="AGL126" s="425"/>
      <c r="AGM126" s="425"/>
      <c r="AGN126" s="425"/>
      <c r="AGO126" s="425"/>
      <c r="AGP126" s="425"/>
      <c r="AGQ126" s="425"/>
      <c r="AGR126" s="425"/>
      <c r="AGS126" s="425"/>
      <c r="AGT126" s="425"/>
      <c r="AGU126" s="425"/>
      <c r="AGV126" s="425"/>
      <c r="AGW126" s="425"/>
      <c r="AGX126" s="425"/>
      <c r="AGY126" s="425"/>
      <c r="AGZ126" s="425"/>
      <c r="AHA126" s="425"/>
      <c r="AHB126" s="425"/>
      <c r="AHC126" s="425"/>
      <c r="AHD126" s="425"/>
      <c r="AHE126" s="425"/>
      <c r="AHF126" s="425"/>
      <c r="AHG126" s="425"/>
      <c r="AHH126" s="425"/>
      <c r="AHI126" s="425"/>
      <c r="AHJ126" s="425"/>
      <c r="AHK126" s="425"/>
      <c r="AHL126" s="425"/>
      <c r="AHM126" s="425"/>
      <c r="AHN126" s="425"/>
      <c r="AHO126" s="425"/>
      <c r="AHP126" s="425"/>
      <c r="AHQ126" s="425"/>
      <c r="AHR126" s="425"/>
      <c r="AHS126" s="425"/>
      <c r="AHT126" s="425"/>
      <c r="AHU126" s="425"/>
      <c r="AHV126" s="425"/>
      <c r="AHW126" s="425"/>
      <c r="AHX126" s="425"/>
      <c r="AHY126" s="425"/>
      <c r="AHZ126" s="425"/>
      <c r="AIA126" s="425"/>
      <c r="AIB126" s="425"/>
      <c r="AIC126" s="425"/>
      <c r="AID126" s="425"/>
      <c r="AIE126" s="425"/>
      <c r="AIF126" s="425"/>
      <c r="AIG126" s="425"/>
      <c r="AIH126" s="425"/>
      <c r="AII126" s="425"/>
      <c r="AIJ126" s="425"/>
      <c r="AIK126" s="425"/>
      <c r="AIL126" s="425"/>
      <c r="AIM126" s="425"/>
      <c r="AIN126" s="425"/>
      <c r="AIO126" s="425"/>
      <c r="AIP126" s="425"/>
      <c r="AIQ126" s="425"/>
      <c r="AIR126" s="425"/>
      <c r="AIS126" s="425"/>
      <c r="AIT126" s="425"/>
      <c r="AIU126" s="425"/>
      <c r="AIV126" s="425"/>
      <c r="AIW126" s="425"/>
      <c r="AIX126" s="425"/>
      <c r="AIY126" s="425"/>
      <c r="AIZ126" s="425"/>
      <c r="AJA126" s="425"/>
      <c r="AJB126" s="425"/>
      <c r="AJC126" s="425"/>
      <c r="AJD126" s="425"/>
      <c r="AJE126" s="425"/>
      <c r="AJF126" s="425"/>
      <c r="AJG126" s="425"/>
      <c r="AJH126" s="425"/>
      <c r="AJI126" s="425"/>
      <c r="AJJ126" s="425"/>
      <c r="AJK126" s="425"/>
      <c r="AJL126" s="425"/>
      <c r="AJM126" s="425"/>
      <c r="AJN126" s="425"/>
      <c r="AJO126" s="425"/>
      <c r="AJP126" s="425"/>
      <c r="AJQ126" s="425"/>
      <c r="AJR126" s="425"/>
      <c r="AJS126" s="425"/>
      <c r="AJT126" s="425"/>
      <c r="AJU126" s="425"/>
      <c r="AJV126" s="425"/>
      <c r="AJW126" s="425"/>
      <c r="AJX126" s="425"/>
      <c r="AJY126" s="425"/>
      <c r="AJZ126" s="425"/>
      <c r="AKA126" s="425"/>
      <c r="AKB126" s="425"/>
      <c r="AKC126" s="425"/>
      <c r="AKD126" s="425"/>
      <c r="AKE126" s="425"/>
      <c r="AKF126" s="425"/>
      <c r="AKG126" s="425"/>
      <c r="AKH126" s="425"/>
      <c r="AKI126" s="425"/>
      <c r="AKJ126" s="425"/>
      <c r="AKK126" s="425"/>
      <c r="AKL126" s="425"/>
      <c r="AKM126" s="425"/>
      <c r="AKN126" s="425"/>
      <c r="AKO126" s="425"/>
      <c r="AKP126" s="425"/>
      <c r="AKQ126" s="425"/>
      <c r="AKR126" s="425"/>
      <c r="AKS126" s="425"/>
      <c r="AKT126" s="425"/>
      <c r="AKU126" s="425"/>
      <c r="AKV126" s="425"/>
      <c r="AKW126" s="425"/>
      <c r="AKX126" s="425"/>
      <c r="AKY126" s="425"/>
      <c r="AKZ126" s="425"/>
      <c r="ALA126" s="425"/>
      <c r="ALB126" s="425"/>
      <c r="ALC126" s="425"/>
      <c r="ALD126" s="425"/>
      <c r="ALE126" s="425"/>
      <c r="ALF126" s="425"/>
      <c r="ALG126" s="425"/>
      <c r="ALH126" s="425"/>
      <c r="ALI126" s="425"/>
      <c r="ALJ126" s="425"/>
      <c r="ALK126" s="425"/>
      <c r="ALL126" s="425"/>
      <c r="ALM126" s="425"/>
      <c r="ALN126" s="425"/>
      <c r="ALO126" s="425"/>
      <c r="ALP126" s="425"/>
      <c r="ALQ126" s="425"/>
      <c r="ALR126" s="425"/>
      <c r="ALS126" s="425"/>
      <c r="ALT126" s="425"/>
      <c r="ALU126" s="425"/>
      <c r="ALV126" s="425"/>
      <c r="ALW126" s="425"/>
      <c r="ALX126" s="425"/>
      <c r="ALY126" s="425"/>
      <c r="ALZ126" s="425"/>
      <c r="AMA126" s="425"/>
      <c r="AMB126" s="425"/>
      <c r="AMC126" s="425"/>
      <c r="AMD126" s="425"/>
      <c r="AME126" s="425"/>
      <c r="AMF126" s="425"/>
      <c r="AMG126" s="425"/>
      <c r="AMH126" s="418"/>
    </row>
    <row r="127" spans="1:1022" x14ac:dyDescent="0.25">
      <c r="A127" s="429">
        <v>7</v>
      </c>
      <c r="B127" s="428" t="s">
        <v>176</v>
      </c>
      <c r="C127" s="428" t="s">
        <v>62</v>
      </c>
      <c r="D127" s="429"/>
      <c r="E127" s="428" t="s">
        <v>141</v>
      </c>
      <c r="F127" s="417" t="s">
        <v>455</v>
      </c>
      <c r="G127" s="428" t="s">
        <v>142</v>
      </c>
      <c r="H127" s="430">
        <v>12</v>
      </c>
      <c r="I127" s="430">
        <v>9</v>
      </c>
      <c r="J127" s="430">
        <v>9</v>
      </c>
      <c r="K127" s="431">
        <v>10807.76</v>
      </c>
      <c r="L127" s="431">
        <v>10807.76</v>
      </c>
      <c r="M127" s="431">
        <v>0</v>
      </c>
      <c r="N127" s="430">
        <v>0</v>
      </c>
      <c r="O127" s="431">
        <v>0</v>
      </c>
      <c r="P127" s="431">
        <v>0</v>
      </c>
      <c r="Q127" s="431">
        <v>0</v>
      </c>
      <c r="R127" s="432"/>
      <c r="S127" s="432"/>
      <c r="T127" s="432"/>
      <c r="U127" s="432"/>
      <c r="V127" s="432"/>
      <c r="W127" s="432"/>
      <c r="X127" s="432"/>
      <c r="Y127" s="432"/>
      <c r="Z127" s="432"/>
      <c r="AA127" s="432"/>
      <c r="AB127" s="432"/>
      <c r="AC127" s="432"/>
      <c r="AD127" s="432"/>
      <c r="AE127" s="432"/>
      <c r="AF127" s="432"/>
      <c r="AG127" s="432"/>
      <c r="AH127" s="432"/>
      <c r="AI127" s="432"/>
      <c r="AJ127" s="432"/>
      <c r="AK127" s="432"/>
      <c r="AL127" s="432"/>
      <c r="AM127" s="432"/>
      <c r="AN127" s="432"/>
      <c r="AO127" s="432"/>
      <c r="AP127" s="432"/>
      <c r="AQ127" s="432"/>
      <c r="AR127" s="432"/>
      <c r="AS127" s="432"/>
      <c r="AT127" s="432"/>
      <c r="AU127" s="432"/>
      <c r="AV127" s="432"/>
      <c r="AW127" s="432"/>
      <c r="AX127" s="432"/>
      <c r="AY127" s="432"/>
      <c r="AZ127" s="432"/>
      <c r="BA127" s="432"/>
      <c r="BB127" s="432"/>
      <c r="BC127" s="432"/>
      <c r="BD127" s="432"/>
      <c r="BE127" s="432"/>
      <c r="BF127" s="432"/>
      <c r="BG127" s="432"/>
      <c r="BH127" s="432"/>
      <c r="BI127" s="432"/>
      <c r="BJ127" s="432"/>
      <c r="BK127" s="432"/>
      <c r="BL127" s="432"/>
      <c r="BM127" s="425"/>
      <c r="BN127" s="425"/>
      <c r="BO127" s="425"/>
      <c r="BP127" s="425"/>
      <c r="BQ127" s="425"/>
      <c r="BR127" s="425"/>
      <c r="BS127" s="425"/>
      <c r="BT127" s="425"/>
      <c r="BU127" s="425"/>
      <c r="BV127" s="425"/>
      <c r="BW127" s="425"/>
      <c r="BX127" s="425"/>
      <c r="BY127" s="425"/>
      <c r="BZ127" s="425"/>
      <c r="CA127" s="425"/>
      <c r="CB127" s="425"/>
      <c r="CC127" s="425"/>
      <c r="CD127" s="425"/>
      <c r="CE127" s="425"/>
      <c r="CF127" s="425"/>
      <c r="CG127" s="425"/>
      <c r="CH127" s="425"/>
      <c r="CI127" s="425"/>
      <c r="CJ127" s="425"/>
      <c r="CK127" s="425"/>
      <c r="CL127" s="425"/>
      <c r="CM127" s="425"/>
      <c r="CN127" s="425"/>
      <c r="CO127" s="425"/>
      <c r="CP127" s="425"/>
      <c r="CQ127" s="425"/>
      <c r="CR127" s="425"/>
      <c r="CS127" s="425"/>
      <c r="CT127" s="425"/>
      <c r="CU127" s="425"/>
      <c r="CV127" s="425"/>
      <c r="CW127" s="425"/>
      <c r="CX127" s="425"/>
      <c r="CY127" s="425"/>
      <c r="CZ127" s="425"/>
      <c r="DA127" s="425"/>
      <c r="DB127" s="425"/>
      <c r="DC127" s="425"/>
      <c r="DD127" s="425"/>
      <c r="DE127" s="425"/>
      <c r="DF127" s="425"/>
      <c r="DG127" s="425"/>
      <c r="DH127" s="425"/>
      <c r="DI127" s="425"/>
      <c r="DJ127" s="425"/>
      <c r="DK127" s="425"/>
      <c r="DL127" s="425"/>
      <c r="DM127" s="425"/>
      <c r="DN127" s="425"/>
      <c r="DO127" s="425"/>
      <c r="DP127" s="425"/>
      <c r="DQ127" s="425"/>
      <c r="DR127" s="425"/>
      <c r="DS127" s="425"/>
      <c r="DT127" s="425"/>
      <c r="DU127" s="425"/>
      <c r="DV127" s="425"/>
      <c r="DW127" s="425"/>
      <c r="DX127" s="425"/>
      <c r="DY127" s="425"/>
      <c r="DZ127" s="425"/>
      <c r="EA127" s="425"/>
      <c r="EB127" s="425"/>
      <c r="EC127" s="425"/>
      <c r="ED127" s="425"/>
      <c r="EE127" s="425"/>
      <c r="EF127" s="425"/>
      <c r="EG127" s="425"/>
      <c r="EH127" s="425"/>
      <c r="EI127" s="425"/>
      <c r="EJ127" s="425"/>
      <c r="EK127" s="425"/>
      <c r="EL127" s="425"/>
      <c r="EM127" s="425"/>
      <c r="EN127" s="425"/>
      <c r="EO127" s="425"/>
      <c r="EP127" s="425"/>
      <c r="EQ127" s="425"/>
      <c r="ER127" s="425"/>
      <c r="ES127" s="425"/>
      <c r="ET127" s="425"/>
      <c r="EU127" s="425"/>
      <c r="EV127" s="425"/>
      <c r="EW127" s="425"/>
      <c r="EX127" s="425"/>
      <c r="EY127" s="425"/>
      <c r="EZ127" s="425"/>
      <c r="FA127" s="425"/>
      <c r="FB127" s="425"/>
      <c r="FC127" s="425"/>
      <c r="FD127" s="425"/>
      <c r="FE127" s="425"/>
      <c r="FF127" s="425"/>
      <c r="FG127" s="425"/>
      <c r="FH127" s="425"/>
      <c r="FI127" s="425"/>
      <c r="FJ127" s="425"/>
      <c r="FK127" s="425"/>
      <c r="FL127" s="425"/>
      <c r="FM127" s="425"/>
      <c r="FN127" s="425"/>
      <c r="FO127" s="425"/>
      <c r="FP127" s="425"/>
      <c r="FQ127" s="425"/>
      <c r="FR127" s="425"/>
      <c r="FS127" s="425"/>
      <c r="FT127" s="425"/>
      <c r="FU127" s="425"/>
      <c r="FV127" s="425"/>
      <c r="FW127" s="425"/>
      <c r="FX127" s="425"/>
      <c r="FY127" s="425"/>
      <c r="FZ127" s="425"/>
      <c r="GA127" s="425"/>
      <c r="GB127" s="425"/>
      <c r="GC127" s="425"/>
      <c r="GD127" s="425"/>
      <c r="GE127" s="425"/>
      <c r="GF127" s="425"/>
      <c r="GG127" s="425"/>
      <c r="GH127" s="425"/>
      <c r="GI127" s="425"/>
      <c r="GJ127" s="425"/>
      <c r="GK127" s="425"/>
      <c r="GL127" s="425"/>
      <c r="GM127" s="425"/>
      <c r="GN127" s="425"/>
      <c r="GO127" s="425"/>
      <c r="GP127" s="425"/>
      <c r="GQ127" s="425"/>
      <c r="GR127" s="425"/>
      <c r="GS127" s="425"/>
      <c r="GT127" s="425"/>
      <c r="GU127" s="425"/>
      <c r="GV127" s="425"/>
      <c r="GW127" s="425"/>
      <c r="GX127" s="425"/>
      <c r="GY127" s="425"/>
      <c r="GZ127" s="425"/>
      <c r="HA127" s="425"/>
      <c r="HB127" s="425"/>
      <c r="HC127" s="425"/>
      <c r="HD127" s="425"/>
      <c r="HE127" s="425"/>
      <c r="HF127" s="425"/>
      <c r="HG127" s="425"/>
      <c r="HH127" s="425"/>
      <c r="HI127" s="425"/>
      <c r="HJ127" s="425"/>
      <c r="HK127" s="425"/>
      <c r="HL127" s="425"/>
      <c r="HM127" s="425"/>
      <c r="HN127" s="425"/>
      <c r="HO127" s="425"/>
      <c r="HP127" s="425"/>
      <c r="HQ127" s="425"/>
      <c r="HR127" s="425"/>
      <c r="HS127" s="425"/>
      <c r="HT127" s="425"/>
      <c r="HU127" s="425"/>
      <c r="HV127" s="425"/>
      <c r="HW127" s="425"/>
      <c r="HX127" s="425"/>
      <c r="HY127" s="425"/>
      <c r="HZ127" s="425"/>
      <c r="IA127" s="425"/>
      <c r="IB127" s="425"/>
      <c r="IC127" s="425"/>
      <c r="ID127" s="425"/>
      <c r="IE127" s="425"/>
      <c r="IF127" s="425"/>
      <c r="IG127" s="425"/>
      <c r="IH127" s="425"/>
      <c r="II127" s="425"/>
      <c r="IJ127" s="425"/>
      <c r="IK127" s="425"/>
      <c r="IL127" s="425"/>
      <c r="IM127" s="425"/>
      <c r="IN127" s="425"/>
      <c r="IO127" s="425"/>
      <c r="IP127" s="425"/>
      <c r="IQ127" s="425"/>
      <c r="IR127" s="425"/>
      <c r="IS127" s="425"/>
      <c r="IT127" s="425"/>
      <c r="IU127" s="425"/>
      <c r="IV127" s="425"/>
      <c r="IW127" s="425"/>
      <c r="IX127" s="425"/>
      <c r="IY127" s="425"/>
      <c r="IZ127" s="425"/>
      <c r="JA127" s="425"/>
      <c r="JB127" s="425"/>
      <c r="JC127" s="425"/>
      <c r="JD127" s="425"/>
      <c r="JE127" s="425"/>
      <c r="JF127" s="425"/>
      <c r="JG127" s="425"/>
      <c r="JH127" s="425"/>
      <c r="JI127" s="425"/>
      <c r="JJ127" s="425"/>
      <c r="JK127" s="425"/>
      <c r="JL127" s="425"/>
      <c r="JM127" s="425"/>
      <c r="JN127" s="425"/>
      <c r="JO127" s="425"/>
      <c r="JP127" s="425"/>
      <c r="JQ127" s="425"/>
      <c r="JR127" s="425"/>
      <c r="JS127" s="425"/>
      <c r="JT127" s="425"/>
      <c r="JU127" s="425"/>
      <c r="JV127" s="425"/>
      <c r="JW127" s="425"/>
      <c r="JX127" s="425"/>
      <c r="JY127" s="425"/>
      <c r="JZ127" s="425"/>
      <c r="KA127" s="425"/>
      <c r="KB127" s="425"/>
      <c r="KC127" s="425"/>
      <c r="KD127" s="425"/>
      <c r="KE127" s="425"/>
      <c r="KF127" s="425"/>
      <c r="KG127" s="425"/>
      <c r="KH127" s="425"/>
      <c r="KI127" s="425"/>
      <c r="KJ127" s="425"/>
      <c r="KK127" s="425"/>
      <c r="KL127" s="425"/>
      <c r="KM127" s="425"/>
      <c r="KN127" s="425"/>
      <c r="KO127" s="425"/>
      <c r="KP127" s="425"/>
      <c r="KQ127" s="425"/>
      <c r="KR127" s="425"/>
      <c r="KS127" s="425"/>
      <c r="KT127" s="425"/>
      <c r="KU127" s="425"/>
      <c r="KV127" s="425"/>
      <c r="KW127" s="425"/>
      <c r="KX127" s="425"/>
      <c r="KY127" s="425"/>
      <c r="KZ127" s="425"/>
      <c r="LA127" s="425"/>
      <c r="LB127" s="425"/>
      <c r="LC127" s="425"/>
      <c r="LD127" s="425"/>
      <c r="LE127" s="425"/>
      <c r="LF127" s="425"/>
      <c r="LG127" s="425"/>
      <c r="LH127" s="425"/>
      <c r="LI127" s="425"/>
      <c r="LJ127" s="425"/>
      <c r="LK127" s="425"/>
      <c r="LL127" s="425"/>
      <c r="LM127" s="425"/>
      <c r="LN127" s="425"/>
      <c r="LO127" s="425"/>
      <c r="LP127" s="425"/>
      <c r="LQ127" s="425"/>
      <c r="LR127" s="425"/>
      <c r="LS127" s="425"/>
      <c r="LT127" s="425"/>
      <c r="LU127" s="425"/>
      <c r="LV127" s="425"/>
      <c r="LW127" s="425"/>
      <c r="LX127" s="425"/>
      <c r="LY127" s="425"/>
      <c r="LZ127" s="425"/>
      <c r="MA127" s="425"/>
      <c r="MB127" s="425"/>
      <c r="MC127" s="425"/>
      <c r="MD127" s="425"/>
      <c r="ME127" s="425"/>
      <c r="MF127" s="425"/>
      <c r="MG127" s="425"/>
      <c r="MH127" s="425"/>
      <c r="MI127" s="425"/>
      <c r="MJ127" s="425"/>
      <c r="MK127" s="425"/>
      <c r="ML127" s="425"/>
      <c r="MM127" s="425"/>
      <c r="MN127" s="425"/>
      <c r="MO127" s="425"/>
      <c r="MP127" s="425"/>
      <c r="MQ127" s="425"/>
      <c r="MR127" s="425"/>
      <c r="MS127" s="425"/>
      <c r="MT127" s="425"/>
      <c r="MU127" s="425"/>
      <c r="MV127" s="425"/>
      <c r="MW127" s="425"/>
      <c r="MX127" s="425"/>
      <c r="MY127" s="425"/>
      <c r="MZ127" s="425"/>
      <c r="NA127" s="425"/>
      <c r="NB127" s="425"/>
      <c r="NC127" s="425"/>
      <c r="ND127" s="425"/>
      <c r="NE127" s="425"/>
      <c r="NF127" s="425"/>
      <c r="NG127" s="425"/>
      <c r="NH127" s="425"/>
      <c r="NI127" s="425"/>
      <c r="NJ127" s="425"/>
      <c r="NK127" s="425"/>
      <c r="NL127" s="425"/>
      <c r="NM127" s="425"/>
      <c r="NN127" s="425"/>
      <c r="NO127" s="425"/>
      <c r="NP127" s="425"/>
      <c r="NQ127" s="425"/>
      <c r="NR127" s="425"/>
      <c r="NS127" s="425"/>
      <c r="NT127" s="425"/>
      <c r="NU127" s="425"/>
      <c r="NV127" s="425"/>
      <c r="NW127" s="425"/>
      <c r="NX127" s="425"/>
      <c r="NY127" s="425"/>
      <c r="NZ127" s="425"/>
      <c r="OA127" s="425"/>
      <c r="OB127" s="425"/>
      <c r="OC127" s="425"/>
      <c r="OD127" s="425"/>
      <c r="OE127" s="425"/>
      <c r="OF127" s="425"/>
      <c r="OG127" s="425"/>
      <c r="OH127" s="425"/>
      <c r="OI127" s="425"/>
      <c r="OJ127" s="425"/>
      <c r="OK127" s="425"/>
      <c r="OL127" s="425"/>
      <c r="OM127" s="425"/>
      <c r="ON127" s="425"/>
      <c r="OO127" s="425"/>
      <c r="OP127" s="425"/>
      <c r="OQ127" s="425"/>
      <c r="OR127" s="425"/>
      <c r="OS127" s="425"/>
      <c r="OT127" s="425"/>
      <c r="OU127" s="425"/>
      <c r="OV127" s="425"/>
      <c r="OW127" s="425"/>
      <c r="OX127" s="425"/>
      <c r="OY127" s="425"/>
      <c r="OZ127" s="425"/>
      <c r="PA127" s="425"/>
      <c r="PB127" s="425"/>
      <c r="PC127" s="425"/>
      <c r="PD127" s="425"/>
      <c r="PE127" s="425"/>
      <c r="PF127" s="425"/>
      <c r="PG127" s="425"/>
      <c r="PH127" s="425"/>
      <c r="PI127" s="425"/>
      <c r="PJ127" s="425"/>
      <c r="PK127" s="425"/>
      <c r="PL127" s="425"/>
      <c r="PM127" s="425"/>
      <c r="PN127" s="425"/>
      <c r="PO127" s="425"/>
      <c r="PP127" s="425"/>
      <c r="PQ127" s="425"/>
      <c r="PR127" s="425"/>
      <c r="PS127" s="425"/>
      <c r="PT127" s="425"/>
      <c r="PU127" s="425"/>
      <c r="PV127" s="425"/>
      <c r="PW127" s="425"/>
      <c r="PX127" s="425"/>
      <c r="PY127" s="425"/>
      <c r="PZ127" s="425"/>
      <c r="QA127" s="425"/>
      <c r="QB127" s="425"/>
      <c r="QC127" s="425"/>
      <c r="QD127" s="425"/>
      <c r="QE127" s="425"/>
      <c r="QF127" s="425"/>
      <c r="QG127" s="425"/>
      <c r="QH127" s="425"/>
      <c r="QI127" s="425"/>
      <c r="QJ127" s="425"/>
      <c r="QK127" s="425"/>
      <c r="QL127" s="425"/>
      <c r="QM127" s="425"/>
      <c r="QN127" s="425"/>
      <c r="QO127" s="425"/>
      <c r="QP127" s="425"/>
      <c r="QQ127" s="425"/>
      <c r="QR127" s="425"/>
      <c r="QS127" s="425"/>
      <c r="QT127" s="425"/>
      <c r="QU127" s="425"/>
      <c r="QV127" s="425"/>
      <c r="QW127" s="425"/>
      <c r="QX127" s="425"/>
      <c r="QY127" s="425"/>
      <c r="QZ127" s="425"/>
      <c r="RA127" s="425"/>
      <c r="RB127" s="425"/>
      <c r="RC127" s="425"/>
      <c r="RD127" s="425"/>
      <c r="RE127" s="425"/>
      <c r="RF127" s="425"/>
      <c r="RG127" s="425"/>
      <c r="RH127" s="425"/>
      <c r="RI127" s="425"/>
      <c r="RJ127" s="425"/>
      <c r="RK127" s="425"/>
      <c r="RL127" s="425"/>
      <c r="RM127" s="425"/>
      <c r="RN127" s="425"/>
      <c r="RO127" s="425"/>
      <c r="RP127" s="425"/>
      <c r="RQ127" s="425"/>
      <c r="RR127" s="425"/>
      <c r="RS127" s="425"/>
      <c r="RT127" s="425"/>
      <c r="RU127" s="425"/>
      <c r="RV127" s="425"/>
      <c r="RW127" s="425"/>
      <c r="RX127" s="425"/>
      <c r="RY127" s="425"/>
      <c r="RZ127" s="425"/>
      <c r="SA127" s="425"/>
      <c r="SB127" s="425"/>
      <c r="SC127" s="425"/>
      <c r="SD127" s="425"/>
      <c r="SE127" s="425"/>
      <c r="SF127" s="425"/>
      <c r="SG127" s="425"/>
      <c r="SH127" s="425"/>
      <c r="SI127" s="425"/>
      <c r="SJ127" s="425"/>
      <c r="SK127" s="425"/>
      <c r="SL127" s="425"/>
      <c r="SM127" s="425"/>
      <c r="SN127" s="425"/>
      <c r="SO127" s="425"/>
      <c r="SP127" s="425"/>
      <c r="SQ127" s="425"/>
      <c r="SR127" s="425"/>
      <c r="SS127" s="425"/>
      <c r="ST127" s="425"/>
      <c r="SU127" s="425"/>
      <c r="SV127" s="425"/>
      <c r="SW127" s="425"/>
      <c r="SX127" s="425"/>
      <c r="SY127" s="425"/>
      <c r="SZ127" s="425"/>
      <c r="TA127" s="425"/>
      <c r="TB127" s="425"/>
      <c r="TC127" s="425"/>
      <c r="TD127" s="425"/>
      <c r="TE127" s="425"/>
      <c r="TF127" s="425"/>
      <c r="TG127" s="425"/>
      <c r="TH127" s="425"/>
      <c r="TI127" s="425"/>
      <c r="TJ127" s="425"/>
      <c r="TK127" s="425"/>
      <c r="TL127" s="425"/>
      <c r="TM127" s="425"/>
      <c r="TN127" s="425"/>
      <c r="TO127" s="425"/>
      <c r="TP127" s="425"/>
      <c r="TQ127" s="425"/>
      <c r="TR127" s="425"/>
      <c r="TS127" s="425"/>
      <c r="TT127" s="425"/>
      <c r="TU127" s="425"/>
      <c r="TV127" s="425"/>
      <c r="TW127" s="425"/>
      <c r="TX127" s="425"/>
      <c r="TY127" s="425"/>
      <c r="TZ127" s="425"/>
      <c r="UA127" s="425"/>
      <c r="UB127" s="425"/>
      <c r="UC127" s="425"/>
      <c r="UD127" s="425"/>
      <c r="UE127" s="425"/>
      <c r="UF127" s="425"/>
      <c r="UG127" s="425"/>
      <c r="UH127" s="425"/>
      <c r="UI127" s="425"/>
      <c r="UJ127" s="425"/>
      <c r="UK127" s="425"/>
      <c r="UL127" s="425"/>
      <c r="UM127" s="425"/>
      <c r="UN127" s="425"/>
      <c r="UO127" s="425"/>
      <c r="UP127" s="425"/>
      <c r="UQ127" s="425"/>
      <c r="UR127" s="425"/>
      <c r="US127" s="425"/>
      <c r="UT127" s="425"/>
      <c r="UU127" s="425"/>
      <c r="UV127" s="425"/>
      <c r="UW127" s="425"/>
      <c r="UX127" s="425"/>
      <c r="UY127" s="425"/>
      <c r="UZ127" s="425"/>
      <c r="VA127" s="425"/>
      <c r="VB127" s="425"/>
      <c r="VC127" s="425"/>
      <c r="VD127" s="425"/>
      <c r="VE127" s="425"/>
      <c r="VF127" s="425"/>
      <c r="VG127" s="425"/>
      <c r="VH127" s="425"/>
      <c r="VI127" s="425"/>
      <c r="VJ127" s="425"/>
      <c r="VK127" s="425"/>
      <c r="VL127" s="425"/>
      <c r="VM127" s="425"/>
      <c r="VN127" s="425"/>
      <c r="VO127" s="425"/>
      <c r="VP127" s="425"/>
      <c r="VQ127" s="425"/>
      <c r="VR127" s="425"/>
      <c r="VS127" s="425"/>
      <c r="VT127" s="425"/>
      <c r="VU127" s="425"/>
      <c r="VV127" s="425"/>
      <c r="VW127" s="425"/>
      <c r="VX127" s="425"/>
      <c r="VY127" s="425"/>
      <c r="VZ127" s="425"/>
      <c r="WA127" s="425"/>
      <c r="WB127" s="425"/>
      <c r="WC127" s="425"/>
      <c r="WD127" s="425"/>
      <c r="WE127" s="425"/>
      <c r="WF127" s="425"/>
      <c r="WG127" s="425"/>
      <c r="WH127" s="425"/>
      <c r="WI127" s="425"/>
      <c r="WJ127" s="425"/>
      <c r="WK127" s="425"/>
      <c r="WL127" s="425"/>
      <c r="WM127" s="425"/>
      <c r="WN127" s="425"/>
      <c r="WO127" s="425"/>
      <c r="WP127" s="425"/>
      <c r="WQ127" s="425"/>
      <c r="WR127" s="425"/>
      <c r="WS127" s="425"/>
      <c r="WT127" s="425"/>
      <c r="WU127" s="425"/>
      <c r="WV127" s="425"/>
      <c r="WW127" s="425"/>
      <c r="WX127" s="425"/>
      <c r="WY127" s="425"/>
      <c r="WZ127" s="425"/>
      <c r="XA127" s="425"/>
      <c r="XB127" s="425"/>
      <c r="XC127" s="425"/>
      <c r="XD127" s="425"/>
      <c r="XE127" s="425"/>
      <c r="XF127" s="425"/>
      <c r="XG127" s="425"/>
      <c r="XH127" s="425"/>
      <c r="XI127" s="425"/>
      <c r="XJ127" s="425"/>
      <c r="XK127" s="425"/>
      <c r="XL127" s="425"/>
      <c r="XM127" s="425"/>
      <c r="XN127" s="425"/>
      <c r="XO127" s="425"/>
      <c r="XP127" s="425"/>
      <c r="XQ127" s="425"/>
      <c r="XR127" s="425"/>
      <c r="XS127" s="425"/>
      <c r="XT127" s="425"/>
      <c r="XU127" s="425"/>
      <c r="XV127" s="425"/>
      <c r="XW127" s="425"/>
      <c r="XX127" s="425"/>
      <c r="XY127" s="425"/>
      <c r="XZ127" s="425"/>
      <c r="YA127" s="425"/>
      <c r="YB127" s="425"/>
      <c r="YC127" s="425"/>
      <c r="YD127" s="425"/>
      <c r="YE127" s="425"/>
      <c r="YF127" s="425"/>
      <c r="YG127" s="425"/>
      <c r="YH127" s="425"/>
      <c r="YI127" s="425"/>
      <c r="YJ127" s="425"/>
      <c r="YK127" s="425"/>
      <c r="YL127" s="425"/>
      <c r="YM127" s="425"/>
      <c r="YN127" s="425"/>
      <c r="YO127" s="425"/>
      <c r="YP127" s="425"/>
      <c r="YQ127" s="425"/>
      <c r="YR127" s="425"/>
      <c r="YS127" s="425"/>
      <c r="YT127" s="425"/>
      <c r="YU127" s="425"/>
      <c r="YV127" s="425"/>
      <c r="YW127" s="425"/>
      <c r="YX127" s="425"/>
      <c r="YY127" s="425"/>
      <c r="YZ127" s="425"/>
      <c r="ZA127" s="425"/>
      <c r="ZB127" s="425"/>
      <c r="ZC127" s="425"/>
      <c r="ZD127" s="425"/>
      <c r="ZE127" s="425"/>
      <c r="ZF127" s="425"/>
      <c r="ZG127" s="425"/>
      <c r="ZH127" s="425"/>
      <c r="ZI127" s="425"/>
      <c r="ZJ127" s="425"/>
      <c r="ZK127" s="425"/>
      <c r="ZL127" s="425"/>
      <c r="ZM127" s="425"/>
      <c r="ZN127" s="425"/>
      <c r="ZO127" s="425"/>
      <c r="ZP127" s="425"/>
      <c r="ZQ127" s="425"/>
      <c r="ZR127" s="425"/>
      <c r="ZS127" s="425"/>
      <c r="ZT127" s="425"/>
      <c r="ZU127" s="425"/>
      <c r="ZV127" s="425"/>
      <c r="ZW127" s="425"/>
      <c r="ZX127" s="425"/>
      <c r="ZY127" s="425"/>
      <c r="ZZ127" s="425"/>
      <c r="AAA127" s="425"/>
      <c r="AAB127" s="425"/>
      <c r="AAC127" s="425"/>
      <c r="AAD127" s="425"/>
      <c r="AAE127" s="425"/>
      <c r="AAF127" s="425"/>
      <c r="AAG127" s="425"/>
      <c r="AAH127" s="425"/>
      <c r="AAI127" s="425"/>
      <c r="AAJ127" s="425"/>
      <c r="AAK127" s="425"/>
      <c r="AAL127" s="425"/>
      <c r="AAM127" s="425"/>
      <c r="AAN127" s="425"/>
      <c r="AAO127" s="425"/>
      <c r="AAP127" s="425"/>
      <c r="AAQ127" s="425"/>
      <c r="AAR127" s="425"/>
      <c r="AAS127" s="425"/>
      <c r="AAT127" s="425"/>
      <c r="AAU127" s="425"/>
      <c r="AAV127" s="425"/>
      <c r="AAW127" s="425"/>
      <c r="AAX127" s="425"/>
      <c r="AAY127" s="425"/>
      <c r="AAZ127" s="425"/>
      <c r="ABA127" s="425"/>
      <c r="ABB127" s="425"/>
      <c r="ABC127" s="425"/>
      <c r="ABD127" s="425"/>
      <c r="ABE127" s="425"/>
      <c r="ABF127" s="425"/>
      <c r="ABG127" s="425"/>
      <c r="ABH127" s="425"/>
      <c r="ABI127" s="425"/>
      <c r="ABJ127" s="425"/>
      <c r="ABK127" s="425"/>
      <c r="ABL127" s="425"/>
      <c r="ABM127" s="425"/>
      <c r="ABN127" s="425"/>
      <c r="ABO127" s="425"/>
      <c r="ABP127" s="425"/>
      <c r="ABQ127" s="425"/>
      <c r="ABR127" s="425"/>
      <c r="ABS127" s="425"/>
      <c r="ABT127" s="425"/>
      <c r="ABU127" s="425"/>
      <c r="ABV127" s="425"/>
      <c r="ABW127" s="425"/>
      <c r="ABX127" s="425"/>
      <c r="ABY127" s="425"/>
      <c r="ABZ127" s="425"/>
      <c r="ACA127" s="425"/>
      <c r="ACB127" s="425"/>
      <c r="ACC127" s="425"/>
      <c r="ACD127" s="425"/>
      <c r="ACE127" s="425"/>
      <c r="ACF127" s="425"/>
      <c r="ACG127" s="425"/>
      <c r="ACH127" s="425"/>
      <c r="ACI127" s="425"/>
      <c r="ACJ127" s="425"/>
      <c r="ACK127" s="425"/>
      <c r="ACL127" s="425"/>
      <c r="ACM127" s="425"/>
      <c r="ACN127" s="425"/>
      <c r="ACO127" s="425"/>
      <c r="ACP127" s="425"/>
      <c r="ACQ127" s="425"/>
      <c r="ACR127" s="425"/>
      <c r="ACS127" s="425"/>
      <c r="ACT127" s="425"/>
      <c r="ACU127" s="425"/>
      <c r="ACV127" s="425"/>
      <c r="ACW127" s="425"/>
      <c r="ACX127" s="425"/>
      <c r="ACY127" s="425"/>
      <c r="ACZ127" s="425"/>
      <c r="ADA127" s="425"/>
      <c r="ADB127" s="425"/>
      <c r="ADC127" s="425"/>
      <c r="ADD127" s="425"/>
      <c r="ADE127" s="425"/>
      <c r="ADF127" s="425"/>
      <c r="ADG127" s="425"/>
      <c r="ADH127" s="425"/>
      <c r="ADI127" s="425"/>
      <c r="ADJ127" s="425"/>
      <c r="ADK127" s="425"/>
      <c r="ADL127" s="425"/>
      <c r="ADM127" s="425"/>
      <c r="ADN127" s="425"/>
      <c r="ADO127" s="425"/>
      <c r="ADP127" s="425"/>
      <c r="ADQ127" s="425"/>
      <c r="ADR127" s="425"/>
      <c r="ADS127" s="425"/>
      <c r="ADT127" s="425"/>
      <c r="ADU127" s="425"/>
      <c r="ADV127" s="425"/>
      <c r="ADW127" s="425"/>
      <c r="ADX127" s="425"/>
      <c r="ADY127" s="425"/>
      <c r="ADZ127" s="425"/>
      <c r="AEA127" s="425"/>
      <c r="AEB127" s="425"/>
      <c r="AEC127" s="425"/>
      <c r="AED127" s="425"/>
      <c r="AEE127" s="425"/>
      <c r="AEF127" s="425"/>
      <c r="AEG127" s="425"/>
      <c r="AEH127" s="425"/>
      <c r="AEI127" s="425"/>
      <c r="AEJ127" s="425"/>
      <c r="AEK127" s="425"/>
      <c r="AEL127" s="425"/>
      <c r="AEM127" s="425"/>
      <c r="AEN127" s="425"/>
      <c r="AEO127" s="425"/>
      <c r="AEP127" s="425"/>
      <c r="AEQ127" s="425"/>
      <c r="AER127" s="425"/>
      <c r="AES127" s="425"/>
      <c r="AET127" s="425"/>
      <c r="AEU127" s="425"/>
      <c r="AEV127" s="425"/>
      <c r="AEW127" s="425"/>
      <c r="AEX127" s="425"/>
      <c r="AEY127" s="425"/>
      <c r="AEZ127" s="425"/>
      <c r="AFA127" s="425"/>
      <c r="AFB127" s="425"/>
      <c r="AFC127" s="425"/>
      <c r="AFD127" s="425"/>
      <c r="AFE127" s="425"/>
      <c r="AFF127" s="425"/>
      <c r="AFG127" s="425"/>
      <c r="AFH127" s="425"/>
      <c r="AFI127" s="425"/>
      <c r="AFJ127" s="425"/>
      <c r="AFK127" s="425"/>
      <c r="AFL127" s="425"/>
      <c r="AFM127" s="425"/>
      <c r="AFN127" s="425"/>
      <c r="AFO127" s="425"/>
      <c r="AFP127" s="425"/>
      <c r="AFQ127" s="425"/>
      <c r="AFR127" s="425"/>
      <c r="AFS127" s="425"/>
      <c r="AFT127" s="425"/>
      <c r="AFU127" s="425"/>
      <c r="AFV127" s="425"/>
      <c r="AFW127" s="425"/>
      <c r="AFX127" s="425"/>
      <c r="AFY127" s="425"/>
      <c r="AFZ127" s="425"/>
      <c r="AGA127" s="425"/>
      <c r="AGB127" s="425"/>
      <c r="AGC127" s="425"/>
      <c r="AGD127" s="425"/>
      <c r="AGE127" s="425"/>
      <c r="AGF127" s="425"/>
      <c r="AGG127" s="425"/>
      <c r="AGH127" s="425"/>
      <c r="AGI127" s="425"/>
      <c r="AGJ127" s="425"/>
      <c r="AGK127" s="425"/>
      <c r="AGL127" s="425"/>
      <c r="AGM127" s="425"/>
      <c r="AGN127" s="425"/>
      <c r="AGO127" s="425"/>
      <c r="AGP127" s="425"/>
      <c r="AGQ127" s="425"/>
      <c r="AGR127" s="425"/>
      <c r="AGS127" s="425"/>
      <c r="AGT127" s="425"/>
      <c r="AGU127" s="425"/>
      <c r="AGV127" s="425"/>
      <c r="AGW127" s="425"/>
      <c r="AGX127" s="425"/>
      <c r="AGY127" s="425"/>
      <c r="AGZ127" s="425"/>
      <c r="AHA127" s="425"/>
      <c r="AHB127" s="425"/>
      <c r="AHC127" s="425"/>
      <c r="AHD127" s="425"/>
      <c r="AHE127" s="425"/>
      <c r="AHF127" s="425"/>
      <c r="AHG127" s="425"/>
      <c r="AHH127" s="425"/>
      <c r="AHI127" s="425"/>
      <c r="AHJ127" s="425"/>
      <c r="AHK127" s="425"/>
      <c r="AHL127" s="425"/>
      <c r="AHM127" s="425"/>
      <c r="AHN127" s="425"/>
      <c r="AHO127" s="425"/>
      <c r="AHP127" s="425"/>
      <c r="AHQ127" s="425"/>
      <c r="AHR127" s="425"/>
      <c r="AHS127" s="425"/>
      <c r="AHT127" s="425"/>
      <c r="AHU127" s="425"/>
      <c r="AHV127" s="425"/>
      <c r="AHW127" s="425"/>
      <c r="AHX127" s="425"/>
      <c r="AHY127" s="425"/>
      <c r="AHZ127" s="425"/>
      <c r="AIA127" s="425"/>
      <c r="AIB127" s="425"/>
      <c r="AIC127" s="425"/>
      <c r="AID127" s="425"/>
      <c r="AIE127" s="425"/>
      <c r="AIF127" s="425"/>
      <c r="AIG127" s="425"/>
      <c r="AIH127" s="425"/>
      <c r="AII127" s="425"/>
      <c r="AIJ127" s="425"/>
      <c r="AIK127" s="425"/>
      <c r="AIL127" s="425"/>
      <c r="AIM127" s="425"/>
      <c r="AIN127" s="425"/>
      <c r="AIO127" s="425"/>
      <c r="AIP127" s="425"/>
      <c r="AIQ127" s="425"/>
      <c r="AIR127" s="425"/>
      <c r="AIS127" s="425"/>
      <c r="AIT127" s="425"/>
      <c r="AIU127" s="425"/>
      <c r="AIV127" s="425"/>
      <c r="AIW127" s="425"/>
      <c r="AIX127" s="425"/>
      <c r="AIY127" s="425"/>
      <c r="AIZ127" s="425"/>
      <c r="AJA127" s="425"/>
      <c r="AJB127" s="425"/>
      <c r="AJC127" s="425"/>
      <c r="AJD127" s="425"/>
      <c r="AJE127" s="425"/>
      <c r="AJF127" s="425"/>
      <c r="AJG127" s="425"/>
      <c r="AJH127" s="425"/>
      <c r="AJI127" s="425"/>
      <c r="AJJ127" s="425"/>
      <c r="AJK127" s="425"/>
      <c r="AJL127" s="425"/>
      <c r="AJM127" s="425"/>
      <c r="AJN127" s="425"/>
      <c r="AJO127" s="425"/>
      <c r="AJP127" s="425"/>
      <c r="AJQ127" s="425"/>
      <c r="AJR127" s="425"/>
      <c r="AJS127" s="425"/>
      <c r="AJT127" s="425"/>
      <c r="AJU127" s="425"/>
      <c r="AJV127" s="425"/>
      <c r="AJW127" s="425"/>
      <c r="AJX127" s="425"/>
      <c r="AJY127" s="425"/>
      <c r="AJZ127" s="425"/>
      <c r="AKA127" s="425"/>
      <c r="AKB127" s="425"/>
      <c r="AKC127" s="425"/>
      <c r="AKD127" s="425"/>
      <c r="AKE127" s="425"/>
      <c r="AKF127" s="425"/>
      <c r="AKG127" s="425"/>
      <c r="AKH127" s="425"/>
      <c r="AKI127" s="425"/>
      <c r="AKJ127" s="425"/>
      <c r="AKK127" s="425"/>
      <c r="AKL127" s="425"/>
      <c r="AKM127" s="425"/>
      <c r="AKN127" s="425"/>
      <c r="AKO127" s="425"/>
      <c r="AKP127" s="425"/>
      <c r="AKQ127" s="425"/>
      <c r="AKR127" s="425"/>
      <c r="AKS127" s="425"/>
      <c r="AKT127" s="425"/>
      <c r="AKU127" s="425"/>
      <c r="AKV127" s="425"/>
      <c r="AKW127" s="425"/>
      <c r="AKX127" s="425"/>
      <c r="AKY127" s="425"/>
      <c r="AKZ127" s="425"/>
      <c r="ALA127" s="425"/>
      <c r="ALB127" s="425"/>
      <c r="ALC127" s="425"/>
      <c r="ALD127" s="425"/>
      <c r="ALE127" s="425"/>
      <c r="ALF127" s="425"/>
      <c r="ALG127" s="425"/>
      <c r="ALH127" s="425"/>
      <c r="ALI127" s="425"/>
      <c r="ALJ127" s="425"/>
      <c r="ALK127" s="425"/>
      <c r="ALL127" s="425"/>
      <c r="ALM127" s="425"/>
      <c r="ALN127" s="425"/>
      <c r="ALO127" s="425"/>
      <c r="ALP127" s="425"/>
      <c r="ALQ127" s="425"/>
      <c r="ALR127" s="425"/>
      <c r="ALS127" s="425"/>
      <c r="ALT127" s="425"/>
      <c r="ALU127" s="425"/>
      <c r="ALV127" s="425"/>
      <c r="ALW127" s="425"/>
      <c r="ALX127" s="425"/>
      <c r="ALY127" s="425"/>
      <c r="ALZ127" s="425"/>
      <c r="AMA127" s="425"/>
      <c r="AMB127" s="425"/>
      <c r="AMC127" s="425"/>
      <c r="AMD127" s="425"/>
      <c r="AME127" s="425"/>
      <c r="AMF127" s="425"/>
      <c r="AMG127" s="425"/>
      <c r="AMH127" s="418"/>
    </row>
    <row r="128" spans="1:1022" x14ac:dyDescent="0.25">
      <c r="A128" s="429">
        <v>8</v>
      </c>
      <c r="B128" s="428" t="s">
        <v>235</v>
      </c>
      <c r="C128" s="428" t="s">
        <v>62</v>
      </c>
      <c r="D128" s="429"/>
      <c r="E128" s="428" t="s">
        <v>456</v>
      </c>
      <c r="F128" s="417" t="s">
        <v>457</v>
      </c>
      <c r="G128" s="428" t="s">
        <v>142</v>
      </c>
      <c r="H128" s="434">
        <v>3</v>
      </c>
      <c r="I128" s="434">
        <v>3</v>
      </c>
      <c r="J128" s="434">
        <v>3</v>
      </c>
      <c r="K128" s="435">
        <v>2269.65</v>
      </c>
      <c r="L128" s="435">
        <v>2269.65</v>
      </c>
      <c r="M128" s="435">
        <v>0</v>
      </c>
      <c r="N128" s="430">
        <v>0</v>
      </c>
      <c r="O128" s="431">
        <v>0</v>
      </c>
      <c r="P128" s="431">
        <v>0</v>
      </c>
      <c r="Q128" s="431">
        <v>0</v>
      </c>
      <c r="R128" s="432"/>
      <c r="S128" s="432"/>
      <c r="T128" s="432"/>
      <c r="U128" s="432"/>
      <c r="V128" s="432"/>
      <c r="W128" s="432"/>
      <c r="X128" s="432"/>
      <c r="Y128" s="432"/>
      <c r="Z128" s="432"/>
      <c r="AA128" s="432"/>
      <c r="AB128" s="432"/>
      <c r="AC128" s="432"/>
      <c r="AD128" s="432"/>
      <c r="AE128" s="432"/>
      <c r="AF128" s="432"/>
      <c r="AG128" s="432"/>
      <c r="AH128" s="432"/>
      <c r="AI128" s="432"/>
      <c r="AJ128" s="432"/>
      <c r="AK128" s="432"/>
      <c r="AL128" s="432"/>
      <c r="AM128" s="432"/>
      <c r="AN128" s="432"/>
      <c r="AO128" s="432"/>
      <c r="AP128" s="432"/>
      <c r="AQ128" s="432"/>
      <c r="AR128" s="432"/>
      <c r="AS128" s="432"/>
      <c r="AT128" s="432"/>
      <c r="AU128" s="432"/>
      <c r="AV128" s="432"/>
      <c r="AW128" s="432"/>
      <c r="AX128" s="432"/>
      <c r="AY128" s="432"/>
      <c r="AZ128" s="432"/>
      <c r="BA128" s="432"/>
      <c r="BB128" s="432"/>
      <c r="BC128" s="432"/>
      <c r="BD128" s="432"/>
      <c r="BE128" s="432"/>
      <c r="BF128" s="432"/>
      <c r="BG128" s="432"/>
      <c r="BH128" s="432"/>
      <c r="BI128" s="432"/>
      <c r="BJ128" s="432"/>
      <c r="BK128" s="432"/>
      <c r="BL128" s="432"/>
      <c r="BM128" s="418"/>
      <c r="BN128" s="418"/>
      <c r="BO128" s="418"/>
      <c r="BP128" s="418"/>
      <c r="BQ128" s="418"/>
      <c r="BR128" s="418"/>
      <c r="BS128" s="418"/>
      <c r="BT128" s="418"/>
      <c r="BU128" s="418"/>
      <c r="BV128" s="418"/>
      <c r="BW128" s="418"/>
      <c r="BX128" s="418"/>
      <c r="BY128" s="418"/>
      <c r="BZ128" s="418"/>
      <c r="CA128" s="418"/>
      <c r="CB128" s="418"/>
      <c r="CC128" s="418"/>
      <c r="CD128" s="418"/>
      <c r="CE128" s="418"/>
      <c r="CF128" s="418"/>
      <c r="CG128" s="418"/>
      <c r="CH128" s="418"/>
      <c r="CI128" s="418"/>
      <c r="CJ128" s="418"/>
      <c r="CK128" s="418"/>
      <c r="CL128" s="418"/>
      <c r="CM128" s="418"/>
      <c r="CN128" s="418"/>
      <c r="CO128" s="418"/>
      <c r="CP128" s="418"/>
      <c r="CQ128" s="418"/>
      <c r="CR128" s="418"/>
      <c r="CS128" s="418"/>
      <c r="CT128" s="418"/>
      <c r="CU128" s="418"/>
      <c r="CV128" s="418"/>
      <c r="CW128" s="418"/>
      <c r="CX128" s="418"/>
      <c r="CY128" s="418"/>
      <c r="CZ128" s="418"/>
      <c r="DA128" s="418"/>
      <c r="DB128" s="418"/>
      <c r="DC128" s="418"/>
      <c r="DD128" s="418"/>
      <c r="DE128" s="418"/>
      <c r="DF128" s="418"/>
      <c r="DG128" s="418"/>
      <c r="DH128" s="418"/>
      <c r="DI128" s="418"/>
      <c r="DJ128" s="418"/>
      <c r="DK128" s="418"/>
      <c r="DL128" s="418"/>
      <c r="DM128" s="418"/>
      <c r="DN128" s="418"/>
      <c r="DO128" s="418"/>
      <c r="DP128" s="418"/>
      <c r="DQ128" s="418"/>
      <c r="DR128" s="418"/>
      <c r="DS128" s="418"/>
      <c r="DT128" s="418"/>
      <c r="DU128" s="418"/>
      <c r="DV128" s="418"/>
      <c r="DW128" s="418"/>
      <c r="DX128" s="418"/>
      <c r="DY128" s="418"/>
      <c r="DZ128" s="418"/>
      <c r="EA128" s="418"/>
      <c r="EB128" s="418"/>
      <c r="EC128" s="418"/>
      <c r="ED128" s="418"/>
      <c r="EE128" s="418"/>
      <c r="EF128" s="418"/>
      <c r="EG128" s="418"/>
      <c r="EH128" s="418"/>
      <c r="EI128" s="418"/>
      <c r="EJ128" s="418"/>
      <c r="EK128" s="418"/>
      <c r="EL128" s="418"/>
      <c r="EM128" s="418"/>
      <c r="EN128" s="418"/>
      <c r="EO128" s="418"/>
      <c r="EP128" s="418"/>
      <c r="EQ128" s="418"/>
      <c r="ER128" s="418"/>
      <c r="ES128" s="418"/>
      <c r="ET128" s="418"/>
      <c r="EU128" s="418"/>
      <c r="EV128" s="418"/>
      <c r="EW128" s="418"/>
      <c r="EX128" s="418"/>
      <c r="EY128" s="418"/>
      <c r="EZ128" s="418"/>
      <c r="FA128" s="418"/>
      <c r="FB128" s="418"/>
      <c r="FC128" s="418"/>
      <c r="FD128" s="418"/>
      <c r="FE128" s="418"/>
      <c r="FF128" s="418"/>
      <c r="FG128" s="418"/>
      <c r="FH128" s="418"/>
      <c r="FI128" s="418"/>
      <c r="FJ128" s="418"/>
      <c r="FK128" s="418"/>
      <c r="FL128" s="418"/>
      <c r="FM128" s="418"/>
      <c r="FN128" s="418"/>
      <c r="FO128" s="418"/>
      <c r="FP128" s="418"/>
      <c r="FQ128" s="418"/>
      <c r="FR128" s="418"/>
      <c r="FS128" s="418"/>
      <c r="FT128" s="418"/>
      <c r="FU128" s="418"/>
      <c r="FV128" s="418"/>
      <c r="FW128" s="418"/>
      <c r="FX128" s="418"/>
      <c r="FY128" s="418"/>
      <c r="FZ128" s="418"/>
      <c r="GA128" s="418"/>
      <c r="GB128" s="418"/>
      <c r="GC128" s="418"/>
      <c r="GD128" s="418"/>
      <c r="GE128" s="418"/>
      <c r="GF128" s="418"/>
      <c r="GG128" s="418"/>
      <c r="GH128" s="418"/>
      <c r="GI128" s="418"/>
      <c r="GJ128" s="418"/>
      <c r="GK128" s="418"/>
      <c r="GL128" s="418"/>
      <c r="GM128" s="418"/>
      <c r="GN128" s="418"/>
      <c r="GO128" s="418"/>
      <c r="GP128" s="418"/>
      <c r="GQ128" s="418"/>
      <c r="GR128" s="418"/>
      <c r="GS128" s="418"/>
      <c r="GT128" s="418"/>
      <c r="GU128" s="418"/>
      <c r="GV128" s="418"/>
      <c r="GW128" s="418"/>
      <c r="GX128" s="418"/>
      <c r="GY128" s="418"/>
      <c r="GZ128" s="418"/>
      <c r="HA128" s="418"/>
      <c r="HB128" s="418"/>
      <c r="HC128" s="418"/>
      <c r="HD128" s="418"/>
      <c r="HE128" s="418"/>
      <c r="HF128" s="418"/>
      <c r="HG128" s="418"/>
      <c r="HH128" s="418"/>
      <c r="HI128" s="418"/>
      <c r="HJ128" s="418"/>
      <c r="HK128" s="418"/>
      <c r="HL128" s="418"/>
      <c r="HM128" s="418"/>
      <c r="HN128" s="418"/>
      <c r="HO128" s="418"/>
      <c r="HP128" s="418"/>
      <c r="HQ128" s="418"/>
      <c r="HR128" s="418"/>
      <c r="HS128" s="418"/>
      <c r="HT128" s="418"/>
      <c r="HU128" s="418"/>
      <c r="HV128" s="418"/>
      <c r="HW128" s="418"/>
      <c r="HX128" s="418"/>
      <c r="HY128" s="418"/>
      <c r="HZ128" s="418"/>
      <c r="IA128" s="418"/>
      <c r="IB128" s="418"/>
      <c r="IC128" s="418"/>
      <c r="ID128" s="418"/>
      <c r="IE128" s="418"/>
      <c r="IF128" s="418"/>
      <c r="IG128" s="418"/>
      <c r="IH128" s="418"/>
      <c r="II128" s="418"/>
      <c r="IJ128" s="418"/>
      <c r="IK128" s="418"/>
      <c r="IL128" s="418"/>
      <c r="IM128" s="418"/>
      <c r="IN128" s="418"/>
      <c r="IO128" s="418"/>
      <c r="IP128" s="418"/>
      <c r="IQ128" s="418"/>
      <c r="IR128" s="418"/>
      <c r="IS128" s="418"/>
      <c r="IT128" s="418"/>
      <c r="IU128" s="418"/>
      <c r="IV128" s="418"/>
      <c r="IW128" s="418"/>
      <c r="IX128" s="418"/>
      <c r="IY128" s="418"/>
      <c r="IZ128" s="418"/>
      <c r="JA128" s="418"/>
      <c r="JB128" s="418"/>
      <c r="JC128" s="418"/>
      <c r="JD128" s="418"/>
      <c r="JE128" s="418"/>
      <c r="JF128" s="418"/>
      <c r="JG128" s="418"/>
      <c r="JH128" s="418"/>
      <c r="JI128" s="418"/>
      <c r="JJ128" s="418"/>
      <c r="JK128" s="418"/>
      <c r="JL128" s="418"/>
      <c r="JM128" s="418"/>
      <c r="JN128" s="418"/>
      <c r="JO128" s="418"/>
      <c r="JP128" s="418"/>
      <c r="JQ128" s="418"/>
      <c r="JR128" s="418"/>
      <c r="JS128" s="418"/>
      <c r="JT128" s="418"/>
      <c r="JU128" s="418"/>
      <c r="JV128" s="418"/>
      <c r="JW128" s="418"/>
      <c r="JX128" s="418"/>
      <c r="JY128" s="418"/>
      <c r="JZ128" s="418"/>
      <c r="KA128" s="418"/>
      <c r="KB128" s="418"/>
      <c r="KC128" s="418"/>
      <c r="KD128" s="418"/>
      <c r="KE128" s="418"/>
      <c r="KF128" s="418"/>
      <c r="KG128" s="418"/>
      <c r="KH128" s="418"/>
      <c r="KI128" s="418"/>
      <c r="KJ128" s="418"/>
      <c r="KK128" s="418"/>
      <c r="KL128" s="418"/>
      <c r="KM128" s="418"/>
      <c r="KN128" s="418"/>
      <c r="KO128" s="418"/>
      <c r="KP128" s="418"/>
      <c r="KQ128" s="418"/>
      <c r="KR128" s="418"/>
      <c r="KS128" s="418"/>
      <c r="KT128" s="418"/>
      <c r="KU128" s="418"/>
      <c r="KV128" s="418"/>
      <c r="KW128" s="418"/>
      <c r="KX128" s="418"/>
      <c r="KY128" s="418"/>
      <c r="KZ128" s="418"/>
      <c r="LA128" s="418"/>
      <c r="LB128" s="418"/>
      <c r="LC128" s="418"/>
      <c r="LD128" s="418"/>
      <c r="LE128" s="418"/>
      <c r="LF128" s="418"/>
      <c r="LG128" s="418"/>
      <c r="LH128" s="418"/>
      <c r="LI128" s="418"/>
      <c r="LJ128" s="418"/>
      <c r="LK128" s="418"/>
      <c r="LL128" s="418"/>
      <c r="LM128" s="418"/>
      <c r="LN128" s="418"/>
      <c r="LO128" s="418"/>
      <c r="LP128" s="418"/>
      <c r="LQ128" s="418"/>
      <c r="LR128" s="418"/>
      <c r="LS128" s="418"/>
      <c r="LT128" s="418"/>
      <c r="LU128" s="418"/>
      <c r="LV128" s="418"/>
      <c r="LW128" s="418"/>
      <c r="LX128" s="418"/>
      <c r="LY128" s="418"/>
      <c r="LZ128" s="418"/>
      <c r="MA128" s="418"/>
      <c r="MB128" s="418"/>
      <c r="MC128" s="418"/>
      <c r="MD128" s="418"/>
      <c r="ME128" s="418"/>
      <c r="MF128" s="418"/>
      <c r="MG128" s="418"/>
      <c r="MH128" s="418"/>
      <c r="MI128" s="418"/>
      <c r="MJ128" s="418"/>
      <c r="MK128" s="418"/>
      <c r="ML128" s="418"/>
      <c r="MM128" s="418"/>
      <c r="MN128" s="418"/>
      <c r="MO128" s="418"/>
      <c r="MP128" s="418"/>
      <c r="MQ128" s="418"/>
      <c r="MR128" s="418"/>
      <c r="MS128" s="418"/>
      <c r="MT128" s="418"/>
      <c r="MU128" s="418"/>
      <c r="MV128" s="418"/>
      <c r="MW128" s="418"/>
      <c r="MX128" s="418"/>
      <c r="MY128" s="418"/>
      <c r="MZ128" s="418"/>
      <c r="NA128" s="418"/>
      <c r="NB128" s="418"/>
      <c r="NC128" s="418"/>
      <c r="ND128" s="418"/>
      <c r="NE128" s="418"/>
      <c r="NF128" s="418"/>
      <c r="NG128" s="418"/>
      <c r="NH128" s="418"/>
      <c r="NI128" s="418"/>
      <c r="NJ128" s="418"/>
      <c r="NK128" s="418"/>
      <c r="NL128" s="418"/>
      <c r="NM128" s="418"/>
      <c r="NN128" s="418"/>
      <c r="NO128" s="418"/>
      <c r="NP128" s="418"/>
      <c r="NQ128" s="418"/>
      <c r="NR128" s="418"/>
      <c r="NS128" s="418"/>
      <c r="NT128" s="418"/>
      <c r="NU128" s="418"/>
      <c r="NV128" s="418"/>
      <c r="NW128" s="418"/>
      <c r="NX128" s="418"/>
      <c r="NY128" s="418"/>
      <c r="NZ128" s="418"/>
      <c r="OA128" s="418"/>
      <c r="OB128" s="418"/>
      <c r="OC128" s="418"/>
      <c r="OD128" s="418"/>
      <c r="OE128" s="418"/>
      <c r="OF128" s="418"/>
      <c r="OG128" s="418"/>
      <c r="OH128" s="418"/>
      <c r="OI128" s="418"/>
      <c r="OJ128" s="418"/>
      <c r="OK128" s="418"/>
      <c r="OL128" s="418"/>
      <c r="OM128" s="418"/>
      <c r="ON128" s="418"/>
      <c r="OO128" s="418"/>
      <c r="OP128" s="418"/>
      <c r="OQ128" s="418"/>
      <c r="OR128" s="418"/>
      <c r="OS128" s="418"/>
      <c r="OT128" s="418"/>
      <c r="OU128" s="418"/>
      <c r="OV128" s="418"/>
      <c r="OW128" s="418"/>
      <c r="OX128" s="418"/>
      <c r="OY128" s="418"/>
      <c r="OZ128" s="418"/>
      <c r="PA128" s="418"/>
      <c r="PB128" s="418"/>
      <c r="PC128" s="418"/>
      <c r="PD128" s="418"/>
      <c r="PE128" s="418"/>
      <c r="PF128" s="418"/>
      <c r="PG128" s="418"/>
      <c r="PH128" s="418"/>
      <c r="PI128" s="418"/>
      <c r="PJ128" s="418"/>
      <c r="PK128" s="418"/>
      <c r="PL128" s="418"/>
      <c r="PM128" s="418"/>
      <c r="PN128" s="418"/>
      <c r="PO128" s="418"/>
      <c r="PP128" s="418"/>
      <c r="PQ128" s="418"/>
      <c r="PR128" s="418"/>
      <c r="PS128" s="418"/>
      <c r="PT128" s="418"/>
      <c r="PU128" s="418"/>
      <c r="PV128" s="418"/>
      <c r="PW128" s="418"/>
      <c r="PX128" s="418"/>
      <c r="PY128" s="418"/>
      <c r="PZ128" s="418"/>
      <c r="QA128" s="418"/>
      <c r="QB128" s="418"/>
      <c r="QC128" s="418"/>
      <c r="QD128" s="418"/>
      <c r="QE128" s="418"/>
      <c r="QF128" s="418"/>
      <c r="QG128" s="418"/>
      <c r="QH128" s="418"/>
      <c r="QI128" s="418"/>
      <c r="QJ128" s="418"/>
      <c r="QK128" s="418"/>
      <c r="QL128" s="418"/>
      <c r="QM128" s="418"/>
      <c r="QN128" s="418"/>
      <c r="QO128" s="418"/>
      <c r="QP128" s="418"/>
      <c r="QQ128" s="418"/>
      <c r="QR128" s="418"/>
      <c r="QS128" s="418"/>
      <c r="QT128" s="418"/>
      <c r="QU128" s="418"/>
      <c r="QV128" s="418"/>
      <c r="QW128" s="418"/>
      <c r="QX128" s="418"/>
      <c r="QY128" s="418"/>
      <c r="QZ128" s="418"/>
      <c r="RA128" s="418"/>
      <c r="RB128" s="418"/>
      <c r="RC128" s="418"/>
      <c r="RD128" s="418"/>
      <c r="RE128" s="418"/>
      <c r="RF128" s="418"/>
      <c r="RG128" s="418"/>
      <c r="RH128" s="418"/>
      <c r="RI128" s="418"/>
      <c r="RJ128" s="418"/>
      <c r="RK128" s="418"/>
      <c r="RL128" s="418"/>
      <c r="RM128" s="418"/>
      <c r="RN128" s="418"/>
      <c r="RO128" s="418"/>
      <c r="RP128" s="418"/>
      <c r="RQ128" s="418"/>
      <c r="RR128" s="418"/>
      <c r="RS128" s="418"/>
      <c r="RT128" s="418"/>
      <c r="RU128" s="418"/>
      <c r="RV128" s="418"/>
      <c r="RW128" s="418"/>
      <c r="RX128" s="418"/>
      <c r="RY128" s="418"/>
      <c r="RZ128" s="418"/>
      <c r="SA128" s="418"/>
      <c r="SB128" s="418"/>
      <c r="SC128" s="418"/>
      <c r="SD128" s="418"/>
      <c r="SE128" s="418"/>
      <c r="SF128" s="418"/>
      <c r="SG128" s="418"/>
      <c r="SH128" s="418"/>
      <c r="SI128" s="418"/>
      <c r="SJ128" s="418"/>
      <c r="SK128" s="418"/>
      <c r="SL128" s="418"/>
      <c r="SM128" s="418"/>
      <c r="SN128" s="418"/>
      <c r="SO128" s="418"/>
      <c r="SP128" s="418"/>
      <c r="SQ128" s="418"/>
      <c r="SR128" s="418"/>
      <c r="SS128" s="418"/>
      <c r="ST128" s="418"/>
      <c r="SU128" s="418"/>
      <c r="SV128" s="418"/>
      <c r="SW128" s="418"/>
      <c r="SX128" s="418"/>
      <c r="SY128" s="418"/>
      <c r="SZ128" s="418"/>
      <c r="TA128" s="418"/>
      <c r="TB128" s="418"/>
      <c r="TC128" s="418"/>
      <c r="TD128" s="418"/>
      <c r="TE128" s="418"/>
      <c r="TF128" s="418"/>
      <c r="TG128" s="418"/>
      <c r="TH128" s="418"/>
      <c r="TI128" s="418"/>
      <c r="TJ128" s="418"/>
      <c r="TK128" s="418"/>
      <c r="TL128" s="418"/>
      <c r="TM128" s="418"/>
      <c r="TN128" s="418"/>
      <c r="TO128" s="418"/>
      <c r="TP128" s="418"/>
      <c r="TQ128" s="418"/>
      <c r="TR128" s="418"/>
      <c r="TS128" s="418"/>
      <c r="TT128" s="418"/>
      <c r="TU128" s="418"/>
      <c r="TV128" s="418"/>
      <c r="TW128" s="418"/>
      <c r="TX128" s="418"/>
      <c r="TY128" s="418"/>
      <c r="TZ128" s="418"/>
      <c r="UA128" s="418"/>
      <c r="UB128" s="418"/>
      <c r="UC128" s="418"/>
      <c r="UD128" s="418"/>
      <c r="UE128" s="418"/>
      <c r="UF128" s="418"/>
      <c r="UG128" s="418"/>
      <c r="UH128" s="418"/>
      <c r="UI128" s="418"/>
      <c r="UJ128" s="418"/>
      <c r="UK128" s="418"/>
      <c r="UL128" s="418"/>
      <c r="UM128" s="418"/>
      <c r="UN128" s="418"/>
      <c r="UO128" s="418"/>
      <c r="UP128" s="418"/>
      <c r="UQ128" s="418"/>
      <c r="UR128" s="418"/>
      <c r="US128" s="418"/>
      <c r="UT128" s="418"/>
      <c r="UU128" s="418"/>
      <c r="UV128" s="418"/>
      <c r="UW128" s="418"/>
      <c r="UX128" s="418"/>
      <c r="UY128" s="418"/>
      <c r="UZ128" s="418"/>
      <c r="VA128" s="418"/>
      <c r="VB128" s="418"/>
      <c r="VC128" s="418"/>
      <c r="VD128" s="418"/>
      <c r="VE128" s="418"/>
      <c r="VF128" s="418"/>
      <c r="VG128" s="418"/>
      <c r="VH128" s="418"/>
      <c r="VI128" s="418"/>
      <c r="VJ128" s="418"/>
      <c r="VK128" s="418"/>
      <c r="VL128" s="418"/>
      <c r="VM128" s="418"/>
      <c r="VN128" s="418"/>
      <c r="VO128" s="418"/>
      <c r="VP128" s="418"/>
      <c r="VQ128" s="418"/>
      <c r="VR128" s="418"/>
      <c r="VS128" s="418"/>
      <c r="VT128" s="418"/>
      <c r="VU128" s="418"/>
      <c r="VV128" s="418"/>
      <c r="VW128" s="418"/>
      <c r="VX128" s="418"/>
      <c r="VY128" s="418"/>
      <c r="VZ128" s="418"/>
      <c r="WA128" s="418"/>
      <c r="WB128" s="418"/>
      <c r="WC128" s="418"/>
      <c r="WD128" s="418"/>
      <c r="WE128" s="418"/>
      <c r="WF128" s="418"/>
      <c r="WG128" s="418"/>
      <c r="WH128" s="418"/>
      <c r="WI128" s="418"/>
      <c r="WJ128" s="418"/>
      <c r="WK128" s="418"/>
      <c r="WL128" s="418"/>
      <c r="WM128" s="418"/>
      <c r="WN128" s="418"/>
      <c r="WO128" s="418"/>
      <c r="WP128" s="418"/>
      <c r="WQ128" s="418"/>
      <c r="WR128" s="418"/>
      <c r="WS128" s="418"/>
      <c r="WT128" s="418"/>
      <c r="WU128" s="418"/>
      <c r="WV128" s="418"/>
      <c r="WW128" s="418"/>
      <c r="WX128" s="418"/>
      <c r="WY128" s="418"/>
      <c r="WZ128" s="418"/>
      <c r="XA128" s="418"/>
      <c r="XB128" s="418"/>
      <c r="XC128" s="418"/>
      <c r="XD128" s="418"/>
      <c r="XE128" s="418"/>
      <c r="XF128" s="418"/>
      <c r="XG128" s="418"/>
      <c r="XH128" s="418"/>
      <c r="XI128" s="418"/>
      <c r="XJ128" s="418"/>
      <c r="XK128" s="418"/>
      <c r="XL128" s="418"/>
      <c r="XM128" s="418"/>
      <c r="XN128" s="418"/>
      <c r="XO128" s="418"/>
      <c r="XP128" s="418"/>
      <c r="XQ128" s="418"/>
      <c r="XR128" s="418"/>
      <c r="XS128" s="418"/>
      <c r="XT128" s="418"/>
      <c r="XU128" s="418"/>
      <c r="XV128" s="418"/>
      <c r="XW128" s="418"/>
      <c r="XX128" s="418"/>
      <c r="XY128" s="418"/>
      <c r="XZ128" s="418"/>
      <c r="YA128" s="418"/>
      <c r="YB128" s="418"/>
      <c r="YC128" s="418"/>
      <c r="YD128" s="418"/>
      <c r="YE128" s="418"/>
      <c r="YF128" s="418"/>
      <c r="YG128" s="418"/>
      <c r="YH128" s="418"/>
      <c r="YI128" s="418"/>
      <c r="YJ128" s="418"/>
      <c r="YK128" s="418"/>
      <c r="YL128" s="418"/>
      <c r="YM128" s="418"/>
      <c r="YN128" s="418"/>
      <c r="YO128" s="418"/>
      <c r="YP128" s="418"/>
      <c r="YQ128" s="418"/>
      <c r="YR128" s="418"/>
      <c r="YS128" s="418"/>
      <c r="YT128" s="418"/>
      <c r="YU128" s="418"/>
      <c r="YV128" s="418"/>
      <c r="YW128" s="418"/>
      <c r="YX128" s="418"/>
      <c r="YY128" s="418"/>
      <c r="YZ128" s="418"/>
      <c r="ZA128" s="418"/>
      <c r="ZB128" s="418"/>
      <c r="ZC128" s="418"/>
      <c r="ZD128" s="418"/>
      <c r="ZE128" s="418"/>
      <c r="ZF128" s="418"/>
      <c r="ZG128" s="418"/>
      <c r="ZH128" s="418"/>
      <c r="ZI128" s="418"/>
      <c r="ZJ128" s="418"/>
      <c r="ZK128" s="418"/>
      <c r="ZL128" s="418"/>
      <c r="ZM128" s="418"/>
      <c r="ZN128" s="418"/>
      <c r="ZO128" s="418"/>
      <c r="ZP128" s="418"/>
      <c r="ZQ128" s="418"/>
      <c r="ZR128" s="418"/>
      <c r="ZS128" s="418"/>
      <c r="ZT128" s="418"/>
      <c r="ZU128" s="418"/>
      <c r="ZV128" s="418"/>
      <c r="ZW128" s="418"/>
      <c r="ZX128" s="418"/>
      <c r="ZY128" s="418"/>
      <c r="ZZ128" s="418"/>
      <c r="AAA128" s="418"/>
      <c r="AAB128" s="418"/>
      <c r="AAC128" s="418"/>
      <c r="AAD128" s="418"/>
      <c r="AAE128" s="418"/>
      <c r="AAF128" s="418"/>
      <c r="AAG128" s="418"/>
      <c r="AAH128" s="418"/>
      <c r="AAI128" s="418"/>
      <c r="AAJ128" s="418"/>
      <c r="AAK128" s="418"/>
      <c r="AAL128" s="418"/>
      <c r="AAM128" s="418"/>
      <c r="AAN128" s="418"/>
      <c r="AAO128" s="418"/>
      <c r="AAP128" s="418"/>
      <c r="AAQ128" s="418"/>
      <c r="AAR128" s="418"/>
      <c r="AAS128" s="418"/>
      <c r="AAT128" s="418"/>
      <c r="AAU128" s="418"/>
      <c r="AAV128" s="418"/>
      <c r="AAW128" s="418"/>
      <c r="AAX128" s="418"/>
      <c r="AAY128" s="418"/>
      <c r="AAZ128" s="418"/>
      <c r="ABA128" s="418"/>
      <c r="ABB128" s="418"/>
      <c r="ABC128" s="418"/>
      <c r="ABD128" s="418"/>
      <c r="ABE128" s="418"/>
      <c r="ABF128" s="418"/>
      <c r="ABG128" s="418"/>
      <c r="ABH128" s="418"/>
      <c r="ABI128" s="418"/>
      <c r="ABJ128" s="418"/>
      <c r="ABK128" s="418"/>
      <c r="ABL128" s="418"/>
      <c r="ABM128" s="418"/>
      <c r="ABN128" s="418"/>
      <c r="ABO128" s="418"/>
      <c r="ABP128" s="418"/>
      <c r="ABQ128" s="418"/>
      <c r="ABR128" s="418"/>
      <c r="ABS128" s="418"/>
      <c r="ABT128" s="418"/>
      <c r="ABU128" s="418"/>
      <c r="ABV128" s="418"/>
      <c r="ABW128" s="418"/>
      <c r="ABX128" s="418"/>
      <c r="ABY128" s="418"/>
      <c r="ABZ128" s="418"/>
      <c r="ACA128" s="418"/>
      <c r="ACB128" s="418"/>
      <c r="ACC128" s="418"/>
      <c r="ACD128" s="418"/>
      <c r="ACE128" s="418"/>
      <c r="ACF128" s="418"/>
      <c r="ACG128" s="418"/>
      <c r="ACH128" s="418"/>
      <c r="ACI128" s="418"/>
      <c r="ACJ128" s="418"/>
      <c r="ACK128" s="418"/>
      <c r="ACL128" s="418"/>
      <c r="ACM128" s="418"/>
      <c r="ACN128" s="418"/>
      <c r="ACO128" s="418"/>
      <c r="ACP128" s="418"/>
      <c r="ACQ128" s="418"/>
      <c r="ACR128" s="418"/>
      <c r="ACS128" s="418"/>
      <c r="ACT128" s="418"/>
      <c r="ACU128" s="418"/>
      <c r="ACV128" s="418"/>
      <c r="ACW128" s="418"/>
      <c r="ACX128" s="418"/>
      <c r="ACY128" s="418"/>
      <c r="ACZ128" s="418"/>
      <c r="ADA128" s="418"/>
      <c r="ADB128" s="418"/>
      <c r="ADC128" s="418"/>
      <c r="ADD128" s="418"/>
      <c r="ADE128" s="418"/>
      <c r="ADF128" s="418"/>
      <c r="ADG128" s="418"/>
      <c r="ADH128" s="418"/>
      <c r="ADI128" s="418"/>
      <c r="ADJ128" s="418"/>
      <c r="ADK128" s="418"/>
      <c r="ADL128" s="418"/>
      <c r="ADM128" s="418"/>
      <c r="ADN128" s="418"/>
      <c r="ADO128" s="418"/>
      <c r="ADP128" s="418"/>
      <c r="ADQ128" s="418"/>
      <c r="ADR128" s="418"/>
      <c r="ADS128" s="418"/>
      <c r="ADT128" s="418"/>
      <c r="ADU128" s="418"/>
      <c r="ADV128" s="418"/>
      <c r="ADW128" s="418"/>
      <c r="ADX128" s="418"/>
      <c r="ADY128" s="418"/>
      <c r="ADZ128" s="418"/>
      <c r="AEA128" s="418"/>
      <c r="AEB128" s="418"/>
      <c r="AEC128" s="418"/>
      <c r="AED128" s="418"/>
      <c r="AEE128" s="418"/>
      <c r="AEF128" s="418"/>
      <c r="AEG128" s="418"/>
      <c r="AEH128" s="418"/>
      <c r="AEI128" s="418"/>
      <c r="AEJ128" s="418"/>
      <c r="AEK128" s="418"/>
      <c r="AEL128" s="418"/>
      <c r="AEM128" s="418"/>
      <c r="AEN128" s="418"/>
      <c r="AEO128" s="418"/>
      <c r="AEP128" s="418"/>
      <c r="AEQ128" s="418"/>
      <c r="AER128" s="418"/>
      <c r="AES128" s="418"/>
      <c r="AET128" s="418"/>
      <c r="AEU128" s="418"/>
      <c r="AEV128" s="418"/>
      <c r="AEW128" s="418"/>
      <c r="AEX128" s="418"/>
      <c r="AEY128" s="418"/>
      <c r="AEZ128" s="418"/>
      <c r="AFA128" s="418"/>
      <c r="AFB128" s="418"/>
      <c r="AFC128" s="418"/>
      <c r="AFD128" s="418"/>
      <c r="AFE128" s="418"/>
      <c r="AFF128" s="418"/>
      <c r="AFG128" s="418"/>
      <c r="AFH128" s="418"/>
      <c r="AFI128" s="418"/>
      <c r="AFJ128" s="418"/>
      <c r="AFK128" s="418"/>
      <c r="AFL128" s="418"/>
      <c r="AFM128" s="418"/>
      <c r="AFN128" s="418"/>
      <c r="AFO128" s="418"/>
      <c r="AFP128" s="418"/>
      <c r="AFQ128" s="418"/>
      <c r="AFR128" s="418"/>
      <c r="AFS128" s="418"/>
      <c r="AFT128" s="418"/>
      <c r="AFU128" s="418"/>
      <c r="AFV128" s="418"/>
      <c r="AFW128" s="418"/>
      <c r="AFX128" s="418"/>
      <c r="AFY128" s="418"/>
      <c r="AFZ128" s="418"/>
      <c r="AGA128" s="418"/>
      <c r="AGB128" s="418"/>
      <c r="AGC128" s="418"/>
      <c r="AGD128" s="418"/>
      <c r="AGE128" s="418"/>
      <c r="AGF128" s="418"/>
      <c r="AGG128" s="418"/>
      <c r="AGH128" s="418"/>
      <c r="AGI128" s="418"/>
      <c r="AGJ128" s="418"/>
      <c r="AGK128" s="418"/>
      <c r="AGL128" s="418"/>
      <c r="AGM128" s="418"/>
      <c r="AGN128" s="418"/>
      <c r="AGO128" s="418"/>
      <c r="AGP128" s="418"/>
      <c r="AGQ128" s="418"/>
      <c r="AGR128" s="418"/>
      <c r="AGS128" s="418"/>
      <c r="AGT128" s="418"/>
      <c r="AGU128" s="418"/>
      <c r="AGV128" s="418"/>
      <c r="AGW128" s="418"/>
      <c r="AGX128" s="418"/>
      <c r="AGY128" s="418"/>
      <c r="AGZ128" s="418"/>
      <c r="AHA128" s="418"/>
      <c r="AHB128" s="418"/>
      <c r="AHC128" s="418"/>
      <c r="AHD128" s="418"/>
      <c r="AHE128" s="418"/>
      <c r="AHF128" s="418"/>
      <c r="AHG128" s="418"/>
      <c r="AHH128" s="418"/>
      <c r="AHI128" s="418"/>
      <c r="AHJ128" s="418"/>
      <c r="AHK128" s="418"/>
      <c r="AHL128" s="418"/>
      <c r="AHM128" s="418"/>
      <c r="AHN128" s="418"/>
      <c r="AHO128" s="418"/>
      <c r="AHP128" s="418"/>
      <c r="AHQ128" s="418"/>
      <c r="AHR128" s="418"/>
      <c r="AHS128" s="418"/>
      <c r="AHT128" s="418"/>
      <c r="AHU128" s="418"/>
      <c r="AHV128" s="418"/>
      <c r="AHW128" s="418"/>
      <c r="AHX128" s="418"/>
      <c r="AHY128" s="418"/>
      <c r="AHZ128" s="418"/>
      <c r="AIA128" s="418"/>
      <c r="AIB128" s="418"/>
      <c r="AIC128" s="418"/>
      <c r="AID128" s="418"/>
      <c r="AIE128" s="418"/>
      <c r="AIF128" s="418"/>
      <c r="AIG128" s="418"/>
      <c r="AIH128" s="418"/>
      <c r="AII128" s="418"/>
      <c r="AIJ128" s="418"/>
      <c r="AIK128" s="418"/>
      <c r="AIL128" s="418"/>
      <c r="AIM128" s="418"/>
      <c r="AIN128" s="418"/>
      <c r="AIO128" s="418"/>
      <c r="AIP128" s="418"/>
      <c r="AIQ128" s="418"/>
      <c r="AIR128" s="418"/>
      <c r="AIS128" s="418"/>
      <c r="AIT128" s="418"/>
      <c r="AIU128" s="418"/>
      <c r="AIV128" s="418"/>
      <c r="AIW128" s="418"/>
      <c r="AIX128" s="418"/>
      <c r="AIY128" s="418"/>
      <c r="AIZ128" s="418"/>
      <c r="AJA128" s="418"/>
      <c r="AJB128" s="418"/>
      <c r="AJC128" s="418"/>
      <c r="AJD128" s="418"/>
      <c r="AJE128" s="418"/>
      <c r="AJF128" s="418"/>
      <c r="AJG128" s="418"/>
      <c r="AJH128" s="418"/>
      <c r="AJI128" s="418"/>
      <c r="AJJ128" s="418"/>
      <c r="AJK128" s="418"/>
      <c r="AJL128" s="418"/>
      <c r="AJM128" s="418"/>
      <c r="AJN128" s="418"/>
      <c r="AJO128" s="418"/>
      <c r="AJP128" s="418"/>
      <c r="AJQ128" s="418"/>
      <c r="AJR128" s="418"/>
      <c r="AJS128" s="418"/>
      <c r="AJT128" s="418"/>
      <c r="AJU128" s="418"/>
      <c r="AJV128" s="418"/>
      <c r="AJW128" s="418"/>
      <c r="AJX128" s="418"/>
      <c r="AJY128" s="418"/>
      <c r="AJZ128" s="418"/>
      <c r="AKA128" s="418"/>
      <c r="AKB128" s="418"/>
      <c r="AKC128" s="418"/>
      <c r="AKD128" s="418"/>
      <c r="AKE128" s="418"/>
      <c r="AKF128" s="418"/>
      <c r="AKG128" s="418"/>
      <c r="AKH128" s="418"/>
      <c r="AKI128" s="418"/>
      <c r="AKJ128" s="418"/>
      <c r="AKK128" s="418"/>
      <c r="AKL128" s="418"/>
      <c r="AKM128" s="418"/>
      <c r="AKN128" s="418"/>
      <c r="AKO128" s="418"/>
      <c r="AKP128" s="418"/>
      <c r="AKQ128" s="418"/>
      <c r="AKR128" s="418"/>
      <c r="AKS128" s="418"/>
      <c r="AKT128" s="418"/>
      <c r="AKU128" s="418"/>
      <c r="AKV128" s="418"/>
      <c r="AKW128" s="418"/>
      <c r="AKX128" s="418"/>
      <c r="AKY128" s="418"/>
      <c r="AKZ128" s="418"/>
      <c r="ALA128" s="418"/>
      <c r="ALB128" s="418"/>
      <c r="ALC128" s="418"/>
      <c r="ALD128" s="418"/>
      <c r="ALE128" s="418"/>
      <c r="ALF128" s="418"/>
      <c r="ALG128" s="418"/>
      <c r="ALH128" s="418"/>
      <c r="ALI128" s="418"/>
      <c r="ALJ128" s="418"/>
      <c r="ALK128" s="418"/>
      <c r="ALL128" s="418"/>
      <c r="ALM128" s="418"/>
      <c r="ALN128" s="418"/>
      <c r="ALO128" s="418"/>
      <c r="ALP128" s="418"/>
      <c r="ALQ128" s="418"/>
      <c r="ALR128" s="418"/>
      <c r="ALS128" s="418"/>
      <c r="ALT128" s="418"/>
      <c r="ALU128" s="418"/>
      <c r="ALV128" s="418"/>
      <c r="ALW128" s="418"/>
      <c r="ALX128" s="418"/>
      <c r="ALY128" s="418"/>
      <c r="ALZ128" s="418"/>
      <c r="AMA128" s="418"/>
      <c r="AMB128" s="418"/>
      <c r="AMC128" s="418"/>
      <c r="AMD128" s="418"/>
      <c r="AME128" s="418"/>
      <c r="AMF128" s="418"/>
      <c r="AMG128" s="418"/>
      <c r="AMH128" s="418"/>
    </row>
    <row r="129" spans="1:1022" x14ac:dyDescent="0.25">
      <c r="A129" s="429">
        <v>9</v>
      </c>
      <c r="B129" s="428" t="s">
        <v>251</v>
      </c>
      <c r="C129" s="428" t="s">
        <v>62</v>
      </c>
      <c r="D129" s="429"/>
      <c r="E129" s="428" t="s">
        <v>141</v>
      </c>
      <c r="F129" s="417" t="s">
        <v>458</v>
      </c>
      <c r="G129" s="428" t="s">
        <v>142</v>
      </c>
      <c r="H129" s="430">
        <v>5</v>
      </c>
      <c r="I129" s="430">
        <v>3</v>
      </c>
      <c r="J129" s="430">
        <v>3</v>
      </c>
      <c r="K129" s="431">
        <v>3434.7</v>
      </c>
      <c r="L129" s="431">
        <v>3434.7</v>
      </c>
      <c r="M129" s="431">
        <v>0</v>
      </c>
      <c r="N129" s="430">
        <v>0</v>
      </c>
      <c r="O129" s="431">
        <v>0</v>
      </c>
      <c r="P129" s="431">
        <v>0</v>
      </c>
      <c r="Q129" s="431">
        <v>0</v>
      </c>
      <c r="R129" s="432"/>
      <c r="S129" s="432"/>
      <c r="T129" s="432"/>
      <c r="U129" s="432"/>
      <c r="V129" s="432"/>
      <c r="W129" s="432"/>
      <c r="X129" s="432"/>
      <c r="Y129" s="432"/>
      <c r="Z129" s="432"/>
      <c r="AA129" s="432"/>
      <c r="AB129" s="432"/>
      <c r="AC129" s="432"/>
      <c r="AD129" s="432"/>
      <c r="AE129" s="432"/>
      <c r="AF129" s="432"/>
      <c r="AG129" s="432"/>
      <c r="AH129" s="432"/>
      <c r="AI129" s="432"/>
      <c r="AJ129" s="432"/>
      <c r="AK129" s="432"/>
      <c r="AL129" s="432"/>
      <c r="AM129" s="432"/>
      <c r="AN129" s="432"/>
      <c r="AO129" s="432"/>
      <c r="AP129" s="432"/>
      <c r="AQ129" s="432"/>
      <c r="AR129" s="432"/>
      <c r="AS129" s="432"/>
      <c r="AT129" s="432"/>
      <c r="AU129" s="432"/>
      <c r="AV129" s="432"/>
      <c r="AW129" s="432"/>
      <c r="AX129" s="432"/>
      <c r="AY129" s="432"/>
      <c r="AZ129" s="432"/>
      <c r="BA129" s="432"/>
      <c r="BB129" s="432"/>
      <c r="BC129" s="432"/>
      <c r="BD129" s="432"/>
      <c r="BE129" s="432"/>
      <c r="BF129" s="432"/>
      <c r="BG129" s="432"/>
      <c r="BH129" s="432"/>
      <c r="BI129" s="432"/>
      <c r="BJ129" s="432"/>
      <c r="BK129" s="432"/>
      <c r="BL129" s="432"/>
      <c r="BM129" s="418"/>
      <c r="BN129" s="418"/>
      <c r="BO129" s="418"/>
      <c r="BP129" s="418"/>
      <c r="BQ129" s="418"/>
      <c r="BR129" s="418"/>
      <c r="BS129" s="418"/>
      <c r="BT129" s="418"/>
      <c r="BU129" s="418"/>
      <c r="BV129" s="418"/>
      <c r="BW129" s="418"/>
      <c r="BX129" s="418"/>
      <c r="BY129" s="418"/>
      <c r="BZ129" s="418"/>
      <c r="CA129" s="418"/>
      <c r="CB129" s="418"/>
      <c r="CC129" s="418"/>
      <c r="CD129" s="418"/>
      <c r="CE129" s="418"/>
      <c r="CF129" s="418"/>
      <c r="CG129" s="418"/>
      <c r="CH129" s="418"/>
      <c r="CI129" s="418"/>
      <c r="CJ129" s="418"/>
      <c r="CK129" s="418"/>
      <c r="CL129" s="418"/>
      <c r="CM129" s="418"/>
      <c r="CN129" s="418"/>
      <c r="CO129" s="418"/>
      <c r="CP129" s="418"/>
      <c r="CQ129" s="418"/>
      <c r="CR129" s="418"/>
      <c r="CS129" s="418"/>
      <c r="CT129" s="418"/>
      <c r="CU129" s="418"/>
      <c r="CV129" s="418"/>
      <c r="CW129" s="418"/>
      <c r="CX129" s="418"/>
      <c r="CY129" s="418"/>
      <c r="CZ129" s="418"/>
      <c r="DA129" s="418"/>
      <c r="DB129" s="418"/>
      <c r="DC129" s="418"/>
      <c r="DD129" s="418"/>
      <c r="DE129" s="418"/>
      <c r="DF129" s="418"/>
      <c r="DG129" s="418"/>
      <c r="DH129" s="418"/>
      <c r="DI129" s="418"/>
      <c r="DJ129" s="418"/>
      <c r="DK129" s="418"/>
      <c r="DL129" s="418"/>
      <c r="DM129" s="418"/>
      <c r="DN129" s="418"/>
      <c r="DO129" s="418"/>
      <c r="DP129" s="418"/>
      <c r="DQ129" s="418"/>
      <c r="DR129" s="418"/>
      <c r="DS129" s="418"/>
      <c r="DT129" s="418"/>
      <c r="DU129" s="418"/>
      <c r="DV129" s="418"/>
      <c r="DW129" s="418"/>
      <c r="DX129" s="418"/>
      <c r="DY129" s="418"/>
      <c r="DZ129" s="418"/>
      <c r="EA129" s="418"/>
      <c r="EB129" s="418"/>
      <c r="EC129" s="418"/>
      <c r="ED129" s="418"/>
      <c r="EE129" s="418"/>
      <c r="EF129" s="418"/>
      <c r="EG129" s="418"/>
      <c r="EH129" s="418"/>
      <c r="EI129" s="418"/>
      <c r="EJ129" s="418"/>
      <c r="EK129" s="418"/>
      <c r="EL129" s="418"/>
      <c r="EM129" s="418"/>
      <c r="EN129" s="418"/>
      <c r="EO129" s="418"/>
      <c r="EP129" s="418"/>
      <c r="EQ129" s="418"/>
      <c r="ER129" s="418"/>
      <c r="ES129" s="418"/>
      <c r="ET129" s="418"/>
      <c r="EU129" s="418"/>
      <c r="EV129" s="418"/>
      <c r="EW129" s="418"/>
      <c r="EX129" s="418"/>
      <c r="EY129" s="418"/>
      <c r="EZ129" s="418"/>
      <c r="FA129" s="418"/>
      <c r="FB129" s="418"/>
      <c r="FC129" s="418"/>
      <c r="FD129" s="418"/>
      <c r="FE129" s="418"/>
      <c r="FF129" s="418"/>
      <c r="FG129" s="418"/>
      <c r="FH129" s="418"/>
      <c r="FI129" s="418"/>
      <c r="FJ129" s="418"/>
      <c r="FK129" s="418"/>
      <c r="FL129" s="418"/>
      <c r="FM129" s="418"/>
      <c r="FN129" s="418"/>
      <c r="FO129" s="418"/>
      <c r="FP129" s="418"/>
      <c r="FQ129" s="418"/>
      <c r="FR129" s="418"/>
      <c r="FS129" s="418"/>
      <c r="FT129" s="418"/>
      <c r="FU129" s="418"/>
      <c r="FV129" s="418"/>
      <c r="FW129" s="418"/>
      <c r="FX129" s="418"/>
      <c r="FY129" s="418"/>
      <c r="FZ129" s="418"/>
      <c r="GA129" s="418"/>
      <c r="GB129" s="418"/>
      <c r="GC129" s="418"/>
      <c r="GD129" s="418"/>
      <c r="GE129" s="418"/>
      <c r="GF129" s="418"/>
      <c r="GG129" s="418"/>
      <c r="GH129" s="418"/>
      <c r="GI129" s="418"/>
      <c r="GJ129" s="418"/>
      <c r="GK129" s="418"/>
      <c r="GL129" s="418"/>
      <c r="GM129" s="418"/>
      <c r="GN129" s="418"/>
      <c r="GO129" s="418"/>
      <c r="GP129" s="418"/>
      <c r="GQ129" s="418"/>
      <c r="GR129" s="418"/>
      <c r="GS129" s="418"/>
      <c r="GT129" s="418"/>
      <c r="GU129" s="418"/>
      <c r="GV129" s="418"/>
      <c r="GW129" s="418"/>
      <c r="GX129" s="418"/>
      <c r="GY129" s="418"/>
      <c r="GZ129" s="418"/>
      <c r="HA129" s="418"/>
      <c r="HB129" s="418"/>
      <c r="HC129" s="418"/>
      <c r="HD129" s="418"/>
      <c r="HE129" s="418"/>
      <c r="HF129" s="418"/>
      <c r="HG129" s="418"/>
      <c r="HH129" s="418"/>
      <c r="HI129" s="418"/>
      <c r="HJ129" s="418"/>
      <c r="HK129" s="418"/>
      <c r="HL129" s="418"/>
      <c r="HM129" s="418"/>
      <c r="HN129" s="418"/>
      <c r="HO129" s="418"/>
      <c r="HP129" s="418"/>
      <c r="HQ129" s="418"/>
      <c r="HR129" s="418"/>
      <c r="HS129" s="418"/>
      <c r="HT129" s="418"/>
      <c r="HU129" s="418"/>
      <c r="HV129" s="418"/>
      <c r="HW129" s="418"/>
      <c r="HX129" s="418"/>
      <c r="HY129" s="418"/>
      <c r="HZ129" s="418"/>
      <c r="IA129" s="418"/>
      <c r="IB129" s="418"/>
      <c r="IC129" s="418"/>
      <c r="ID129" s="418"/>
      <c r="IE129" s="418"/>
      <c r="IF129" s="418"/>
      <c r="IG129" s="418"/>
      <c r="IH129" s="418"/>
      <c r="II129" s="418"/>
      <c r="IJ129" s="418"/>
      <c r="IK129" s="418"/>
      <c r="IL129" s="418"/>
      <c r="IM129" s="418"/>
      <c r="IN129" s="418"/>
      <c r="IO129" s="418"/>
      <c r="IP129" s="418"/>
      <c r="IQ129" s="418"/>
      <c r="IR129" s="418"/>
      <c r="IS129" s="418"/>
      <c r="IT129" s="418"/>
      <c r="IU129" s="418"/>
      <c r="IV129" s="418"/>
      <c r="IW129" s="418"/>
      <c r="IX129" s="418"/>
      <c r="IY129" s="418"/>
      <c r="IZ129" s="418"/>
      <c r="JA129" s="418"/>
      <c r="JB129" s="418"/>
      <c r="JC129" s="418"/>
      <c r="JD129" s="418"/>
      <c r="JE129" s="418"/>
      <c r="JF129" s="418"/>
      <c r="JG129" s="418"/>
      <c r="JH129" s="418"/>
      <c r="JI129" s="418"/>
      <c r="JJ129" s="418"/>
      <c r="JK129" s="418"/>
      <c r="JL129" s="418"/>
      <c r="JM129" s="418"/>
      <c r="JN129" s="418"/>
      <c r="JO129" s="418"/>
      <c r="JP129" s="418"/>
      <c r="JQ129" s="418"/>
      <c r="JR129" s="418"/>
      <c r="JS129" s="418"/>
      <c r="JT129" s="418"/>
      <c r="JU129" s="418"/>
      <c r="JV129" s="418"/>
      <c r="JW129" s="418"/>
      <c r="JX129" s="418"/>
      <c r="JY129" s="418"/>
      <c r="JZ129" s="418"/>
      <c r="KA129" s="418"/>
      <c r="KB129" s="418"/>
      <c r="KC129" s="418"/>
      <c r="KD129" s="418"/>
      <c r="KE129" s="418"/>
      <c r="KF129" s="418"/>
      <c r="KG129" s="418"/>
      <c r="KH129" s="418"/>
      <c r="KI129" s="418"/>
      <c r="KJ129" s="418"/>
      <c r="KK129" s="418"/>
      <c r="KL129" s="418"/>
      <c r="KM129" s="418"/>
      <c r="KN129" s="418"/>
      <c r="KO129" s="418"/>
      <c r="KP129" s="418"/>
      <c r="KQ129" s="418"/>
      <c r="KR129" s="418"/>
      <c r="KS129" s="418"/>
      <c r="KT129" s="418"/>
      <c r="KU129" s="418"/>
      <c r="KV129" s="418"/>
      <c r="KW129" s="418"/>
      <c r="KX129" s="418"/>
      <c r="KY129" s="418"/>
      <c r="KZ129" s="418"/>
      <c r="LA129" s="418"/>
      <c r="LB129" s="418"/>
      <c r="LC129" s="418"/>
      <c r="LD129" s="418"/>
      <c r="LE129" s="418"/>
      <c r="LF129" s="418"/>
      <c r="LG129" s="418"/>
      <c r="LH129" s="418"/>
      <c r="LI129" s="418"/>
      <c r="LJ129" s="418"/>
      <c r="LK129" s="418"/>
      <c r="LL129" s="418"/>
      <c r="LM129" s="418"/>
      <c r="LN129" s="418"/>
      <c r="LO129" s="418"/>
      <c r="LP129" s="418"/>
      <c r="LQ129" s="418"/>
      <c r="LR129" s="418"/>
      <c r="LS129" s="418"/>
      <c r="LT129" s="418"/>
      <c r="LU129" s="418"/>
      <c r="LV129" s="418"/>
      <c r="LW129" s="418"/>
      <c r="LX129" s="418"/>
      <c r="LY129" s="418"/>
      <c r="LZ129" s="418"/>
      <c r="MA129" s="418"/>
      <c r="MB129" s="418"/>
      <c r="MC129" s="418"/>
      <c r="MD129" s="418"/>
      <c r="ME129" s="418"/>
      <c r="MF129" s="418"/>
      <c r="MG129" s="418"/>
      <c r="MH129" s="418"/>
      <c r="MI129" s="418"/>
      <c r="MJ129" s="418"/>
      <c r="MK129" s="418"/>
      <c r="ML129" s="418"/>
      <c r="MM129" s="418"/>
      <c r="MN129" s="418"/>
      <c r="MO129" s="418"/>
      <c r="MP129" s="418"/>
      <c r="MQ129" s="418"/>
      <c r="MR129" s="418"/>
      <c r="MS129" s="418"/>
      <c r="MT129" s="418"/>
      <c r="MU129" s="418"/>
      <c r="MV129" s="418"/>
      <c r="MW129" s="418"/>
      <c r="MX129" s="418"/>
      <c r="MY129" s="418"/>
      <c r="MZ129" s="418"/>
      <c r="NA129" s="418"/>
      <c r="NB129" s="418"/>
      <c r="NC129" s="418"/>
      <c r="ND129" s="418"/>
      <c r="NE129" s="418"/>
      <c r="NF129" s="418"/>
      <c r="NG129" s="418"/>
      <c r="NH129" s="418"/>
      <c r="NI129" s="418"/>
      <c r="NJ129" s="418"/>
      <c r="NK129" s="418"/>
      <c r="NL129" s="418"/>
      <c r="NM129" s="418"/>
      <c r="NN129" s="418"/>
      <c r="NO129" s="418"/>
      <c r="NP129" s="418"/>
      <c r="NQ129" s="418"/>
      <c r="NR129" s="418"/>
      <c r="NS129" s="418"/>
      <c r="NT129" s="418"/>
      <c r="NU129" s="418"/>
      <c r="NV129" s="418"/>
      <c r="NW129" s="418"/>
      <c r="NX129" s="418"/>
      <c r="NY129" s="418"/>
      <c r="NZ129" s="418"/>
      <c r="OA129" s="418"/>
      <c r="OB129" s="418"/>
      <c r="OC129" s="418"/>
      <c r="OD129" s="418"/>
      <c r="OE129" s="418"/>
      <c r="OF129" s="418"/>
      <c r="OG129" s="418"/>
      <c r="OH129" s="418"/>
      <c r="OI129" s="418"/>
      <c r="OJ129" s="418"/>
      <c r="OK129" s="418"/>
      <c r="OL129" s="418"/>
      <c r="OM129" s="418"/>
      <c r="ON129" s="418"/>
      <c r="OO129" s="418"/>
      <c r="OP129" s="418"/>
      <c r="OQ129" s="418"/>
      <c r="OR129" s="418"/>
      <c r="OS129" s="418"/>
      <c r="OT129" s="418"/>
      <c r="OU129" s="418"/>
      <c r="OV129" s="418"/>
      <c r="OW129" s="418"/>
      <c r="OX129" s="418"/>
      <c r="OY129" s="418"/>
      <c r="OZ129" s="418"/>
      <c r="PA129" s="418"/>
      <c r="PB129" s="418"/>
      <c r="PC129" s="418"/>
      <c r="PD129" s="418"/>
      <c r="PE129" s="418"/>
      <c r="PF129" s="418"/>
      <c r="PG129" s="418"/>
      <c r="PH129" s="418"/>
      <c r="PI129" s="418"/>
      <c r="PJ129" s="418"/>
      <c r="PK129" s="418"/>
      <c r="PL129" s="418"/>
      <c r="PM129" s="418"/>
      <c r="PN129" s="418"/>
      <c r="PO129" s="418"/>
      <c r="PP129" s="418"/>
      <c r="PQ129" s="418"/>
      <c r="PR129" s="418"/>
      <c r="PS129" s="418"/>
      <c r="PT129" s="418"/>
      <c r="PU129" s="418"/>
      <c r="PV129" s="418"/>
      <c r="PW129" s="418"/>
      <c r="PX129" s="418"/>
      <c r="PY129" s="418"/>
      <c r="PZ129" s="418"/>
      <c r="QA129" s="418"/>
      <c r="QB129" s="418"/>
      <c r="QC129" s="418"/>
      <c r="QD129" s="418"/>
      <c r="QE129" s="418"/>
      <c r="QF129" s="418"/>
      <c r="QG129" s="418"/>
      <c r="QH129" s="418"/>
      <c r="QI129" s="418"/>
      <c r="QJ129" s="418"/>
      <c r="QK129" s="418"/>
      <c r="QL129" s="418"/>
      <c r="QM129" s="418"/>
      <c r="QN129" s="418"/>
      <c r="QO129" s="418"/>
      <c r="QP129" s="418"/>
      <c r="QQ129" s="418"/>
      <c r="QR129" s="418"/>
      <c r="QS129" s="418"/>
      <c r="QT129" s="418"/>
      <c r="QU129" s="418"/>
      <c r="QV129" s="418"/>
      <c r="QW129" s="418"/>
      <c r="QX129" s="418"/>
      <c r="QY129" s="418"/>
      <c r="QZ129" s="418"/>
      <c r="RA129" s="418"/>
      <c r="RB129" s="418"/>
      <c r="RC129" s="418"/>
      <c r="RD129" s="418"/>
      <c r="RE129" s="418"/>
      <c r="RF129" s="418"/>
      <c r="RG129" s="418"/>
      <c r="RH129" s="418"/>
      <c r="RI129" s="418"/>
      <c r="RJ129" s="418"/>
      <c r="RK129" s="418"/>
      <c r="RL129" s="418"/>
      <c r="RM129" s="418"/>
      <c r="RN129" s="418"/>
      <c r="RO129" s="418"/>
      <c r="RP129" s="418"/>
      <c r="RQ129" s="418"/>
      <c r="RR129" s="418"/>
      <c r="RS129" s="418"/>
      <c r="RT129" s="418"/>
      <c r="RU129" s="418"/>
      <c r="RV129" s="418"/>
      <c r="RW129" s="418"/>
      <c r="RX129" s="418"/>
      <c r="RY129" s="418"/>
      <c r="RZ129" s="418"/>
      <c r="SA129" s="418"/>
      <c r="SB129" s="418"/>
      <c r="SC129" s="418"/>
      <c r="SD129" s="418"/>
      <c r="SE129" s="418"/>
      <c r="SF129" s="418"/>
      <c r="SG129" s="418"/>
      <c r="SH129" s="418"/>
      <c r="SI129" s="418"/>
      <c r="SJ129" s="418"/>
      <c r="SK129" s="418"/>
      <c r="SL129" s="418"/>
      <c r="SM129" s="418"/>
      <c r="SN129" s="418"/>
      <c r="SO129" s="418"/>
      <c r="SP129" s="418"/>
      <c r="SQ129" s="418"/>
      <c r="SR129" s="418"/>
      <c r="SS129" s="418"/>
      <c r="ST129" s="418"/>
      <c r="SU129" s="418"/>
      <c r="SV129" s="418"/>
      <c r="SW129" s="418"/>
      <c r="SX129" s="418"/>
      <c r="SY129" s="418"/>
      <c r="SZ129" s="418"/>
      <c r="TA129" s="418"/>
      <c r="TB129" s="418"/>
      <c r="TC129" s="418"/>
      <c r="TD129" s="418"/>
      <c r="TE129" s="418"/>
      <c r="TF129" s="418"/>
      <c r="TG129" s="418"/>
      <c r="TH129" s="418"/>
      <c r="TI129" s="418"/>
      <c r="TJ129" s="418"/>
      <c r="TK129" s="418"/>
      <c r="TL129" s="418"/>
      <c r="TM129" s="418"/>
      <c r="TN129" s="418"/>
      <c r="TO129" s="418"/>
      <c r="TP129" s="418"/>
      <c r="TQ129" s="418"/>
      <c r="TR129" s="418"/>
      <c r="TS129" s="418"/>
      <c r="TT129" s="418"/>
      <c r="TU129" s="418"/>
      <c r="TV129" s="418"/>
      <c r="TW129" s="418"/>
      <c r="TX129" s="418"/>
      <c r="TY129" s="418"/>
      <c r="TZ129" s="418"/>
      <c r="UA129" s="418"/>
      <c r="UB129" s="418"/>
      <c r="UC129" s="418"/>
      <c r="UD129" s="418"/>
      <c r="UE129" s="418"/>
      <c r="UF129" s="418"/>
      <c r="UG129" s="418"/>
      <c r="UH129" s="418"/>
      <c r="UI129" s="418"/>
      <c r="UJ129" s="418"/>
      <c r="UK129" s="418"/>
      <c r="UL129" s="418"/>
      <c r="UM129" s="418"/>
      <c r="UN129" s="418"/>
      <c r="UO129" s="418"/>
      <c r="UP129" s="418"/>
      <c r="UQ129" s="418"/>
      <c r="UR129" s="418"/>
      <c r="US129" s="418"/>
      <c r="UT129" s="418"/>
      <c r="UU129" s="418"/>
      <c r="UV129" s="418"/>
      <c r="UW129" s="418"/>
      <c r="UX129" s="418"/>
      <c r="UY129" s="418"/>
      <c r="UZ129" s="418"/>
      <c r="VA129" s="418"/>
      <c r="VB129" s="418"/>
      <c r="VC129" s="418"/>
      <c r="VD129" s="418"/>
      <c r="VE129" s="418"/>
      <c r="VF129" s="418"/>
      <c r="VG129" s="418"/>
      <c r="VH129" s="418"/>
      <c r="VI129" s="418"/>
      <c r="VJ129" s="418"/>
      <c r="VK129" s="418"/>
      <c r="VL129" s="418"/>
      <c r="VM129" s="418"/>
      <c r="VN129" s="418"/>
      <c r="VO129" s="418"/>
      <c r="VP129" s="418"/>
      <c r="VQ129" s="418"/>
      <c r="VR129" s="418"/>
      <c r="VS129" s="418"/>
      <c r="VT129" s="418"/>
      <c r="VU129" s="418"/>
      <c r="VV129" s="418"/>
      <c r="VW129" s="418"/>
      <c r="VX129" s="418"/>
      <c r="VY129" s="418"/>
      <c r="VZ129" s="418"/>
      <c r="WA129" s="418"/>
      <c r="WB129" s="418"/>
      <c r="WC129" s="418"/>
      <c r="WD129" s="418"/>
      <c r="WE129" s="418"/>
      <c r="WF129" s="418"/>
      <c r="WG129" s="418"/>
      <c r="WH129" s="418"/>
      <c r="WI129" s="418"/>
      <c r="WJ129" s="418"/>
      <c r="WK129" s="418"/>
      <c r="WL129" s="418"/>
      <c r="WM129" s="418"/>
      <c r="WN129" s="418"/>
      <c r="WO129" s="418"/>
      <c r="WP129" s="418"/>
      <c r="WQ129" s="418"/>
      <c r="WR129" s="418"/>
      <c r="WS129" s="418"/>
      <c r="WT129" s="418"/>
      <c r="WU129" s="418"/>
      <c r="WV129" s="418"/>
      <c r="WW129" s="418"/>
      <c r="WX129" s="418"/>
      <c r="WY129" s="418"/>
      <c r="WZ129" s="418"/>
      <c r="XA129" s="418"/>
      <c r="XB129" s="418"/>
      <c r="XC129" s="418"/>
      <c r="XD129" s="418"/>
      <c r="XE129" s="418"/>
      <c r="XF129" s="418"/>
      <c r="XG129" s="418"/>
      <c r="XH129" s="418"/>
      <c r="XI129" s="418"/>
      <c r="XJ129" s="418"/>
      <c r="XK129" s="418"/>
      <c r="XL129" s="418"/>
      <c r="XM129" s="418"/>
      <c r="XN129" s="418"/>
      <c r="XO129" s="418"/>
      <c r="XP129" s="418"/>
      <c r="XQ129" s="418"/>
      <c r="XR129" s="418"/>
      <c r="XS129" s="418"/>
      <c r="XT129" s="418"/>
      <c r="XU129" s="418"/>
      <c r="XV129" s="418"/>
      <c r="XW129" s="418"/>
      <c r="XX129" s="418"/>
      <c r="XY129" s="418"/>
      <c r="XZ129" s="418"/>
      <c r="YA129" s="418"/>
      <c r="YB129" s="418"/>
      <c r="YC129" s="418"/>
      <c r="YD129" s="418"/>
      <c r="YE129" s="418"/>
      <c r="YF129" s="418"/>
      <c r="YG129" s="418"/>
      <c r="YH129" s="418"/>
      <c r="YI129" s="418"/>
      <c r="YJ129" s="418"/>
      <c r="YK129" s="418"/>
      <c r="YL129" s="418"/>
      <c r="YM129" s="418"/>
      <c r="YN129" s="418"/>
      <c r="YO129" s="418"/>
      <c r="YP129" s="418"/>
      <c r="YQ129" s="418"/>
      <c r="YR129" s="418"/>
      <c r="YS129" s="418"/>
      <c r="YT129" s="418"/>
      <c r="YU129" s="418"/>
      <c r="YV129" s="418"/>
      <c r="YW129" s="418"/>
      <c r="YX129" s="418"/>
      <c r="YY129" s="418"/>
      <c r="YZ129" s="418"/>
      <c r="ZA129" s="418"/>
      <c r="ZB129" s="418"/>
      <c r="ZC129" s="418"/>
      <c r="ZD129" s="418"/>
      <c r="ZE129" s="418"/>
      <c r="ZF129" s="418"/>
      <c r="ZG129" s="418"/>
      <c r="ZH129" s="418"/>
      <c r="ZI129" s="418"/>
      <c r="ZJ129" s="418"/>
      <c r="ZK129" s="418"/>
      <c r="ZL129" s="418"/>
      <c r="ZM129" s="418"/>
      <c r="ZN129" s="418"/>
      <c r="ZO129" s="418"/>
      <c r="ZP129" s="418"/>
      <c r="ZQ129" s="418"/>
      <c r="ZR129" s="418"/>
      <c r="ZS129" s="418"/>
      <c r="ZT129" s="418"/>
      <c r="ZU129" s="418"/>
      <c r="ZV129" s="418"/>
      <c r="ZW129" s="418"/>
      <c r="ZX129" s="418"/>
      <c r="ZY129" s="418"/>
      <c r="ZZ129" s="418"/>
      <c r="AAA129" s="418"/>
      <c r="AAB129" s="418"/>
      <c r="AAC129" s="418"/>
      <c r="AAD129" s="418"/>
      <c r="AAE129" s="418"/>
      <c r="AAF129" s="418"/>
      <c r="AAG129" s="418"/>
      <c r="AAH129" s="418"/>
      <c r="AAI129" s="418"/>
      <c r="AAJ129" s="418"/>
      <c r="AAK129" s="418"/>
      <c r="AAL129" s="418"/>
      <c r="AAM129" s="418"/>
      <c r="AAN129" s="418"/>
      <c r="AAO129" s="418"/>
      <c r="AAP129" s="418"/>
      <c r="AAQ129" s="418"/>
      <c r="AAR129" s="418"/>
      <c r="AAS129" s="418"/>
      <c r="AAT129" s="418"/>
      <c r="AAU129" s="418"/>
      <c r="AAV129" s="418"/>
      <c r="AAW129" s="418"/>
      <c r="AAX129" s="418"/>
      <c r="AAY129" s="418"/>
      <c r="AAZ129" s="418"/>
      <c r="ABA129" s="418"/>
      <c r="ABB129" s="418"/>
      <c r="ABC129" s="418"/>
      <c r="ABD129" s="418"/>
      <c r="ABE129" s="418"/>
      <c r="ABF129" s="418"/>
      <c r="ABG129" s="418"/>
      <c r="ABH129" s="418"/>
      <c r="ABI129" s="418"/>
      <c r="ABJ129" s="418"/>
      <c r="ABK129" s="418"/>
      <c r="ABL129" s="418"/>
      <c r="ABM129" s="418"/>
      <c r="ABN129" s="418"/>
      <c r="ABO129" s="418"/>
      <c r="ABP129" s="418"/>
      <c r="ABQ129" s="418"/>
      <c r="ABR129" s="418"/>
      <c r="ABS129" s="418"/>
      <c r="ABT129" s="418"/>
      <c r="ABU129" s="418"/>
      <c r="ABV129" s="418"/>
      <c r="ABW129" s="418"/>
      <c r="ABX129" s="418"/>
      <c r="ABY129" s="418"/>
      <c r="ABZ129" s="418"/>
      <c r="ACA129" s="418"/>
      <c r="ACB129" s="418"/>
      <c r="ACC129" s="418"/>
      <c r="ACD129" s="418"/>
      <c r="ACE129" s="418"/>
      <c r="ACF129" s="418"/>
      <c r="ACG129" s="418"/>
      <c r="ACH129" s="418"/>
      <c r="ACI129" s="418"/>
      <c r="ACJ129" s="418"/>
      <c r="ACK129" s="418"/>
      <c r="ACL129" s="418"/>
      <c r="ACM129" s="418"/>
      <c r="ACN129" s="418"/>
      <c r="ACO129" s="418"/>
      <c r="ACP129" s="418"/>
      <c r="ACQ129" s="418"/>
      <c r="ACR129" s="418"/>
      <c r="ACS129" s="418"/>
      <c r="ACT129" s="418"/>
      <c r="ACU129" s="418"/>
      <c r="ACV129" s="418"/>
      <c r="ACW129" s="418"/>
      <c r="ACX129" s="418"/>
      <c r="ACY129" s="418"/>
      <c r="ACZ129" s="418"/>
      <c r="ADA129" s="418"/>
      <c r="ADB129" s="418"/>
      <c r="ADC129" s="418"/>
      <c r="ADD129" s="418"/>
      <c r="ADE129" s="418"/>
      <c r="ADF129" s="418"/>
      <c r="ADG129" s="418"/>
      <c r="ADH129" s="418"/>
      <c r="ADI129" s="418"/>
      <c r="ADJ129" s="418"/>
      <c r="ADK129" s="418"/>
      <c r="ADL129" s="418"/>
      <c r="ADM129" s="418"/>
      <c r="ADN129" s="418"/>
      <c r="ADO129" s="418"/>
      <c r="ADP129" s="418"/>
      <c r="ADQ129" s="418"/>
      <c r="ADR129" s="418"/>
      <c r="ADS129" s="418"/>
      <c r="ADT129" s="418"/>
      <c r="ADU129" s="418"/>
      <c r="ADV129" s="418"/>
      <c r="ADW129" s="418"/>
      <c r="ADX129" s="418"/>
      <c r="ADY129" s="418"/>
      <c r="ADZ129" s="418"/>
      <c r="AEA129" s="418"/>
      <c r="AEB129" s="418"/>
      <c r="AEC129" s="418"/>
      <c r="AED129" s="418"/>
      <c r="AEE129" s="418"/>
      <c r="AEF129" s="418"/>
      <c r="AEG129" s="418"/>
      <c r="AEH129" s="418"/>
      <c r="AEI129" s="418"/>
      <c r="AEJ129" s="418"/>
      <c r="AEK129" s="418"/>
      <c r="AEL129" s="418"/>
      <c r="AEM129" s="418"/>
      <c r="AEN129" s="418"/>
      <c r="AEO129" s="418"/>
      <c r="AEP129" s="418"/>
      <c r="AEQ129" s="418"/>
      <c r="AER129" s="418"/>
      <c r="AES129" s="418"/>
      <c r="AET129" s="418"/>
      <c r="AEU129" s="418"/>
      <c r="AEV129" s="418"/>
      <c r="AEW129" s="418"/>
      <c r="AEX129" s="418"/>
      <c r="AEY129" s="418"/>
      <c r="AEZ129" s="418"/>
      <c r="AFA129" s="418"/>
      <c r="AFB129" s="418"/>
      <c r="AFC129" s="418"/>
      <c r="AFD129" s="418"/>
      <c r="AFE129" s="418"/>
      <c r="AFF129" s="418"/>
      <c r="AFG129" s="418"/>
      <c r="AFH129" s="418"/>
      <c r="AFI129" s="418"/>
      <c r="AFJ129" s="418"/>
      <c r="AFK129" s="418"/>
      <c r="AFL129" s="418"/>
      <c r="AFM129" s="418"/>
      <c r="AFN129" s="418"/>
      <c r="AFO129" s="418"/>
      <c r="AFP129" s="418"/>
      <c r="AFQ129" s="418"/>
      <c r="AFR129" s="418"/>
      <c r="AFS129" s="418"/>
      <c r="AFT129" s="418"/>
      <c r="AFU129" s="418"/>
      <c r="AFV129" s="418"/>
      <c r="AFW129" s="418"/>
      <c r="AFX129" s="418"/>
      <c r="AFY129" s="418"/>
      <c r="AFZ129" s="418"/>
      <c r="AGA129" s="418"/>
      <c r="AGB129" s="418"/>
      <c r="AGC129" s="418"/>
      <c r="AGD129" s="418"/>
      <c r="AGE129" s="418"/>
      <c r="AGF129" s="418"/>
      <c r="AGG129" s="418"/>
      <c r="AGH129" s="418"/>
      <c r="AGI129" s="418"/>
      <c r="AGJ129" s="418"/>
      <c r="AGK129" s="418"/>
      <c r="AGL129" s="418"/>
      <c r="AGM129" s="418"/>
      <c r="AGN129" s="418"/>
      <c r="AGO129" s="418"/>
      <c r="AGP129" s="418"/>
      <c r="AGQ129" s="418"/>
      <c r="AGR129" s="418"/>
      <c r="AGS129" s="418"/>
      <c r="AGT129" s="418"/>
      <c r="AGU129" s="418"/>
      <c r="AGV129" s="418"/>
      <c r="AGW129" s="418"/>
      <c r="AGX129" s="418"/>
      <c r="AGY129" s="418"/>
      <c r="AGZ129" s="418"/>
      <c r="AHA129" s="418"/>
      <c r="AHB129" s="418"/>
      <c r="AHC129" s="418"/>
      <c r="AHD129" s="418"/>
      <c r="AHE129" s="418"/>
      <c r="AHF129" s="418"/>
      <c r="AHG129" s="418"/>
      <c r="AHH129" s="418"/>
      <c r="AHI129" s="418"/>
      <c r="AHJ129" s="418"/>
      <c r="AHK129" s="418"/>
      <c r="AHL129" s="418"/>
      <c r="AHM129" s="418"/>
      <c r="AHN129" s="418"/>
      <c r="AHO129" s="418"/>
      <c r="AHP129" s="418"/>
      <c r="AHQ129" s="418"/>
      <c r="AHR129" s="418"/>
      <c r="AHS129" s="418"/>
      <c r="AHT129" s="418"/>
      <c r="AHU129" s="418"/>
      <c r="AHV129" s="418"/>
      <c r="AHW129" s="418"/>
      <c r="AHX129" s="418"/>
      <c r="AHY129" s="418"/>
      <c r="AHZ129" s="418"/>
      <c r="AIA129" s="418"/>
      <c r="AIB129" s="418"/>
      <c r="AIC129" s="418"/>
      <c r="AID129" s="418"/>
      <c r="AIE129" s="418"/>
      <c r="AIF129" s="418"/>
      <c r="AIG129" s="418"/>
      <c r="AIH129" s="418"/>
      <c r="AII129" s="418"/>
      <c r="AIJ129" s="418"/>
      <c r="AIK129" s="418"/>
      <c r="AIL129" s="418"/>
      <c r="AIM129" s="418"/>
      <c r="AIN129" s="418"/>
      <c r="AIO129" s="418"/>
      <c r="AIP129" s="418"/>
      <c r="AIQ129" s="418"/>
      <c r="AIR129" s="418"/>
      <c r="AIS129" s="418"/>
      <c r="AIT129" s="418"/>
      <c r="AIU129" s="418"/>
      <c r="AIV129" s="418"/>
      <c r="AIW129" s="418"/>
      <c r="AIX129" s="418"/>
      <c r="AIY129" s="418"/>
      <c r="AIZ129" s="418"/>
      <c r="AJA129" s="418"/>
      <c r="AJB129" s="418"/>
      <c r="AJC129" s="418"/>
      <c r="AJD129" s="418"/>
      <c r="AJE129" s="418"/>
      <c r="AJF129" s="418"/>
      <c r="AJG129" s="418"/>
      <c r="AJH129" s="418"/>
      <c r="AJI129" s="418"/>
      <c r="AJJ129" s="418"/>
      <c r="AJK129" s="418"/>
      <c r="AJL129" s="418"/>
      <c r="AJM129" s="418"/>
      <c r="AJN129" s="418"/>
      <c r="AJO129" s="418"/>
      <c r="AJP129" s="418"/>
      <c r="AJQ129" s="418"/>
      <c r="AJR129" s="418"/>
      <c r="AJS129" s="418"/>
      <c r="AJT129" s="418"/>
      <c r="AJU129" s="418"/>
      <c r="AJV129" s="418"/>
      <c r="AJW129" s="418"/>
      <c r="AJX129" s="418"/>
      <c r="AJY129" s="418"/>
      <c r="AJZ129" s="418"/>
      <c r="AKA129" s="418"/>
      <c r="AKB129" s="418"/>
      <c r="AKC129" s="418"/>
      <c r="AKD129" s="418"/>
      <c r="AKE129" s="418"/>
      <c r="AKF129" s="418"/>
      <c r="AKG129" s="418"/>
      <c r="AKH129" s="418"/>
      <c r="AKI129" s="418"/>
      <c r="AKJ129" s="418"/>
      <c r="AKK129" s="418"/>
      <c r="AKL129" s="418"/>
      <c r="AKM129" s="418"/>
      <c r="AKN129" s="418"/>
      <c r="AKO129" s="418"/>
      <c r="AKP129" s="418"/>
      <c r="AKQ129" s="418"/>
      <c r="AKR129" s="418"/>
      <c r="AKS129" s="418"/>
      <c r="AKT129" s="418"/>
      <c r="AKU129" s="418"/>
      <c r="AKV129" s="418"/>
      <c r="AKW129" s="418"/>
      <c r="AKX129" s="418"/>
      <c r="AKY129" s="418"/>
      <c r="AKZ129" s="418"/>
      <c r="ALA129" s="418"/>
      <c r="ALB129" s="418"/>
      <c r="ALC129" s="418"/>
      <c r="ALD129" s="418"/>
      <c r="ALE129" s="418"/>
      <c r="ALF129" s="418"/>
      <c r="ALG129" s="418"/>
      <c r="ALH129" s="418"/>
      <c r="ALI129" s="418"/>
      <c r="ALJ129" s="418"/>
      <c r="ALK129" s="418"/>
      <c r="ALL129" s="418"/>
      <c r="ALM129" s="418"/>
      <c r="ALN129" s="418"/>
      <c r="ALO129" s="418"/>
      <c r="ALP129" s="418"/>
      <c r="ALQ129" s="418"/>
      <c r="ALR129" s="418"/>
      <c r="ALS129" s="418"/>
      <c r="ALT129" s="418"/>
      <c r="ALU129" s="418"/>
      <c r="ALV129" s="418"/>
      <c r="ALW129" s="418"/>
      <c r="ALX129" s="418"/>
      <c r="ALY129" s="418"/>
      <c r="ALZ129" s="418"/>
      <c r="AMA129" s="418"/>
      <c r="AMB129" s="418"/>
      <c r="AMC129" s="418"/>
      <c r="AMD129" s="418"/>
      <c r="AME129" s="418"/>
      <c r="AMF129" s="418"/>
      <c r="AMG129" s="418"/>
      <c r="AMH129" s="418"/>
    </row>
    <row r="130" spans="1:1022" x14ac:dyDescent="0.25">
      <c r="A130" s="429">
        <v>10</v>
      </c>
      <c r="B130" s="428" t="s">
        <v>30</v>
      </c>
      <c r="C130" s="428" t="s">
        <v>62</v>
      </c>
      <c r="D130" s="429"/>
      <c r="E130" s="428" t="s">
        <v>459</v>
      </c>
      <c r="F130" s="417" t="s">
        <v>460</v>
      </c>
      <c r="G130" s="428" t="s">
        <v>142</v>
      </c>
      <c r="H130" s="430">
        <v>1</v>
      </c>
      <c r="I130" s="430">
        <v>0</v>
      </c>
      <c r="J130" s="430">
        <v>0</v>
      </c>
      <c r="K130" s="431">
        <v>0</v>
      </c>
      <c r="L130" s="431">
        <v>0</v>
      </c>
      <c r="M130" s="431">
        <v>0</v>
      </c>
      <c r="N130" s="430">
        <v>0</v>
      </c>
      <c r="O130" s="431">
        <v>0</v>
      </c>
      <c r="P130" s="431">
        <v>0</v>
      </c>
      <c r="Q130" s="431">
        <v>0</v>
      </c>
      <c r="R130" s="432"/>
      <c r="S130" s="432"/>
      <c r="T130" s="432"/>
      <c r="U130" s="432"/>
      <c r="V130" s="432"/>
      <c r="W130" s="432"/>
      <c r="X130" s="432"/>
      <c r="Y130" s="432"/>
      <c r="Z130" s="432"/>
      <c r="AA130" s="432"/>
      <c r="AB130" s="432"/>
      <c r="AC130" s="432"/>
      <c r="AD130" s="432"/>
      <c r="AE130" s="432"/>
      <c r="AF130" s="432"/>
      <c r="AG130" s="432"/>
      <c r="AH130" s="432"/>
      <c r="AI130" s="432"/>
      <c r="AJ130" s="432"/>
      <c r="AK130" s="432"/>
      <c r="AL130" s="432"/>
      <c r="AM130" s="432"/>
      <c r="AN130" s="432"/>
      <c r="AO130" s="432"/>
      <c r="AP130" s="432"/>
      <c r="AQ130" s="432"/>
      <c r="AR130" s="432"/>
      <c r="AS130" s="432"/>
      <c r="AT130" s="432"/>
      <c r="AU130" s="432"/>
      <c r="AV130" s="432"/>
      <c r="AW130" s="432"/>
      <c r="AX130" s="432"/>
      <c r="AY130" s="432"/>
      <c r="AZ130" s="432"/>
      <c r="BA130" s="432"/>
      <c r="BB130" s="432"/>
      <c r="BC130" s="432"/>
      <c r="BD130" s="432"/>
      <c r="BE130" s="432"/>
      <c r="BF130" s="432"/>
      <c r="BG130" s="432"/>
      <c r="BH130" s="432"/>
      <c r="BI130" s="432"/>
      <c r="BJ130" s="432"/>
      <c r="BK130" s="432"/>
      <c r="BL130" s="432"/>
      <c r="BM130" s="418"/>
      <c r="BN130" s="418"/>
      <c r="BO130" s="418"/>
      <c r="BP130" s="418"/>
      <c r="BQ130" s="418"/>
      <c r="BR130" s="418"/>
      <c r="BS130" s="418"/>
      <c r="BT130" s="418"/>
      <c r="BU130" s="418"/>
      <c r="BV130" s="418"/>
      <c r="BW130" s="418"/>
      <c r="BX130" s="418"/>
      <c r="BY130" s="418"/>
      <c r="BZ130" s="418"/>
      <c r="CA130" s="418"/>
      <c r="CB130" s="418"/>
      <c r="CC130" s="418"/>
      <c r="CD130" s="418"/>
      <c r="CE130" s="418"/>
      <c r="CF130" s="418"/>
      <c r="CG130" s="418"/>
      <c r="CH130" s="418"/>
      <c r="CI130" s="418"/>
      <c r="CJ130" s="418"/>
      <c r="CK130" s="418"/>
      <c r="CL130" s="418"/>
      <c r="CM130" s="418"/>
      <c r="CN130" s="418"/>
      <c r="CO130" s="418"/>
      <c r="CP130" s="418"/>
      <c r="CQ130" s="418"/>
      <c r="CR130" s="418"/>
      <c r="CS130" s="418"/>
      <c r="CT130" s="418"/>
      <c r="CU130" s="418"/>
      <c r="CV130" s="418"/>
      <c r="CW130" s="418"/>
      <c r="CX130" s="418"/>
      <c r="CY130" s="418"/>
      <c r="CZ130" s="418"/>
      <c r="DA130" s="418"/>
      <c r="DB130" s="418"/>
      <c r="DC130" s="418"/>
      <c r="DD130" s="418"/>
      <c r="DE130" s="418"/>
      <c r="DF130" s="418"/>
      <c r="DG130" s="418"/>
      <c r="DH130" s="418"/>
      <c r="DI130" s="418"/>
      <c r="DJ130" s="418"/>
      <c r="DK130" s="418"/>
      <c r="DL130" s="418"/>
      <c r="DM130" s="418"/>
      <c r="DN130" s="418"/>
      <c r="DO130" s="418"/>
      <c r="DP130" s="418"/>
      <c r="DQ130" s="418"/>
      <c r="DR130" s="418"/>
      <c r="DS130" s="418"/>
      <c r="DT130" s="418"/>
      <c r="DU130" s="418"/>
      <c r="DV130" s="418"/>
      <c r="DW130" s="418"/>
      <c r="DX130" s="418"/>
      <c r="DY130" s="418"/>
      <c r="DZ130" s="418"/>
      <c r="EA130" s="418"/>
      <c r="EB130" s="418"/>
      <c r="EC130" s="418"/>
      <c r="ED130" s="418"/>
      <c r="EE130" s="418"/>
      <c r="EF130" s="418"/>
      <c r="EG130" s="418"/>
      <c r="EH130" s="418"/>
      <c r="EI130" s="418"/>
      <c r="EJ130" s="418"/>
      <c r="EK130" s="418"/>
      <c r="EL130" s="418"/>
      <c r="EM130" s="418"/>
      <c r="EN130" s="418"/>
      <c r="EO130" s="418"/>
      <c r="EP130" s="418"/>
      <c r="EQ130" s="418"/>
      <c r="ER130" s="418"/>
      <c r="ES130" s="418"/>
      <c r="ET130" s="418"/>
      <c r="EU130" s="418"/>
      <c r="EV130" s="418"/>
      <c r="EW130" s="418"/>
      <c r="EX130" s="418"/>
      <c r="EY130" s="418"/>
      <c r="EZ130" s="418"/>
      <c r="FA130" s="418"/>
      <c r="FB130" s="418"/>
      <c r="FC130" s="418"/>
      <c r="FD130" s="418"/>
      <c r="FE130" s="418"/>
      <c r="FF130" s="418"/>
      <c r="FG130" s="418"/>
      <c r="FH130" s="418"/>
      <c r="FI130" s="418"/>
      <c r="FJ130" s="418"/>
      <c r="FK130" s="418"/>
      <c r="FL130" s="418"/>
      <c r="FM130" s="418"/>
      <c r="FN130" s="418"/>
      <c r="FO130" s="418"/>
      <c r="FP130" s="418"/>
      <c r="FQ130" s="418"/>
      <c r="FR130" s="418"/>
      <c r="FS130" s="418"/>
      <c r="FT130" s="418"/>
      <c r="FU130" s="418"/>
      <c r="FV130" s="418"/>
      <c r="FW130" s="418"/>
      <c r="FX130" s="418"/>
      <c r="FY130" s="418"/>
      <c r="FZ130" s="418"/>
      <c r="GA130" s="418"/>
      <c r="GB130" s="418"/>
      <c r="GC130" s="418"/>
      <c r="GD130" s="418"/>
      <c r="GE130" s="418"/>
      <c r="GF130" s="418"/>
      <c r="GG130" s="418"/>
      <c r="GH130" s="418"/>
      <c r="GI130" s="418"/>
      <c r="GJ130" s="418"/>
      <c r="GK130" s="418"/>
      <c r="GL130" s="418"/>
      <c r="GM130" s="418"/>
      <c r="GN130" s="418"/>
      <c r="GO130" s="418"/>
      <c r="GP130" s="418"/>
      <c r="GQ130" s="418"/>
      <c r="GR130" s="418"/>
      <c r="GS130" s="418"/>
      <c r="GT130" s="418"/>
      <c r="GU130" s="418"/>
      <c r="GV130" s="418"/>
      <c r="GW130" s="418"/>
      <c r="GX130" s="418"/>
      <c r="GY130" s="418"/>
      <c r="GZ130" s="418"/>
      <c r="HA130" s="418"/>
      <c r="HB130" s="418"/>
      <c r="HC130" s="418"/>
      <c r="HD130" s="418"/>
      <c r="HE130" s="418"/>
      <c r="HF130" s="418"/>
      <c r="HG130" s="418"/>
      <c r="HH130" s="418"/>
      <c r="HI130" s="418"/>
      <c r="HJ130" s="418"/>
      <c r="HK130" s="418"/>
      <c r="HL130" s="418"/>
      <c r="HM130" s="418"/>
      <c r="HN130" s="418"/>
      <c r="HO130" s="418"/>
      <c r="HP130" s="418"/>
      <c r="HQ130" s="418"/>
      <c r="HR130" s="418"/>
      <c r="HS130" s="418"/>
      <c r="HT130" s="418"/>
      <c r="HU130" s="418"/>
      <c r="HV130" s="418"/>
      <c r="HW130" s="418"/>
      <c r="HX130" s="418"/>
      <c r="HY130" s="418"/>
      <c r="HZ130" s="418"/>
      <c r="IA130" s="418"/>
      <c r="IB130" s="418"/>
      <c r="IC130" s="418"/>
      <c r="ID130" s="418"/>
      <c r="IE130" s="418"/>
      <c r="IF130" s="418"/>
      <c r="IG130" s="418"/>
      <c r="IH130" s="418"/>
      <c r="II130" s="418"/>
      <c r="IJ130" s="418"/>
      <c r="IK130" s="418"/>
      <c r="IL130" s="418"/>
      <c r="IM130" s="418"/>
      <c r="IN130" s="418"/>
      <c r="IO130" s="418"/>
      <c r="IP130" s="418"/>
      <c r="IQ130" s="418"/>
      <c r="IR130" s="418"/>
      <c r="IS130" s="418"/>
      <c r="IT130" s="418"/>
      <c r="IU130" s="418"/>
      <c r="IV130" s="418"/>
      <c r="IW130" s="418"/>
      <c r="IX130" s="418"/>
      <c r="IY130" s="418"/>
      <c r="IZ130" s="418"/>
      <c r="JA130" s="418"/>
      <c r="JB130" s="418"/>
      <c r="JC130" s="418"/>
      <c r="JD130" s="418"/>
      <c r="JE130" s="418"/>
      <c r="JF130" s="418"/>
      <c r="JG130" s="418"/>
      <c r="JH130" s="418"/>
      <c r="JI130" s="418"/>
      <c r="JJ130" s="418"/>
      <c r="JK130" s="418"/>
      <c r="JL130" s="418"/>
      <c r="JM130" s="418"/>
      <c r="JN130" s="418"/>
      <c r="JO130" s="418"/>
      <c r="JP130" s="418"/>
      <c r="JQ130" s="418"/>
      <c r="JR130" s="418"/>
      <c r="JS130" s="418"/>
      <c r="JT130" s="418"/>
      <c r="JU130" s="418"/>
      <c r="JV130" s="418"/>
      <c r="JW130" s="418"/>
      <c r="JX130" s="418"/>
      <c r="JY130" s="418"/>
      <c r="JZ130" s="418"/>
      <c r="KA130" s="418"/>
      <c r="KB130" s="418"/>
      <c r="KC130" s="418"/>
      <c r="KD130" s="418"/>
      <c r="KE130" s="418"/>
      <c r="KF130" s="418"/>
      <c r="KG130" s="418"/>
      <c r="KH130" s="418"/>
      <c r="KI130" s="418"/>
      <c r="KJ130" s="418"/>
      <c r="KK130" s="418"/>
      <c r="KL130" s="418"/>
      <c r="KM130" s="418"/>
      <c r="KN130" s="418"/>
      <c r="KO130" s="418"/>
      <c r="KP130" s="418"/>
      <c r="KQ130" s="418"/>
      <c r="KR130" s="418"/>
      <c r="KS130" s="418"/>
      <c r="KT130" s="418"/>
      <c r="KU130" s="418"/>
      <c r="KV130" s="418"/>
      <c r="KW130" s="418"/>
      <c r="KX130" s="418"/>
      <c r="KY130" s="418"/>
      <c r="KZ130" s="418"/>
      <c r="LA130" s="418"/>
      <c r="LB130" s="418"/>
      <c r="LC130" s="418"/>
      <c r="LD130" s="418"/>
      <c r="LE130" s="418"/>
      <c r="LF130" s="418"/>
      <c r="LG130" s="418"/>
      <c r="LH130" s="418"/>
      <c r="LI130" s="418"/>
      <c r="LJ130" s="418"/>
      <c r="LK130" s="418"/>
      <c r="LL130" s="418"/>
      <c r="LM130" s="418"/>
      <c r="LN130" s="418"/>
      <c r="LO130" s="418"/>
      <c r="LP130" s="418"/>
      <c r="LQ130" s="418"/>
      <c r="LR130" s="418"/>
      <c r="LS130" s="418"/>
      <c r="LT130" s="418"/>
      <c r="LU130" s="418"/>
      <c r="LV130" s="418"/>
      <c r="LW130" s="418"/>
      <c r="LX130" s="418"/>
      <c r="LY130" s="418"/>
      <c r="LZ130" s="418"/>
      <c r="MA130" s="418"/>
      <c r="MB130" s="418"/>
      <c r="MC130" s="418"/>
      <c r="MD130" s="418"/>
      <c r="ME130" s="418"/>
      <c r="MF130" s="418"/>
      <c r="MG130" s="418"/>
      <c r="MH130" s="418"/>
      <c r="MI130" s="418"/>
      <c r="MJ130" s="418"/>
      <c r="MK130" s="418"/>
      <c r="ML130" s="418"/>
      <c r="MM130" s="418"/>
      <c r="MN130" s="418"/>
      <c r="MO130" s="418"/>
      <c r="MP130" s="418"/>
      <c r="MQ130" s="418"/>
      <c r="MR130" s="418"/>
      <c r="MS130" s="418"/>
      <c r="MT130" s="418"/>
      <c r="MU130" s="418"/>
      <c r="MV130" s="418"/>
      <c r="MW130" s="418"/>
      <c r="MX130" s="418"/>
      <c r="MY130" s="418"/>
      <c r="MZ130" s="418"/>
      <c r="NA130" s="418"/>
      <c r="NB130" s="418"/>
      <c r="NC130" s="418"/>
      <c r="ND130" s="418"/>
      <c r="NE130" s="418"/>
      <c r="NF130" s="418"/>
      <c r="NG130" s="418"/>
      <c r="NH130" s="418"/>
      <c r="NI130" s="418"/>
      <c r="NJ130" s="418"/>
      <c r="NK130" s="418"/>
      <c r="NL130" s="418"/>
      <c r="NM130" s="418"/>
      <c r="NN130" s="418"/>
      <c r="NO130" s="418"/>
      <c r="NP130" s="418"/>
      <c r="NQ130" s="418"/>
      <c r="NR130" s="418"/>
      <c r="NS130" s="418"/>
      <c r="NT130" s="418"/>
      <c r="NU130" s="418"/>
      <c r="NV130" s="418"/>
      <c r="NW130" s="418"/>
      <c r="NX130" s="418"/>
      <c r="NY130" s="418"/>
      <c r="NZ130" s="418"/>
      <c r="OA130" s="418"/>
      <c r="OB130" s="418"/>
      <c r="OC130" s="418"/>
      <c r="OD130" s="418"/>
      <c r="OE130" s="418"/>
      <c r="OF130" s="418"/>
      <c r="OG130" s="418"/>
      <c r="OH130" s="418"/>
      <c r="OI130" s="418"/>
      <c r="OJ130" s="418"/>
      <c r="OK130" s="418"/>
      <c r="OL130" s="418"/>
      <c r="OM130" s="418"/>
      <c r="ON130" s="418"/>
      <c r="OO130" s="418"/>
      <c r="OP130" s="418"/>
      <c r="OQ130" s="418"/>
      <c r="OR130" s="418"/>
      <c r="OS130" s="418"/>
      <c r="OT130" s="418"/>
      <c r="OU130" s="418"/>
      <c r="OV130" s="418"/>
      <c r="OW130" s="418"/>
      <c r="OX130" s="418"/>
      <c r="OY130" s="418"/>
      <c r="OZ130" s="418"/>
      <c r="PA130" s="418"/>
      <c r="PB130" s="418"/>
      <c r="PC130" s="418"/>
      <c r="PD130" s="418"/>
      <c r="PE130" s="418"/>
      <c r="PF130" s="418"/>
      <c r="PG130" s="418"/>
      <c r="PH130" s="418"/>
      <c r="PI130" s="418"/>
      <c r="PJ130" s="418"/>
      <c r="PK130" s="418"/>
      <c r="PL130" s="418"/>
      <c r="PM130" s="418"/>
      <c r="PN130" s="418"/>
      <c r="PO130" s="418"/>
      <c r="PP130" s="418"/>
      <c r="PQ130" s="418"/>
      <c r="PR130" s="418"/>
      <c r="PS130" s="418"/>
      <c r="PT130" s="418"/>
      <c r="PU130" s="418"/>
      <c r="PV130" s="418"/>
      <c r="PW130" s="418"/>
      <c r="PX130" s="418"/>
      <c r="PY130" s="418"/>
      <c r="PZ130" s="418"/>
      <c r="QA130" s="418"/>
      <c r="QB130" s="418"/>
      <c r="QC130" s="418"/>
      <c r="QD130" s="418"/>
      <c r="QE130" s="418"/>
      <c r="QF130" s="418"/>
      <c r="QG130" s="418"/>
      <c r="QH130" s="418"/>
      <c r="QI130" s="418"/>
      <c r="QJ130" s="418"/>
      <c r="QK130" s="418"/>
      <c r="QL130" s="418"/>
      <c r="QM130" s="418"/>
      <c r="QN130" s="418"/>
      <c r="QO130" s="418"/>
      <c r="QP130" s="418"/>
      <c r="QQ130" s="418"/>
      <c r="QR130" s="418"/>
      <c r="QS130" s="418"/>
      <c r="QT130" s="418"/>
      <c r="QU130" s="418"/>
      <c r="QV130" s="418"/>
      <c r="QW130" s="418"/>
      <c r="QX130" s="418"/>
      <c r="QY130" s="418"/>
      <c r="QZ130" s="418"/>
      <c r="RA130" s="418"/>
      <c r="RB130" s="418"/>
      <c r="RC130" s="418"/>
      <c r="RD130" s="418"/>
      <c r="RE130" s="418"/>
      <c r="RF130" s="418"/>
      <c r="RG130" s="418"/>
      <c r="RH130" s="418"/>
      <c r="RI130" s="418"/>
      <c r="RJ130" s="418"/>
      <c r="RK130" s="418"/>
      <c r="RL130" s="418"/>
      <c r="RM130" s="418"/>
      <c r="RN130" s="418"/>
      <c r="RO130" s="418"/>
      <c r="RP130" s="418"/>
      <c r="RQ130" s="418"/>
      <c r="RR130" s="418"/>
      <c r="RS130" s="418"/>
      <c r="RT130" s="418"/>
      <c r="RU130" s="418"/>
      <c r="RV130" s="418"/>
      <c r="RW130" s="418"/>
      <c r="RX130" s="418"/>
      <c r="RY130" s="418"/>
      <c r="RZ130" s="418"/>
      <c r="SA130" s="418"/>
      <c r="SB130" s="418"/>
      <c r="SC130" s="418"/>
      <c r="SD130" s="418"/>
      <c r="SE130" s="418"/>
      <c r="SF130" s="418"/>
      <c r="SG130" s="418"/>
      <c r="SH130" s="418"/>
      <c r="SI130" s="418"/>
      <c r="SJ130" s="418"/>
      <c r="SK130" s="418"/>
      <c r="SL130" s="418"/>
      <c r="SM130" s="418"/>
      <c r="SN130" s="418"/>
      <c r="SO130" s="418"/>
      <c r="SP130" s="418"/>
      <c r="SQ130" s="418"/>
      <c r="SR130" s="418"/>
      <c r="SS130" s="418"/>
      <c r="ST130" s="418"/>
      <c r="SU130" s="418"/>
      <c r="SV130" s="418"/>
      <c r="SW130" s="418"/>
      <c r="SX130" s="418"/>
      <c r="SY130" s="418"/>
      <c r="SZ130" s="418"/>
      <c r="TA130" s="418"/>
      <c r="TB130" s="418"/>
      <c r="TC130" s="418"/>
      <c r="TD130" s="418"/>
      <c r="TE130" s="418"/>
      <c r="TF130" s="418"/>
      <c r="TG130" s="418"/>
      <c r="TH130" s="418"/>
      <c r="TI130" s="418"/>
      <c r="TJ130" s="418"/>
      <c r="TK130" s="418"/>
      <c r="TL130" s="418"/>
      <c r="TM130" s="418"/>
      <c r="TN130" s="418"/>
      <c r="TO130" s="418"/>
      <c r="TP130" s="418"/>
      <c r="TQ130" s="418"/>
      <c r="TR130" s="418"/>
      <c r="TS130" s="418"/>
      <c r="TT130" s="418"/>
      <c r="TU130" s="418"/>
      <c r="TV130" s="418"/>
      <c r="TW130" s="418"/>
      <c r="TX130" s="418"/>
      <c r="TY130" s="418"/>
      <c r="TZ130" s="418"/>
      <c r="UA130" s="418"/>
      <c r="UB130" s="418"/>
      <c r="UC130" s="418"/>
      <c r="UD130" s="418"/>
      <c r="UE130" s="418"/>
      <c r="UF130" s="418"/>
      <c r="UG130" s="418"/>
      <c r="UH130" s="418"/>
      <c r="UI130" s="418"/>
      <c r="UJ130" s="418"/>
      <c r="UK130" s="418"/>
      <c r="UL130" s="418"/>
      <c r="UM130" s="418"/>
      <c r="UN130" s="418"/>
      <c r="UO130" s="418"/>
      <c r="UP130" s="418"/>
      <c r="UQ130" s="418"/>
      <c r="UR130" s="418"/>
      <c r="US130" s="418"/>
      <c r="UT130" s="418"/>
      <c r="UU130" s="418"/>
      <c r="UV130" s="418"/>
      <c r="UW130" s="418"/>
      <c r="UX130" s="418"/>
      <c r="UY130" s="418"/>
      <c r="UZ130" s="418"/>
      <c r="VA130" s="418"/>
      <c r="VB130" s="418"/>
      <c r="VC130" s="418"/>
      <c r="VD130" s="418"/>
      <c r="VE130" s="418"/>
      <c r="VF130" s="418"/>
      <c r="VG130" s="418"/>
      <c r="VH130" s="418"/>
      <c r="VI130" s="418"/>
      <c r="VJ130" s="418"/>
      <c r="VK130" s="418"/>
      <c r="VL130" s="418"/>
      <c r="VM130" s="418"/>
      <c r="VN130" s="418"/>
      <c r="VO130" s="418"/>
      <c r="VP130" s="418"/>
      <c r="VQ130" s="418"/>
      <c r="VR130" s="418"/>
      <c r="VS130" s="418"/>
      <c r="VT130" s="418"/>
      <c r="VU130" s="418"/>
      <c r="VV130" s="418"/>
      <c r="VW130" s="418"/>
      <c r="VX130" s="418"/>
      <c r="VY130" s="418"/>
      <c r="VZ130" s="418"/>
      <c r="WA130" s="418"/>
      <c r="WB130" s="418"/>
      <c r="WC130" s="418"/>
      <c r="WD130" s="418"/>
      <c r="WE130" s="418"/>
      <c r="WF130" s="418"/>
      <c r="WG130" s="418"/>
      <c r="WH130" s="418"/>
      <c r="WI130" s="418"/>
      <c r="WJ130" s="418"/>
      <c r="WK130" s="418"/>
      <c r="WL130" s="418"/>
      <c r="WM130" s="418"/>
      <c r="WN130" s="418"/>
      <c r="WO130" s="418"/>
      <c r="WP130" s="418"/>
      <c r="WQ130" s="418"/>
      <c r="WR130" s="418"/>
      <c r="WS130" s="418"/>
      <c r="WT130" s="418"/>
      <c r="WU130" s="418"/>
      <c r="WV130" s="418"/>
      <c r="WW130" s="418"/>
      <c r="WX130" s="418"/>
      <c r="WY130" s="418"/>
      <c r="WZ130" s="418"/>
      <c r="XA130" s="418"/>
      <c r="XB130" s="418"/>
      <c r="XC130" s="418"/>
      <c r="XD130" s="418"/>
      <c r="XE130" s="418"/>
      <c r="XF130" s="418"/>
      <c r="XG130" s="418"/>
      <c r="XH130" s="418"/>
      <c r="XI130" s="418"/>
      <c r="XJ130" s="418"/>
      <c r="XK130" s="418"/>
      <c r="XL130" s="418"/>
      <c r="XM130" s="418"/>
      <c r="XN130" s="418"/>
      <c r="XO130" s="418"/>
      <c r="XP130" s="418"/>
      <c r="XQ130" s="418"/>
      <c r="XR130" s="418"/>
      <c r="XS130" s="418"/>
      <c r="XT130" s="418"/>
      <c r="XU130" s="418"/>
      <c r="XV130" s="418"/>
      <c r="XW130" s="418"/>
      <c r="XX130" s="418"/>
      <c r="XY130" s="418"/>
      <c r="XZ130" s="418"/>
      <c r="YA130" s="418"/>
      <c r="YB130" s="418"/>
      <c r="YC130" s="418"/>
      <c r="YD130" s="418"/>
      <c r="YE130" s="418"/>
      <c r="YF130" s="418"/>
      <c r="YG130" s="418"/>
      <c r="YH130" s="418"/>
      <c r="YI130" s="418"/>
      <c r="YJ130" s="418"/>
      <c r="YK130" s="418"/>
      <c r="YL130" s="418"/>
      <c r="YM130" s="418"/>
      <c r="YN130" s="418"/>
      <c r="YO130" s="418"/>
      <c r="YP130" s="418"/>
      <c r="YQ130" s="418"/>
      <c r="YR130" s="418"/>
      <c r="YS130" s="418"/>
      <c r="YT130" s="418"/>
      <c r="YU130" s="418"/>
      <c r="YV130" s="418"/>
      <c r="YW130" s="418"/>
      <c r="YX130" s="418"/>
      <c r="YY130" s="418"/>
      <c r="YZ130" s="418"/>
      <c r="ZA130" s="418"/>
      <c r="ZB130" s="418"/>
      <c r="ZC130" s="418"/>
      <c r="ZD130" s="418"/>
      <c r="ZE130" s="418"/>
      <c r="ZF130" s="418"/>
      <c r="ZG130" s="418"/>
      <c r="ZH130" s="418"/>
      <c r="ZI130" s="418"/>
      <c r="ZJ130" s="418"/>
      <c r="ZK130" s="418"/>
      <c r="ZL130" s="418"/>
      <c r="ZM130" s="418"/>
      <c r="ZN130" s="418"/>
      <c r="ZO130" s="418"/>
      <c r="ZP130" s="418"/>
      <c r="ZQ130" s="418"/>
      <c r="ZR130" s="418"/>
      <c r="ZS130" s="418"/>
      <c r="ZT130" s="418"/>
      <c r="ZU130" s="418"/>
      <c r="ZV130" s="418"/>
      <c r="ZW130" s="418"/>
      <c r="ZX130" s="418"/>
      <c r="ZY130" s="418"/>
      <c r="ZZ130" s="418"/>
      <c r="AAA130" s="418"/>
      <c r="AAB130" s="418"/>
      <c r="AAC130" s="418"/>
      <c r="AAD130" s="418"/>
      <c r="AAE130" s="418"/>
      <c r="AAF130" s="418"/>
      <c r="AAG130" s="418"/>
      <c r="AAH130" s="418"/>
      <c r="AAI130" s="418"/>
      <c r="AAJ130" s="418"/>
      <c r="AAK130" s="418"/>
      <c r="AAL130" s="418"/>
      <c r="AAM130" s="418"/>
      <c r="AAN130" s="418"/>
      <c r="AAO130" s="418"/>
      <c r="AAP130" s="418"/>
      <c r="AAQ130" s="418"/>
      <c r="AAR130" s="418"/>
      <c r="AAS130" s="418"/>
      <c r="AAT130" s="418"/>
      <c r="AAU130" s="418"/>
      <c r="AAV130" s="418"/>
      <c r="AAW130" s="418"/>
      <c r="AAX130" s="418"/>
      <c r="AAY130" s="418"/>
      <c r="AAZ130" s="418"/>
      <c r="ABA130" s="418"/>
      <c r="ABB130" s="418"/>
      <c r="ABC130" s="418"/>
      <c r="ABD130" s="418"/>
      <c r="ABE130" s="418"/>
      <c r="ABF130" s="418"/>
      <c r="ABG130" s="418"/>
      <c r="ABH130" s="418"/>
      <c r="ABI130" s="418"/>
      <c r="ABJ130" s="418"/>
      <c r="ABK130" s="418"/>
      <c r="ABL130" s="418"/>
      <c r="ABM130" s="418"/>
      <c r="ABN130" s="418"/>
      <c r="ABO130" s="418"/>
      <c r="ABP130" s="418"/>
      <c r="ABQ130" s="418"/>
      <c r="ABR130" s="418"/>
      <c r="ABS130" s="418"/>
      <c r="ABT130" s="418"/>
      <c r="ABU130" s="418"/>
      <c r="ABV130" s="418"/>
      <c r="ABW130" s="418"/>
      <c r="ABX130" s="418"/>
      <c r="ABY130" s="418"/>
      <c r="ABZ130" s="418"/>
      <c r="ACA130" s="418"/>
      <c r="ACB130" s="418"/>
      <c r="ACC130" s="418"/>
      <c r="ACD130" s="418"/>
      <c r="ACE130" s="418"/>
      <c r="ACF130" s="418"/>
      <c r="ACG130" s="418"/>
      <c r="ACH130" s="418"/>
      <c r="ACI130" s="418"/>
      <c r="ACJ130" s="418"/>
      <c r="ACK130" s="418"/>
      <c r="ACL130" s="418"/>
      <c r="ACM130" s="418"/>
      <c r="ACN130" s="418"/>
      <c r="ACO130" s="418"/>
      <c r="ACP130" s="418"/>
      <c r="ACQ130" s="418"/>
      <c r="ACR130" s="418"/>
      <c r="ACS130" s="418"/>
      <c r="ACT130" s="418"/>
      <c r="ACU130" s="418"/>
      <c r="ACV130" s="418"/>
      <c r="ACW130" s="418"/>
      <c r="ACX130" s="418"/>
      <c r="ACY130" s="418"/>
      <c r="ACZ130" s="418"/>
      <c r="ADA130" s="418"/>
      <c r="ADB130" s="418"/>
      <c r="ADC130" s="418"/>
      <c r="ADD130" s="418"/>
      <c r="ADE130" s="418"/>
      <c r="ADF130" s="418"/>
      <c r="ADG130" s="418"/>
      <c r="ADH130" s="418"/>
      <c r="ADI130" s="418"/>
      <c r="ADJ130" s="418"/>
      <c r="ADK130" s="418"/>
      <c r="ADL130" s="418"/>
      <c r="ADM130" s="418"/>
      <c r="ADN130" s="418"/>
      <c r="ADO130" s="418"/>
      <c r="ADP130" s="418"/>
      <c r="ADQ130" s="418"/>
      <c r="ADR130" s="418"/>
      <c r="ADS130" s="418"/>
      <c r="ADT130" s="418"/>
      <c r="ADU130" s="418"/>
      <c r="ADV130" s="418"/>
      <c r="ADW130" s="418"/>
      <c r="ADX130" s="418"/>
      <c r="ADY130" s="418"/>
      <c r="ADZ130" s="418"/>
      <c r="AEA130" s="418"/>
      <c r="AEB130" s="418"/>
      <c r="AEC130" s="418"/>
      <c r="AED130" s="418"/>
      <c r="AEE130" s="418"/>
      <c r="AEF130" s="418"/>
      <c r="AEG130" s="418"/>
      <c r="AEH130" s="418"/>
      <c r="AEI130" s="418"/>
      <c r="AEJ130" s="418"/>
      <c r="AEK130" s="418"/>
      <c r="AEL130" s="418"/>
      <c r="AEM130" s="418"/>
      <c r="AEN130" s="418"/>
      <c r="AEO130" s="418"/>
      <c r="AEP130" s="418"/>
      <c r="AEQ130" s="418"/>
      <c r="AER130" s="418"/>
      <c r="AES130" s="418"/>
      <c r="AET130" s="418"/>
      <c r="AEU130" s="418"/>
      <c r="AEV130" s="418"/>
      <c r="AEW130" s="418"/>
      <c r="AEX130" s="418"/>
      <c r="AEY130" s="418"/>
      <c r="AEZ130" s="418"/>
      <c r="AFA130" s="418"/>
      <c r="AFB130" s="418"/>
      <c r="AFC130" s="418"/>
      <c r="AFD130" s="418"/>
      <c r="AFE130" s="418"/>
      <c r="AFF130" s="418"/>
      <c r="AFG130" s="418"/>
      <c r="AFH130" s="418"/>
      <c r="AFI130" s="418"/>
      <c r="AFJ130" s="418"/>
      <c r="AFK130" s="418"/>
      <c r="AFL130" s="418"/>
      <c r="AFM130" s="418"/>
      <c r="AFN130" s="418"/>
      <c r="AFO130" s="418"/>
      <c r="AFP130" s="418"/>
      <c r="AFQ130" s="418"/>
      <c r="AFR130" s="418"/>
      <c r="AFS130" s="418"/>
      <c r="AFT130" s="418"/>
      <c r="AFU130" s="418"/>
      <c r="AFV130" s="418"/>
      <c r="AFW130" s="418"/>
      <c r="AFX130" s="418"/>
      <c r="AFY130" s="418"/>
      <c r="AFZ130" s="418"/>
      <c r="AGA130" s="418"/>
      <c r="AGB130" s="418"/>
      <c r="AGC130" s="418"/>
      <c r="AGD130" s="418"/>
      <c r="AGE130" s="418"/>
      <c r="AGF130" s="418"/>
      <c r="AGG130" s="418"/>
      <c r="AGH130" s="418"/>
      <c r="AGI130" s="418"/>
      <c r="AGJ130" s="418"/>
      <c r="AGK130" s="418"/>
      <c r="AGL130" s="418"/>
      <c r="AGM130" s="418"/>
      <c r="AGN130" s="418"/>
      <c r="AGO130" s="418"/>
      <c r="AGP130" s="418"/>
      <c r="AGQ130" s="418"/>
      <c r="AGR130" s="418"/>
      <c r="AGS130" s="418"/>
      <c r="AGT130" s="418"/>
      <c r="AGU130" s="418"/>
      <c r="AGV130" s="418"/>
      <c r="AGW130" s="418"/>
      <c r="AGX130" s="418"/>
      <c r="AGY130" s="418"/>
      <c r="AGZ130" s="418"/>
      <c r="AHA130" s="418"/>
      <c r="AHB130" s="418"/>
      <c r="AHC130" s="418"/>
      <c r="AHD130" s="418"/>
      <c r="AHE130" s="418"/>
      <c r="AHF130" s="418"/>
      <c r="AHG130" s="418"/>
      <c r="AHH130" s="418"/>
      <c r="AHI130" s="418"/>
      <c r="AHJ130" s="418"/>
      <c r="AHK130" s="418"/>
      <c r="AHL130" s="418"/>
      <c r="AHM130" s="418"/>
      <c r="AHN130" s="418"/>
      <c r="AHO130" s="418"/>
      <c r="AHP130" s="418"/>
      <c r="AHQ130" s="418"/>
      <c r="AHR130" s="418"/>
      <c r="AHS130" s="418"/>
      <c r="AHT130" s="418"/>
      <c r="AHU130" s="418"/>
      <c r="AHV130" s="418"/>
      <c r="AHW130" s="418"/>
      <c r="AHX130" s="418"/>
      <c r="AHY130" s="418"/>
      <c r="AHZ130" s="418"/>
      <c r="AIA130" s="418"/>
      <c r="AIB130" s="418"/>
      <c r="AIC130" s="418"/>
      <c r="AID130" s="418"/>
      <c r="AIE130" s="418"/>
      <c r="AIF130" s="418"/>
      <c r="AIG130" s="418"/>
      <c r="AIH130" s="418"/>
      <c r="AII130" s="418"/>
      <c r="AIJ130" s="418"/>
      <c r="AIK130" s="418"/>
      <c r="AIL130" s="418"/>
      <c r="AIM130" s="418"/>
      <c r="AIN130" s="418"/>
      <c r="AIO130" s="418"/>
      <c r="AIP130" s="418"/>
      <c r="AIQ130" s="418"/>
      <c r="AIR130" s="418"/>
      <c r="AIS130" s="418"/>
      <c r="AIT130" s="418"/>
      <c r="AIU130" s="418"/>
      <c r="AIV130" s="418"/>
      <c r="AIW130" s="418"/>
      <c r="AIX130" s="418"/>
      <c r="AIY130" s="418"/>
      <c r="AIZ130" s="418"/>
      <c r="AJA130" s="418"/>
      <c r="AJB130" s="418"/>
      <c r="AJC130" s="418"/>
      <c r="AJD130" s="418"/>
      <c r="AJE130" s="418"/>
      <c r="AJF130" s="418"/>
      <c r="AJG130" s="418"/>
      <c r="AJH130" s="418"/>
      <c r="AJI130" s="418"/>
      <c r="AJJ130" s="418"/>
      <c r="AJK130" s="418"/>
      <c r="AJL130" s="418"/>
      <c r="AJM130" s="418"/>
      <c r="AJN130" s="418"/>
      <c r="AJO130" s="418"/>
      <c r="AJP130" s="418"/>
      <c r="AJQ130" s="418"/>
      <c r="AJR130" s="418"/>
      <c r="AJS130" s="418"/>
      <c r="AJT130" s="418"/>
      <c r="AJU130" s="418"/>
      <c r="AJV130" s="418"/>
      <c r="AJW130" s="418"/>
      <c r="AJX130" s="418"/>
      <c r="AJY130" s="418"/>
      <c r="AJZ130" s="418"/>
      <c r="AKA130" s="418"/>
      <c r="AKB130" s="418"/>
      <c r="AKC130" s="418"/>
      <c r="AKD130" s="418"/>
      <c r="AKE130" s="418"/>
      <c r="AKF130" s="418"/>
      <c r="AKG130" s="418"/>
      <c r="AKH130" s="418"/>
      <c r="AKI130" s="418"/>
      <c r="AKJ130" s="418"/>
      <c r="AKK130" s="418"/>
      <c r="AKL130" s="418"/>
      <c r="AKM130" s="418"/>
      <c r="AKN130" s="418"/>
      <c r="AKO130" s="418"/>
      <c r="AKP130" s="418"/>
      <c r="AKQ130" s="418"/>
      <c r="AKR130" s="418"/>
      <c r="AKS130" s="418"/>
      <c r="AKT130" s="418"/>
      <c r="AKU130" s="418"/>
      <c r="AKV130" s="418"/>
      <c r="AKW130" s="418"/>
      <c r="AKX130" s="418"/>
      <c r="AKY130" s="418"/>
      <c r="AKZ130" s="418"/>
      <c r="ALA130" s="418"/>
      <c r="ALB130" s="418"/>
      <c r="ALC130" s="418"/>
      <c r="ALD130" s="418"/>
      <c r="ALE130" s="418"/>
      <c r="ALF130" s="418"/>
      <c r="ALG130" s="418"/>
      <c r="ALH130" s="418"/>
      <c r="ALI130" s="418"/>
      <c r="ALJ130" s="418"/>
      <c r="ALK130" s="418"/>
      <c r="ALL130" s="418"/>
      <c r="ALM130" s="418"/>
      <c r="ALN130" s="418"/>
      <c r="ALO130" s="418"/>
      <c r="ALP130" s="418"/>
      <c r="ALQ130" s="418"/>
      <c r="ALR130" s="418"/>
      <c r="ALS130" s="418"/>
      <c r="ALT130" s="418"/>
      <c r="ALU130" s="418"/>
      <c r="ALV130" s="418"/>
      <c r="ALW130" s="418"/>
      <c r="ALX130" s="418"/>
      <c r="ALY130" s="418"/>
      <c r="ALZ130" s="418"/>
      <c r="AMA130" s="418"/>
      <c r="AMB130" s="418"/>
      <c r="AMC130" s="418"/>
      <c r="AMD130" s="418"/>
      <c r="AME130" s="418"/>
      <c r="AMF130" s="418"/>
      <c r="AMG130" s="418"/>
      <c r="AMH130" s="418"/>
    </row>
    <row r="131" spans="1:1022" x14ac:dyDescent="0.25">
      <c r="A131" s="429">
        <v>11</v>
      </c>
      <c r="B131" s="428" t="s">
        <v>35</v>
      </c>
      <c r="C131" s="428" t="s">
        <v>62</v>
      </c>
      <c r="D131" s="429"/>
      <c r="E131" s="428" t="s">
        <v>461</v>
      </c>
      <c r="F131" s="417" t="s">
        <v>462</v>
      </c>
      <c r="G131" s="428" t="s">
        <v>142</v>
      </c>
      <c r="H131" s="430">
        <v>1</v>
      </c>
      <c r="I131" s="430">
        <v>0</v>
      </c>
      <c r="J131" s="430">
        <v>0</v>
      </c>
      <c r="K131" s="431">
        <v>0</v>
      </c>
      <c r="L131" s="431">
        <v>0</v>
      </c>
      <c r="M131" s="431">
        <v>0</v>
      </c>
      <c r="N131" s="430">
        <v>0</v>
      </c>
      <c r="O131" s="431">
        <v>0</v>
      </c>
      <c r="P131" s="431">
        <v>0</v>
      </c>
      <c r="Q131" s="431">
        <v>0</v>
      </c>
      <c r="R131" s="432"/>
      <c r="S131" s="432"/>
      <c r="T131" s="432"/>
      <c r="U131" s="432"/>
      <c r="V131" s="432"/>
      <c r="W131" s="432"/>
      <c r="X131" s="432"/>
      <c r="Y131" s="432"/>
      <c r="Z131" s="432"/>
      <c r="AA131" s="432"/>
      <c r="AB131" s="432"/>
      <c r="AC131" s="432"/>
      <c r="AD131" s="432"/>
      <c r="AE131" s="432"/>
      <c r="AF131" s="432"/>
      <c r="AG131" s="432"/>
      <c r="AH131" s="432"/>
      <c r="AI131" s="432"/>
      <c r="AJ131" s="432"/>
      <c r="AK131" s="432"/>
      <c r="AL131" s="432"/>
      <c r="AM131" s="432"/>
      <c r="AN131" s="432"/>
      <c r="AO131" s="432"/>
      <c r="AP131" s="432"/>
      <c r="AQ131" s="432"/>
      <c r="AR131" s="432"/>
      <c r="AS131" s="432"/>
      <c r="AT131" s="432"/>
      <c r="AU131" s="432"/>
      <c r="AV131" s="432"/>
      <c r="AW131" s="432"/>
      <c r="AX131" s="432"/>
      <c r="AY131" s="432"/>
      <c r="AZ131" s="432"/>
      <c r="BA131" s="432"/>
      <c r="BB131" s="432"/>
      <c r="BC131" s="432"/>
      <c r="BD131" s="432"/>
      <c r="BE131" s="432"/>
      <c r="BF131" s="432"/>
      <c r="BG131" s="432"/>
      <c r="BH131" s="432"/>
      <c r="BI131" s="432"/>
      <c r="BJ131" s="432"/>
      <c r="BK131" s="432"/>
      <c r="BL131" s="432"/>
      <c r="BM131" s="418"/>
      <c r="BN131" s="418"/>
      <c r="BO131" s="418"/>
      <c r="BP131" s="418"/>
      <c r="BQ131" s="418"/>
      <c r="BR131" s="418"/>
      <c r="BS131" s="418"/>
      <c r="BT131" s="418"/>
      <c r="BU131" s="418"/>
      <c r="BV131" s="418"/>
      <c r="BW131" s="418"/>
      <c r="BX131" s="418"/>
      <c r="BY131" s="418"/>
      <c r="BZ131" s="418"/>
      <c r="CA131" s="418"/>
      <c r="CB131" s="418"/>
      <c r="CC131" s="418"/>
      <c r="CD131" s="418"/>
      <c r="CE131" s="418"/>
      <c r="CF131" s="418"/>
      <c r="CG131" s="418"/>
      <c r="CH131" s="418"/>
      <c r="CI131" s="418"/>
      <c r="CJ131" s="418"/>
      <c r="CK131" s="418"/>
      <c r="CL131" s="418"/>
      <c r="CM131" s="418"/>
      <c r="CN131" s="418"/>
      <c r="CO131" s="418"/>
      <c r="CP131" s="418"/>
      <c r="CQ131" s="418"/>
      <c r="CR131" s="418"/>
      <c r="CS131" s="418"/>
      <c r="CT131" s="418"/>
      <c r="CU131" s="418"/>
      <c r="CV131" s="418"/>
      <c r="CW131" s="418"/>
      <c r="CX131" s="418"/>
      <c r="CY131" s="418"/>
      <c r="CZ131" s="418"/>
      <c r="DA131" s="418"/>
      <c r="DB131" s="418"/>
      <c r="DC131" s="418"/>
      <c r="DD131" s="418"/>
      <c r="DE131" s="418"/>
      <c r="DF131" s="418"/>
      <c r="DG131" s="418"/>
      <c r="DH131" s="418"/>
      <c r="DI131" s="418"/>
      <c r="DJ131" s="418"/>
      <c r="DK131" s="418"/>
      <c r="DL131" s="418"/>
      <c r="DM131" s="418"/>
      <c r="DN131" s="418"/>
      <c r="DO131" s="418"/>
      <c r="DP131" s="418"/>
      <c r="DQ131" s="418"/>
      <c r="DR131" s="418"/>
      <c r="DS131" s="418"/>
      <c r="DT131" s="418"/>
      <c r="DU131" s="418"/>
      <c r="DV131" s="418"/>
      <c r="DW131" s="418"/>
      <c r="DX131" s="418"/>
      <c r="DY131" s="418"/>
      <c r="DZ131" s="418"/>
      <c r="EA131" s="418"/>
      <c r="EB131" s="418"/>
      <c r="EC131" s="418"/>
      <c r="ED131" s="418"/>
      <c r="EE131" s="418"/>
      <c r="EF131" s="418"/>
      <c r="EG131" s="418"/>
      <c r="EH131" s="418"/>
      <c r="EI131" s="418"/>
      <c r="EJ131" s="418"/>
      <c r="EK131" s="418"/>
      <c r="EL131" s="418"/>
      <c r="EM131" s="418"/>
      <c r="EN131" s="418"/>
      <c r="EO131" s="418"/>
      <c r="EP131" s="418"/>
      <c r="EQ131" s="418"/>
      <c r="ER131" s="418"/>
      <c r="ES131" s="418"/>
      <c r="ET131" s="418"/>
      <c r="EU131" s="418"/>
      <c r="EV131" s="418"/>
      <c r="EW131" s="418"/>
      <c r="EX131" s="418"/>
      <c r="EY131" s="418"/>
      <c r="EZ131" s="418"/>
      <c r="FA131" s="418"/>
      <c r="FB131" s="418"/>
      <c r="FC131" s="418"/>
      <c r="FD131" s="418"/>
      <c r="FE131" s="418"/>
      <c r="FF131" s="418"/>
      <c r="FG131" s="418"/>
      <c r="FH131" s="418"/>
      <c r="FI131" s="418"/>
      <c r="FJ131" s="418"/>
      <c r="FK131" s="418"/>
      <c r="FL131" s="418"/>
      <c r="FM131" s="418"/>
      <c r="FN131" s="418"/>
      <c r="FO131" s="418"/>
      <c r="FP131" s="418"/>
      <c r="FQ131" s="418"/>
      <c r="FR131" s="418"/>
      <c r="FS131" s="418"/>
      <c r="FT131" s="418"/>
      <c r="FU131" s="418"/>
      <c r="FV131" s="418"/>
      <c r="FW131" s="418"/>
      <c r="FX131" s="418"/>
      <c r="FY131" s="418"/>
      <c r="FZ131" s="418"/>
      <c r="GA131" s="418"/>
      <c r="GB131" s="418"/>
      <c r="GC131" s="418"/>
      <c r="GD131" s="418"/>
      <c r="GE131" s="418"/>
      <c r="GF131" s="418"/>
      <c r="GG131" s="418"/>
      <c r="GH131" s="418"/>
      <c r="GI131" s="418"/>
      <c r="GJ131" s="418"/>
      <c r="GK131" s="418"/>
      <c r="GL131" s="418"/>
      <c r="GM131" s="418"/>
      <c r="GN131" s="418"/>
      <c r="GO131" s="418"/>
      <c r="GP131" s="418"/>
      <c r="GQ131" s="418"/>
      <c r="GR131" s="418"/>
      <c r="GS131" s="418"/>
      <c r="GT131" s="418"/>
      <c r="GU131" s="418"/>
      <c r="GV131" s="418"/>
      <c r="GW131" s="418"/>
      <c r="GX131" s="418"/>
      <c r="GY131" s="418"/>
      <c r="GZ131" s="418"/>
      <c r="HA131" s="418"/>
      <c r="HB131" s="418"/>
      <c r="HC131" s="418"/>
      <c r="HD131" s="418"/>
      <c r="HE131" s="418"/>
      <c r="HF131" s="418"/>
      <c r="HG131" s="418"/>
      <c r="HH131" s="418"/>
      <c r="HI131" s="418"/>
      <c r="HJ131" s="418"/>
      <c r="HK131" s="418"/>
      <c r="HL131" s="418"/>
      <c r="HM131" s="418"/>
      <c r="HN131" s="418"/>
      <c r="HO131" s="418"/>
      <c r="HP131" s="418"/>
      <c r="HQ131" s="418"/>
      <c r="HR131" s="418"/>
      <c r="HS131" s="418"/>
      <c r="HT131" s="418"/>
      <c r="HU131" s="418"/>
      <c r="HV131" s="418"/>
      <c r="HW131" s="418"/>
      <c r="HX131" s="418"/>
      <c r="HY131" s="418"/>
      <c r="HZ131" s="418"/>
      <c r="IA131" s="418"/>
      <c r="IB131" s="418"/>
      <c r="IC131" s="418"/>
      <c r="ID131" s="418"/>
      <c r="IE131" s="418"/>
      <c r="IF131" s="418"/>
      <c r="IG131" s="418"/>
      <c r="IH131" s="418"/>
      <c r="II131" s="418"/>
      <c r="IJ131" s="418"/>
      <c r="IK131" s="418"/>
      <c r="IL131" s="418"/>
      <c r="IM131" s="418"/>
      <c r="IN131" s="418"/>
      <c r="IO131" s="418"/>
      <c r="IP131" s="418"/>
      <c r="IQ131" s="418"/>
      <c r="IR131" s="418"/>
      <c r="IS131" s="418"/>
      <c r="IT131" s="418"/>
      <c r="IU131" s="418"/>
      <c r="IV131" s="418"/>
      <c r="IW131" s="418"/>
      <c r="IX131" s="418"/>
      <c r="IY131" s="418"/>
      <c r="IZ131" s="418"/>
      <c r="JA131" s="418"/>
      <c r="JB131" s="418"/>
      <c r="JC131" s="418"/>
      <c r="JD131" s="418"/>
      <c r="JE131" s="418"/>
      <c r="JF131" s="418"/>
      <c r="JG131" s="418"/>
      <c r="JH131" s="418"/>
      <c r="JI131" s="418"/>
      <c r="JJ131" s="418"/>
      <c r="JK131" s="418"/>
      <c r="JL131" s="418"/>
      <c r="JM131" s="418"/>
      <c r="JN131" s="418"/>
      <c r="JO131" s="418"/>
      <c r="JP131" s="418"/>
      <c r="JQ131" s="418"/>
      <c r="JR131" s="418"/>
      <c r="JS131" s="418"/>
      <c r="JT131" s="418"/>
      <c r="JU131" s="418"/>
      <c r="JV131" s="418"/>
      <c r="JW131" s="418"/>
      <c r="JX131" s="418"/>
      <c r="JY131" s="418"/>
      <c r="JZ131" s="418"/>
      <c r="KA131" s="418"/>
      <c r="KB131" s="418"/>
      <c r="KC131" s="418"/>
      <c r="KD131" s="418"/>
      <c r="KE131" s="418"/>
      <c r="KF131" s="418"/>
      <c r="KG131" s="418"/>
      <c r="KH131" s="418"/>
      <c r="KI131" s="418"/>
      <c r="KJ131" s="418"/>
      <c r="KK131" s="418"/>
      <c r="KL131" s="418"/>
      <c r="KM131" s="418"/>
      <c r="KN131" s="418"/>
      <c r="KO131" s="418"/>
      <c r="KP131" s="418"/>
      <c r="KQ131" s="418"/>
      <c r="KR131" s="418"/>
      <c r="KS131" s="418"/>
      <c r="KT131" s="418"/>
      <c r="KU131" s="418"/>
      <c r="KV131" s="418"/>
      <c r="KW131" s="418"/>
      <c r="KX131" s="418"/>
      <c r="KY131" s="418"/>
      <c r="KZ131" s="418"/>
      <c r="LA131" s="418"/>
      <c r="LB131" s="418"/>
      <c r="LC131" s="418"/>
      <c r="LD131" s="418"/>
      <c r="LE131" s="418"/>
      <c r="LF131" s="418"/>
      <c r="LG131" s="418"/>
      <c r="LH131" s="418"/>
      <c r="LI131" s="418"/>
      <c r="LJ131" s="418"/>
      <c r="LK131" s="418"/>
      <c r="LL131" s="418"/>
      <c r="LM131" s="418"/>
      <c r="LN131" s="418"/>
      <c r="LO131" s="418"/>
      <c r="LP131" s="418"/>
      <c r="LQ131" s="418"/>
      <c r="LR131" s="418"/>
      <c r="LS131" s="418"/>
      <c r="LT131" s="418"/>
      <c r="LU131" s="418"/>
      <c r="LV131" s="418"/>
      <c r="LW131" s="418"/>
      <c r="LX131" s="418"/>
      <c r="LY131" s="418"/>
      <c r="LZ131" s="418"/>
      <c r="MA131" s="418"/>
      <c r="MB131" s="418"/>
      <c r="MC131" s="418"/>
      <c r="MD131" s="418"/>
      <c r="ME131" s="418"/>
      <c r="MF131" s="418"/>
      <c r="MG131" s="418"/>
      <c r="MH131" s="418"/>
      <c r="MI131" s="418"/>
      <c r="MJ131" s="418"/>
      <c r="MK131" s="418"/>
      <c r="ML131" s="418"/>
      <c r="MM131" s="418"/>
      <c r="MN131" s="418"/>
      <c r="MO131" s="418"/>
      <c r="MP131" s="418"/>
      <c r="MQ131" s="418"/>
      <c r="MR131" s="418"/>
      <c r="MS131" s="418"/>
      <c r="MT131" s="418"/>
      <c r="MU131" s="418"/>
      <c r="MV131" s="418"/>
      <c r="MW131" s="418"/>
      <c r="MX131" s="418"/>
      <c r="MY131" s="418"/>
      <c r="MZ131" s="418"/>
      <c r="NA131" s="418"/>
      <c r="NB131" s="418"/>
      <c r="NC131" s="418"/>
      <c r="ND131" s="418"/>
      <c r="NE131" s="418"/>
      <c r="NF131" s="418"/>
      <c r="NG131" s="418"/>
      <c r="NH131" s="418"/>
      <c r="NI131" s="418"/>
      <c r="NJ131" s="418"/>
      <c r="NK131" s="418"/>
      <c r="NL131" s="418"/>
      <c r="NM131" s="418"/>
      <c r="NN131" s="418"/>
      <c r="NO131" s="418"/>
      <c r="NP131" s="418"/>
      <c r="NQ131" s="418"/>
      <c r="NR131" s="418"/>
      <c r="NS131" s="418"/>
      <c r="NT131" s="418"/>
      <c r="NU131" s="418"/>
      <c r="NV131" s="418"/>
      <c r="NW131" s="418"/>
      <c r="NX131" s="418"/>
      <c r="NY131" s="418"/>
      <c r="NZ131" s="418"/>
      <c r="OA131" s="418"/>
      <c r="OB131" s="418"/>
      <c r="OC131" s="418"/>
      <c r="OD131" s="418"/>
      <c r="OE131" s="418"/>
      <c r="OF131" s="418"/>
      <c r="OG131" s="418"/>
      <c r="OH131" s="418"/>
      <c r="OI131" s="418"/>
      <c r="OJ131" s="418"/>
      <c r="OK131" s="418"/>
      <c r="OL131" s="418"/>
      <c r="OM131" s="418"/>
      <c r="ON131" s="418"/>
      <c r="OO131" s="418"/>
      <c r="OP131" s="418"/>
      <c r="OQ131" s="418"/>
      <c r="OR131" s="418"/>
      <c r="OS131" s="418"/>
      <c r="OT131" s="418"/>
      <c r="OU131" s="418"/>
      <c r="OV131" s="418"/>
      <c r="OW131" s="418"/>
      <c r="OX131" s="418"/>
      <c r="OY131" s="418"/>
      <c r="OZ131" s="418"/>
      <c r="PA131" s="418"/>
      <c r="PB131" s="418"/>
      <c r="PC131" s="418"/>
      <c r="PD131" s="418"/>
      <c r="PE131" s="418"/>
      <c r="PF131" s="418"/>
      <c r="PG131" s="418"/>
      <c r="PH131" s="418"/>
      <c r="PI131" s="418"/>
      <c r="PJ131" s="418"/>
      <c r="PK131" s="418"/>
      <c r="PL131" s="418"/>
      <c r="PM131" s="418"/>
      <c r="PN131" s="418"/>
      <c r="PO131" s="418"/>
      <c r="PP131" s="418"/>
      <c r="PQ131" s="418"/>
      <c r="PR131" s="418"/>
      <c r="PS131" s="418"/>
      <c r="PT131" s="418"/>
      <c r="PU131" s="418"/>
      <c r="PV131" s="418"/>
      <c r="PW131" s="418"/>
      <c r="PX131" s="418"/>
      <c r="PY131" s="418"/>
      <c r="PZ131" s="418"/>
      <c r="QA131" s="418"/>
      <c r="QB131" s="418"/>
      <c r="QC131" s="418"/>
      <c r="QD131" s="418"/>
      <c r="QE131" s="418"/>
      <c r="QF131" s="418"/>
      <c r="QG131" s="418"/>
      <c r="QH131" s="418"/>
      <c r="QI131" s="418"/>
      <c r="QJ131" s="418"/>
      <c r="QK131" s="418"/>
      <c r="QL131" s="418"/>
      <c r="QM131" s="418"/>
      <c r="QN131" s="418"/>
      <c r="QO131" s="418"/>
      <c r="QP131" s="418"/>
      <c r="QQ131" s="418"/>
      <c r="QR131" s="418"/>
      <c r="QS131" s="418"/>
      <c r="QT131" s="418"/>
      <c r="QU131" s="418"/>
      <c r="QV131" s="418"/>
      <c r="QW131" s="418"/>
      <c r="QX131" s="418"/>
      <c r="QY131" s="418"/>
      <c r="QZ131" s="418"/>
      <c r="RA131" s="418"/>
      <c r="RB131" s="418"/>
      <c r="RC131" s="418"/>
      <c r="RD131" s="418"/>
      <c r="RE131" s="418"/>
      <c r="RF131" s="418"/>
      <c r="RG131" s="418"/>
      <c r="RH131" s="418"/>
      <c r="RI131" s="418"/>
      <c r="RJ131" s="418"/>
      <c r="RK131" s="418"/>
      <c r="RL131" s="418"/>
      <c r="RM131" s="418"/>
      <c r="RN131" s="418"/>
      <c r="RO131" s="418"/>
      <c r="RP131" s="418"/>
      <c r="RQ131" s="418"/>
      <c r="RR131" s="418"/>
      <c r="RS131" s="418"/>
      <c r="RT131" s="418"/>
      <c r="RU131" s="418"/>
      <c r="RV131" s="418"/>
      <c r="RW131" s="418"/>
      <c r="RX131" s="418"/>
      <c r="RY131" s="418"/>
      <c r="RZ131" s="418"/>
      <c r="SA131" s="418"/>
      <c r="SB131" s="418"/>
      <c r="SC131" s="418"/>
      <c r="SD131" s="418"/>
      <c r="SE131" s="418"/>
      <c r="SF131" s="418"/>
      <c r="SG131" s="418"/>
      <c r="SH131" s="418"/>
      <c r="SI131" s="418"/>
      <c r="SJ131" s="418"/>
      <c r="SK131" s="418"/>
      <c r="SL131" s="418"/>
      <c r="SM131" s="418"/>
      <c r="SN131" s="418"/>
      <c r="SO131" s="418"/>
      <c r="SP131" s="418"/>
      <c r="SQ131" s="418"/>
      <c r="SR131" s="418"/>
      <c r="SS131" s="418"/>
      <c r="ST131" s="418"/>
      <c r="SU131" s="418"/>
      <c r="SV131" s="418"/>
      <c r="SW131" s="418"/>
      <c r="SX131" s="418"/>
      <c r="SY131" s="418"/>
      <c r="SZ131" s="418"/>
      <c r="TA131" s="418"/>
      <c r="TB131" s="418"/>
      <c r="TC131" s="418"/>
      <c r="TD131" s="418"/>
      <c r="TE131" s="418"/>
      <c r="TF131" s="418"/>
      <c r="TG131" s="418"/>
      <c r="TH131" s="418"/>
      <c r="TI131" s="418"/>
      <c r="TJ131" s="418"/>
      <c r="TK131" s="418"/>
      <c r="TL131" s="418"/>
      <c r="TM131" s="418"/>
      <c r="TN131" s="418"/>
      <c r="TO131" s="418"/>
      <c r="TP131" s="418"/>
      <c r="TQ131" s="418"/>
      <c r="TR131" s="418"/>
      <c r="TS131" s="418"/>
      <c r="TT131" s="418"/>
      <c r="TU131" s="418"/>
      <c r="TV131" s="418"/>
      <c r="TW131" s="418"/>
      <c r="TX131" s="418"/>
      <c r="TY131" s="418"/>
      <c r="TZ131" s="418"/>
      <c r="UA131" s="418"/>
      <c r="UB131" s="418"/>
      <c r="UC131" s="418"/>
      <c r="UD131" s="418"/>
      <c r="UE131" s="418"/>
      <c r="UF131" s="418"/>
      <c r="UG131" s="418"/>
      <c r="UH131" s="418"/>
      <c r="UI131" s="418"/>
      <c r="UJ131" s="418"/>
      <c r="UK131" s="418"/>
      <c r="UL131" s="418"/>
      <c r="UM131" s="418"/>
      <c r="UN131" s="418"/>
      <c r="UO131" s="418"/>
      <c r="UP131" s="418"/>
      <c r="UQ131" s="418"/>
      <c r="UR131" s="418"/>
      <c r="US131" s="418"/>
      <c r="UT131" s="418"/>
      <c r="UU131" s="418"/>
      <c r="UV131" s="418"/>
      <c r="UW131" s="418"/>
      <c r="UX131" s="418"/>
      <c r="UY131" s="418"/>
      <c r="UZ131" s="418"/>
      <c r="VA131" s="418"/>
      <c r="VB131" s="418"/>
      <c r="VC131" s="418"/>
      <c r="VD131" s="418"/>
      <c r="VE131" s="418"/>
      <c r="VF131" s="418"/>
      <c r="VG131" s="418"/>
      <c r="VH131" s="418"/>
      <c r="VI131" s="418"/>
      <c r="VJ131" s="418"/>
      <c r="VK131" s="418"/>
      <c r="VL131" s="418"/>
      <c r="VM131" s="418"/>
      <c r="VN131" s="418"/>
      <c r="VO131" s="418"/>
      <c r="VP131" s="418"/>
      <c r="VQ131" s="418"/>
      <c r="VR131" s="418"/>
      <c r="VS131" s="418"/>
      <c r="VT131" s="418"/>
      <c r="VU131" s="418"/>
      <c r="VV131" s="418"/>
      <c r="VW131" s="418"/>
      <c r="VX131" s="418"/>
      <c r="VY131" s="418"/>
      <c r="VZ131" s="418"/>
      <c r="WA131" s="418"/>
      <c r="WB131" s="418"/>
      <c r="WC131" s="418"/>
      <c r="WD131" s="418"/>
      <c r="WE131" s="418"/>
      <c r="WF131" s="418"/>
      <c r="WG131" s="418"/>
      <c r="WH131" s="418"/>
      <c r="WI131" s="418"/>
      <c r="WJ131" s="418"/>
      <c r="WK131" s="418"/>
      <c r="WL131" s="418"/>
      <c r="WM131" s="418"/>
      <c r="WN131" s="418"/>
      <c r="WO131" s="418"/>
      <c r="WP131" s="418"/>
      <c r="WQ131" s="418"/>
      <c r="WR131" s="418"/>
      <c r="WS131" s="418"/>
      <c r="WT131" s="418"/>
      <c r="WU131" s="418"/>
      <c r="WV131" s="418"/>
      <c r="WW131" s="418"/>
      <c r="WX131" s="418"/>
      <c r="WY131" s="418"/>
      <c r="WZ131" s="418"/>
      <c r="XA131" s="418"/>
      <c r="XB131" s="418"/>
      <c r="XC131" s="418"/>
      <c r="XD131" s="418"/>
      <c r="XE131" s="418"/>
      <c r="XF131" s="418"/>
      <c r="XG131" s="418"/>
      <c r="XH131" s="418"/>
      <c r="XI131" s="418"/>
      <c r="XJ131" s="418"/>
      <c r="XK131" s="418"/>
      <c r="XL131" s="418"/>
      <c r="XM131" s="418"/>
      <c r="XN131" s="418"/>
      <c r="XO131" s="418"/>
      <c r="XP131" s="418"/>
      <c r="XQ131" s="418"/>
      <c r="XR131" s="418"/>
      <c r="XS131" s="418"/>
      <c r="XT131" s="418"/>
      <c r="XU131" s="418"/>
      <c r="XV131" s="418"/>
      <c r="XW131" s="418"/>
      <c r="XX131" s="418"/>
      <c r="XY131" s="418"/>
      <c r="XZ131" s="418"/>
      <c r="YA131" s="418"/>
      <c r="YB131" s="418"/>
      <c r="YC131" s="418"/>
      <c r="YD131" s="418"/>
      <c r="YE131" s="418"/>
      <c r="YF131" s="418"/>
      <c r="YG131" s="418"/>
      <c r="YH131" s="418"/>
      <c r="YI131" s="418"/>
      <c r="YJ131" s="418"/>
      <c r="YK131" s="418"/>
      <c r="YL131" s="418"/>
      <c r="YM131" s="418"/>
      <c r="YN131" s="418"/>
      <c r="YO131" s="418"/>
      <c r="YP131" s="418"/>
      <c r="YQ131" s="418"/>
      <c r="YR131" s="418"/>
      <c r="YS131" s="418"/>
      <c r="YT131" s="418"/>
      <c r="YU131" s="418"/>
      <c r="YV131" s="418"/>
      <c r="YW131" s="418"/>
      <c r="YX131" s="418"/>
      <c r="YY131" s="418"/>
      <c r="YZ131" s="418"/>
      <c r="ZA131" s="418"/>
      <c r="ZB131" s="418"/>
      <c r="ZC131" s="418"/>
      <c r="ZD131" s="418"/>
      <c r="ZE131" s="418"/>
      <c r="ZF131" s="418"/>
      <c r="ZG131" s="418"/>
      <c r="ZH131" s="418"/>
      <c r="ZI131" s="418"/>
      <c r="ZJ131" s="418"/>
      <c r="ZK131" s="418"/>
      <c r="ZL131" s="418"/>
      <c r="ZM131" s="418"/>
      <c r="ZN131" s="418"/>
      <c r="ZO131" s="418"/>
      <c r="ZP131" s="418"/>
      <c r="ZQ131" s="418"/>
      <c r="ZR131" s="418"/>
      <c r="ZS131" s="418"/>
      <c r="ZT131" s="418"/>
      <c r="ZU131" s="418"/>
      <c r="ZV131" s="418"/>
      <c r="ZW131" s="418"/>
      <c r="ZX131" s="418"/>
      <c r="ZY131" s="418"/>
      <c r="ZZ131" s="418"/>
      <c r="AAA131" s="418"/>
      <c r="AAB131" s="418"/>
      <c r="AAC131" s="418"/>
      <c r="AAD131" s="418"/>
      <c r="AAE131" s="418"/>
      <c r="AAF131" s="418"/>
      <c r="AAG131" s="418"/>
      <c r="AAH131" s="418"/>
      <c r="AAI131" s="418"/>
      <c r="AAJ131" s="418"/>
      <c r="AAK131" s="418"/>
      <c r="AAL131" s="418"/>
      <c r="AAM131" s="418"/>
      <c r="AAN131" s="418"/>
      <c r="AAO131" s="418"/>
      <c r="AAP131" s="418"/>
      <c r="AAQ131" s="418"/>
      <c r="AAR131" s="418"/>
      <c r="AAS131" s="418"/>
      <c r="AAT131" s="418"/>
      <c r="AAU131" s="418"/>
      <c r="AAV131" s="418"/>
      <c r="AAW131" s="418"/>
      <c r="AAX131" s="418"/>
      <c r="AAY131" s="418"/>
      <c r="AAZ131" s="418"/>
      <c r="ABA131" s="418"/>
      <c r="ABB131" s="418"/>
      <c r="ABC131" s="418"/>
      <c r="ABD131" s="418"/>
      <c r="ABE131" s="418"/>
      <c r="ABF131" s="418"/>
      <c r="ABG131" s="418"/>
      <c r="ABH131" s="418"/>
      <c r="ABI131" s="418"/>
      <c r="ABJ131" s="418"/>
      <c r="ABK131" s="418"/>
      <c r="ABL131" s="418"/>
      <c r="ABM131" s="418"/>
      <c r="ABN131" s="418"/>
      <c r="ABO131" s="418"/>
      <c r="ABP131" s="418"/>
      <c r="ABQ131" s="418"/>
      <c r="ABR131" s="418"/>
      <c r="ABS131" s="418"/>
      <c r="ABT131" s="418"/>
      <c r="ABU131" s="418"/>
      <c r="ABV131" s="418"/>
      <c r="ABW131" s="418"/>
      <c r="ABX131" s="418"/>
      <c r="ABY131" s="418"/>
      <c r="ABZ131" s="418"/>
      <c r="ACA131" s="418"/>
      <c r="ACB131" s="418"/>
      <c r="ACC131" s="418"/>
      <c r="ACD131" s="418"/>
      <c r="ACE131" s="418"/>
      <c r="ACF131" s="418"/>
      <c r="ACG131" s="418"/>
      <c r="ACH131" s="418"/>
      <c r="ACI131" s="418"/>
      <c r="ACJ131" s="418"/>
      <c r="ACK131" s="418"/>
      <c r="ACL131" s="418"/>
      <c r="ACM131" s="418"/>
      <c r="ACN131" s="418"/>
      <c r="ACO131" s="418"/>
      <c r="ACP131" s="418"/>
      <c r="ACQ131" s="418"/>
      <c r="ACR131" s="418"/>
      <c r="ACS131" s="418"/>
      <c r="ACT131" s="418"/>
      <c r="ACU131" s="418"/>
      <c r="ACV131" s="418"/>
      <c r="ACW131" s="418"/>
      <c r="ACX131" s="418"/>
      <c r="ACY131" s="418"/>
      <c r="ACZ131" s="418"/>
      <c r="ADA131" s="418"/>
      <c r="ADB131" s="418"/>
      <c r="ADC131" s="418"/>
      <c r="ADD131" s="418"/>
      <c r="ADE131" s="418"/>
      <c r="ADF131" s="418"/>
      <c r="ADG131" s="418"/>
      <c r="ADH131" s="418"/>
      <c r="ADI131" s="418"/>
      <c r="ADJ131" s="418"/>
      <c r="ADK131" s="418"/>
      <c r="ADL131" s="418"/>
      <c r="ADM131" s="418"/>
      <c r="ADN131" s="418"/>
      <c r="ADO131" s="418"/>
      <c r="ADP131" s="418"/>
      <c r="ADQ131" s="418"/>
      <c r="ADR131" s="418"/>
      <c r="ADS131" s="418"/>
      <c r="ADT131" s="418"/>
      <c r="ADU131" s="418"/>
      <c r="ADV131" s="418"/>
      <c r="ADW131" s="418"/>
      <c r="ADX131" s="418"/>
      <c r="ADY131" s="418"/>
      <c r="ADZ131" s="418"/>
      <c r="AEA131" s="418"/>
      <c r="AEB131" s="418"/>
      <c r="AEC131" s="418"/>
      <c r="AED131" s="418"/>
      <c r="AEE131" s="418"/>
      <c r="AEF131" s="418"/>
      <c r="AEG131" s="418"/>
      <c r="AEH131" s="418"/>
      <c r="AEI131" s="418"/>
      <c r="AEJ131" s="418"/>
      <c r="AEK131" s="418"/>
      <c r="AEL131" s="418"/>
      <c r="AEM131" s="418"/>
      <c r="AEN131" s="418"/>
      <c r="AEO131" s="418"/>
      <c r="AEP131" s="418"/>
      <c r="AEQ131" s="418"/>
      <c r="AER131" s="418"/>
      <c r="AES131" s="418"/>
      <c r="AET131" s="418"/>
      <c r="AEU131" s="418"/>
      <c r="AEV131" s="418"/>
      <c r="AEW131" s="418"/>
      <c r="AEX131" s="418"/>
      <c r="AEY131" s="418"/>
      <c r="AEZ131" s="418"/>
      <c r="AFA131" s="418"/>
      <c r="AFB131" s="418"/>
      <c r="AFC131" s="418"/>
      <c r="AFD131" s="418"/>
      <c r="AFE131" s="418"/>
      <c r="AFF131" s="418"/>
      <c r="AFG131" s="418"/>
      <c r="AFH131" s="418"/>
      <c r="AFI131" s="418"/>
      <c r="AFJ131" s="418"/>
      <c r="AFK131" s="418"/>
      <c r="AFL131" s="418"/>
      <c r="AFM131" s="418"/>
      <c r="AFN131" s="418"/>
      <c r="AFO131" s="418"/>
      <c r="AFP131" s="418"/>
      <c r="AFQ131" s="418"/>
      <c r="AFR131" s="418"/>
      <c r="AFS131" s="418"/>
      <c r="AFT131" s="418"/>
      <c r="AFU131" s="418"/>
      <c r="AFV131" s="418"/>
      <c r="AFW131" s="418"/>
      <c r="AFX131" s="418"/>
      <c r="AFY131" s="418"/>
      <c r="AFZ131" s="418"/>
      <c r="AGA131" s="418"/>
      <c r="AGB131" s="418"/>
      <c r="AGC131" s="418"/>
      <c r="AGD131" s="418"/>
      <c r="AGE131" s="418"/>
      <c r="AGF131" s="418"/>
      <c r="AGG131" s="418"/>
      <c r="AGH131" s="418"/>
      <c r="AGI131" s="418"/>
      <c r="AGJ131" s="418"/>
      <c r="AGK131" s="418"/>
      <c r="AGL131" s="418"/>
      <c r="AGM131" s="418"/>
      <c r="AGN131" s="418"/>
      <c r="AGO131" s="418"/>
      <c r="AGP131" s="418"/>
      <c r="AGQ131" s="418"/>
      <c r="AGR131" s="418"/>
      <c r="AGS131" s="418"/>
      <c r="AGT131" s="418"/>
      <c r="AGU131" s="418"/>
      <c r="AGV131" s="418"/>
      <c r="AGW131" s="418"/>
      <c r="AGX131" s="418"/>
      <c r="AGY131" s="418"/>
      <c r="AGZ131" s="418"/>
      <c r="AHA131" s="418"/>
      <c r="AHB131" s="418"/>
      <c r="AHC131" s="418"/>
      <c r="AHD131" s="418"/>
      <c r="AHE131" s="418"/>
      <c r="AHF131" s="418"/>
      <c r="AHG131" s="418"/>
      <c r="AHH131" s="418"/>
      <c r="AHI131" s="418"/>
      <c r="AHJ131" s="418"/>
      <c r="AHK131" s="418"/>
      <c r="AHL131" s="418"/>
      <c r="AHM131" s="418"/>
      <c r="AHN131" s="418"/>
      <c r="AHO131" s="418"/>
      <c r="AHP131" s="418"/>
      <c r="AHQ131" s="418"/>
      <c r="AHR131" s="418"/>
      <c r="AHS131" s="418"/>
      <c r="AHT131" s="418"/>
      <c r="AHU131" s="418"/>
      <c r="AHV131" s="418"/>
      <c r="AHW131" s="418"/>
      <c r="AHX131" s="418"/>
      <c r="AHY131" s="418"/>
      <c r="AHZ131" s="418"/>
      <c r="AIA131" s="418"/>
      <c r="AIB131" s="418"/>
      <c r="AIC131" s="418"/>
      <c r="AID131" s="418"/>
      <c r="AIE131" s="418"/>
      <c r="AIF131" s="418"/>
      <c r="AIG131" s="418"/>
      <c r="AIH131" s="418"/>
      <c r="AII131" s="418"/>
      <c r="AIJ131" s="418"/>
      <c r="AIK131" s="418"/>
      <c r="AIL131" s="418"/>
      <c r="AIM131" s="418"/>
      <c r="AIN131" s="418"/>
      <c r="AIO131" s="418"/>
      <c r="AIP131" s="418"/>
      <c r="AIQ131" s="418"/>
      <c r="AIR131" s="418"/>
      <c r="AIS131" s="418"/>
      <c r="AIT131" s="418"/>
      <c r="AIU131" s="418"/>
      <c r="AIV131" s="418"/>
      <c r="AIW131" s="418"/>
      <c r="AIX131" s="418"/>
      <c r="AIY131" s="418"/>
      <c r="AIZ131" s="418"/>
      <c r="AJA131" s="418"/>
      <c r="AJB131" s="418"/>
      <c r="AJC131" s="418"/>
      <c r="AJD131" s="418"/>
      <c r="AJE131" s="418"/>
      <c r="AJF131" s="418"/>
      <c r="AJG131" s="418"/>
      <c r="AJH131" s="418"/>
      <c r="AJI131" s="418"/>
      <c r="AJJ131" s="418"/>
      <c r="AJK131" s="418"/>
      <c r="AJL131" s="418"/>
      <c r="AJM131" s="418"/>
      <c r="AJN131" s="418"/>
      <c r="AJO131" s="418"/>
      <c r="AJP131" s="418"/>
      <c r="AJQ131" s="418"/>
      <c r="AJR131" s="418"/>
      <c r="AJS131" s="418"/>
      <c r="AJT131" s="418"/>
      <c r="AJU131" s="418"/>
      <c r="AJV131" s="418"/>
      <c r="AJW131" s="418"/>
      <c r="AJX131" s="418"/>
      <c r="AJY131" s="418"/>
      <c r="AJZ131" s="418"/>
      <c r="AKA131" s="418"/>
      <c r="AKB131" s="418"/>
      <c r="AKC131" s="418"/>
      <c r="AKD131" s="418"/>
      <c r="AKE131" s="418"/>
      <c r="AKF131" s="418"/>
      <c r="AKG131" s="418"/>
      <c r="AKH131" s="418"/>
      <c r="AKI131" s="418"/>
      <c r="AKJ131" s="418"/>
      <c r="AKK131" s="418"/>
      <c r="AKL131" s="418"/>
      <c r="AKM131" s="418"/>
      <c r="AKN131" s="418"/>
      <c r="AKO131" s="418"/>
      <c r="AKP131" s="418"/>
      <c r="AKQ131" s="418"/>
      <c r="AKR131" s="418"/>
      <c r="AKS131" s="418"/>
      <c r="AKT131" s="418"/>
      <c r="AKU131" s="418"/>
      <c r="AKV131" s="418"/>
      <c r="AKW131" s="418"/>
      <c r="AKX131" s="418"/>
      <c r="AKY131" s="418"/>
      <c r="AKZ131" s="418"/>
      <c r="ALA131" s="418"/>
      <c r="ALB131" s="418"/>
      <c r="ALC131" s="418"/>
      <c r="ALD131" s="418"/>
      <c r="ALE131" s="418"/>
      <c r="ALF131" s="418"/>
      <c r="ALG131" s="418"/>
      <c r="ALH131" s="418"/>
      <c r="ALI131" s="418"/>
      <c r="ALJ131" s="418"/>
      <c r="ALK131" s="418"/>
      <c r="ALL131" s="418"/>
      <c r="ALM131" s="418"/>
      <c r="ALN131" s="418"/>
      <c r="ALO131" s="418"/>
      <c r="ALP131" s="418"/>
      <c r="ALQ131" s="418"/>
      <c r="ALR131" s="418"/>
      <c r="ALS131" s="418"/>
      <c r="ALT131" s="418"/>
      <c r="ALU131" s="418"/>
      <c r="ALV131" s="418"/>
      <c r="ALW131" s="418"/>
      <c r="ALX131" s="418"/>
      <c r="ALY131" s="418"/>
      <c r="ALZ131" s="418"/>
      <c r="AMA131" s="418"/>
      <c r="AMB131" s="418"/>
      <c r="AMC131" s="418"/>
      <c r="AMD131" s="418"/>
      <c r="AME131" s="418"/>
      <c r="AMF131" s="418"/>
      <c r="AMG131" s="418"/>
      <c r="AMH131" s="418"/>
    </row>
    <row r="132" spans="1:1022" s="418" customFormat="1" x14ac:dyDescent="0.25">
      <c r="A132" s="370">
        <v>1</v>
      </c>
      <c r="B132" s="1" t="s">
        <v>19</v>
      </c>
      <c r="C132" s="1" t="s">
        <v>62</v>
      </c>
      <c r="D132" s="48"/>
      <c r="E132" s="1" t="s">
        <v>71</v>
      </c>
      <c r="F132" s="436" t="s">
        <v>394</v>
      </c>
      <c r="G132" s="48" t="s">
        <v>395</v>
      </c>
      <c r="H132" s="48">
        <v>1</v>
      </c>
      <c r="I132" s="289">
        <v>0</v>
      </c>
      <c r="J132" s="290">
        <v>0</v>
      </c>
      <c r="K132" s="28">
        <v>0</v>
      </c>
      <c r="L132" s="28">
        <v>0</v>
      </c>
      <c r="M132" s="28">
        <v>0</v>
      </c>
      <c r="N132" s="291">
        <v>0</v>
      </c>
      <c r="O132" s="292">
        <v>0</v>
      </c>
      <c r="P132" s="292">
        <v>0</v>
      </c>
      <c r="Q132" s="337">
        <f t="shared" ref="Q132:Q142" si="0">O132-P132</f>
        <v>0</v>
      </c>
    </row>
    <row r="133" spans="1:1022" s="418" customFormat="1" ht="51" x14ac:dyDescent="0.25">
      <c r="A133" s="56">
        <f>A132+1</f>
        <v>2</v>
      </c>
      <c r="B133" s="1" t="s">
        <v>90</v>
      </c>
      <c r="C133" s="1" t="s">
        <v>62</v>
      </c>
      <c r="D133" s="1" t="s">
        <v>63</v>
      </c>
      <c r="E133" s="1" t="s">
        <v>205</v>
      </c>
      <c r="F133" s="436" t="s">
        <v>396</v>
      </c>
      <c r="G133" s="27" t="s">
        <v>395</v>
      </c>
      <c r="H133" s="27">
        <v>9</v>
      </c>
      <c r="I133" s="27">
        <v>9</v>
      </c>
      <c r="J133" s="27">
        <v>9</v>
      </c>
      <c r="K133" s="28">
        <v>11276.8</v>
      </c>
      <c r="L133" s="28">
        <v>11276.8</v>
      </c>
      <c r="M133" s="28">
        <f t="shared" ref="M133:M142" si="1">K133-L133</f>
        <v>0</v>
      </c>
      <c r="N133" s="27">
        <v>20</v>
      </c>
      <c r="O133" s="28">
        <v>28791.88</v>
      </c>
      <c r="P133" s="28">
        <v>28791.88</v>
      </c>
      <c r="Q133" s="337">
        <f t="shared" si="0"/>
        <v>0</v>
      </c>
    </row>
    <row r="134" spans="1:1022" s="418" customFormat="1" x14ac:dyDescent="0.25">
      <c r="A134" s="56">
        <f>A133+1</f>
        <v>3</v>
      </c>
      <c r="B134" s="48" t="s">
        <v>133</v>
      </c>
      <c r="C134" s="48" t="s">
        <v>67</v>
      </c>
      <c r="D134" s="48" t="s">
        <v>397</v>
      </c>
      <c r="E134" s="48" t="s">
        <v>74</v>
      </c>
      <c r="F134" s="436" t="s">
        <v>398</v>
      </c>
      <c r="G134" s="27" t="s">
        <v>395</v>
      </c>
      <c r="H134" s="27">
        <v>11</v>
      </c>
      <c r="I134" s="27">
        <v>1</v>
      </c>
      <c r="J134" s="27">
        <v>1</v>
      </c>
      <c r="K134" s="28">
        <v>1057.2</v>
      </c>
      <c r="L134" s="28">
        <v>1057.2</v>
      </c>
      <c r="M134" s="28">
        <f t="shared" si="1"/>
        <v>0</v>
      </c>
      <c r="N134" s="27">
        <v>8</v>
      </c>
      <c r="O134" s="28">
        <v>11920.73</v>
      </c>
      <c r="P134" s="28">
        <v>11920.73</v>
      </c>
      <c r="Q134" s="337">
        <f t="shared" si="0"/>
        <v>0</v>
      </c>
    </row>
    <row r="135" spans="1:1022" s="418" customFormat="1" x14ac:dyDescent="0.25">
      <c r="A135" s="56">
        <v>4</v>
      </c>
      <c r="B135" s="1" t="s">
        <v>399</v>
      </c>
      <c r="C135" s="1" t="s">
        <v>62</v>
      </c>
      <c r="D135" s="1"/>
      <c r="E135" s="1" t="s">
        <v>400</v>
      </c>
      <c r="F135" s="436" t="s">
        <v>401</v>
      </c>
      <c r="G135" s="27" t="s">
        <v>395</v>
      </c>
      <c r="H135" s="27">
        <v>29</v>
      </c>
      <c r="I135" s="27">
        <v>8</v>
      </c>
      <c r="J135" s="27">
        <v>8</v>
      </c>
      <c r="K135" s="28">
        <v>9441.2999999999993</v>
      </c>
      <c r="L135" s="28">
        <v>9441.2999999999993</v>
      </c>
      <c r="M135" s="28">
        <f t="shared" si="1"/>
        <v>0</v>
      </c>
      <c r="N135" s="27">
        <v>0</v>
      </c>
      <c r="O135" s="28">
        <v>0</v>
      </c>
      <c r="P135" s="28">
        <v>0</v>
      </c>
      <c r="Q135" s="337">
        <f t="shared" si="0"/>
        <v>0</v>
      </c>
    </row>
    <row r="136" spans="1:1022" s="418" customFormat="1" x14ac:dyDescent="0.25">
      <c r="A136" s="56">
        <v>5</v>
      </c>
      <c r="B136" s="1" t="s">
        <v>402</v>
      </c>
      <c r="C136" s="1" t="s">
        <v>62</v>
      </c>
      <c r="D136" s="1"/>
      <c r="E136" s="48" t="s">
        <v>74</v>
      </c>
      <c r="F136" s="436" t="s">
        <v>403</v>
      </c>
      <c r="G136" s="27" t="s">
        <v>395</v>
      </c>
      <c r="H136" s="27">
        <v>2</v>
      </c>
      <c r="I136" s="27">
        <v>2</v>
      </c>
      <c r="J136" s="27">
        <v>2</v>
      </c>
      <c r="K136" s="28">
        <v>3815.95</v>
      </c>
      <c r="L136" s="28">
        <v>3815.95</v>
      </c>
      <c r="M136" s="28">
        <f t="shared" si="1"/>
        <v>0</v>
      </c>
      <c r="N136" s="27">
        <v>0</v>
      </c>
      <c r="O136" s="28">
        <v>0</v>
      </c>
      <c r="P136" s="28">
        <v>0</v>
      </c>
      <c r="Q136" s="337">
        <f t="shared" si="0"/>
        <v>0</v>
      </c>
    </row>
    <row r="137" spans="1:1022" s="418" customFormat="1" ht="25.5" x14ac:dyDescent="0.25">
      <c r="A137" s="56">
        <v>6</v>
      </c>
      <c r="B137" s="1" t="s">
        <v>48</v>
      </c>
      <c r="C137" s="1" t="s">
        <v>62</v>
      </c>
      <c r="D137" s="1"/>
      <c r="E137" s="1" t="s">
        <v>81</v>
      </c>
      <c r="F137" s="436" t="s">
        <v>404</v>
      </c>
      <c r="G137" s="27" t="s">
        <v>395</v>
      </c>
      <c r="H137" s="27">
        <v>29</v>
      </c>
      <c r="I137" s="27">
        <v>4</v>
      </c>
      <c r="J137" s="27">
        <v>4</v>
      </c>
      <c r="K137" s="28">
        <v>4581.2</v>
      </c>
      <c r="L137" s="28">
        <v>4581.2</v>
      </c>
      <c r="M137" s="28">
        <f t="shared" si="1"/>
        <v>0</v>
      </c>
      <c r="N137" s="27">
        <v>17</v>
      </c>
      <c r="O137" s="28">
        <v>43761.64</v>
      </c>
      <c r="P137" s="28">
        <v>39997.040000000001</v>
      </c>
      <c r="Q137" s="337">
        <f t="shared" si="0"/>
        <v>3764.5999999999985</v>
      </c>
    </row>
    <row r="138" spans="1:1022" s="418" customFormat="1" x14ac:dyDescent="0.25">
      <c r="A138" s="56">
        <v>7</v>
      </c>
      <c r="B138" s="1" t="s">
        <v>39</v>
      </c>
      <c r="C138" s="1" t="s">
        <v>62</v>
      </c>
      <c r="D138" s="1"/>
      <c r="E138" s="1" t="s">
        <v>77</v>
      </c>
      <c r="F138" s="436" t="s">
        <v>405</v>
      </c>
      <c r="G138" s="27" t="s">
        <v>395</v>
      </c>
      <c r="H138" s="27">
        <v>32</v>
      </c>
      <c r="I138" s="27">
        <v>0</v>
      </c>
      <c r="J138" s="27">
        <v>0</v>
      </c>
      <c r="K138" s="28">
        <v>0</v>
      </c>
      <c r="L138" s="28">
        <v>0</v>
      </c>
      <c r="M138" s="28">
        <f t="shared" si="1"/>
        <v>0</v>
      </c>
      <c r="N138" s="27">
        <v>12</v>
      </c>
      <c r="O138" s="28">
        <v>19910.599999999999</v>
      </c>
      <c r="P138" s="28">
        <v>19910.599999999999</v>
      </c>
      <c r="Q138" s="337">
        <f t="shared" si="0"/>
        <v>0</v>
      </c>
    </row>
    <row r="139" spans="1:1022" s="418" customFormat="1" x14ac:dyDescent="0.25">
      <c r="A139" s="56">
        <v>8</v>
      </c>
      <c r="B139" s="1" t="s">
        <v>127</v>
      </c>
      <c r="C139" s="1" t="s">
        <v>62</v>
      </c>
      <c r="D139" s="1"/>
      <c r="E139" s="48" t="s">
        <v>74</v>
      </c>
      <c r="F139" s="436" t="s">
        <v>406</v>
      </c>
      <c r="G139" s="27" t="s">
        <v>395</v>
      </c>
      <c r="H139" s="27">
        <v>0</v>
      </c>
      <c r="I139" s="27">
        <v>0</v>
      </c>
      <c r="J139" s="27">
        <v>0</v>
      </c>
      <c r="K139" s="28">
        <v>0</v>
      </c>
      <c r="L139" s="28">
        <v>0</v>
      </c>
      <c r="M139" s="28">
        <f t="shared" si="1"/>
        <v>0</v>
      </c>
      <c r="N139" s="27">
        <v>1</v>
      </c>
      <c r="O139" s="28">
        <v>264.3</v>
      </c>
      <c r="P139" s="28">
        <v>264.3</v>
      </c>
      <c r="Q139" s="337">
        <f t="shared" si="0"/>
        <v>0</v>
      </c>
    </row>
    <row r="140" spans="1:1022" s="418" customFormat="1" ht="25.5" x14ac:dyDescent="0.25">
      <c r="A140" s="56">
        <v>9</v>
      </c>
      <c r="B140" s="1" t="s">
        <v>561</v>
      </c>
      <c r="C140" s="1" t="s">
        <v>62</v>
      </c>
      <c r="D140" s="1"/>
      <c r="E140" s="1" t="s">
        <v>81</v>
      </c>
      <c r="F140" s="436" t="s">
        <v>562</v>
      </c>
      <c r="G140" s="27" t="s">
        <v>395</v>
      </c>
      <c r="H140" s="27">
        <v>28</v>
      </c>
      <c r="I140" s="27">
        <v>0</v>
      </c>
      <c r="J140" s="27">
        <v>0</v>
      </c>
      <c r="K140" s="28">
        <v>0</v>
      </c>
      <c r="L140" s="28">
        <v>0</v>
      </c>
      <c r="M140" s="28">
        <f t="shared" si="1"/>
        <v>0</v>
      </c>
      <c r="N140" s="27">
        <v>0</v>
      </c>
      <c r="O140" s="28">
        <v>0</v>
      </c>
      <c r="P140" s="28">
        <v>0</v>
      </c>
      <c r="Q140" s="337">
        <f t="shared" si="0"/>
        <v>0</v>
      </c>
    </row>
    <row r="141" spans="1:1022" s="418" customFormat="1" ht="25.5" x14ac:dyDescent="0.25">
      <c r="A141" s="56">
        <v>10</v>
      </c>
      <c r="B141" s="1" t="s">
        <v>563</v>
      </c>
      <c r="C141" s="1" t="s">
        <v>62</v>
      </c>
      <c r="D141" s="1"/>
      <c r="E141" s="1" t="s">
        <v>81</v>
      </c>
      <c r="F141" s="436" t="s">
        <v>564</v>
      </c>
      <c r="G141" s="27" t="s">
        <v>395</v>
      </c>
      <c r="H141" s="27">
        <v>28</v>
      </c>
      <c r="I141" s="27">
        <v>0</v>
      </c>
      <c r="J141" s="27">
        <v>1</v>
      </c>
      <c r="K141" s="28">
        <v>2643</v>
      </c>
      <c r="L141" s="28">
        <v>2643</v>
      </c>
      <c r="M141" s="28">
        <f t="shared" si="1"/>
        <v>0</v>
      </c>
      <c r="N141" s="27">
        <v>0</v>
      </c>
      <c r="O141" s="28">
        <v>0</v>
      </c>
      <c r="P141" s="28">
        <v>0</v>
      </c>
      <c r="Q141" s="337">
        <f t="shared" si="0"/>
        <v>0</v>
      </c>
    </row>
    <row r="142" spans="1:1022" s="418" customFormat="1" x14ac:dyDescent="0.25">
      <c r="A142" s="56">
        <v>11</v>
      </c>
      <c r="B142" s="1" t="s">
        <v>53</v>
      </c>
      <c r="C142" s="1" t="s">
        <v>62</v>
      </c>
      <c r="D142" s="1"/>
      <c r="E142" s="48" t="s">
        <v>74</v>
      </c>
      <c r="F142" s="436" t="s">
        <v>634</v>
      </c>
      <c r="G142" s="27" t="s">
        <v>395</v>
      </c>
      <c r="H142" s="27">
        <v>11</v>
      </c>
      <c r="I142" s="27">
        <v>0</v>
      </c>
      <c r="J142" s="27">
        <v>0</v>
      </c>
      <c r="K142" s="28">
        <v>0</v>
      </c>
      <c r="L142" s="28">
        <v>0</v>
      </c>
      <c r="M142" s="28">
        <f t="shared" si="1"/>
        <v>0</v>
      </c>
      <c r="N142" s="291">
        <v>0</v>
      </c>
      <c r="O142" s="292">
        <v>0</v>
      </c>
      <c r="P142" s="292">
        <v>0</v>
      </c>
      <c r="Q142" s="337">
        <f t="shared" si="0"/>
        <v>0</v>
      </c>
    </row>
    <row r="143" spans="1:1022" ht="25.5" x14ac:dyDescent="0.25">
      <c r="A143" s="294">
        <v>1</v>
      </c>
      <c r="B143" s="3" t="s">
        <v>159</v>
      </c>
      <c r="C143" s="3" t="s">
        <v>62</v>
      </c>
      <c r="D143" s="3" t="s">
        <v>63</v>
      </c>
      <c r="E143" s="3" t="s">
        <v>121</v>
      </c>
      <c r="F143" s="3" t="s">
        <v>160</v>
      </c>
      <c r="G143" s="4" t="s">
        <v>85</v>
      </c>
      <c r="H143" s="4">
        <v>3</v>
      </c>
      <c r="I143" s="4">
        <v>3</v>
      </c>
      <c r="J143" s="4">
        <v>3</v>
      </c>
      <c r="K143" s="5">
        <f>L143+M143</f>
        <v>1493.3</v>
      </c>
      <c r="L143" s="5">
        <v>1493.3</v>
      </c>
      <c r="M143" s="5">
        <v>0</v>
      </c>
      <c r="N143" s="4">
        <v>8</v>
      </c>
      <c r="O143" s="5">
        <f>P143+Q143</f>
        <v>28053.94</v>
      </c>
      <c r="P143" s="5">
        <v>28053.94</v>
      </c>
      <c r="Q143" s="5">
        <v>0</v>
      </c>
    </row>
    <row r="144" spans="1:1022" x14ac:dyDescent="0.25">
      <c r="A144" s="294">
        <f>A143+1</f>
        <v>2</v>
      </c>
      <c r="B144" s="3" t="s">
        <v>581</v>
      </c>
      <c r="C144" s="3" t="s">
        <v>62</v>
      </c>
      <c r="D144" s="3" t="s">
        <v>63</v>
      </c>
      <c r="E144" s="3" t="s">
        <v>74</v>
      </c>
      <c r="F144" s="3" t="s">
        <v>582</v>
      </c>
      <c r="G144" s="4" t="s">
        <v>85</v>
      </c>
      <c r="H144" s="4">
        <v>0</v>
      </c>
      <c r="I144" s="4">
        <v>0</v>
      </c>
      <c r="J144" s="4">
        <v>0</v>
      </c>
      <c r="K144" s="5">
        <f t="shared" ref="K144:K207" si="2">L144+M144</f>
        <v>0</v>
      </c>
      <c r="L144" s="5">
        <v>0</v>
      </c>
      <c r="M144" s="5">
        <v>0</v>
      </c>
      <c r="N144" s="4">
        <v>2</v>
      </c>
      <c r="O144" s="5">
        <f t="shared" ref="O144:O207" si="3">P144+Q144</f>
        <v>0</v>
      </c>
      <c r="P144" s="5">
        <v>0</v>
      </c>
      <c r="Q144" s="5">
        <v>0</v>
      </c>
    </row>
    <row r="145" spans="1:17" x14ac:dyDescent="0.25">
      <c r="A145" s="294">
        <f t="shared" ref="A145:A208" si="4">A144+1</f>
        <v>3</v>
      </c>
      <c r="B145" s="3" t="s">
        <v>95</v>
      </c>
      <c r="C145" s="3" t="s">
        <v>62</v>
      </c>
      <c r="D145" s="3" t="s">
        <v>63</v>
      </c>
      <c r="E145" s="3" t="s">
        <v>74</v>
      </c>
      <c r="F145" s="3" t="s">
        <v>161</v>
      </c>
      <c r="G145" s="4" t="s">
        <v>85</v>
      </c>
      <c r="H145" s="4">
        <v>48</v>
      </c>
      <c r="I145" s="4">
        <v>39</v>
      </c>
      <c r="J145" s="4">
        <v>52</v>
      </c>
      <c r="K145" s="5">
        <f t="shared" si="2"/>
        <v>70400.34</v>
      </c>
      <c r="L145" s="5">
        <v>70400.34</v>
      </c>
      <c r="M145" s="5">
        <v>0</v>
      </c>
      <c r="N145" s="4">
        <v>29</v>
      </c>
      <c r="O145" s="5">
        <f t="shared" si="3"/>
        <v>90695.42</v>
      </c>
      <c r="P145" s="5">
        <v>90695.42</v>
      </c>
      <c r="Q145" s="5">
        <v>0</v>
      </c>
    </row>
    <row r="146" spans="1:17" ht="25.5" x14ac:dyDescent="0.25">
      <c r="A146" s="294">
        <f t="shared" si="4"/>
        <v>4</v>
      </c>
      <c r="B146" s="3" t="s">
        <v>541</v>
      </c>
      <c r="C146" s="3" t="s">
        <v>62</v>
      </c>
      <c r="D146" s="3"/>
      <c r="E146" s="3" t="s">
        <v>177</v>
      </c>
      <c r="F146" s="3" t="s">
        <v>542</v>
      </c>
      <c r="G146" s="4" t="s">
        <v>85</v>
      </c>
      <c r="H146" s="4">
        <v>23</v>
      </c>
      <c r="I146" s="4">
        <v>18</v>
      </c>
      <c r="J146" s="4">
        <v>22</v>
      </c>
      <c r="K146" s="5">
        <f t="shared" si="2"/>
        <v>16190.58</v>
      </c>
      <c r="L146" s="5">
        <v>16190.58</v>
      </c>
      <c r="M146" s="5">
        <v>0</v>
      </c>
      <c r="N146" s="4">
        <v>0</v>
      </c>
      <c r="O146" s="5">
        <f t="shared" si="3"/>
        <v>0</v>
      </c>
      <c r="P146" s="5">
        <v>0</v>
      </c>
      <c r="Q146" s="5">
        <v>0</v>
      </c>
    </row>
    <row r="147" spans="1:17" ht="25.5" x14ac:dyDescent="0.25">
      <c r="A147" s="294">
        <f t="shared" si="4"/>
        <v>5</v>
      </c>
      <c r="B147" s="3" t="s">
        <v>628</v>
      </c>
      <c r="C147" s="3" t="s">
        <v>62</v>
      </c>
      <c r="D147" s="3"/>
      <c r="E147" s="3" t="s">
        <v>174</v>
      </c>
      <c r="F147" s="3" t="s">
        <v>653</v>
      </c>
      <c r="G147" s="4" t="s">
        <v>85</v>
      </c>
      <c r="H147" s="4">
        <v>3</v>
      </c>
      <c r="I147" s="4">
        <v>0</v>
      </c>
      <c r="J147" s="4">
        <v>0</v>
      </c>
      <c r="K147" s="5">
        <f t="shared" si="2"/>
        <v>0</v>
      </c>
      <c r="L147" s="5">
        <v>0</v>
      </c>
      <c r="M147" s="5">
        <v>0</v>
      </c>
      <c r="N147" s="4">
        <v>0</v>
      </c>
      <c r="O147" s="5">
        <f t="shared" si="3"/>
        <v>0</v>
      </c>
      <c r="P147" s="5">
        <v>0</v>
      </c>
      <c r="Q147" s="5">
        <v>0</v>
      </c>
    </row>
    <row r="148" spans="1:17" ht="25.5" x14ac:dyDescent="0.25">
      <c r="A148" s="294">
        <f t="shared" si="4"/>
        <v>6</v>
      </c>
      <c r="B148" s="3" t="s">
        <v>18</v>
      </c>
      <c r="C148" s="3" t="s">
        <v>62</v>
      </c>
      <c r="D148" s="3" t="s">
        <v>63</v>
      </c>
      <c r="E148" s="3" t="s">
        <v>70</v>
      </c>
      <c r="F148" s="3" t="s">
        <v>565</v>
      </c>
      <c r="G148" s="4" t="s">
        <v>85</v>
      </c>
      <c r="H148" s="4">
        <v>5</v>
      </c>
      <c r="I148" s="4">
        <v>1</v>
      </c>
      <c r="J148" s="4">
        <v>1</v>
      </c>
      <c r="K148" s="5">
        <f t="shared" si="2"/>
        <v>3936.79</v>
      </c>
      <c r="L148" s="5">
        <v>3936.79</v>
      </c>
      <c r="M148" s="5">
        <v>0</v>
      </c>
      <c r="N148" s="4">
        <v>2</v>
      </c>
      <c r="O148" s="5">
        <f t="shared" si="3"/>
        <v>3205.88</v>
      </c>
      <c r="P148" s="5">
        <v>3205.88</v>
      </c>
      <c r="Q148" s="5">
        <v>0</v>
      </c>
    </row>
    <row r="149" spans="1:17" x14ac:dyDescent="0.25">
      <c r="A149" s="294">
        <f t="shared" si="4"/>
        <v>7</v>
      </c>
      <c r="B149" s="3" t="s">
        <v>19</v>
      </c>
      <c r="C149" s="3" t="s">
        <v>62</v>
      </c>
      <c r="D149" s="3" t="s">
        <v>63</v>
      </c>
      <c r="E149" s="3" t="s">
        <v>71</v>
      </c>
      <c r="F149" s="3" t="s">
        <v>162</v>
      </c>
      <c r="G149" s="4" t="s">
        <v>85</v>
      </c>
      <c r="H149" s="4">
        <v>100</v>
      </c>
      <c r="I149" s="4">
        <v>86</v>
      </c>
      <c r="J149" s="4">
        <v>114</v>
      </c>
      <c r="K149" s="5">
        <f t="shared" si="2"/>
        <v>98370.9</v>
      </c>
      <c r="L149" s="5">
        <v>98370.9</v>
      </c>
      <c r="M149" s="5">
        <v>0</v>
      </c>
      <c r="N149" s="4">
        <v>26</v>
      </c>
      <c r="O149" s="5">
        <f t="shared" si="3"/>
        <v>81565.89</v>
      </c>
      <c r="P149" s="5">
        <v>81565.89</v>
      </c>
      <c r="Q149" s="5">
        <v>0</v>
      </c>
    </row>
    <row r="150" spans="1:17" ht="25.5" x14ac:dyDescent="0.25">
      <c r="A150" s="294">
        <f t="shared" si="4"/>
        <v>8</v>
      </c>
      <c r="B150" s="3" t="s">
        <v>20</v>
      </c>
      <c r="C150" s="3" t="s">
        <v>62</v>
      </c>
      <c r="D150" s="3" t="s">
        <v>63</v>
      </c>
      <c r="E150" s="3" t="s">
        <v>72</v>
      </c>
      <c r="F150" s="3" t="s">
        <v>163</v>
      </c>
      <c r="G150" s="4" t="s">
        <v>85</v>
      </c>
      <c r="H150" s="4">
        <v>0</v>
      </c>
      <c r="I150" s="4">
        <v>0</v>
      </c>
      <c r="J150" s="4">
        <v>0</v>
      </c>
      <c r="K150" s="5">
        <f t="shared" si="2"/>
        <v>0</v>
      </c>
      <c r="L150" s="5">
        <v>0</v>
      </c>
      <c r="M150" s="5">
        <v>0</v>
      </c>
      <c r="N150" s="4">
        <v>0</v>
      </c>
      <c r="O150" s="5">
        <f t="shared" si="3"/>
        <v>6138.73</v>
      </c>
      <c r="P150" s="5">
        <v>6138.73</v>
      </c>
      <c r="Q150" s="5">
        <v>0</v>
      </c>
    </row>
    <row r="151" spans="1:17" ht="25.5" x14ac:dyDescent="0.25">
      <c r="A151" s="294">
        <f t="shared" si="4"/>
        <v>9</v>
      </c>
      <c r="B151" s="3" t="s">
        <v>100</v>
      </c>
      <c r="C151" s="3" t="s">
        <v>62</v>
      </c>
      <c r="D151" s="3" t="s">
        <v>63</v>
      </c>
      <c r="E151" s="3" t="s">
        <v>101</v>
      </c>
      <c r="F151" s="3" t="s">
        <v>164</v>
      </c>
      <c r="G151" s="4" t="s">
        <v>85</v>
      </c>
      <c r="H151" s="4">
        <v>16</v>
      </c>
      <c r="I151" s="4">
        <v>15</v>
      </c>
      <c r="J151" s="4">
        <v>20</v>
      </c>
      <c r="K151" s="5">
        <f t="shared" si="2"/>
        <v>27148.210000000003</v>
      </c>
      <c r="L151" s="5">
        <f>27154.72-6.51</f>
        <v>27148.210000000003</v>
      </c>
      <c r="M151" s="5">
        <v>0</v>
      </c>
      <c r="N151" s="4">
        <v>13</v>
      </c>
      <c r="O151" s="5">
        <f t="shared" si="3"/>
        <v>40299.47</v>
      </c>
      <c r="P151" s="5">
        <v>40299.47</v>
      </c>
      <c r="Q151" s="5">
        <v>0</v>
      </c>
    </row>
    <row r="152" spans="1:17" x14ac:dyDescent="0.25">
      <c r="A152" s="294">
        <f t="shared" si="4"/>
        <v>10</v>
      </c>
      <c r="B152" s="3" t="s">
        <v>86</v>
      </c>
      <c r="C152" s="3" t="s">
        <v>62</v>
      </c>
      <c r="D152" s="3" t="s">
        <v>63</v>
      </c>
      <c r="E152" s="3" t="s">
        <v>74</v>
      </c>
      <c r="F152" s="3" t="s">
        <v>165</v>
      </c>
      <c r="G152" s="4" t="s">
        <v>85</v>
      </c>
      <c r="H152" s="4">
        <v>48</v>
      </c>
      <c r="I152" s="4">
        <v>31</v>
      </c>
      <c r="J152" s="4">
        <v>33</v>
      </c>
      <c r="K152" s="5">
        <f t="shared" si="2"/>
        <v>27505.82</v>
      </c>
      <c r="L152" s="5">
        <f>26897.93+607.89</f>
        <v>27505.82</v>
      </c>
      <c r="M152" s="5">
        <v>0</v>
      </c>
      <c r="N152" s="4">
        <v>20</v>
      </c>
      <c r="O152" s="5">
        <f t="shared" si="3"/>
        <v>58106.78</v>
      </c>
      <c r="P152" s="5">
        <v>58106.78</v>
      </c>
      <c r="Q152" s="5">
        <v>0</v>
      </c>
    </row>
    <row r="153" spans="1:17" x14ac:dyDescent="0.25">
      <c r="A153" s="294">
        <f t="shared" si="4"/>
        <v>11</v>
      </c>
      <c r="B153" s="3" t="s">
        <v>166</v>
      </c>
      <c r="C153" s="3" t="s">
        <v>62</v>
      </c>
      <c r="D153" s="3"/>
      <c r="E153" s="3" t="s">
        <v>63</v>
      </c>
      <c r="F153" s="3" t="s">
        <v>167</v>
      </c>
      <c r="G153" s="4" t="s">
        <v>85</v>
      </c>
      <c r="H153" s="4">
        <v>19</v>
      </c>
      <c r="I153" s="4">
        <v>11</v>
      </c>
      <c r="J153" s="4">
        <v>11</v>
      </c>
      <c r="K153" s="5">
        <f t="shared" si="2"/>
        <v>12377.17</v>
      </c>
      <c r="L153" s="5">
        <v>12377.17</v>
      </c>
      <c r="M153" s="5">
        <v>0</v>
      </c>
      <c r="N153" s="4">
        <v>0</v>
      </c>
      <c r="O153" s="5">
        <f t="shared" si="3"/>
        <v>0</v>
      </c>
      <c r="P153" s="5">
        <v>0</v>
      </c>
      <c r="Q153" s="5">
        <v>0</v>
      </c>
    </row>
    <row r="154" spans="1:17" x14ac:dyDescent="0.25">
      <c r="A154" s="294">
        <f t="shared" si="4"/>
        <v>12</v>
      </c>
      <c r="B154" s="3" t="s">
        <v>168</v>
      </c>
      <c r="C154" s="3" t="s">
        <v>62</v>
      </c>
      <c r="D154" s="3"/>
      <c r="E154" s="3" t="s">
        <v>63</v>
      </c>
      <c r="F154" s="3" t="s">
        <v>169</v>
      </c>
      <c r="G154" s="4" t="s">
        <v>85</v>
      </c>
      <c r="H154" s="4">
        <v>39</v>
      </c>
      <c r="I154" s="4">
        <v>30</v>
      </c>
      <c r="J154" s="4">
        <v>35</v>
      </c>
      <c r="K154" s="5">
        <f t="shared" si="2"/>
        <v>34087.32</v>
      </c>
      <c r="L154" s="5">
        <v>34087.32</v>
      </c>
      <c r="M154" s="5">
        <v>0</v>
      </c>
      <c r="N154" s="4">
        <v>0</v>
      </c>
      <c r="O154" s="5">
        <f t="shared" si="3"/>
        <v>0</v>
      </c>
      <c r="P154" s="5">
        <v>0</v>
      </c>
      <c r="Q154" s="5">
        <v>0</v>
      </c>
    </row>
    <row r="155" spans="1:17" x14ac:dyDescent="0.25">
      <c r="A155" s="294">
        <f t="shared" si="4"/>
        <v>13</v>
      </c>
      <c r="B155" s="3" t="s">
        <v>21</v>
      </c>
      <c r="C155" s="3" t="s">
        <v>62</v>
      </c>
      <c r="D155" s="3" t="s">
        <v>63</v>
      </c>
      <c r="E155" s="3" t="s">
        <v>73</v>
      </c>
      <c r="F155" s="3" t="s">
        <v>170</v>
      </c>
      <c r="G155" s="4" t="s">
        <v>85</v>
      </c>
      <c r="H155" s="4">
        <v>52</v>
      </c>
      <c r="I155" s="4">
        <v>41</v>
      </c>
      <c r="J155" s="4">
        <v>50</v>
      </c>
      <c r="K155" s="5">
        <f t="shared" si="2"/>
        <v>58581.47</v>
      </c>
      <c r="L155" s="5">
        <v>58581.47</v>
      </c>
      <c r="M155" s="5">
        <v>0</v>
      </c>
      <c r="N155" s="4">
        <v>41</v>
      </c>
      <c r="O155" s="5">
        <f t="shared" si="3"/>
        <v>121861.54</v>
      </c>
      <c r="P155" s="5">
        <v>121861.54</v>
      </c>
      <c r="Q155" s="5">
        <v>0</v>
      </c>
    </row>
    <row r="156" spans="1:17" x14ac:dyDescent="0.25">
      <c r="A156" s="294">
        <f t="shared" si="4"/>
        <v>14</v>
      </c>
      <c r="B156" s="3" t="s">
        <v>22</v>
      </c>
      <c r="C156" s="3" t="s">
        <v>62</v>
      </c>
      <c r="D156" s="3" t="s">
        <v>63</v>
      </c>
      <c r="E156" s="3" t="s">
        <v>74</v>
      </c>
      <c r="F156" s="3" t="s">
        <v>171</v>
      </c>
      <c r="G156" s="4" t="s">
        <v>85</v>
      </c>
      <c r="H156" s="4">
        <v>39</v>
      </c>
      <c r="I156" s="4">
        <v>28</v>
      </c>
      <c r="J156" s="4">
        <v>36</v>
      </c>
      <c r="K156" s="5">
        <f t="shared" si="2"/>
        <v>51085.36</v>
      </c>
      <c r="L156" s="5">
        <v>51085.36</v>
      </c>
      <c r="M156" s="5">
        <v>0</v>
      </c>
      <c r="N156" s="4">
        <v>42</v>
      </c>
      <c r="O156" s="5">
        <f t="shared" si="3"/>
        <v>101080.14</v>
      </c>
      <c r="P156" s="5">
        <v>101080.14</v>
      </c>
      <c r="Q156" s="5">
        <v>0</v>
      </c>
    </row>
    <row r="157" spans="1:17" ht="25.5" x14ac:dyDescent="0.25">
      <c r="A157" s="294">
        <f t="shared" si="4"/>
        <v>15</v>
      </c>
      <c r="B157" s="3" t="s">
        <v>23</v>
      </c>
      <c r="C157" s="3" t="s">
        <v>62</v>
      </c>
      <c r="D157" s="3" t="s">
        <v>63</v>
      </c>
      <c r="E157" s="3" t="s">
        <v>75</v>
      </c>
      <c r="F157" s="3" t="s">
        <v>136</v>
      </c>
      <c r="G157" s="4" t="s">
        <v>85</v>
      </c>
      <c r="H157" s="4">
        <v>2</v>
      </c>
      <c r="I157" s="4">
        <v>0</v>
      </c>
      <c r="J157" s="4">
        <v>0</v>
      </c>
      <c r="K157" s="5">
        <f t="shared" si="2"/>
        <v>0</v>
      </c>
      <c r="L157" s="5">
        <v>0</v>
      </c>
      <c r="M157" s="5">
        <v>0</v>
      </c>
      <c r="N157" s="4">
        <v>0</v>
      </c>
      <c r="O157" s="5">
        <f t="shared" si="3"/>
        <v>0</v>
      </c>
      <c r="P157" s="5">
        <v>0</v>
      </c>
      <c r="Q157" s="5">
        <v>0</v>
      </c>
    </row>
    <row r="158" spans="1:17" x14ac:dyDescent="0.25">
      <c r="A158" s="294">
        <f t="shared" si="4"/>
        <v>16</v>
      </c>
      <c r="B158" s="3" t="s">
        <v>24</v>
      </c>
      <c r="C158" s="3" t="s">
        <v>62</v>
      </c>
      <c r="D158" s="3" t="s">
        <v>63</v>
      </c>
      <c r="E158" s="3" t="s">
        <v>74</v>
      </c>
      <c r="F158" s="3" t="s">
        <v>172</v>
      </c>
      <c r="G158" s="4" t="s">
        <v>85</v>
      </c>
      <c r="H158" s="4">
        <v>49</v>
      </c>
      <c r="I158" s="4">
        <v>38</v>
      </c>
      <c r="J158" s="4">
        <v>49</v>
      </c>
      <c r="K158" s="5">
        <f t="shared" si="2"/>
        <v>43142.82</v>
      </c>
      <c r="L158" s="5">
        <v>43142.82</v>
      </c>
      <c r="M158" s="5">
        <v>0</v>
      </c>
      <c r="N158" s="4">
        <v>27</v>
      </c>
      <c r="O158" s="5">
        <f t="shared" si="3"/>
        <v>91426.1</v>
      </c>
      <c r="P158" s="5">
        <v>91426.1</v>
      </c>
      <c r="Q158" s="5">
        <v>0</v>
      </c>
    </row>
    <row r="159" spans="1:17" ht="25.5" x14ac:dyDescent="0.25">
      <c r="A159" s="294">
        <f t="shared" si="4"/>
        <v>17</v>
      </c>
      <c r="B159" s="3" t="s">
        <v>102</v>
      </c>
      <c r="C159" s="3" t="s">
        <v>67</v>
      </c>
      <c r="D159" s="3" t="s">
        <v>594</v>
      </c>
      <c r="E159" s="3" t="s">
        <v>74</v>
      </c>
      <c r="F159" s="3" t="s">
        <v>477</v>
      </c>
      <c r="G159" s="4" t="s">
        <v>85</v>
      </c>
      <c r="H159" s="4">
        <v>3</v>
      </c>
      <c r="I159" s="4">
        <v>1</v>
      </c>
      <c r="J159" s="4">
        <v>1</v>
      </c>
      <c r="K159" s="5">
        <f t="shared" si="2"/>
        <v>528.6</v>
      </c>
      <c r="L159" s="5">
        <v>528.6</v>
      </c>
      <c r="M159" s="5">
        <v>0</v>
      </c>
      <c r="N159" s="4">
        <v>4</v>
      </c>
      <c r="O159" s="5">
        <f t="shared" si="3"/>
        <v>9770.18</v>
      </c>
      <c r="P159" s="5">
        <v>9770.18</v>
      </c>
      <c r="Q159" s="5">
        <v>0</v>
      </c>
    </row>
    <row r="160" spans="1:17" ht="25.5" x14ac:dyDescent="0.25">
      <c r="A160" s="294">
        <f t="shared" si="4"/>
        <v>18</v>
      </c>
      <c r="B160" s="3" t="s">
        <v>173</v>
      </c>
      <c r="C160" s="3" t="s">
        <v>67</v>
      </c>
      <c r="D160" s="3" t="s">
        <v>478</v>
      </c>
      <c r="E160" s="3" t="s">
        <v>174</v>
      </c>
      <c r="F160" s="3" t="s">
        <v>175</v>
      </c>
      <c r="G160" s="4" t="s">
        <v>85</v>
      </c>
      <c r="H160" s="4">
        <v>31</v>
      </c>
      <c r="I160" s="4">
        <v>19</v>
      </c>
      <c r="J160" s="4">
        <v>21</v>
      </c>
      <c r="K160" s="5">
        <f t="shared" si="2"/>
        <v>13307.42</v>
      </c>
      <c r="L160" s="5">
        <v>13307.42</v>
      </c>
      <c r="M160" s="5">
        <v>0</v>
      </c>
      <c r="N160" s="4">
        <v>0</v>
      </c>
      <c r="O160" s="5">
        <f t="shared" si="3"/>
        <v>0</v>
      </c>
      <c r="P160" s="5">
        <v>0</v>
      </c>
      <c r="Q160" s="5">
        <v>0</v>
      </c>
    </row>
    <row r="161" spans="1:17" ht="25.5" x14ac:dyDescent="0.25">
      <c r="A161" s="294">
        <f t="shared" si="4"/>
        <v>19</v>
      </c>
      <c r="B161" s="3" t="s">
        <v>595</v>
      </c>
      <c r="C161" s="3" t="s">
        <v>64</v>
      </c>
      <c r="D161" s="3" t="s">
        <v>596</v>
      </c>
      <c r="E161" s="3" t="s">
        <v>597</v>
      </c>
      <c r="F161" s="3" t="s">
        <v>598</v>
      </c>
      <c r="G161" s="4" t="s">
        <v>85</v>
      </c>
      <c r="H161" s="4">
        <v>1</v>
      </c>
      <c r="I161" s="4">
        <v>1</v>
      </c>
      <c r="J161" s="4">
        <v>1</v>
      </c>
      <c r="K161" s="5">
        <f t="shared" si="2"/>
        <v>3600.4</v>
      </c>
      <c r="L161" s="5">
        <v>3600.4</v>
      </c>
      <c r="M161" s="5">
        <v>0</v>
      </c>
      <c r="N161" s="4">
        <v>0</v>
      </c>
      <c r="O161" s="5">
        <f t="shared" si="3"/>
        <v>0</v>
      </c>
      <c r="P161" s="5">
        <v>0</v>
      </c>
      <c r="Q161" s="5">
        <v>0</v>
      </c>
    </row>
    <row r="162" spans="1:17" ht="25.5" x14ac:dyDescent="0.25">
      <c r="A162" s="294">
        <f t="shared" si="4"/>
        <v>20</v>
      </c>
      <c r="B162" s="3" t="s">
        <v>25</v>
      </c>
      <c r="C162" s="3" t="s">
        <v>62</v>
      </c>
      <c r="D162" s="3" t="s">
        <v>63</v>
      </c>
      <c r="E162" s="3" t="s">
        <v>76</v>
      </c>
      <c r="F162" s="3" t="s">
        <v>543</v>
      </c>
      <c r="G162" s="4" t="s">
        <v>85</v>
      </c>
      <c r="H162" s="4">
        <v>49</v>
      </c>
      <c r="I162" s="4">
        <v>0</v>
      </c>
      <c r="J162" s="4">
        <v>0</v>
      </c>
      <c r="K162" s="5">
        <f t="shared" si="2"/>
        <v>0</v>
      </c>
      <c r="L162" s="5">
        <v>0</v>
      </c>
      <c r="M162" s="5">
        <v>0</v>
      </c>
      <c r="N162" s="4">
        <v>0</v>
      </c>
      <c r="O162" s="5">
        <f t="shared" si="3"/>
        <v>0</v>
      </c>
      <c r="P162" s="5">
        <v>0</v>
      </c>
      <c r="Q162" s="5">
        <v>0</v>
      </c>
    </row>
    <row r="163" spans="1:17" ht="25.5" x14ac:dyDescent="0.25">
      <c r="A163" s="294">
        <f t="shared" si="4"/>
        <v>21</v>
      </c>
      <c r="B163" s="3" t="s">
        <v>600</v>
      </c>
      <c r="C163" s="3" t="s">
        <v>62</v>
      </c>
      <c r="D163" s="3" t="s">
        <v>63</v>
      </c>
      <c r="E163" s="3" t="s">
        <v>75</v>
      </c>
      <c r="F163" s="3" t="s">
        <v>103</v>
      </c>
      <c r="G163" s="4" t="s">
        <v>85</v>
      </c>
      <c r="H163" s="4">
        <v>0</v>
      </c>
      <c r="I163" s="4">
        <v>0</v>
      </c>
      <c r="J163" s="4">
        <v>0</v>
      </c>
      <c r="K163" s="5">
        <f t="shared" si="2"/>
        <v>0</v>
      </c>
      <c r="L163" s="5">
        <v>0</v>
      </c>
      <c r="M163" s="5">
        <v>0</v>
      </c>
      <c r="N163" s="4">
        <v>15</v>
      </c>
      <c r="O163" s="5">
        <f t="shared" si="3"/>
        <v>62481.86</v>
      </c>
      <c r="P163" s="5">
        <v>62481.86</v>
      </c>
      <c r="Q163" s="5">
        <v>0</v>
      </c>
    </row>
    <row r="164" spans="1:17" ht="25.5" x14ac:dyDescent="0.25">
      <c r="A164" s="294">
        <f t="shared" si="4"/>
        <v>22</v>
      </c>
      <c r="B164" s="3" t="s">
        <v>479</v>
      </c>
      <c r="C164" s="3" t="s">
        <v>67</v>
      </c>
      <c r="D164" s="3" t="s">
        <v>480</v>
      </c>
      <c r="E164" s="3" t="s">
        <v>271</v>
      </c>
      <c r="F164" s="3" t="s">
        <v>481</v>
      </c>
      <c r="G164" s="4" t="s">
        <v>85</v>
      </c>
      <c r="H164" s="4">
        <v>13</v>
      </c>
      <c r="I164" s="4">
        <v>7</v>
      </c>
      <c r="J164" s="4">
        <v>7</v>
      </c>
      <c r="K164" s="5">
        <f t="shared" si="2"/>
        <v>1902.96</v>
      </c>
      <c r="L164" s="5">
        <v>1902.96</v>
      </c>
      <c r="M164" s="5">
        <v>0</v>
      </c>
      <c r="N164" s="4">
        <v>0</v>
      </c>
      <c r="O164" s="5">
        <f t="shared" si="3"/>
        <v>0</v>
      </c>
      <c r="P164" s="5">
        <v>0</v>
      </c>
      <c r="Q164" s="5">
        <v>0</v>
      </c>
    </row>
    <row r="165" spans="1:17" ht="25.5" x14ac:dyDescent="0.25">
      <c r="A165" s="294">
        <f t="shared" si="4"/>
        <v>23</v>
      </c>
      <c r="B165" s="3" t="s">
        <v>176</v>
      </c>
      <c r="C165" s="3" t="s">
        <v>62</v>
      </c>
      <c r="D165" s="3"/>
      <c r="E165" s="3" t="s">
        <v>177</v>
      </c>
      <c r="F165" s="3" t="s">
        <v>178</v>
      </c>
      <c r="G165" s="4" t="s">
        <v>85</v>
      </c>
      <c r="H165" s="4">
        <v>20</v>
      </c>
      <c r="I165" s="4">
        <v>13</v>
      </c>
      <c r="J165" s="4">
        <v>14</v>
      </c>
      <c r="K165" s="5">
        <f t="shared" si="2"/>
        <v>7259.44</v>
      </c>
      <c r="L165" s="5">
        <v>7259.44</v>
      </c>
      <c r="M165" s="5">
        <v>0</v>
      </c>
      <c r="N165" s="4">
        <v>0</v>
      </c>
      <c r="O165" s="5">
        <f t="shared" si="3"/>
        <v>0</v>
      </c>
      <c r="P165" s="5">
        <v>0</v>
      </c>
      <c r="Q165" s="5">
        <v>0</v>
      </c>
    </row>
    <row r="166" spans="1:17" x14ac:dyDescent="0.25">
      <c r="A166" s="294">
        <f t="shared" si="4"/>
        <v>24</v>
      </c>
      <c r="B166" s="3" t="s">
        <v>152</v>
      </c>
      <c r="C166" s="3" t="s">
        <v>62</v>
      </c>
      <c r="D166" s="3" t="s">
        <v>63</v>
      </c>
      <c r="E166" s="3" t="s">
        <v>63</v>
      </c>
      <c r="F166" s="3" t="s">
        <v>179</v>
      </c>
      <c r="G166" s="4" t="s">
        <v>85</v>
      </c>
      <c r="H166" s="4">
        <v>30</v>
      </c>
      <c r="I166" s="4">
        <v>13</v>
      </c>
      <c r="J166" s="4">
        <v>15</v>
      </c>
      <c r="K166" s="5">
        <f t="shared" si="2"/>
        <v>38119.06</v>
      </c>
      <c r="L166" s="5">
        <v>38119.06</v>
      </c>
      <c r="M166" s="5">
        <v>0</v>
      </c>
      <c r="N166" s="4">
        <v>16</v>
      </c>
      <c r="O166" s="5">
        <f t="shared" si="3"/>
        <v>10875.99</v>
      </c>
      <c r="P166" s="5">
        <v>10875.99</v>
      </c>
      <c r="Q166" s="5">
        <v>0</v>
      </c>
    </row>
    <row r="167" spans="1:17" x14ac:dyDescent="0.25">
      <c r="A167" s="294">
        <f t="shared" si="4"/>
        <v>25</v>
      </c>
      <c r="B167" s="3" t="s">
        <v>88</v>
      </c>
      <c r="C167" s="3" t="s">
        <v>62</v>
      </c>
      <c r="D167" s="3" t="s">
        <v>63</v>
      </c>
      <c r="E167" s="3" t="s">
        <v>74</v>
      </c>
      <c r="F167" s="3" t="s">
        <v>180</v>
      </c>
      <c r="G167" s="4" t="s">
        <v>85</v>
      </c>
      <c r="H167" s="4">
        <v>9</v>
      </c>
      <c r="I167" s="4">
        <v>2</v>
      </c>
      <c r="J167" s="4">
        <v>2</v>
      </c>
      <c r="K167" s="5">
        <f t="shared" si="2"/>
        <v>2706.43</v>
      </c>
      <c r="L167" s="5">
        <v>2706.43</v>
      </c>
      <c r="M167" s="5">
        <v>0</v>
      </c>
      <c r="N167" s="4">
        <v>2</v>
      </c>
      <c r="O167" s="5">
        <f t="shared" si="3"/>
        <v>22884.99</v>
      </c>
      <c r="P167" s="5">
        <v>22884.99</v>
      </c>
      <c r="Q167" s="5">
        <v>0</v>
      </c>
    </row>
    <row r="168" spans="1:17" x14ac:dyDescent="0.25">
      <c r="A168" s="294">
        <f t="shared" si="4"/>
        <v>26</v>
      </c>
      <c r="B168" s="3" t="s">
        <v>26</v>
      </c>
      <c r="C168" s="3" t="s">
        <v>62</v>
      </c>
      <c r="D168" s="3" t="s">
        <v>63</v>
      </c>
      <c r="E168" s="3" t="s">
        <v>74</v>
      </c>
      <c r="F168" s="3" t="s">
        <v>181</v>
      </c>
      <c r="G168" s="4" t="s">
        <v>85</v>
      </c>
      <c r="H168" s="4">
        <v>28</v>
      </c>
      <c r="I168" s="4">
        <v>24</v>
      </c>
      <c r="J168" s="4">
        <v>34</v>
      </c>
      <c r="K168" s="5">
        <f t="shared" si="2"/>
        <v>54084.65</v>
      </c>
      <c r="L168" s="5">
        <v>54084.65</v>
      </c>
      <c r="M168" s="5">
        <v>0</v>
      </c>
      <c r="N168" s="4">
        <v>14</v>
      </c>
      <c r="O168" s="5">
        <f t="shared" si="3"/>
        <v>23585.53</v>
      </c>
      <c r="P168" s="5">
        <v>23585.53</v>
      </c>
      <c r="Q168" s="5">
        <v>0</v>
      </c>
    </row>
    <row r="169" spans="1:17" ht="25.5" x14ac:dyDescent="0.25">
      <c r="A169" s="294">
        <f t="shared" si="4"/>
        <v>27</v>
      </c>
      <c r="B169" s="3" t="s">
        <v>182</v>
      </c>
      <c r="C169" s="3" t="s">
        <v>62</v>
      </c>
      <c r="D169" s="3"/>
      <c r="E169" s="3" t="s">
        <v>174</v>
      </c>
      <c r="F169" s="3" t="s">
        <v>183</v>
      </c>
      <c r="G169" s="4" t="s">
        <v>85</v>
      </c>
      <c r="H169" s="4">
        <v>41</v>
      </c>
      <c r="I169" s="4">
        <v>23</v>
      </c>
      <c r="J169" s="4">
        <v>28</v>
      </c>
      <c r="K169" s="5">
        <f t="shared" si="2"/>
        <v>23283.040000000001</v>
      </c>
      <c r="L169" s="5">
        <v>23283.040000000001</v>
      </c>
      <c r="M169" s="5">
        <v>0</v>
      </c>
      <c r="N169" s="4">
        <v>0</v>
      </c>
      <c r="O169" s="5">
        <f t="shared" si="3"/>
        <v>0</v>
      </c>
      <c r="P169" s="5">
        <v>0</v>
      </c>
      <c r="Q169" s="5">
        <v>0</v>
      </c>
    </row>
    <row r="170" spans="1:17" x14ac:dyDescent="0.25">
      <c r="A170" s="294">
        <f t="shared" si="4"/>
        <v>28</v>
      </c>
      <c r="B170" s="3" t="s">
        <v>601</v>
      </c>
      <c r="C170" s="3" t="s">
        <v>62</v>
      </c>
      <c r="D170" s="3" t="s">
        <v>63</v>
      </c>
      <c r="E170" s="3" t="s">
        <v>366</v>
      </c>
      <c r="F170" s="3" t="s">
        <v>63</v>
      </c>
      <c r="G170" s="4" t="s">
        <v>85</v>
      </c>
      <c r="H170" s="4">
        <v>4</v>
      </c>
      <c r="I170" s="4">
        <v>0</v>
      </c>
      <c r="J170" s="4">
        <v>0</v>
      </c>
      <c r="K170" s="5">
        <f t="shared" si="2"/>
        <v>0</v>
      </c>
      <c r="L170" s="5">
        <v>0</v>
      </c>
      <c r="M170" s="5">
        <v>0</v>
      </c>
      <c r="N170" s="4">
        <v>0</v>
      </c>
      <c r="O170" s="5">
        <f t="shared" si="3"/>
        <v>0</v>
      </c>
      <c r="P170" s="5">
        <v>0</v>
      </c>
      <c r="Q170" s="5">
        <v>0</v>
      </c>
    </row>
    <row r="171" spans="1:17" ht="25.5" x14ac:dyDescent="0.25">
      <c r="A171" s="294">
        <f t="shared" si="4"/>
        <v>29</v>
      </c>
      <c r="B171" s="3" t="s">
        <v>137</v>
      </c>
      <c r="C171" s="3" t="s">
        <v>62</v>
      </c>
      <c r="D171" s="3" t="s">
        <v>63</v>
      </c>
      <c r="E171" s="3" t="s">
        <v>78</v>
      </c>
      <c r="F171" s="3" t="s">
        <v>184</v>
      </c>
      <c r="G171" s="4" t="s">
        <v>85</v>
      </c>
      <c r="H171" s="4">
        <v>9</v>
      </c>
      <c r="I171" s="4">
        <v>4</v>
      </c>
      <c r="J171" s="4">
        <v>4</v>
      </c>
      <c r="K171" s="5">
        <f t="shared" si="2"/>
        <v>8691.83</v>
      </c>
      <c r="L171" s="5">
        <v>8691.83</v>
      </c>
      <c r="M171" s="5">
        <v>0</v>
      </c>
      <c r="N171" s="4">
        <v>5</v>
      </c>
      <c r="O171" s="5">
        <f t="shared" si="3"/>
        <v>9148.83</v>
      </c>
      <c r="P171" s="5">
        <v>9148.83</v>
      </c>
      <c r="Q171" s="5">
        <v>0</v>
      </c>
    </row>
    <row r="172" spans="1:17" ht="25.5" x14ac:dyDescent="0.25">
      <c r="A172" s="294">
        <f t="shared" si="4"/>
        <v>30</v>
      </c>
      <c r="B172" s="3" t="s">
        <v>185</v>
      </c>
      <c r="C172" s="3" t="s">
        <v>62</v>
      </c>
      <c r="D172" s="3"/>
      <c r="E172" s="3" t="s">
        <v>186</v>
      </c>
      <c r="F172" s="3" t="s">
        <v>463</v>
      </c>
      <c r="G172" s="4" t="s">
        <v>85</v>
      </c>
      <c r="H172" s="4">
        <v>11</v>
      </c>
      <c r="I172" s="4">
        <v>7</v>
      </c>
      <c r="J172" s="4">
        <v>8</v>
      </c>
      <c r="K172" s="5">
        <f t="shared" si="2"/>
        <v>1409.6</v>
      </c>
      <c r="L172" s="5">
        <v>1409.6</v>
      </c>
      <c r="M172" s="5">
        <v>0</v>
      </c>
      <c r="N172" s="4">
        <v>0</v>
      </c>
      <c r="O172" s="5">
        <f t="shared" si="3"/>
        <v>0</v>
      </c>
      <c r="P172" s="5">
        <v>0</v>
      </c>
      <c r="Q172" s="5">
        <v>0</v>
      </c>
    </row>
    <row r="173" spans="1:17" x14ac:dyDescent="0.25">
      <c r="A173" s="294">
        <f t="shared" si="4"/>
        <v>31</v>
      </c>
      <c r="B173" s="3" t="s">
        <v>27</v>
      </c>
      <c r="C173" s="3" t="s">
        <v>62</v>
      </c>
      <c r="D173" s="3" t="s">
        <v>63</v>
      </c>
      <c r="E173" s="3" t="s">
        <v>74</v>
      </c>
      <c r="F173" s="3" t="s">
        <v>187</v>
      </c>
      <c r="G173" s="4" t="s">
        <v>85</v>
      </c>
      <c r="H173" s="4">
        <v>17</v>
      </c>
      <c r="I173" s="4">
        <v>10</v>
      </c>
      <c r="J173" s="4">
        <v>11</v>
      </c>
      <c r="K173" s="5">
        <f t="shared" si="2"/>
        <v>10791.82</v>
      </c>
      <c r="L173" s="5">
        <v>10791.82</v>
      </c>
      <c r="M173" s="5">
        <v>0</v>
      </c>
      <c r="N173" s="4">
        <v>7</v>
      </c>
      <c r="O173" s="5">
        <f t="shared" si="3"/>
        <v>32217.82</v>
      </c>
      <c r="P173" s="5">
        <v>32217.82</v>
      </c>
      <c r="Q173" s="5">
        <v>0</v>
      </c>
    </row>
    <row r="174" spans="1:17" ht="25.5" x14ac:dyDescent="0.25">
      <c r="A174" s="294">
        <f t="shared" si="4"/>
        <v>32</v>
      </c>
      <c r="B174" s="3" t="s">
        <v>654</v>
      </c>
      <c r="C174" s="3" t="s">
        <v>62</v>
      </c>
      <c r="D174" s="3" t="s">
        <v>63</v>
      </c>
      <c r="E174" s="3" t="s">
        <v>655</v>
      </c>
      <c r="F174" s="3" t="s">
        <v>656</v>
      </c>
      <c r="G174" s="4" t="s">
        <v>85</v>
      </c>
      <c r="H174" s="4">
        <v>2</v>
      </c>
      <c r="I174" s="4">
        <v>0</v>
      </c>
      <c r="J174" s="4">
        <v>0</v>
      </c>
      <c r="K174" s="5">
        <f t="shared" si="2"/>
        <v>0</v>
      </c>
      <c r="L174" s="5">
        <v>0</v>
      </c>
      <c r="M174" s="5">
        <v>0</v>
      </c>
      <c r="N174" s="4">
        <v>0</v>
      </c>
      <c r="O174" s="5">
        <f t="shared" si="3"/>
        <v>0</v>
      </c>
      <c r="P174" s="5">
        <v>0</v>
      </c>
      <c r="Q174" s="5">
        <v>0</v>
      </c>
    </row>
    <row r="175" spans="1:17" ht="25.5" x14ac:dyDescent="0.25">
      <c r="A175" s="294">
        <f t="shared" si="4"/>
        <v>33</v>
      </c>
      <c r="B175" s="3" t="s">
        <v>482</v>
      </c>
      <c r="C175" s="3" t="s">
        <v>64</v>
      </c>
      <c r="D175" s="3" t="s">
        <v>483</v>
      </c>
      <c r="E175" s="3" t="s">
        <v>313</v>
      </c>
      <c r="F175" s="3" t="s">
        <v>484</v>
      </c>
      <c r="G175" s="4" t="s">
        <v>85</v>
      </c>
      <c r="H175" s="4">
        <v>11</v>
      </c>
      <c r="I175" s="4">
        <v>0</v>
      </c>
      <c r="J175" s="4">
        <v>0</v>
      </c>
      <c r="K175" s="5">
        <f t="shared" si="2"/>
        <v>0</v>
      </c>
      <c r="L175" s="5">
        <v>0</v>
      </c>
      <c r="M175" s="5">
        <v>0</v>
      </c>
      <c r="N175" s="4">
        <v>0</v>
      </c>
      <c r="O175" s="5">
        <f t="shared" si="3"/>
        <v>0</v>
      </c>
      <c r="P175" s="5">
        <v>0</v>
      </c>
      <c r="Q175" s="5">
        <v>0</v>
      </c>
    </row>
    <row r="176" spans="1:17" ht="25.5" x14ac:dyDescent="0.25">
      <c r="A176" s="294">
        <f t="shared" si="4"/>
        <v>34</v>
      </c>
      <c r="B176" s="3" t="s">
        <v>104</v>
      </c>
      <c r="C176" s="3" t="s">
        <v>62</v>
      </c>
      <c r="D176" s="3" t="s">
        <v>63</v>
      </c>
      <c r="E176" s="3" t="s">
        <v>105</v>
      </c>
      <c r="F176" s="3" t="s">
        <v>188</v>
      </c>
      <c r="G176" s="4" t="s">
        <v>85</v>
      </c>
      <c r="H176" s="4">
        <v>9</v>
      </c>
      <c r="I176" s="4">
        <v>7</v>
      </c>
      <c r="J176" s="4">
        <v>9</v>
      </c>
      <c r="K176" s="5">
        <f t="shared" si="2"/>
        <v>23507.489999999998</v>
      </c>
      <c r="L176" s="5">
        <f>19587.17+3920.32</f>
        <v>23507.489999999998</v>
      </c>
      <c r="M176" s="5">
        <v>0</v>
      </c>
      <c r="N176" s="4">
        <v>24</v>
      </c>
      <c r="O176" s="5">
        <f t="shared" si="3"/>
        <v>51255.29</v>
      </c>
      <c r="P176" s="5">
        <f>49255.29+2000</f>
        <v>51255.29</v>
      </c>
      <c r="Q176" s="5">
        <v>0</v>
      </c>
    </row>
    <row r="177" spans="1:17" ht="25.5" x14ac:dyDescent="0.25">
      <c r="A177" s="294">
        <f t="shared" si="4"/>
        <v>35</v>
      </c>
      <c r="B177" s="3" t="s">
        <v>517</v>
      </c>
      <c r="C177" s="3" t="s">
        <v>62</v>
      </c>
      <c r="D177" s="3"/>
      <c r="E177" s="3" t="s">
        <v>239</v>
      </c>
      <c r="F177" s="3" t="s">
        <v>63</v>
      </c>
      <c r="G177" s="4" t="s">
        <v>85</v>
      </c>
      <c r="H177" s="4">
        <v>19</v>
      </c>
      <c r="I177" s="4">
        <v>13</v>
      </c>
      <c r="J177" s="4">
        <v>14</v>
      </c>
      <c r="K177" s="5">
        <f t="shared" si="2"/>
        <v>8593.74</v>
      </c>
      <c r="L177" s="5">
        <v>8593.74</v>
      </c>
      <c r="M177" s="5">
        <v>0</v>
      </c>
      <c r="N177" s="4">
        <v>0</v>
      </c>
      <c r="O177" s="5">
        <f t="shared" si="3"/>
        <v>0</v>
      </c>
      <c r="P177" s="5">
        <v>0</v>
      </c>
      <c r="Q177" s="5">
        <v>0</v>
      </c>
    </row>
    <row r="178" spans="1:17" x14ac:dyDescent="0.25">
      <c r="A178" s="294">
        <f t="shared" si="4"/>
        <v>36</v>
      </c>
      <c r="B178" s="3" t="s">
        <v>28</v>
      </c>
      <c r="C178" s="3" t="s">
        <v>62</v>
      </c>
      <c r="D178" s="3" t="s">
        <v>63</v>
      </c>
      <c r="E178" s="3" t="s">
        <v>74</v>
      </c>
      <c r="F178" s="3" t="s">
        <v>189</v>
      </c>
      <c r="G178" s="4" t="s">
        <v>85</v>
      </c>
      <c r="H178" s="4">
        <v>10</v>
      </c>
      <c r="I178" s="4">
        <v>8</v>
      </c>
      <c r="J178" s="4">
        <v>8</v>
      </c>
      <c r="K178" s="5">
        <f t="shared" si="2"/>
        <v>10155.84</v>
      </c>
      <c r="L178" s="5">
        <v>10155.84</v>
      </c>
      <c r="M178" s="5">
        <v>0</v>
      </c>
      <c r="N178" s="4">
        <v>7</v>
      </c>
      <c r="O178" s="5">
        <f t="shared" si="3"/>
        <v>18393.25</v>
      </c>
      <c r="P178" s="5">
        <v>18393.25</v>
      </c>
      <c r="Q178" s="5">
        <v>0</v>
      </c>
    </row>
    <row r="179" spans="1:17" x14ac:dyDescent="0.25">
      <c r="A179" s="294">
        <f t="shared" si="4"/>
        <v>37</v>
      </c>
      <c r="B179" s="3" t="s">
        <v>190</v>
      </c>
      <c r="C179" s="3" t="s">
        <v>62</v>
      </c>
      <c r="D179" s="3"/>
      <c r="E179" s="3" t="s">
        <v>63</v>
      </c>
      <c r="F179" s="3" t="s">
        <v>191</v>
      </c>
      <c r="G179" s="4" t="s">
        <v>85</v>
      </c>
      <c r="H179" s="4">
        <v>20</v>
      </c>
      <c r="I179" s="4">
        <v>16</v>
      </c>
      <c r="J179" s="4">
        <v>16</v>
      </c>
      <c r="K179" s="5">
        <f t="shared" si="2"/>
        <v>13185.23</v>
      </c>
      <c r="L179" s="5">
        <f>10947.63+2237.6</f>
        <v>13185.23</v>
      </c>
      <c r="M179" s="5">
        <v>0</v>
      </c>
      <c r="N179" s="4">
        <v>0</v>
      </c>
      <c r="O179" s="5">
        <f t="shared" si="3"/>
        <v>0</v>
      </c>
      <c r="P179" s="5">
        <v>0</v>
      </c>
      <c r="Q179" s="5">
        <v>0</v>
      </c>
    </row>
    <row r="180" spans="1:17" ht="38.25" x14ac:dyDescent="0.25">
      <c r="A180" s="294">
        <f t="shared" si="4"/>
        <v>38</v>
      </c>
      <c r="B180" s="3" t="s">
        <v>192</v>
      </c>
      <c r="C180" s="3" t="s">
        <v>64</v>
      </c>
      <c r="D180" s="3" t="s">
        <v>193</v>
      </c>
      <c r="E180" s="3" t="s">
        <v>74</v>
      </c>
      <c r="F180" s="3" t="s">
        <v>194</v>
      </c>
      <c r="G180" s="4" t="s">
        <v>85</v>
      </c>
      <c r="H180" s="4">
        <v>1</v>
      </c>
      <c r="I180" s="4">
        <v>0</v>
      </c>
      <c r="J180" s="4">
        <v>0</v>
      </c>
      <c r="K180" s="5">
        <f t="shared" si="2"/>
        <v>0</v>
      </c>
      <c r="L180" s="5">
        <v>0</v>
      </c>
      <c r="M180" s="5">
        <v>0</v>
      </c>
      <c r="N180" s="4">
        <v>0</v>
      </c>
      <c r="O180" s="5">
        <f t="shared" si="3"/>
        <v>0</v>
      </c>
      <c r="P180" s="5">
        <v>0</v>
      </c>
      <c r="Q180" s="5">
        <v>0</v>
      </c>
    </row>
    <row r="181" spans="1:17" x14ac:dyDescent="0.25">
      <c r="A181" s="294">
        <f t="shared" si="4"/>
        <v>39</v>
      </c>
      <c r="B181" s="3" t="s">
        <v>89</v>
      </c>
      <c r="C181" s="3" t="s">
        <v>62</v>
      </c>
      <c r="D181" s="3" t="s">
        <v>63</v>
      </c>
      <c r="E181" s="3" t="s">
        <v>74</v>
      </c>
      <c r="F181" s="3" t="s">
        <v>195</v>
      </c>
      <c r="G181" s="4" t="s">
        <v>85</v>
      </c>
      <c r="H181" s="4">
        <v>37</v>
      </c>
      <c r="I181" s="4">
        <v>29</v>
      </c>
      <c r="J181" s="4">
        <v>31</v>
      </c>
      <c r="K181" s="5">
        <f t="shared" si="2"/>
        <v>17979.099999999999</v>
      </c>
      <c r="L181" s="5">
        <v>17979.099999999999</v>
      </c>
      <c r="M181" s="5">
        <v>0</v>
      </c>
      <c r="N181" s="4">
        <v>7</v>
      </c>
      <c r="O181" s="5">
        <f t="shared" si="3"/>
        <v>32869.550000000003</v>
      </c>
      <c r="P181" s="5">
        <v>32869.550000000003</v>
      </c>
      <c r="Q181" s="5">
        <v>0</v>
      </c>
    </row>
    <row r="182" spans="1:17" ht="25.5" x14ac:dyDescent="0.25">
      <c r="A182" s="294">
        <f t="shared" si="4"/>
        <v>40</v>
      </c>
      <c r="B182" s="3" t="s">
        <v>196</v>
      </c>
      <c r="C182" s="3" t="s">
        <v>62</v>
      </c>
      <c r="D182" s="3"/>
      <c r="E182" s="3" t="s">
        <v>197</v>
      </c>
      <c r="F182" s="3" t="s">
        <v>198</v>
      </c>
      <c r="G182" s="4" t="s">
        <v>85</v>
      </c>
      <c r="H182" s="4">
        <v>22</v>
      </c>
      <c r="I182" s="4">
        <v>16</v>
      </c>
      <c r="J182" s="4">
        <v>17</v>
      </c>
      <c r="K182" s="5">
        <f t="shared" si="2"/>
        <v>18951.14</v>
      </c>
      <c r="L182" s="5">
        <v>18951.14</v>
      </c>
      <c r="M182" s="5">
        <v>0</v>
      </c>
      <c r="N182" s="4">
        <v>0</v>
      </c>
      <c r="O182" s="5">
        <f t="shared" si="3"/>
        <v>0</v>
      </c>
      <c r="P182" s="5">
        <v>0</v>
      </c>
      <c r="Q182" s="5">
        <v>0</v>
      </c>
    </row>
    <row r="183" spans="1:17" x14ac:dyDescent="0.25">
      <c r="A183" s="294">
        <f t="shared" si="4"/>
        <v>41</v>
      </c>
      <c r="B183" s="3" t="s">
        <v>106</v>
      </c>
      <c r="C183" s="3" t="s">
        <v>62</v>
      </c>
      <c r="D183" s="3" t="s">
        <v>63</v>
      </c>
      <c r="E183" s="3" t="s">
        <v>74</v>
      </c>
      <c r="F183" s="3" t="s">
        <v>199</v>
      </c>
      <c r="G183" s="4" t="s">
        <v>85</v>
      </c>
      <c r="H183" s="4">
        <v>52</v>
      </c>
      <c r="I183" s="4">
        <v>44</v>
      </c>
      <c r="J183" s="4">
        <v>60</v>
      </c>
      <c r="K183" s="5">
        <f t="shared" si="2"/>
        <v>66272.98</v>
      </c>
      <c r="L183" s="5">
        <v>66272.98</v>
      </c>
      <c r="M183" s="5">
        <v>0</v>
      </c>
      <c r="N183" s="4">
        <v>27</v>
      </c>
      <c r="O183" s="5">
        <f t="shared" si="3"/>
        <v>150774.94</v>
      </c>
      <c r="P183" s="5">
        <v>150774.94</v>
      </c>
      <c r="Q183" s="5">
        <v>0</v>
      </c>
    </row>
    <row r="184" spans="1:17" x14ac:dyDescent="0.25">
      <c r="A184" s="294">
        <f t="shared" si="4"/>
        <v>42</v>
      </c>
      <c r="B184" s="3" t="s">
        <v>107</v>
      </c>
      <c r="C184" s="3" t="s">
        <v>62</v>
      </c>
      <c r="D184" s="3" t="s">
        <v>63</v>
      </c>
      <c r="E184" s="3" t="s">
        <v>74</v>
      </c>
      <c r="F184" s="3" t="s">
        <v>657</v>
      </c>
      <c r="G184" s="4" t="s">
        <v>85</v>
      </c>
      <c r="H184" s="4">
        <v>3</v>
      </c>
      <c r="I184" s="4">
        <v>0</v>
      </c>
      <c r="J184" s="4">
        <v>0</v>
      </c>
      <c r="K184" s="5">
        <f t="shared" si="2"/>
        <v>0</v>
      </c>
      <c r="L184" s="5">
        <v>0</v>
      </c>
      <c r="M184" s="5">
        <v>0</v>
      </c>
      <c r="N184" s="4">
        <v>0</v>
      </c>
      <c r="O184" s="5">
        <f t="shared" si="3"/>
        <v>0</v>
      </c>
      <c r="P184" s="5">
        <v>0</v>
      </c>
      <c r="Q184" s="5">
        <v>0</v>
      </c>
    </row>
    <row r="185" spans="1:17" x14ac:dyDescent="0.25">
      <c r="A185" s="294">
        <f t="shared" si="4"/>
        <v>43</v>
      </c>
      <c r="B185" s="3" t="s">
        <v>29</v>
      </c>
      <c r="C185" s="3" t="s">
        <v>62</v>
      </c>
      <c r="D185" s="3" t="s">
        <v>63</v>
      </c>
      <c r="E185" s="3" t="s">
        <v>74</v>
      </c>
      <c r="F185" s="3" t="s">
        <v>200</v>
      </c>
      <c r="G185" s="4" t="s">
        <v>85</v>
      </c>
      <c r="H185" s="4">
        <v>26</v>
      </c>
      <c r="I185" s="4">
        <v>19</v>
      </c>
      <c r="J185" s="4">
        <v>29</v>
      </c>
      <c r="K185" s="5">
        <f t="shared" si="2"/>
        <v>38488.659999999996</v>
      </c>
      <c r="L185" s="5">
        <v>38092.21</v>
      </c>
      <c r="M185" s="5">
        <v>396.45</v>
      </c>
      <c r="N185" s="4">
        <v>17</v>
      </c>
      <c r="O185" s="5">
        <f t="shared" si="3"/>
        <v>29336.76</v>
      </c>
      <c r="P185" s="5">
        <v>27388.87</v>
      </c>
      <c r="Q185" s="5">
        <v>1947.89</v>
      </c>
    </row>
    <row r="186" spans="1:17" x14ac:dyDescent="0.25">
      <c r="A186" s="294">
        <f t="shared" si="4"/>
        <v>44</v>
      </c>
      <c r="B186" s="3" t="s">
        <v>201</v>
      </c>
      <c r="C186" s="3" t="s">
        <v>67</v>
      </c>
      <c r="D186" s="3" t="s">
        <v>485</v>
      </c>
      <c r="E186" s="3" t="s">
        <v>74</v>
      </c>
      <c r="F186" s="3" t="s">
        <v>202</v>
      </c>
      <c r="G186" s="4" t="s">
        <v>85</v>
      </c>
      <c r="H186" s="4">
        <v>30</v>
      </c>
      <c r="I186" s="4">
        <v>18</v>
      </c>
      <c r="J186" s="4">
        <v>19</v>
      </c>
      <c r="K186" s="5">
        <f t="shared" si="2"/>
        <v>35170.65</v>
      </c>
      <c r="L186" s="5">
        <v>35170.65</v>
      </c>
      <c r="M186" s="5">
        <v>0</v>
      </c>
      <c r="N186" s="4">
        <v>1</v>
      </c>
      <c r="O186" s="5">
        <f t="shared" si="3"/>
        <v>1717.95</v>
      </c>
      <c r="P186" s="5">
        <v>1717.95</v>
      </c>
      <c r="Q186" s="5">
        <v>0</v>
      </c>
    </row>
    <row r="187" spans="1:17" ht="25.5" x14ac:dyDescent="0.25">
      <c r="A187" s="294">
        <f t="shared" si="4"/>
        <v>45</v>
      </c>
      <c r="B187" s="3" t="s">
        <v>30</v>
      </c>
      <c r="C187" s="3" t="s">
        <v>62</v>
      </c>
      <c r="D187" s="3" t="s">
        <v>63</v>
      </c>
      <c r="E187" s="3" t="s">
        <v>203</v>
      </c>
      <c r="F187" s="3" t="s">
        <v>204</v>
      </c>
      <c r="G187" s="4" t="s">
        <v>85</v>
      </c>
      <c r="H187" s="4">
        <v>22</v>
      </c>
      <c r="I187" s="4">
        <v>15</v>
      </c>
      <c r="J187" s="4">
        <v>23</v>
      </c>
      <c r="K187" s="5">
        <f t="shared" si="2"/>
        <v>61941.8</v>
      </c>
      <c r="L187" s="5">
        <v>61941.8</v>
      </c>
      <c r="M187" s="5">
        <v>0</v>
      </c>
      <c r="N187" s="4">
        <v>19</v>
      </c>
      <c r="O187" s="5">
        <f t="shared" si="3"/>
        <v>67008.849999999991</v>
      </c>
      <c r="P187" s="5">
        <f>69063.23-2054.38</f>
        <v>67008.849999999991</v>
      </c>
      <c r="Q187" s="5">
        <v>0</v>
      </c>
    </row>
    <row r="188" spans="1:17" ht="51" x14ac:dyDescent="0.25">
      <c r="A188" s="294">
        <f t="shared" si="4"/>
        <v>46</v>
      </c>
      <c r="B188" s="3" t="s">
        <v>90</v>
      </c>
      <c r="C188" s="3" t="s">
        <v>62</v>
      </c>
      <c r="D188" s="3" t="s">
        <v>63</v>
      </c>
      <c r="E188" s="3" t="s">
        <v>205</v>
      </c>
      <c r="F188" s="3" t="s">
        <v>464</v>
      </c>
      <c r="G188" s="4" t="s">
        <v>85</v>
      </c>
      <c r="H188" s="4">
        <v>22</v>
      </c>
      <c r="I188" s="4">
        <v>15</v>
      </c>
      <c r="J188" s="4">
        <v>24</v>
      </c>
      <c r="K188" s="5">
        <f t="shared" si="2"/>
        <v>35238.51</v>
      </c>
      <c r="L188" s="5">
        <v>35238.51</v>
      </c>
      <c r="M188" s="5">
        <v>0</v>
      </c>
      <c r="N188" s="4">
        <v>17</v>
      </c>
      <c r="O188" s="5">
        <f t="shared" si="3"/>
        <v>23475.1</v>
      </c>
      <c r="P188" s="5">
        <v>23475.1</v>
      </c>
      <c r="Q188" s="5">
        <v>0</v>
      </c>
    </row>
    <row r="189" spans="1:17" x14ac:dyDescent="0.25">
      <c r="A189" s="294">
        <f t="shared" si="4"/>
        <v>47</v>
      </c>
      <c r="B189" s="3" t="s">
        <v>31</v>
      </c>
      <c r="C189" s="3" t="s">
        <v>62</v>
      </c>
      <c r="D189" s="3" t="s">
        <v>63</v>
      </c>
      <c r="E189" s="3" t="s">
        <v>74</v>
      </c>
      <c r="F189" s="3" t="s">
        <v>206</v>
      </c>
      <c r="G189" s="4" t="s">
        <v>85</v>
      </c>
      <c r="H189" s="4">
        <v>56</v>
      </c>
      <c r="I189" s="4">
        <v>46</v>
      </c>
      <c r="J189" s="4">
        <v>57</v>
      </c>
      <c r="K189" s="5">
        <f t="shared" si="2"/>
        <v>104800.98</v>
      </c>
      <c r="L189" s="5">
        <v>104800.98</v>
      </c>
      <c r="M189" s="5">
        <v>0</v>
      </c>
      <c r="N189" s="4">
        <v>23</v>
      </c>
      <c r="O189" s="5">
        <f t="shared" si="3"/>
        <v>86548.91</v>
      </c>
      <c r="P189" s="5">
        <v>86548.91</v>
      </c>
      <c r="Q189" s="5">
        <v>0</v>
      </c>
    </row>
    <row r="190" spans="1:17" x14ac:dyDescent="0.25">
      <c r="A190" s="294">
        <f t="shared" si="4"/>
        <v>48</v>
      </c>
      <c r="B190" s="3" t="s">
        <v>631</v>
      </c>
      <c r="C190" s="3" t="s">
        <v>62</v>
      </c>
      <c r="D190" s="3"/>
      <c r="E190" s="3" t="s">
        <v>63</v>
      </c>
      <c r="F190" s="3" t="s">
        <v>63</v>
      </c>
      <c r="G190" s="4" t="s">
        <v>85</v>
      </c>
      <c r="H190" s="4">
        <v>9</v>
      </c>
      <c r="I190" s="4">
        <v>1</v>
      </c>
      <c r="J190" s="4">
        <v>1</v>
      </c>
      <c r="K190" s="5">
        <f t="shared" si="2"/>
        <v>589.12</v>
      </c>
      <c r="L190" s="5">
        <v>589.12</v>
      </c>
      <c r="M190" s="5">
        <v>0</v>
      </c>
      <c r="N190" s="4">
        <v>0</v>
      </c>
      <c r="O190" s="5">
        <f t="shared" si="3"/>
        <v>0</v>
      </c>
      <c r="P190" s="5">
        <v>0</v>
      </c>
      <c r="Q190" s="5">
        <v>0</v>
      </c>
    </row>
    <row r="191" spans="1:17" ht="25.5" x14ac:dyDescent="0.25">
      <c r="A191" s="294">
        <f t="shared" si="4"/>
        <v>49</v>
      </c>
      <c r="B191" s="3" t="s">
        <v>605</v>
      </c>
      <c r="C191" s="3" t="s">
        <v>62</v>
      </c>
      <c r="D191" s="3" t="s">
        <v>63</v>
      </c>
      <c r="E191" s="3" t="s">
        <v>108</v>
      </c>
      <c r="F191" s="3" t="s">
        <v>619</v>
      </c>
      <c r="G191" s="4" t="s">
        <v>85</v>
      </c>
      <c r="H191" s="4">
        <v>3</v>
      </c>
      <c r="I191" s="4">
        <v>0</v>
      </c>
      <c r="J191" s="4">
        <v>0</v>
      </c>
      <c r="K191" s="5">
        <f t="shared" si="2"/>
        <v>0</v>
      </c>
      <c r="L191" s="5">
        <v>0</v>
      </c>
      <c r="M191" s="5">
        <v>0</v>
      </c>
      <c r="N191" s="4">
        <v>0</v>
      </c>
      <c r="O191" s="5">
        <f t="shared" si="3"/>
        <v>1200.69</v>
      </c>
      <c r="P191" s="5">
        <v>1200.69</v>
      </c>
      <c r="Q191" s="5">
        <v>0</v>
      </c>
    </row>
    <row r="192" spans="1:17" x14ac:dyDescent="0.25">
      <c r="A192" s="294">
        <f t="shared" si="4"/>
        <v>50</v>
      </c>
      <c r="B192" s="3" t="s">
        <v>32</v>
      </c>
      <c r="C192" s="3" t="s">
        <v>62</v>
      </c>
      <c r="D192" s="3" t="s">
        <v>63</v>
      </c>
      <c r="E192" s="3" t="s">
        <v>74</v>
      </c>
      <c r="F192" s="3" t="s">
        <v>207</v>
      </c>
      <c r="G192" s="4" t="s">
        <v>85</v>
      </c>
      <c r="H192" s="4">
        <v>51</v>
      </c>
      <c r="I192" s="4">
        <v>37</v>
      </c>
      <c r="J192" s="4">
        <v>40</v>
      </c>
      <c r="K192" s="5">
        <f t="shared" si="2"/>
        <v>29177.57</v>
      </c>
      <c r="L192" s="5">
        <v>29177.57</v>
      </c>
      <c r="M192" s="5">
        <v>0</v>
      </c>
      <c r="N192" s="4">
        <v>33</v>
      </c>
      <c r="O192" s="5">
        <f t="shared" si="3"/>
        <v>98620.51</v>
      </c>
      <c r="P192" s="5">
        <v>98620.51</v>
      </c>
      <c r="Q192" s="5">
        <v>0</v>
      </c>
    </row>
    <row r="193" spans="1:17" x14ac:dyDescent="0.25">
      <c r="A193" s="294">
        <f t="shared" si="4"/>
        <v>51</v>
      </c>
      <c r="B193" s="3" t="s">
        <v>91</v>
      </c>
      <c r="C193" s="3" t="s">
        <v>62</v>
      </c>
      <c r="D193" s="3" t="s">
        <v>63</v>
      </c>
      <c r="E193" s="3" t="s">
        <v>63</v>
      </c>
      <c r="F193" s="3" t="s">
        <v>208</v>
      </c>
      <c r="G193" s="4" t="s">
        <v>85</v>
      </c>
      <c r="H193" s="4">
        <v>17</v>
      </c>
      <c r="I193" s="4">
        <v>11</v>
      </c>
      <c r="J193" s="4">
        <v>11</v>
      </c>
      <c r="K193" s="5">
        <f t="shared" si="2"/>
        <v>5992.57</v>
      </c>
      <c r="L193" s="5">
        <v>5992.57</v>
      </c>
      <c r="M193" s="5">
        <v>0</v>
      </c>
      <c r="N193" s="4">
        <v>2</v>
      </c>
      <c r="O193" s="5">
        <f t="shared" si="3"/>
        <v>17381.23</v>
      </c>
      <c r="P193" s="5">
        <v>17381.23</v>
      </c>
      <c r="Q193" s="5">
        <v>0</v>
      </c>
    </row>
    <row r="194" spans="1:17" x14ac:dyDescent="0.25">
      <c r="A194" s="294">
        <f t="shared" si="4"/>
        <v>52</v>
      </c>
      <c r="B194" s="3" t="s">
        <v>33</v>
      </c>
      <c r="C194" s="3" t="s">
        <v>62</v>
      </c>
      <c r="D194" s="3" t="s">
        <v>63</v>
      </c>
      <c r="E194" s="3" t="s">
        <v>74</v>
      </c>
      <c r="F194" s="3" t="s">
        <v>209</v>
      </c>
      <c r="G194" s="4" t="s">
        <v>85</v>
      </c>
      <c r="H194" s="4">
        <v>38</v>
      </c>
      <c r="I194" s="4">
        <v>31</v>
      </c>
      <c r="J194" s="4">
        <v>45</v>
      </c>
      <c r="K194" s="5">
        <f t="shared" si="2"/>
        <v>73525.72</v>
      </c>
      <c r="L194" s="5">
        <f>65214.63+8311.09</f>
        <v>73525.72</v>
      </c>
      <c r="M194" s="5">
        <v>0</v>
      </c>
      <c r="N194" s="4">
        <v>38</v>
      </c>
      <c r="O194" s="5">
        <f t="shared" si="3"/>
        <v>107522.26</v>
      </c>
      <c r="P194" s="5">
        <f>99522.26+8000</f>
        <v>107522.26</v>
      </c>
      <c r="Q194" s="5">
        <v>0</v>
      </c>
    </row>
    <row r="195" spans="1:17" x14ac:dyDescent="0.25">
      <c r="A195" s="294">
        <f t="shared" si="4"/>
        <v>53</v>
      </c>
      <c r="B195" s="3" t="s">
        <v>153</v>
      </c>
      <c r="C195" s="3" t="s">
        <v>62</v>
      </c>
      <c r="D195" s="3" t="s">
        <v>63</v>
      </c>
      <c r="E195" s="3" t="s">
        <v>74</v>
      </c>
      <c r="F195" s="3" t="s">
        <v>210</v>
      </c>
      <c r="G195" s="4" t="s">
        <v>85</v>
      </c>
      <c r="H195" s="4">
        <v>0</v>
      </c>
      <c r="I195" s="4">
        <v>0</v>
      </c>
      <c r="J195" s="4">
        <v>0</v>
      </c>
      <c r="K195" s="5">
        <f t="shared" si="2"/>
        <v>0</v>
      </c>
      <c r="L195" s="5">
        <v>0</v>
      </c>
      <c r="M195" s="5">
        <v>0</v>
      </c>
      <c r="N195" s="4">
        <v>3</v>
      </c>
      <c r="O195" s="5">
        <f t="shared" si="3"/>
        <v>27274.93</v>
      </c>
      <c r="P195" s="5">
        <f>17789.33+9485.6</f>
        <v>27274.93</v>
      </c>
      <c r="Q195" s="5">
        <v>0</v>
      </c>
    </row>
    <row r="196" spans="1:17" x14ac:dyDescent="0.25">
      <c r="A196" s="294">
        <f t="shared" si="4"/>
        <v>54</v>
      </c>
      <c r="B196" s="3" t="s">
        <v>34</v>
      </c>
      <c r="C196" s="3" t="s">
        <v>62</v>
      </c>
      <c r="D196" s="3" t="s">
        <v>63</v>
      </c>
      <c r="E196" s="3" t="s">
        <v>74</v>
      </c>
      <c r="F196" s="3" t="s">
        <v>211</v>
      </c>
      <c r="G196" s="4" t="s">
        <v>85</v>
      </c>
      <c r="H196" s="4">
        <v>19</v>
      </c>
      <c r="I196" s="4">
        <v>11</v>
      </c>
      <c r="J196" s="4">
        <v>11</v>
      </c>
      <c r="K196" s="5">
        <f t="shared" si="2"/>
        <v>7566.68</v>
      </c>
      <c r="L196" s="5">
        <v>7566.68</v>
      </c>
      <c r="M196" s="5">
        <v>0</v>
      </c>
      <c r="N196" s="4">
        <v>26</v>
      </c>
      <c r="O196" s="5">
        <f t="shared" si="3"/>
        <v>106055.76</v>
      </c>
      <c r="P196" s="5">
        <v>106055.76</v>
      </c>
      <c r="Q196" s="5">
        <v>0</v>
      </c>
    </row>
    <row r="197" spans="1:17" ht="25.5" x14ac:dyDescent="0.25">
      <c r="A197" s="294">
        <f t="shared" si="4"/>
        <v>55</v>
      </c>
      <c r="B197" s="3" t="s">
        <v>154</v>
      </c>
      <c r="C197" s="3" t="s">
        <v>62</v>
      </c>
      <c r="D197" s="3" t="s">
        <v>63</v>
      </c>
      <c r="E197" s="3" t="s">
        <v>72</v>
      </c>
      <c r="F197" s="3" t="s">
        <v>212</v>
      </c>
      <c r="G197" s="4" t="s">
        <v>85</v>
      </c>
      <c r="H197" s="4">
        <v>6</v>
      </c>
      <c r="I197" s="4">
        <v>2</v>
      </c>
      <c r="J197" s="4">
        <v>2</v>
      </c>
      <c r="K197" s="5">
        <f t="shared" si="2"/>
        <v>4344.37</v>
      </c>
      <c r="L197" s="5">
        <f>2172.77+2171.6</f>
        <v>4344.37</v>
      </c>
      <c r="M197" s="5">
        <v>0</v>
      </c>
      <c r="N197" s="4">
        <v>2</v>
      </c>
      <c r="O197" s="5">
        <f t="shared" si="3"/>
        <v>7845.37</v>
      </c>
      <c r="P197" s="5">
        <f>6845.37+1000</f>
        <v>7845.37</v>
      </c>
      <c r="Q197" s="5">
        <v>0</v>
      </c>
    </row>
    <row r="198" spans="1:17" x14ac:dyDescent="0.25">
      <c r="A198" s="294">
        <f t="shared" si="4"/>
        <v>56</v>
      </c>
      <c r="B198" s="3" t="s">
        <v>109</v>
      </c>
      <c r="C198" s="3" t="s">
        <v>62</v>
      </c>
      <c r="D198" s="3" t="s">
        <v>63</v>
      </c>
      <c r="E198" s="3" t="s">
        <v>74</v>
      </c>
      <c r="F198" s="3" t="s">
        <v>213</v>
      </c>
      <c r="G198" s="4" t="s">
        <v>85</v>
      </c>
      <c r="H198" s="4">
        <v>0</v>
      </c>
      <c r="I198" s="4">
        <v>0</v>
      </c>
      <c r="J198" s="4">
        <v>0</v>
      </c>
      <c r="K198" s="5">
        <f t="shared" si="2"/>
        <v>0</v>
      </c>
      <c r="L198" s="5">
        <v>0</v>
      </c>
      <c r="M198" s="5">
        <v>0</v>
      </c>
      <c r="N198" s="4">
        <v>2</v>
      </c>
      <c r="O198" s="5">
        <f t="shared" si="3"/>
        <v>3812.68</v>
      </c>
      <c r="P198" s="5">
        <v>3812.68</v>
      </c>
      <c r="Q198" s="5">
        <v>0</v>
      </c>
    </row>
    <row r="199" spans="1:17" x14ac:dyDescent="0.25">
      <c r="A199" s="294">
        <f t="shared" si="4"/>
        <v>57</v>
      </c>
      <c r="B199" s="3" t="s">
        <v>110</v>
      </c>
      <c r="C199" s="3" t="s">
        <v>62</v>
      </c>
      <c r="D199" s="3" t="s">
        <v>63</v>
      </c>
      <c r="E199" s="3" t="s">
        <v>74</v>
      </c>
      <c r="F199" s="3" t="s">
        <v>214</v>
      </c>
      <c r="G199" s="4" t="s">
        <v>85</v>
      </c>
      <c r="H199" s="4">
        <v>0</v>
      </c>
      <c r="I199" s="4">
        <v>0</v>
      </c>
      <c r="J199" s="4">
        <v>0</v>
      </c>
      <c r="K199" s="5">
        <f t="shared" si="2"/>
        <v>0</v>
      </c>
      <c r="L199" s="5">
        <v>0</v>
      </c>
      <c r="M199" s="5">
        <v>0</v>
      </c>
      <c r="N199" s="4">
        <v>0</v>
      </c>
      <c r="O199" s="5">
        <f t="shared" si="3"/>
        <v>12489.14</v>
      </c>
      <c r="P199" s="5">
        <v>12489.14</v>
      </c>
      <c r="Q199" s="5">
        <v>0</v>
      </c>
    </row>
    <row r="200" spans="1:17" x14ac:dyDescent="0.25">
      <c r="A200" s="294">
        <f t="shared" si="4"/>
        <v>58</v>
      </c>
      <c r="B200" s="3" t="s">
        <v>111</v>
      </c>
      <c r="C200" s="3" t="s">
        <v>112</v>
      </c>
      <c r="D200" s="3" t="s">
        <v>113</v>
      </c>
      <c r="E200" s="3" t="s">
        <v>63</v>
      </c>
      <c r="F200" s="3" t="s">
        <v>139</v>
      </c>
      <c r="G200" s="4" t="s">
        <v>85</v>
      </c>
      <c r="H200" s="4">
        <v>1</v>
      </c>
      <c r="I200" s="4">
        <v>0</v>
      </c>
      <c r="J200" s="4">
        <v>0</v>
      </c>
      <c r="K200" s="5">
        <f t="shared" si="2"/>
        <v>0</v>
      </c>
      <c r="L200" s="5">
        <v>0</v>
      </c>
      <c r="M200" s="5">
        <v>0</v>
      </c>
      <c r="N200" s="4">
        <v>0</v>
      </c>
      <c r="O200" s="5">
        <f t="shared" si="3"/>
        <v>0</v>
      </c>
      <c r="P200" s="5">
        <v>0</v>
      </c>
      <c r="Q200" s="5">
        <v>0</v>
      </c>
    </row>
    <row r="201" spans="1:17" x14ac:dyDescent="0.25">
      <c r="A201" s="294">
        <f t="shared" si="4"/>
        <v>59</v>
      </c>
      <c r="B201" s="3" t="s">
        <v>92</v>
      </c>
      <c r="C201" s="3" t="s">
        <v>62</v>
      </c>
      <c r="D201" s="3" t="s">
        <v>63</v>
      </c>
      <c r="E201" s="3" t="s">
        <v>74</v>
      </c>
      <c r="F201" s="3" t="s">
        <v>215</v>
      </c>
      <c r="G201" s="4" t="s">
        <v>85</v>
      </c>
      <c r="H201" s="4">
        <v>38</v>
      </c>
      <c r="I201" s="4">
        <v>33</v>
      </c>
      <c r="J201" s="4">
        <v>43</v>
      </c>
      <c r="K201" s="5">
        <f t="shared" si="2"/>
        <v>56751.22</v>
      </c>
      <c r="L201" s="5">
        <f>53998.6+2752.62</f>
        <v>56751.22</v>
      </c>
      <c r="M201" s="5">
        <v>0</v>
      </c>
      <c r="N201" s="4">
        <v>13</v>
      </c>
      <c r="O201" s="5">
        <f t="shared" si="3"/>
        <v>45686.47</v>
      </c>
      <c r="P201" s="5">
        <v>45686.47</v>
      </c>
      <c r="Q201" s="5">
        <v>0</v>
      </c>
    </row>
    <row r="202" spans="1:17" ht="25.5" x14ac:dyDescent="0.25">
      <c r="A202" s="294">
        <f t="shared" si="4"/>
        <v>60</v>
      </c>
      <c r="B202" s="3" t="s">
        <v>216</v>
      </c>
      <c r="C202" s="3" t="s">
        <v>67</v>
      </c>
      <c r="D202" s="3" t="s">
        <v>436</v>
      </c>
      <c r="E202" s="3" t="s">
        <v>217</v>
      </c>
      <c r="F202" s="3" t="s">
        <v>218</v>
      </c>
      <c r="G202" s="4" t="s">
        <v>85</v>
      </c>
      <c r="H202" s="4">
        <v>13</v>
      </c>
      <c r="I202" s="4">
        <v>8</v>
      </c>
      <c r="J202" s="4">
        <v>8</v>
      </c>
      <c r="K202" s="5">
        <f t="shared" si="2"/>
        <v>6838.87</v>
      </c>
      <c r="L202" s="5">
        <v>6838.87</v>
      </c>
      <c r="M202" s="5">
        <v>0</v>
      </c>
      <c r="N202" s="4">
        <v>0</v>
      </c>
      <c r="O202" s="5">
        <f t="shared" si="3"/>
        <v>0</v>
      </c>
      <c r="P202" s="5">
        <v>0</v>
      </c>
      <c r="Q202" s="5">
        <v>0</v>
      </c>
    </row>
    <row r="203" spans="1:17" ht="25.5" x14ac:dyDescent="0.25">
      <c r="A203" s="294">
        <f t="shared" si="4"/>
        <v>61</v>
      </c>
      <c r="B203" s="3" t="s">
        <v>35</v>
      </c>
      <c r="C203" s="3" t="s">
        <v>62</v>
      </c>
      <c r="D203" s="3" t="s">
        <v>63</v>
      </c>
      <c r="E203" s="3" t="s">
        <v>219</v>
      </c>
      <c r="F203" s="3" t="s">
        <v>220</v>
      </c>
      <c r="G203" s="4" t="s">
        <v>85</v>
      </c>
      <c r="H203" s="4">
        <v>54</v>
      </c>
      <c r="I203" s="4">
        <v>51</v>
      </c>
      <c r="J203" s="4">
        <v>58</v>
      </c>
      <c r="K203" s="5">
        <f t="shared" si="2"/>
        <v>78571.539999999994</v>
      </c>
      <c r="L203" s="5">
        <v>78571.539999999994</v>
      </c>
      <c r="M203" s="5">
        <v>0</v>
      </c>
      <c r="N203" s="4">
        <v>33</v>
      </c>
      <c r="O203" s="5">
        <f t="shared" si="3"/>
        <v>75066.61</v>
      </c>
      <c r="P203" s="5">
        <v>75066.61</v>
      </c>
      <c r="Q203" s="5">
        <v>0</v>
      </c>
    </row>
    <row r="204" spans="1:17" ht="25.5" x14ac:dyDescent="0.25">
      <c r="A204" s="294">
        <f t="shared" si="4"/>
        <v>62</v>
      </c>
      <c r="B204" s="3" t="s">
        <v>114</v>
      </c>
      <c r="C204" s="3" t="s">
        <v>62</v>
      </c>
      <c r="D204" s="3" t="s">
        <v>63</v>
      </c>
      <c r="E204" s="3" t="s">
        <v>115</v>
      </c>
      <c r="F204" s="3" t="s">
        <v>221</v>
      </c>
      <c r="G204" s="4" t="s">
        <v>85</v>
      </c>
      <c r="H204" s="4">
        <v>15</v>
      </c>
      <c r="I204" s="4">
        <v>4</v>
      </c>
      <c r="J204" s="4">
        <v>4</v>
      </c>
      <c r="K204" s="5">
        <f t="shared" si="2"/>
        <v>12272.11</v>
      </c>
      <c r="L204" s="5">
        <f>1887.36+10384.75</f>
        <v>12272.11</v>
      </c>
      <c r="M204" s="5">
        <v>0</v>
      </c>
      <c r="N204" s="4">
        <v>1</v>
      </c>
      <c r="O204" s="5">
        <f t="shared" si="3"/>
        <v>8108.48</v>
      </c>
      <c r="P204" s="5">
        <f>1108.48+7000</f>
        <v>8108.48</v>
      </c>
      <c r="Q204" s="5">
        <v>0</v>
      </c>
    </row>
    <row r="205" spans="1:17" ht="25.5" x14ac:dyDescent="0.25">
      <c r="A205" s="294">
        <f t="shared" si="4"/>
        <v>63</v>
      </c>
      <c r="B205" s="3" t="s">
        <v>222</v>
      </c>
      <c r="C205" s="3" t="s">
        <v>64</v>
      </c>
      <c r="D205" s="3" t="s">
        <v>486</v>
      </c>
      <c r="E205" s="3" t="s">
        <v>223</v>
      </c>
      <c r="F205" s="3" t="s">
        <v>224</v>
      </c>
      <c r="G205" s="4" t="s">
        <v>85</v>
      </c>
      <c r="H205" s="4">
        <v>19</v>
      </c>
      <c r="I205" s="4">
        <v>15</v>
      </c>
      <c r="J205" s="4">
        <v>19</v>
      </c>
      <c r="K205" s="5">
        <f t="shared" si="2"/>
        <v>21690.91</v>
      </c>
      <c r="L205" s="5">
        <v>21690.91</v>
      </c>
      <c r="M205" s="5">
        <v>0</v>
      </c>
      <c r="N205" s="4">
        <v>0</v>
      </c>
      <c r="O205" s="5">
        <f t="shared" si="3"/>
        <v>0</v>
      </c>
      <c r="P205" s="5">
        <v>0</v>
      </c>
      <c r="Q205" s="5">
        <v>0</v>
      </c>
    </row>
    <row r="206" spans="1:17" x14ac:dyDescent="0.25">
      <c r="A206" s="294">
        <f t="shared" si="4"/>
        <v>64</v>
      </c>
      <c r="B206" s="3" t="s">
        <v>93</v>
      </c>
      <c r="C206" s="3" t="s">
        <v>62</v>
      </c>
      <c r="D206" s="3" t="s">
        <v>63</v>
      </c>
      <c r="E206" s="3" t="s">
        <v>74</v>
      </c>
      <c r="F206" s="3" t="s">
        <v>225</v>
      </c>
      <c r="G206" s="4" t="s">
        <v>85</v>
      </c>
      <c r="H206" s="4">
        <v>14</v>
      </c>
      <c r="I206" s="4">
        <v>6</v>
      </c>
      <c r="J206" s="4">
        <v>7</v>
      </c>
      <c r="K206" s="5">
        <f t="shared" si="2"/>
        <v>11798.3</v>
      </c>
      <c r="L206" s="5">
        <v>11798.3</v>
      </c>
      <c r="M206" s="5">
        <v>0</v>
      </c>
      <c r="N206" s="4">
        <v>7</v>
      </c>
      <c r="O206" s="5">
        <f t="shared" si="3"/>
        <v>10672.71</v>
      </c>
      <c r="P206" s="5">
        <v>10672.71</v>
      </c>
      <c r="Q206" s="5">
        <v>0</v>
      </c>
    </row>
    <row r="207" spans="1:17" ht="25.5" x14ac:dyDescent="0.25">
      <c r="A207" s="294">
        <f t="shared" si="4"/>
        <v>65</v>
      </c>
      <c r="B207" s="3" t="s">
        <v>226</v>
      </c>
      <c r="C207" s="3" t="s">
        <v>62</v>
      </c>
      <c r="D207" s="3"/>
      <c r="E207" s="3" t="s">
        <v>174</v>
      </c>
      <c r="F207" s="3" t="s">
        <v>227</v>
      </c>
      <c r="G207" s="4" t="s">
        <v>85</v>
      </c>
      <c r="H207" s="4">
        <v>32</v>
      </c>
      <c r="I207" s="4">
        <v>17</v>
      </c>
      <c r="J207" s="4">
        <v>20</v>
      </c>
      <c r="K207" s="5">
        <f t="shared" si="2"/>
        <v>30507.55</v>
      </c>
      <c r="L207" s="5">
        <f>24991.78+5515.77</f>
        <v>30507.55</v>
      </c>
      <c r="M207" s="5">
        <v>0</v>
      </c>
      <c r="N207" s="4">
        <v>0</v>
      </c>
      <c r="O207" s="5">
        <f t="shared" si="3"/>
        <v>0</v>
      </c>
      <c r="P207" s="5">
        <v>0</v>
      </c>
      <c r="Q207" s="5">
        <v>0</v>
      </c>
    </row>
    <row r="208" spans="1:17" ht="25.5" x14ac:dyDescent="0.25">
      <c r="A208" s="294">
        <f t="shared" si="4"/>
        <v>66</v>
      </c>
      <c r="B208" s="3" t="s">
        <v>228</v>
      </c>
      <c r="C208" s="3" t="s">
        <v>62</v>
      </c>
      <c r="D208" s="3"/>
      <c r="E208" s="3" t="s">
        <v>229</v>
      </c>
      <c r="F208" s="3" t="s">
        <v>230</v>
      </c>
      <c r="G208" s="4" t="s">
        <v>85</v>
      </c>
      <c r="H208" s="4">
        <v>35</v>
      </c>
      <c r="I208" s="4">
        <v>20</v>
      </c>
      <c r="J208" s="4">
        <v>22</v>
      </c>
      <c r="K208" s="5">
        <f t="shared" ref="K208:K271" si="5">L208+M208</f>
        <v>34002.400000000001</v>
      </c>
      <c r="L208" s="5">
        <v>34002.400000000001</v>
      </c>
      <c r="M208" s="5">
        <v>0</v>
      </c>
      <c r="N208" s="4">
        <v>0</v>
      </c>
      <c r="O208" s="5">
        <f t="shared" ref="O208:O271" si="6">P208+Q208</f>
        <v>0</v>
      </c>
      <c r="P208" s="5">
        <v>0</v>
      </c>
      <c r="Q208" s="5">
        <v>0</v>
      </c>
    </row>
    <row r="209" spans="1:17" x14ac:dyDescent="0.25">
      <c r="A209" s="294">
        <f t="shared" ref="A209:A272" si="7">A208+1</f>
        <v>67</v>
      </c>
      <c r="B209" s="3" t="s">
        <v>116</v>
      </c>
      <c r="C209" s="3" t="s">
        <v>62</v>
      </c>
      <c r="D209" s="3" t="s">
        <v>63</v>
      </c>
      <c r="E209" s="3" t="s">
        <v>74</v>
      </c>
      <c r="F209" s="3" t="s">
        <v>231</v>
      </c>
      <c r="G209" s="4" t="s">
        <v>85</v>
      </c>
      <c r="H209" s="4">
        <v>34</v>
      </c>
      <c r="I209" s="4">
        <v>26</v>
      </c>
      <c r="J209" s="4">
        <v>28</v>
      </c>
      <c r="K209" s="5">
        <f t="shared" si="5"/>
        <v>42164.54</v>
      </c>
      <c r="L209" s="5">
        <f>36007.32+6157.22</f>
        <v>42164.54</v>
      </c>
      <c r="M209" s="5">
        <v>0</v>
      </c>
      <c r="N209" s="4">
        <v>3</v>
      </c>
      <c r="O209" s="5">
        <f t="shared" si="6"/>
        <v>5058.49</v>
      </c>
      <c r="P209" s="5">
        <v>5058.49</v>
      </c>
      <c r="Q209" s="5">
        <v>0</v>
      </c>
    </row>
    <row r="210" spans="1:17" ht="25.5" x14ac:dyDescent="0.25">
      <c r="A210" s="294">
        <f t="shared" si="7"/>
        <v>68</v>
      </c>
      <c r="B210" s="3" t="s">
        <v>232</v>
      </c>
      <c r="C210" s="3" t="s">
        <v>62</v>
      </c>
      <c r="D210" s="3"/>
      <c r="E210" s="3" t="s">
        <v>174</v>
      </c>
      <c r="F210" s="3" t="s">
        <v>233</v>
      </c>
      <c r="G210" s="4" t="s">
        <v>85</v>
      </c>
      <c r="H210" s="4">
        <v>15</v>
      </c>
      <c r="I210" s="4">
        <v>9</v>
      </c>
      <c r="J210" s="4">
        <v>11</v>
      </c>
      <c r="K210" s="5">
        <f t="shared" si="5"/>
        <v>9716.0300000000007</v>
      </c>
      <c r="L210" s="5">
        <v>9716.0300000000007</v>
      </c>
      <c r="M210" s="5">
        <v>0</v>
      </c>
      <c r="N210" s="4">
        <v>0</v>
      </c>
      <c r="O210" s="5">
        <f t="shared" si="6"/>
        <v>0</v>
      </c>
      <c r="P210" s="5">
        <v>0</v>
      </c>
      <c r="Q210" s="5">
        <v>0</v>
      </c>
    </row>
    <row r="211" spans="1:17" ht="25.5" x14ac:dyDescent="0.25">
      <c r="A211" s="294">
        <f t="shared" si="7"/>
        <v>69</v>
      </c>
      <c r="B211" s="3" t="s">
        <v>487</v>
      </c>
      <c r="C211" s="3" t="s">
        <v>62</v>
      </c>
      <c r="D211" s="3"/>
      <c r="E211" s="3" t="s">
        <v>282</v>
      </c>
      <c r="F211" s="3" t="s">
        <v>488</v>
      </c>
      <c r="G211" s="4" t="s">
        <v>85</v>
      </c>
      <c r="H211" s="4">
        <v>8</v>
      </c>
      <c r="I211" s="4">
        <v>3</v>
      </c>
      <c r="J211" s="4">
        <v>3</v>
      </c>
      <c r="K211" s="5">
        <f t="shared" si="5"/>
        <v>1999.87</v>
      </c>
      <c r="L211" s="5">
        <v>1999.87</v>
      </c>
      <c r="M211" s="5">
        <v>0</v>
      </c>
      <c r="N211" s="4">
        <v>0</v>
      </c>
      <c r="O211" s="5">
        <f t="shared" si="6"/>
        <v>0</v>
      </c>
      <c r="P211" s="5">
        <v>0</v>
      </c>
      <c r="Q211" s="5">
        <v>0</v>
      </c>
    </row>
    <row r="212" spans="1:17" ht="25.5" x14ac:dyDescent="0.25">
      <c r="A212" s="294">
        <f t="shared" si="7"/>
        <v>70</v>
      </c>
      <c r="B212" s="3" t="s">
        <v>357</v>
      </c>
      <c r="C212" s="3" t="s">
        <v>64</v>
      </c>
      <c r="D212" s="3" t="s">
        <v>585</v>
      </c>
      <c r="E212" s="3" t="s">
        <v>74</v>
      </c>
      <c r="F212" s="3" t="s">
        <v>573</v>
      </c>
      <c r="G212" s="4" t="s">
        <v>85</v>
      </c>
      <c r="H212" s="4">
        <v>6</v>
      </c>
      <c r="I212" s="4">
        <v>0</v>
      </c>
      <c r="J212" s="4">
        <v>0</v>
      </c>
      <c r="K212" s="5">
        <f t="shared" si="5"/>
        <v>0</v>
      </c>
      <c r="L212" s="5">
        <v>0</v>
      </c>
      <c r="M212" s="5">
        <v>0</v>
      </c>
      <c r="N212" s="4">
        <v>1</v>
      </c>
      <c r="O212" s="5">
        <f t="shared" si="6"/>
        <v>6753.85</v>
      </c>
      <c r="P212" s="5">
        <v>6753.85</v>
      </c>
      <c r="Q212" s="5">
        <v>0</v>
      </c>
    </row>
    <row r="213" spans="1:17" x14ac:dyDescent="0.25">
      <c r="A213" s="294">
        <f t="shared" si="7"/>
        <v>71</v>
      </c>
      <c r="B213" s="3" t="s">
        <v>36</v>
      </c>
      <c r="C213" s="3" t="s">
        <v>62</v>
      </c>
      <c r="D213" s="3" t="s">
        <v>63</v>
      </c>
      <c r="E213" s="3" t="s">
        <v>74</v>
      </c>
      <c r="F213" s="3" t="s">
        <v>465</v>
      </c>
      <c r="G213" s="4" t="s">
        <v>85</v>
      </c>
      <c r="H213" s="4">
        <v>8</v>
      </c>
      <c r="I213" s="4">
        <v>1</v>
      </c>
      <c r="J213" s="4">
        <v>1</v>
      </c>
      <c r="K213" s="5">
        <f t="shared" si="5"/>
        <v>0</v>
      </c>
      <c r="L213" s="5">
        <v>0</v>
      </c>
      <c r="M213" s="5">
        <v>0</v>
      </c>
      <c r="N213" s="4">
        <v>4</v>
      </c>
      <c r="O213" s="5">
        <f t="shared" si="6"/>
        <v>18787.039999999997</v>
      </c>
      <c r="P213" s="5">
        <f>17817.94+969.1</f>
        <v>18787.039999999997</v>
      </c>
      <c r="Q213" s="5">
        <v>0</v>
      </c>
    </row>
    <row r="214" spans="1:17" ht="25.5" x14ac:dyDescent="0.25">
      <c r="A214" s="294">
        <f t="shared" si="7"/>
        <v>72</v>
      </c>
      <c r="B214" s="3" t="s">
        <v>658</v>
      </c>
      <c r="C214" s="3" t="s">
        <v>62</v>
      </c>
      <c r="D214" s="3" t="s">
        <v>63</v>
      </c>
      <c r="E214" s="3" t="s">
        <v>223</v>
      </c>
      <c r="F214" s="3" t="s">
        <v>659</v>
      </c>
      <c r="G214" s="4" t="s">
        <v>85</v>
      </c>
      <c r="H214" s="4">
        <v>5</v>
      </c>
      <c r="I214" s="4">
        <v>0</v>
      </c>
      <c r="J214" s="4">
        <v>0</v>
      </c>
      <c r="K214" s="5">
        <f t="shared" si="5"/>
        <v>0</v>
      </c>
      <c r="L214" s="5">
        <v>0</v>
      </c>
      <c r="M214" s="5">
        <v>0</v>
      </c>
      <c r="N214" s="4">
        <v>0</v>
      </c>
      <c r="O214" s="5">
        <f t="shared" si="6"/>
        <v>0</v>
      </c>
      <c r="P214" s="5">
        <v>0</v>
      </c>
      <c r="Q214" s="5">
        <v>0</v>
      </c>
    </row>
    <row r="215" spans="1:17" ht="25.5" x14ac:dyDescent="0.25">
      <c r="A215" s="294">
        <f t="shared" si="7"/>
        <v>73</v>
      </c>
      <c r="B215" s="3" t="s">
        <v>37</v>
      </c>
      <c r="C215" s="3" t="s">
        <v>62</v>
      </c>
      <c r="D215" s="3" t="s">
        <v>63</v>
      </c>
      <c r="E215" s="3" t="s">
        <v>70</v>
      </c>
      <c r="F215" s="3" t="s">
        <v>234</v>
      </c>
      <c r="G215" s="4" t="s">
        <v>85</v>
      </c>
      <c r="H215" s="4">
        <v>15</v>
      </c>
      <c r="I215" s="4">
        <v>9</v>
      </c>
      <c r="J215" s="4">
        <v>9</v>
      </c>
      <c r="K215" s="5">
        <f t="shared" si="5"/>
        <v>11914.75</v>
      </c>
      <c r="L215" s="5">
        <v>11914.75</v>
      </c>
      <c r="M215" s="5">
        <v>0</v>
      </c>
      <c r="N215" s="4">
        <v>3</v>
      </c>
      <c r="O215" s="5">
        <f t="shared" si="6"/>
        <v>19390.900000000001</v>
      </c>
      <c r="P215" s="5">
        <v>19390.900000000001</v>
      </c>
      <c r="Q215" s="5">
        <v>0</v>
      </c>
    </row>
    <row r="216" spans="1:17" ht="38.25" x14ac:dyDescent="0.25">
      <c r="A216" s="294">
        <f t="shared" si="7"/>
        <v>74</v>
      </c>
      <c r="B216" s="3" t="s">
        <v>235</v>
      </c>
      <c r="C216" s="3" t="s">
        <v>62</v>
      </c>
      <c r="D216" s="3"/>
      <c r="E216" s="3" t="s">
        <v>236</v>
      </c>
      <c r="F216" s="3" t="s">
        <v>237</v>
      </c>
      <c r="G216" s="4" t="s">
        <v>85</v>
      </c>
      <c r="H216" s="4">
        <v>10</v>
      </c>
      <c r="I216" s="4">
        <v>8</v>
      </c>
      <c r="J216" s="4">
        <v>11</v>
      </c>
      <c r="K216" s="5">
        <f t="shared" si="5"/>
        <v>21167.35</v>
      </c>
      <c r="L216" s="5">
        <v>21167.35</v>
      </c>
      <c r="M216" s="5">
        <v>0</v>
      </c>
      <c r="N216" s="4">
        <v>0</v>
      </c>
      <c r="O216" s="5">
        <f t="shared" si="6"/>
        <v>0</v>
      </c>
      <c r="P216" s="5">
        <v>0</v>
      </c>
      <c r="Q216" s="5">
        <v>0</v>
      </c>
    </row>
    <row r="217" spans="1:17" ht="25.5" x14ac:dyDescent="0.25">
      <c r="A217" s="294">
        <f t="shared" si="7"/>
        <v>75</v>
      </c>
      <c r="B217" s="3" t="s">
        <v>238</v>
      </c>
      <c r="C217" s="3" t="s">
        <v>62</v>
      </c>
      <c r="D217" s="3"/>
      <c r="E217" s="3" t="s">
        <v>239</v>
      </c>
      <c r="F217" s="3" t="s">
        <v>240</v>
      </c>
      <c r="G217" s="4" t="s">
        <v>85</v>
      </c>
      <c r="H217" s="4">
        <v>14</v>
      </c>
      <c r="I217" s="4">
        <v>9</v>
      </c>
      <c r="J217" s="4">
        <v>10</v>
      </c>
      <c r="K217" s="5">
        <f t="shared" si="5"/>
        <v>9410.77</v>
      </c>
      <c r="L217" s="5">
        <v>9410.77</v>
      </c>
      <c r="M217" s="5">
        <v>0</v>
      </c>
      <c r="N217" s="4">
        <v>0</v>
      </c>
      <c r="O217" s="5">
        <f t="shared" si="6"/>
        <v>0</v>
      </c>
      <c r="P217" s="5">
        <v>0</v>
      </c>
      <c r="Q217" s="5">
        <v>0</v>
      </c>
    </row>
    <row r="218" spans="1:17" x14ac:dyDescent="0.25">
      <c r="A218" s="294">
        <f t="shared" si="7"/>
        <v>76</v>
      </c>
      <c r="B218" s="3" t="s">
        <v>587</v>
      </c>
      <c r="C218" s="3" t="s">
        <v>62</v>
      </c>
      <c r="D218" s="3" t="s">
        <v>63</v>
      </c>
      <c r="E218" s="3" t="s">
        <v>63</v>
      </c>
      <c r="F218" s="3" t="s">
        <v>609</v>
      </c>
      <c r="G218" s="4" t="s">
        <v>85</v>
      </c>
      <c r="H218" s="4">
        <v>0</v>
      </c>
      <c r="I218" s="4">
        <v>0</v>
      </c>
      <c r="J218" s="4">
        <v>0</v>
      </c>
      <c r="K218" s="5">
        <f t="shared" si="5"/>
        <v>0</v>
      </c>
      <c r="L218" s="5">
        <v>0</v>
      </c>
      <c r="M218" s="5">
        <v>0</v>
      </c>
      <c r="N218" s="4">
        <v>1</v>
      </c>
      <c r="O218" s="5">
        <f t="shared" si="6"/>
        <v>3658.79</v>
      </c>
      <c r="P218" s="5">
        <v>3658.79</v>
      </c>
      <c r="Q218" s="5">
        <v>0</v>
      </c>
    </row>
    <row r="219" spans="1:17" ht="25.5" x14ac:dyDescent="0.25">
      <c r="A219" s="294">
        <f t="shared" si="7"/>
        <v>77</v>
      </c>
      <c r="B219" s="3" t="s">
        <v>241</v>
      </c>
      <c r="C219" s="3" t="s">
        <v>62</v>
      </c>
      <c r="D219" s="3"/>
      <c r="E219" s="3" t="s">
        <v>242</v>
      </c>
      <c r="F219" s="3" t="s">
        <v>243</v>
      </c>
      <c r="G219" s="4" t="s">
        <v>85</v>
      </c>
      <c r="H219" s="4">
        <v>9</v>
      </c>
      <c r="I219" s="4">
        <v>9</v>
      </c>
      <c r="J219" s="4">
        <v>13</v>
      </c>
      <c r="K219" s="5">
        <f t="shared" si="5"/>
        <v>26884.58</v>
      </c>
      <c r="L219" s="5">
        <v>26884.58</v>
      </c>
      <c r="M219" s="5">
        <v>0</v>
      </c>
      <c r="N219" s="4">
        <v>0</v>
      </c>
      <c r="O219" s="5">
        <f t="shared" si="6"/>
        <v>0</v>
      </c>
      <c r="P219" s="5">
        <v>0</v>
      </c>
      <c r="Q219" s="5">
        <v>0</v>
      </c>
    </row>
    <row r="220" spans="1:17" ht="38.25" x14ac:dyDescent="0.25">
      <c r="A220" s="294">
        <f t="shared" si="7"/>
        <v>78</v>
      </c>
      <c r="B220" s="3" t="s">
        <v>38</v>
      </c>
      <c r="C220" s="3" t="s">
        <v>62</v>
      </c>
      <c r="D220" s="3" t="s">
        <v>63</v>
      </c>
      <c r="E220" s="3" t="s">
        <v>244</v>
      </c>
      <c r="F220" s="3" t="s">
        <v>245</v>
      </c>
      <c r="G220" s="4" t="s">
        <v>85</v>
      </c>
      <c r="H220" s="4">
        <v>101</v>
      </c>
      <c r="I220" s="4">
        <v>82</v>
      </c>
      <c r="J220" s="4">
        <v>122</v>
      </c>
      <c r="K220" s="5">
        <f t="shared" si="5"/>
        <v>177826.79</v>
      </c>
      <c r="L220" s="5">
        <v>177826.79</v>
      </c>
      <c r="M220" s="5">
        <v>0</v>
      </c>
      <c r="N220" s="4">
        <v>91</v>
      </c>
      <c r="O220" s="5">
        <f t="shared" si="6"/>
        <v>272452.59000000003</v>
      </c>
      <c r="P220" s="5">
        <v>272452.59000000003</v>
      </c>
      <c r="Q220" s="5">
        <v>0</v>
      </c>
    </row>
    <row r="221" spans="1:17" ht="25.5" x14ac:dyDescent="0.25">
      <c r="A221" s="294">
        <f t="shared" si="7"/>
        <v>79</v>
      </c>
      <c r="B221" s="3" t="s">
        <v>246</v>
      </c>
      <c r="C221" s="3" t="s">
        <v>62</v>
      </c>
      <c r="D221" s="3"/>
      <c r="E221" s="3" t="s">
        <v>247</v>
      </c>
      <c r="F221" s="3" t="s">
        <v>248</v>
      </c>
      <c r="G221" s="4" t="s">
        <v>85</v>
      </c>
      <c r="H221" s="4">
        <v>34</v>
      </c>
      <c r="I221" s="4">
        <v>26</v>
      </c>
      <c r="J221" s="4">
        <v>31</v>
      </c>
      <c r="K221" s="5">
        <f t="shared" si="5"/>
        <v>15436.02</v>
      </c>
      <c r="L221" s="5">
        <f>11281.81+4154.21</f>
        <v>15436.02</v>
      </c>
      <c r="M221" s="5">
        <v>0</v>
      </c>
      <c r="N221" s="4">
        <v>0</v>
      </c>
      <c r="O221" s="5">
        <f t="shared" si="6"/>
        <v>0</v>
      </c>
      <c r="P221" s="5">
        <v>0</v>
      </c>
      <c r="Q221" s="5">
        <v>0</v>
      </c>
    </row>
    <row r="222" spans="1:17" x14ac:dyDescent="0.25">
      <c r="A222" s="294">
        <f t="shared" si="7"/>
        <v>80</v>
      </c>
      <c r="B222" s="3" t="s">
        <v>39</v>
      </c>
      <c r="C222" s="3" t="s">
        <v>62</v>
      </c>
      <c r="D222" s="3" t="s">
        <v>63</v>
      </c>
      <c r="E222" s="3" t="s">
        <v>77</v>
      </c>
      <c r="F222" s="3" t="s">
        <v>466</v>
      </c>
      <c r="G222" s="4" t="s">
        <v>85</v>
      </c>
      <c r="H222" s="4">
        <v>105</v>
      </c>
      <c r="I222" s="4">
        <v>86</v>
      </c>
      <c r="J222" s="4">
        <v>96</v>
      </c>
      <c r="K222" s="5">
        <f t="shared" si="5"/>
        <v>59812.6</v>
      </c>
      <c r="L222" s="5">
        <v>59812.6</v>
      </c>
      <c r="M222" s="5">
        <v>0</v>
      </c>
      <c r="N222" s="4">
        <v>11</v>
      </c>
      <c r="O222" s="5">
        <f t="shared" si="6"/>
        <v>18898.939999999999</v>
      </c>
      <c r="P222" s="5">
        <v>18898.939999999999</v>
      </c>
      <c r="Q222" s="5">
        <v>0</v>
      </c>
    </row>
    <row r="223" spans="1:17" ht="38.25" x14ac:dyDescent="0.25">
      <c r="A223" s="294">
        <f t="shared" si="7"/>
        <v>81</v>
      </c>
      <c r="B223" s="3" t="s">
        <v>40</v>
      </c>
      <c r="C223" s="3" t="s">
        <v>62</v>
      </c>
      <c r="D223" s="3" t="s">
        <v>63</v>
      </c>
      <c r="E223" s="3" t="s">
        <v>249</v>
      </c>
      <c r="F223" s="3" t="s">
        <v>250</v>
      </c>
      <c r="G223" s="4" t="s">
        <v>85</v>
      </c>
      <c r="H223" s="4">
        <v>30</v>
      </c>
      <c r="I223" s="4">
        <v>25</v>
      </c>
      <c r="J223" s="4">
        <v>38</v>
      </c>
      <c r="K223" s="5">
        <f t="shared" si="5"/>
        <v>72302.81</v>
      </c>
      <c r="L223" s="5">
        <v>72302.81</v>
      </c>
      <c r="M223" s="5">
        <v>0</v>
      </c>
      <c r="N223" s="4">
        <v>18</v>
      </c>
      <c r="O223" s="5">
        <f t="shared" si="6"/>
        <v>51901.91</v>
      </c>
      <c r="P223" s="5">
        <v>51901.91</v>
      </c>
      <c r="Q223" s="5">
        <v>0</v>
      </c>
    </row>
    <row r="224" spans="1:17" ht="25.5" x14ac:dyDescent="0.25">
      <c r="A224" s="294">
        <f t="shared" si="7"/>
        <v>82</v>
      </c>
      <c r="B224" s="3" t="s">
        <v>660</v>
      </c>
      <c r="C224" s="3" t="s">
        <v>67</v>
      </c>
      <c r="D224" s="3" t="s">
        <v>661</v>
      </c>
      <c r="E224" s="3" t="s">
        <v>313</v>
      </c>
      <c r="F224" s="3" t="s">
        <v>662</v>
      </c>
      <c r="G224" s="4" t="s">
        <v>85</v>
      </c>
      <c r="H224" s="4">
        <v>1</v>
      </c>
      <c r="I224" s="4">
        <v>0</v>
      </c>
      <c r="J224" s="4">
        <v>0</v>
      </c>
      <c r="K224" s="5">
        <f t="shared" si="5"/>
        <v>0</v>
      </c>
      <c r="L224" s="5">
        <v>0</v>
      </c>
      <c r="M224" s="5">
        <v>0</v>
      </c>
      <c r="N224" s="4">
        <v>0</v>
      </c>
      <c r="O224" s="5">
        <f t="shared" si="6"/>
        <v>0</v>
      </c>
      <c r="P224" s="5">
        <v>0</v>
      </c>
      <c r="Q224" s="5">
        <v>0</v>
      </c>
    </row>
    <row r="225" spans="1:17" ht="25.5" x14ac:dyDescent="0.25">
      <c r="A225" s="294">
        <f t="shared" si="7"/>
        <v>83</v>
      </c>
      <c r="B225" s="3" t="s">
        <v>251</v>
      </c>
      <c r="C225" s="3" t="s">
        <v>62</v>
      </c>
      <c r="D225" s="3"/>
      <c r="E225" s="3" t="s">
        <v>177</v>
      </c>
      <c r="F225" s="3" t="s">
        <v>252</v>
      </c>
      <c r="G225" s="4" t="s">
        <v>85</v>
      </c>
      <c r="H225" s="4">
        <v>41</v>
      </c>
      <c r="I225" s="4">
        <v>30</v>
      </c>
      <c r="J225" s="4">
        <v>45</v>
      </c>
      <c r="K225" s="5">
        <f t="shared" si="5"/>
        <v>65719.149999999994</v>
      </c>
      <c r="L225" s="5">
        <v>65719.149999999994</v>
      </c>
      <c r="M225" s="5">
        <v>0</v>
      </c>
      <c r="N225" s="4">
        <v>0</v>
      </c>
      <c r="O225" s="5">
        <f t="shared" si="6"/>
        <v>0</v>
      </c>
      <c r="P225" s="5">
        <v>0</v>
      </c>
      <c r="Q225" s="5">
        <v>0</v>
      </c>
    </row>
    <row r="226" spans="1:17" x14ac:dyDescent="0.25">
      <c r="A226" s="294">
        <f t="shared" si="7"/>
        <v>84</v>
      </c>
      <c r="B226" s="3" t="s">
        <v>117</v>
      </c>
      <c r="C226" s="3" t="s">
        <v>62</v>
      </c>
      <c r="D226" s="3" t="s">
        <v>63</v>
      </c>
      <c r="E226" s="3" t="s">
        <v>74</v>
      </c>
      <c r="F226" s="3" t="s">
        <v>520</v>
      </c>
      <c r="G226" s="4" t="s">
        <v>85</v>
      </c>
      <c r="H226" s="4">
        <v>4</v>
      </c>
      <c r="I226" s="4">
        <v>2</v>
      </c>
      <c r="J226" s="4">
        <v>2</v>
      </c>
      <c r="K226" s="5">
        <f t="shared" si="5"/>
        <v>2616.5700000000002</v>
      </c>
      <c r="L226" s="5">
        <v>2616.5700000000002</v>
      </c>
      <c r="M226" s="5">
        <v>0</v>
      </c>
      <c r="N226" s="4">
        <v>3</v>
      </c>
      <c r="O226" s="5">
        <f t="shared" si="6"/>
        <v>9677.56</v>
      </c>
      <c r="P226" s="5">
        <v>9677.56</v>
      </c>
      <c r="Q226" s="5">
        <v>0</v>
      </c>
    </row>
    <row r="227" spans="1:17" ht="25.5" x14ac:dyDescent="0.25">
      <c r="A227" s="294">
        <f t="shared" si="7"/>
        <v>85</v>
      </c>
      <c r="B227" s="3" t="s">
        <v>41</v>
      </c>
      <c r="C227" s="3" t="s">
        <v>64</v>
      </c>
      <c r="D227" s="3" t="s">
        <v>65</v>
      </c>
      <c r="E227" s="3" t="s">
        <v>72</v>
      </c>
      <c r="F227" s="3" t="s">
        <v>253</v>
      </c>
      <c r="G227" s="4" t="s">
        <v>85</v>
      </c>
      <c r="H227" s="4">
        <v>2</v>
      </c>
      <c r="I227" s="4">
        <v>2</v>
      </c>
      <c r="J227" s="4">
        <v>2</v>
      </c>
      <c r="K227" s="5">
        <f t="shared" si="5"/>
        <v>1575.23</v>
      </c>
      <c r="L227" s="5">
        <v>1575.23</v>
      </c>
      <c r="M227" s="5">
        <v>0</v>
      </c>
      <c r="N227" s="4">
        <v>12</v>
      </c>
      <c r="O227" s="5">
        <f t="shared" si="6"/>
        <v>33315.620000000003</v>
      </c>
      <c r="P227" s="5">
        <v>33315.620000000003</v>
      </c>
      <c r="Q227" s="5">
        <v>0</v>
      </c>
    </row>
    <row r="228" spans="1:17" x14ac:dyDescent="0.25">
      <c r="A228" s="294">
        <f t="shared" si="7"/>
        <v>86</v>
      </c>
      <c r="B228" s="3" t="s">
        <v>118</v>
      </c>
      <c r="C228" s="3" t="s">
        <v>62</v>
      </c>
      <c r="D228" s="3" t="s">
        <v>63</v>
      </c>
      <c r="E228" s="3" t="s">
        <v>63</v>
      </c>
      <c r="F228" s="3" t="s">
        <v>467</v>
      </c>
      <c r="G228" s="4" t="s">
        <v>85</v>
      </c>
      <c r="H228" s="4">
        <v>7</v>
      </c>
      <c r="I228" s="4">
        <v>1</v>
      </c>
      <c r="J228" s="4">
        <v>1</v>
      </c>
      <c r="K228" s="5">
        <f t="shared" si="5"/>
        <v>0</v>
      </c>
      <c r="L228" s="5">
        <v>0</v>
      </c>
      <c r="M228" s="5">
        <v>0</v>
      </c>
      <c r="N228" s="4">
        <v>1</v>
      </c>
      <c r="O228" s="5">
        <f t="shared" si="6"/>
        <v>15601.16</v>
      </c>
      <c r="P228" s="5">
        <f>10491.36+5109.8</f>
        <v>15601.16</v>
      </c>
      <c r="Q228" s="5">
        <v>0</v>
      </c>
    </row>
    <row r="229" spans="1:17" ht="25.5" x14ac:dyDescent="0.25">
      <c r="A229" s="294">
        <f t="shared" si="7"/>
        <v>87</v>
      </c>
      <c r="B229" s="3" t="s">
        <v>548</v>
      </c>
      <c r="C229" s="3" t="s">
        <v>62</v>
      </c>
      <c r="D229" s="3"/>
      <c r="E229" s="3" t="s">
        <v>549</v>
      </c>
      <c r="F229" s="3" t="s">
        <v>550</v>
      </c>
      <c r="G229" s="4" t="s">
        <v>85</v>
      </c>
      <c r="H229" s="4">
        <v>3</v>
      </c>
      <c r="I229" s="4">
        <v>1</v>
      </c>
      <c r="J229" s="4">
        <v>1</v>
      </c>
      <c r="K229" s="5">
        <f t="shared" si="5"/>
        <v>0</v>
      </c>
      <c r="L229" s="5">
        <v>0</v>
      </c>
      <c r="M229" s="5">
        <v>0</v>
      </c>
      <c r="N229" s="4">
        <v>0</v>
      </c>
      <c r="O229" s="5">
        <f t="shared" si="6"/>
        <v>0</v>
      </c>
      <c r="P229" s="5">
        <v>0</v>
      </c>
      <c r="Q229" s="5">
        <v>0</v>
      </c>
    </row>
    <row r="230" spans="1:17" ht="25.5" x14ac:dyDescent="0.25">
      <c r="A230" s="294">
        <f t="shared" si="7"/>
        <v>88</v>
      </c>
      <c r="B230" s="3" t="s">
        <v>254</v>
      </c>
      <c r="C230" s="3" t="s">
        <v>62</v>
      </c>
      <c r="D230" s="3"/>
      <c r="E230" s="3" t="s">
        <v>239</v>
      </c>
      <c r="F230" s="3" t="s">
        <v>255</v>
      </c>
      <c r="G230" s="4" t="s">
        <v>85</v>
      </c>
      <c r="H230" s="4">
        <v>11</v>
      </c>
      <c r="I230" s="4">
        <v>8</v>
      </c>
      <c r="J230" s="4">
        <v>9</v>
      </c>
      <c r="K230" s="5">
        <f t="shared" si="5"/>
        <v>10146.51</v>
      </c>
      <c r="L230" s="5">
        <v>10146.51</v>
      </c>
      <c r="M230" s="5">
        <v>0</v>
      </c>
      <c r="N230" s="4">
        <v>0</v>
      </c>
      <c r="O230" s="5">
        <f t="shared" si="6"/>
        <v>0</v>
      </c>
      <c r="P230" s="5">
        <v>0</v>
      </c>
      <c r="Q230" s="5">
        <v>0</v>
      </c>
    </row>
    <row r="231" spans="1:17" x14ac:dyDescent="0.25">
      <c r="A231" s="294">
        <f t="shared" si="7"/>
        <v>89</v>
      </c>
      <c r="B231" s="3" t="s">
        <v>256</v>
      </c>
      <c r="C231" s="3" t="s">
        <v>62</v>
      </c>
      <c r="D231" s="3"/>
      <c r="E231" s="3" t="s">
        <v>158</v>
      </c>
      <c r="F231" s="3" t="s">
        <v>257</v>
      </c>
      <c r="G231" s="4" t="s">
        <v>85</v>
      </c>
      <c r="H231" s="4">
        <v>11</v>
      </c>
      <c r="I231" s="4">
        <v>6</v>
      </c>
      <c r="J231" s="4">
        <v>6</v>
      </c>
      <c r="K231" s="5">
        <f t="shared" si="5"/>
        <v>7885.09</v>
      </c>
      <c r="L231" s="5">
        <f>6265.01+1620.08</f>
        <v>7885.09</v>
      </c>
      <c r="M231" s="5">
        <v>0</v>
      </c>
      <c r="N231" s="4">
        <v>0</v>
      </c>
      <c r="O231" s="5">
        <f t="shared" si="6"/>
        <v>0</v>
      </c>
      <c r="P231" s="5">
        <v>0</v>
      </c>
      <c r="Q231" s="5">
        <v>0</v>
      </c>
    </row>
    <row r="232" spans="1:17" ht="25.5" x14ac:dyDescent="0.25">
      <c r="A232" s="294">
        <f t="shared" si="7"/>
        <v>90</v>
      </c>
      <c r="B232" s="3" t="s">
        <v>574</v>
      </c>
      <c r="C232" s="3" t="s">
        <v>62</v>
      </c>
      <c r="D232" s="3" t="s">
        <v>63</v>
      </c>
      <c r="E232" s="3" t="s">
        <v>575</v>
      </c>
      <c r="F232" s="3" t="s">
        <v>576</v>
      </c>
      <c r="G232" s="4" t="s">
        <v>85</v>
      </c>
      <c r="H232" s="4">
        <v>0</v>
      </c>
      <c r="I232" s="4">
        <v>0</v>
      </c>
      <c r="J232" s="4">
        <v>0</v>
      </c>
      <c r="K232" s="5">
        <f t="shared" si="5"/>
        <v>0</v>
      </c>
      <c r="L232" s="5">
        <v>0</v>
      </c>
      <c r="M232" s="5">
        <v>0</v>
      </c>
      <c r="N232" s="4">
        <v>3</v>
      </c>
      <c r="O232" s="5">
        <f t="shared" si="6"/>
        <v>2509.4</v>
      </c>
      <c r="P232" s="5">
        <v>2509.4</v>
      </c>
      <c r="Q232" s="5">
        <v>0</v>
      </c>
    </row>
    <row r="233" spans="1:17" ht="25.5" x14ac:dyDescent="0.25">
      <c r="A233" s="294">
        <f t="shared" si="7"/>
        <v>91</v>
      </c>
      <c r="B233" s="3" t="s">
        <v>643</v>
      </c>
      <c r="C233" s="3" t="s">
        <v>62</v>
      </c>
      <c r="D233" s="3" t="s">
        <v>63</v>
      </c>
      <c r="E233" s="3" t="s">
        <v>313</v>
      </c>
      <c r="F233" s="3" t="s">
        <v>663</v>
      </c>
      <c r="G233" s="4" t="s">
        <v>85</v>
      </c>
      <c r="H233" s="4">
        <v>1</v>
      </c>
      <c r="I233" s="4">
        <v>0</v>
      </c>
      <c r="J233" s="4">
        <v>0</v>
      </c>
      <c r="K233" s="5">
        <f t="shared" si="5"/>
        <v>0</v>
      </c>
      <c r="L233" s="5">
        <v>0</v>
      </c>
      <c r="M233" s="5">
        <v>0</v>
      </c>
      <c r="N233" s="4">
        <v>0</v>
      </c>
      <c r="O233" s="5">
        <f t="shared" si="6"/>
        <v>0</v>
      </c>
      <c r="P233" s="5">
        <v>0</v>
      </c>
      <c r="Q233" s="5">
        <v>0</v>
      </c>
    </row>
    <row r="234" spans="1:17" ht="25.5" x14ac:dyDescent="0.25">
      <c r="A234" s="294">
        <f t="shared" si="7"/>
        <v>92</v>
      </c>
      <c r="B234" s="3" t="s">
        <v>258</v>
      </c>
      <c r="C234" s="3" t="s">
        <v>62</v>
      </c>
      <c r="D234" s="3"/>
      <c r="E234" s="3" t="s">
        <v>239</v>
      </c>
      <c r="F234" s="3" t="s">
        <v>259</v>
      </c>
      <c r="G234" s="4" t="s">
        <v>85</v>
      </c>
      <c r="H234" s="4">
        <v>32</v>
      </c>
      <c r="I234" s="4">
        <v>21</v>
      </c>
      <c r="J234" s="4">
        <v>22</v>
      </c>
      <c r="K234" s="5">
        <f t="shared" si="5"/>
        <v>39127.08</v>
      </c>
      <c r="L234" s="5">
        <v>39127.08</v>
      </c>
      <c r="M234" s="5">
        <v>0</v>
      </c>
      <c r="N234" s="4">
        <v>0</v>
      </c>
      <c r="O234" s="5">
        <f t="shared" si="6"/>
        <v>0</v>
      </c>
      <c r="P234" s="5">
        <v>0</v>
      </c>
      <c r="Q234" s="5">
        <v>0</v>
      </c>
    </row>
    <row r="235" spans="1:17" ht="25.5" x14ac:dyDescent="0.25">
      <c r="A235" s="294">
        <f t="shared" si="7"/>
        <v>93</v>
      </c>
      <c r="B235" s="3" t="s">
        <v>42</v>
      </c>
      <c r="C235" s="3" t="s">
        <v>62</v>
      </c>
      <c r="D235" s="3" t="s">
        <v>63</v>
      </c>
      <c r="E235" s="3" t="s">
        <v>78</v>
      </c>
      <c r="F235" s="3" t="s">
        <v>260</v>
      </c>
      <c r="G235" s="4" t="s">
        <v>85</v>
      </c>
      <c r="H235" s="4">
        <v>49</v>
      </c>
      <c r="I235" s="4">
        <v>39</v>
      </c>
      <c r="J235" s="4">
        <v>50</v>
      </c>
      <c r="K235" s="5">
        <f t="shared" si="5"/>
        <v>91702.68</v>
      </c>
      <c r="L235" s="5">
        <v>91702.68</v>
      </c>
      <c r="M235" s="5">
        <v>0</v>
      </c>
      <c r="N235" s="4">
        <v>32</v>
      </c>
      <c r="O235" s="5">
        <f t="shared" si="6"/>
        <v>157669.39000000001</v>
      </c>
      <c r="P235" s="5">
        <v>157669.39000000001</v>
      </c>
      <c r="Q235" s="5">
        <v>0</v>
      </c>
    </row>
    <row r="236" spans="1:17" ht="25.5" x14ac:dyDescent="0.25">
      <c r="A236" s="294">
        <f t="shared" si="7"/>
        <v>94</v>
      </c>
      <c r="B236" s="3" t="s">
        <v>43</v>
      </c>
      <c r="C236" s="3" t="s">
        <v>62</v>
      </c>
      <c r="D236" s="3" t="s">
        <v>63</v>
      </c>
      <c r="E236" s="3" t="s">
        <v>72</v>
      </c>
      <c r="F236" s="3" t="s">
        <v>261</v>
      </c>
      <c r="G236" s="4" t="s">
        <v>85</v>
      </c>
      <c r="H236" s="4">
        <v>23</v>
      </c>
      <c r="I236" s="4">
        <v>18</v>
      </c>
      <c r="J236" s="4">
        <v>25</v>
      </c>
      <c r="K236" s="5">
        <f t="shared" si="5"/>
        <v>39852.75</v>
      </c>
      <c r="L236" s="5">
        <v>39852.75</v>
      </c>
      <c r="M236" s="5">
        <v>0</v>
      </c>
      <c r="N236" s="4">
        <v>45</v>
      </c>
      <c r="O236" s="5">
        <f t="shared" si="6"/>
        <v>175198.46</v>
      </c>
      <c r="P236" s="5">
        <v>175198.46</v>
      </c>
      <c r="Q236" s="5">
        <v>0</v>
      </c>
    </row>
    <row r="237" spans="1:17" x14ac:dyDescent="0.25">
      <c r="A237" s="294">
        <f t="shared" si="7"/>
        <v>95</v>
      </c>
      <c r="B237" s="3" t="s">
        <v>44</v>
      </c>
      <c r="C237" s="3" t="s">
        <v>62</v>
      </c>
      <c r="D237" s="3" t="s">
        <v>63</v>
      </c>
      <c r="E237" s="3" t="s">
        <v>74</v>
      </c>
      <c r="F237" s="3" t="s">
        <v>262</v>
      </c>
      <c r="G237" s="4" t="s">
        <v>85</v>
      </c>
      <c r="H237" s="4">
        <v>46</v>
      </c>
      <c r="I237" s="4">
        <v>32</v>
      </c>
      <c r="J237" s="4">
        <v>37</v>
      </c>
      <c r="K237" s="5">
        <f t="shared" si="5"/>
        <v>30894.23</v>
      </c>
      <c r="L237" s="5">
        <v>30894.23</v>
      </c>
      <c r="M237" s="5">
        <v>0</v>
      </c>
      <c r="N237" s="4">
        <v>38</v>
      </c>
      <c r="O237" s="5">
        <f t="shared" si="6"/>
        <v>147210.87</v>
      </c>
      <c r="P237" s="5">
        <v>147210.87</v>
      </c>
      <c r="Q237" s="5">
        <v>0</v>
      </c>
    </row>
    <row r="238" spans="1:17" ht="25.5" x14ac:dyDescent="0.25">
      <c r="A238" s="294">
        <f t="shared" si="7"/>
        <v>96</v>
      </c>
      <c r="B238" s="3" t="s">
        <v>45</v>
      </c>
      <c r="C238" s="3" t="s">
        <v>62</v>
      </c>
      <c r="D238" s="3" t="s">
        <v>63</v>
      </c>
      <c r="E238" s="3" t="s">
        <v>79</v>
      </c>
      <c r="F238" s="3" t="s">
        <v>263</v>
      </c>
      <c r="G238" s="4" t="s">
        <v>85</v>
      </c>
      <c r="H238" s="4">
        <v>15</v>
      </c>
      <c r="I238" s="4">
        <v>12</v>
      </c>
      <c r="J238" s="4">
        <v>17</v>
      </c>
      <c r="K238" s="5">
        <f t="shared" si="5"/>
        <v>27996.89</v>
      </c>
      <c r="L238" s="5">
        <v>27996.89</v>
      </c>
      <c r="M238" s="5">
        <v>0</v>
      </c>
      <c r="N238" s="4">
        <v>4</v>
      </c>
      <c r="O238" s="5">
        <f t="shared" si="6"/>
        <v>25980.78</v>
      </c>
      <c r="P238" s="5">
        <v>25980.78</v>
      </c>
      <c r="Q238" s="5">
        <v>0</v>
      </c>
    </row>
    <row r="239" spans="1:17" x14ac:dyDescent="0.25">
      <c r="A239" s="294">
        <f t="shared" si="7"/>
        <v>97</v>
      </c>
      <c r="B239" s="3" t="s">
        <v>264</v>
      </c>
      <c r="C239" s="3" t="s">
        <v>62</v>
      </c>
      <c r="D239" s="3" t="s">
        <v>63</v>
      </c>
      <c r="E239" s="3" t="s">
        <v>74</v>
      </c>
      <c r="F239" s="3" t="s">
        <v>265</v>
      </c>
      <c r="G239" s="4" t="s">
        <v>85</v>
      </c>
      <c r="H239" s="4">
        <v>25</v>
      </c>
      <c r="I239" s="4">
        <v>21</v>
      </c>
      <c r="J239" s="4">
        <v>24</v>
      </c>
      <c r="K239" s="5">
        <f t="shared" si="5"/>
        <v>18935.36</v>
      </c>
      <c r="L239" s="5">
        <f>15861.81+3073.55</f>
        <v>18935.36</v>
      </c>
      <c r="M239" s="5">
        <v>0</v>
      </c>
      <c r="N239" s="4">
        <v>0</v>
      </c>
      <c r="O239" s="5">
        <f t="shared" si="6"/>
        <v>0</v>
      </c>
      <c r="P239" s="5">
        <v>0</v>
      </c>
      <c r="Q239" s="5">
        <v>0</v>
      </c>
    </row>
    <row r="240" spans="1:17" ht="25.5" x14ac:dyDescent="0.25">
      <c r="A240" s="294">
        <f t="shared" si="7"/>
        <v>98</v>
      </c>
      <c r="B240" s="3" t="s">
        <v>119</v>
      </c>
      <c r="C240" s="3" t="s">
        <v>62</v>
      </c>
      <c r="D240" s="3" t="s">
        <v>63</v>
      </c>
      <c r="E240" s="3" t="s">
        <v>108</v>
      </c>
      <c r="F240" s="3" t="s">
        <v>266</v>
      </c>
      <c r="G240" s="4" t="s">
        <v>85</v>
      </c>
      <c r="H240" s="4">
        <v>17</v>
      </c>
      <c r="I240" s="4">
        <v>13</v>
      </c>
      <c r="J240" s="4">
        <v>15</v>
      </c>
      <c r="K240" s="5">
        <f t="shared" si="5"/>
        <v>20121.990000000002</v>
      </c>
      <c r="L240" s="5">
        <f>18071.58+2050.41</f>
        <v>20121.990000000002</v>
      </c>
      <c r="M240" s="5">
        <v>0</v>
      </c>
      <c r="N240" s="4">
        <v>4</v>
      </c>
      <c r="O240" s="5">
        <f t="shared" si="6"/>
        <v>1881.62</v>
      </c>
      <c r="P240" s="5">
        <v>1881.62</v>
      </c>
      <c r="Q240" s="5">
        <v>0</v>
      </c>
    </row>
    <row r="241" spans="1:17" ht="38.25" x14ac:dyDescent="0.25">
      <c r="A241" s="294">
        <f t="shared" si="7"/>
        <v>99</v>
      </c>
      <c r="B241" s="3" t="s">
        <v>46</v>
      </c>
      <c r="C241" s="3" t="s">
        <v>62</v>
      </c>
      <c r="D241" s="3" t="s">
        <v>63</v>
      </c>
      <c r="E241" s="3" t="s">
        <v>267</v>
      </c>
      <c r="F241" s="3" t="s">
        <v>268</v>
      </c>
      <c r="G241" s="4" t="s">
        <v>85</v>
      </c>
      <c r="H241" s="4">
        <v>21</v>
      </c>
      <c r="I241" s="4">
        <v>16</v>
      </c>
      <c r="J241" s="4">
        <v>26</v>
      </c>
      <c r="K241" s="5">
        <f t="shared" si="5"/>
        <v>60965.35</v>
      </c>
      <c r="L241" s="5">
        <f>59873.64+1091.71</f>
        <v>60965.35</v>
      </c>
      <c r="M241" s="5">
        <v>0</v>
      </c>
      <c r="N241" s="4">
        <v>24</v>
      </c>
      <c r="O241" s="5">
        <f t="shared" si="6"/>
        <v>125896.58</v>
      </c>
      <c r="P241" s="5">
        <v>125896.58</v>
      </c>
      <c r="Q241" s="5">
        <v>0</v>
      </c>
    </row>
    <row r="242" spans="1:17" ht="25.5" x14ac:dyDescent="0.25">
      <c r="A242" s="294">
        <f t="shared" si="7"/>
        <v>100</v>
      </c>
      <c r="B242" s="3" t="s">
        <v>47</v>
      </c>
      <c r="C242" s="3" t="s">
        <v>62</v>
      </c>
      <c r="D242" s="3" t="s">
        <v>63</v>
      </c>
      <c r="E242" s="3" t="s">
        <v>80</v>
      </c>
      <c r="F242" s="3" t="s">
        <v>269</v>
      </c>
      <c r="G242" s="4" t="s">
        <v>85</v>
      </c>
      <c r="H242" s="4">
        <v>76</v>
      </c>
      <c r="I242" s="4">
        <v>60</v>
      </c>
      <c r="J242" s="4">
        <v>93</v>
      </c>
      <c r="K242" s="5">
        <f t="shared" si="5"/>
        <v>130721.37</v>
      </c>
      <c r="L242" s="5">
        <v>130721.37</v>
      </c>
      <c r="M242" s="5">
        <v>0</v>
      </c>
      <c r="N242" s="4">
        <v>121</v>
      </c>
      <c r="O242" s="5">
        <f t="shared" si="6"/>
        <v>439929.29</v>
      </c>
      <c r="P242" s="5">
        <v>439929.29</v>
      </c>
      <c r="Q242" s="5">
        <v>0</v>
      </c>
    </row>
    <row r="243" spans="1:17" ht="25.5" x14ac:dyDescent="0.25">
      <c r="A243" s="294">
        <f t="shared" si="7"/>
        <v>101</v>
      </c>
      <c r="B243" s="3" t="s">
        <v>270</v>
      </c>
      <c r="C243" s="3" t="s">
        <v>62</v>
      </c>
      <c r="D243" s="3"/>
      <c r="E243" s="3" t="s">
        <v>271</v>
      </c>
      <c r="F243" s="3" t="s">
        <v>272</v>
      </c>
      <c r="G243" s="4" t="s">
        <v>85</v>
      </c>
      <c r="H243" s="4">
        <v>14</v>
      </c>
      <c r="I243" s="4">
        <v>10</v>
      </c>
      <c r="J243" s="4">
        <v>15</v>
      </c>
      <c r="K243" s="5">
        <f t="shared" si="5"/>
        <v>23603.22</v>
      </c>
      <c r="L243" s="5">
        <v>23603.22</v>
      </c>
      <c r="M243" s="5">
        <v>0</v>
      </c>
      <c r="N243" s="4">
        <v>0</v>
      </c>
      <c r="O243" s="5">
        <f t="shared" si="6"/>
        <v>0</v>
      </c>
      <c r="P243" s="5">
        <v>0</v>
      </c>
      <c r="Q243" s="5">
        <v>0</v>
      </c>
    </row>
    <row r="244" spans="1:17" ht="25.5" x14ac:dyDescent="0.25">
      <c r="A244" s="294">
        <f t="shared" si="7"/>
        <v>102</v>
      </c>
      <c r="B244" s="3" t="s">
        <v>621</v>
      </c>
      <c r="C244" s="3" t="s">
        <v>62</v>
      </c>
      <c r="D244" s="3"/>
      <c r="E244" s="3" t="s">
        <v>239</v>
      </c>
      <c r="F244" s="3" t="s">
        <v>664</v>
      </c>
      <c r="G244" s="4" t="s">
        <v>85</v>
      </c>
      <c r="H244" s="4">
        <v>1</v>
      </c>
      <c r="I244" s="4">
        <v>0</v>
      </c>
      <c r="J244" s="4">
        <v>0</v>
      </c>
      <c r="K244" s="5">
        <f t="shared" si="5"/>
        <v>0</v>
      </c>
      <c r="L244" s="5">
        <v>0</v>
      </c>
      <c r="M244" s="5">
        <v>0</v>
      </c>
      <c r="N244" s="4">
        <v>0</v>
      </c>
      <c r="O244" s="5">
        <f t="shared" si="6"/>
        <v>0</v>
      </c>
      <c r="P244" s="5">
        <v>0</v>
      </c>
      <c r="Q244" s="5">
        <v>0</v>
      </c>
    </row>
    <row r="245" spans="1:17" ht="25.5" x14ac:dyDescent="0.25">
      <c r="A245" s="294">
        <f t="shared" si="7"/>
        <v>103</v>
      </c>
      <c r="B245" s="3" t="s">
        <v>273</v>
      </c>
      <c r="C245" s="3" t="s">
        <v>62</v>
      </c>
      <c r="D245" s="3"/>
      <c r="E245" s="3" t="s">
        <v>186</v>
      </c>
      <c r="F245" s="3" t="s">
        <v>511</v>
      </c>
      <c r="G245" s="4" t="s">
        <v>85</v>
      </c>
      <c r="H245" s="4">
        <v>9</v>
      </c>
      <c r="I245" s="4">
        <v>0</v>
      </c>
      <c r="J245" s="4">
        <v>0</v>
      </c>
      <c r="K245" s="5">
        <f t="shared" si="5"/>
        <v>0</v>
      </c>
      <c r="L245" s="5">
        <v>0</v>
      </c>
      <c r="M245" s="5">
        <v>0</v>
      </c>
      <c r="N245" s="4">
        <v>0</v>
      </c>
      <c r="O245" s="5">
        <f t="shared" si="6"/>
        <v>0</v>
      </c>
      <c r="P245" s="5">
        <v>0</v>
      </c>
      <c r="Q245" s="5">
        <v>0</v>
      </c>
    </row>
    <row r="246" spans="1:17" x14ac:dyDescent="0.25">
      <c r="A246" s="294">
        <f t="shared" si="7"/>
        <v>104</v>
      </c>
      <c r="B246" s="3" t="s">
        <v>490</v>
      </c>
      <c r="C246" s="3" t="s">
        <v>62</v>
      </c>
      <c r="D246" s="3"/>
      <c r="E246" s="3" t="s">
        <v>491</v>
      </c>
      <c r="F246" s="3" t="s">
        <v>492</v>
      </c>
      <c r="G246" s="4" t="s">
        <v>85</v>
      </c>
      <c r="H246" s="4">
        <v>12</v>
      </c>
      <c r="I246" s="4">
        <v>7</v>
      </c>
      <c r="J246" s="4">
        <v>9</v>
      </c>
      <c r="K246" s="5">
        <f t="shared" si="5"/>
        <v>10195.18</v>
      </c>
      <c r="L246" s="5">
        <v>10195.18</v>
      </c>
      <c r="M246" s="5">
        <v>0</v>
      </c>
      <c r="N246" s="4">
        <v>0</v>
      </c>
      <c r="O246" s="5">
        <f t="shared" si="6"/>
        <v>0</v>
      </c>
      <c r="P246" s="5">
        <v>0</v>
      </c>
      <c r="Q246" s="5">
        <v>0</v>
      </c>
    </row>
    <row r="247" spans="1:17" x14ac:dyDescent="0.25">
      <c r="A247" s="294">
        <f t="shared" si="7"/>
        <v>105</v>
      </c>
      <c r="B247" s="3" t="s">
        <v>94</v>
      </c>
      <c r="C247" s="3" t="s">
        <v>62</v>
      </c>
      <c r="D247" s="3" t="s">
        <v>63</v>
      </c>
      <c r="E247" s="3" t="s">
        <v>74</v>
      </c>
      <c r="F247" s="3" t="s">
        <v>274</v>
      </c>
      <c r="G247" s="4" t="s">
        <v>85</v>
      </c>
      <c r="H247" s="4">
        <v>17</v>
      </c>
      <c r="I247" s="4">
        <v>5</v>
      </c>
      <c r="J247" s="4">
        <v>5</v>
      </c>
      <c r="K247" s="5">
        <f t="shared" si="5"/>
        <v>7580.9</v>
      </c>
      <c r="L247" s="5">
        <f>2990.36+4590.54</f>
        <v>7580.9</v>
      </c>
      <c r="M247" s="5">
        <v>0</v>
      </c>
      <c r="N247" s="4">
        <v>6</v>
      </c>
      <c r="O247" s="5">
        <f t="shared" si="6"/>
        <v>9361.67</v>
      </c>
      <c r="P247" s="5">
        <v>9361.67</v>
      </c>
      <c r="Q247" s="5">
        <v>0</v>
      </c>
    </row>
    <row r="248" spans="1:17" ht="25.5" x14ac:dyDescent="0.25">
      <c r="A248" s="294">
        <f t="shared" si="7"/>
        <v>106</v>
      </c>
      <c r="B248" s="3" t="s">
        <v>120</v>
      </c>
      <c r="C248" s="3" t="s">
        <v>67</v>
      </c>
      <c r="D248" s="3" t="s">
        <v>493</v>
      </c>
      <c r="E248" s="3" t="s">
        <v>121</v>
      </c>
      <c r="F248" s="3" t="s">
        <v>468</v>
      </c>
      <c r="G248" s="4" t="s">
        <v>85</v>
      </c>
      <c r="H248" s="4">
        <v>10</v>
      </c>
      <c r="I248" s="4">
        <v>8</v>
      </c>
      <c r="J248" s="4">
        <v>9</v>
      </c>
      <c r="K248" s="5">
        <f t="shared" si="5"/>
        <v>11996.24</v>
      </c>
      <c r="L248" s="5">
        <f>10363.92+1632.32</f>
        <v>11996.24</v>
      </c>
      <c r="M248" s="5">
        <v>0</v>
      </c>
      <c r="N248" s="4">
        <v>0</v>
      </c>
      <c r="O248" s="5">
        <f t="shared" si="6"/>
        <v>0</v>
      </c>
      <c r="P248" s="5">
        <v>0</v>
      </c>
      <c r="Q248" s="5">
        <v>0</v>
      </c>
    </row>
    <row r="249" spans="1:17" ht="25.5" x14ac:dyDescent="0.25">
      <c r="A249" s="294">
        <f t="shared" si="7"/>
        <v>107</v>
      </c>
      <c r="B249" s="3" t="s">
        <v>407</v>
      </c>
      <c r="C249" s="3" t="s">
        <v>62</v>
      </c>
      <c r="D249" s="3"/>
      <c r="E249" s="3" t="s">
        <v>186</v>
      </c>
      <c r="F249" s="3" t="s">
        <v>512</v>
      </c>
      <c r="G249" s="4" t="s">
        <v>85</v>
      </c>
      <c r="H249" s="4">
        <v>6</v>
      </c>
      <c r="I249" s="4">
        <v>2</v>
      </c>
      <c r="J249" s="4">
        <v>4</v>
      </c>
      <c r="K249" s="5">
        <f t="shared" si="5"/>
        <v>0</v>
      </c>
      <c r="L249" s="5">
        <v>0</v>
      </c>
      <c r="M249" s="5">
        <v>0</v>
      </c>
      <c r="N249" s="4">
        <v>0</v>
      </c>
      <c r="O249" s="5">
        <f t="shared" si="6"/>
        <v>0</v>
      </c>
      <c r="P249" s="5">
        <v>0</v>
      </c>
      <c r="Q249" s="5">
        <v>0</v>
      </c>
    </row>
    <row r="250" spans="1:17" ht="25.5" x14ac:dyDescent="0.25">
      <c r="A250" s="294">
        <f t="shared" si="7"/>
        <v>108</v>
      </c>
      <c r="B250" s="3" t="s">
        <v>122</v>
      </c>
      <c r="C250" s="3" t="s">
        <v>62</v>
      </c>
      <c r="D250" s="3" t="s">
        <v>63</v>
      </c>
      <c r="E250" s="3" t="s">
        <v>275</v>
      </c>
      <c r="F250" s="3" t="s">
        <v>276</v>
      </c>
      <c r="G250" s="4" t="s">
        <v>85</v>
      </c>
      <c r="H250" s="4">
        <v>13</v>
      </c>
      <c r="I250" s="4">
        <v>11</v>
      </c>
      <c r="J250" s="4">
        <v>17</v>
      </c>
      <c r="K250" s="5">
        <f t="shared" si="5"/>
        <v>18022.7</v>
      </c>
      <c r="L250" s="5">
        <v>18022.7</v>
      </c>
      <c r="M250" s="5">
        <v>0</v>
      </c>
      <c r="N250" s="4">
        <v>5</v>
      </c>
      <c r="O250" s="5">
        <f t="shared" si="6"/>
        <v>9159.1299999999992</v>
      </c>
      <c r="P250" s="5">
        <v>9159.1299999999992</v>
      </c>
      <c r="Q250" s="5">
        <v>0</v>
      </c>
    </row>
    <row r="251" spans="1:17" x14ac:dyDescent="0.25">
      <c r="A251" s="294">
        <f t="shared" si="7"/>
        <v>109</v>
      </c>
      <c r="B251" s="3" t="s">
        <v>133</v>
      </c>
      <c r="C251" s="3" t="s">
        <v>67</v>
      </c>
      <c r="D251" s="3" t="s">
        <v>494</v>
      </c>
      <c r="E251" s="3" t="s">
        <v>74</v>
      </c>
      <c r="F251" s="3" t="s">
        <v>620</v>
      </c>
      <c r="G251" s="4" t="s">
        <v>85</v>
      </c>
      <c r="H251" s="4">
        <v>13</v>
      </c>
      <c r="I251" s="4">
        <v>7</v>
      </c>
      <c r="J251" s="4">
        <v>10</v>
      </c>
      <c r="K251" s="5">
        <f t="shared" si="5"/>
        <v>18470.009999999998</v>
      </c>
      <c r="L251" s="5">
        <v>18470.009999999998</v>
      </c>
      <c r="M251" s="5">
        <v>0</v>
      </c>
      <c r="N251" s="4">
        <v>0</v>
      </c>
      <c r="O251" s="5">
        <f t="shared" si="6"/>
        <v>0</v>
      </c>
      <c r="P251" s="5">
        <v>0</v>
      </c>
      <c r="Q251" s="5">
        <v>0</v>
      </c>
    </row>
    <row r="252" spans="1:17" x14ac:dyDescent="0.25">
      <c r="A252" s="294">
        <f t="shared" si="7"/>
        <v>110</v>
      </c>
      <c r="B252" s="3" t="s">
        <v>96</v>
      </c>
      <c r="C252" s="3" t="s">
        <v>62</v>
      </c>
      <c r="D252" s="3" t="s">
        <v>63</v>
      </c>
      <c r="E252" s="3" t="s">
        <v>98</v>
      </c>
      <c r="F252" s="3" t="s">
        <v>277</v>
      </c>
      <c r="G252" s="4" t="s">
        <v>85</v>
      </c>
      <c r="H252" s="4">
        <v>39</v>
      </c>
      <c r="I252" s="4">
        <v>10</v>
      </c>
      <c r="J252" s="4">
        <v>13</v>
      </c>
      <c r="K252" s="5">
        <f t="shared" si="5"/>
        <v>22080.639999999999</v>
      </c>
      <c r="L252" s="5">
        <v>22080.639999999999</v>
      </c>
      <c r="M252" s="5">
        <v>0</v>
      </c>
      <c r="N252" s="4">
        <v>11</v>
      </c>
      <c r="O252" s="5">
        <f t="shared" si="6"/>
        <v>47171.47</v>
      </c>
      <c r="P252" s="5">
        <v>47171.47</v>
      </c>
      <c r="Q252" s="5">
        <v>0</v>
      </c>
    </row>
    <row r="253" spans="1:17" ht="25.5" x14ac:dyDescent="0.25">
      <c r="A253" s="294">
        <f t="shared" si="7"/>
        <v>111</v>
      </c>
      <c r="B253" s="3" t="s">
        <v>48</v>
      </c>
      <c r="C253" s="3" t="s">
        <v>62</v>
      </c>
      <c r="D253" s="3" t="s">
        <v>63</v>
      </c>
      <c r="E253" s="3" t="s">
        <v>81</v>
      </c>
      <c r="F253" s="3" t="s">
        <v>278</v>
      </c>
      <c r="G253" s="4" t="s">
        <v>85</v>
      </c>
      <c r="H253" s="4">
        <v>52</v>
      </c>
      <c r="I253" s="4">
        <v>37</v>
      </c>
      <c r="J253" s="4">
        <v>53</v>
      </c>
      <c r="K253" s="5">
        <f t="shared" si="5"/>
        <v>79346.02</v>
      </c>
      <c r="L253" s="5">
        <v>79346.02</v>
      </c>
      <c r="M253" s="5">
        <v>0</v>
      </c>
      <c r="N253" s="4">
        <v>15</v>
      </c>
      <c r="O253" s="5">
        <f t="shared" si="6"/>
        <v>56668.88</v>
      </c>
      <c r="P253" s="5">
        <v>56668.88</v>
      </c>
      <c r="Q253" s="5">
        <v>0</v>
      </c>
    </row>
    <row r="254" spans="1:17" x14ac:dyDescent="0.25">
      <c r="A254" s="294">
        <f t="shared" si="7"/>
        <v>112</v>
      </c>
      <c r="B254" s="3" t="s">
        <v>49</v>
      </c>
      <c r="C254" s="3" t="s">
        <v>62</v>
      </c>
      <c r="D254" s="3" t="s">
        <v>63</v>
      </c>
      <c r="E254" s="3" t="s">
        <v>74</v>
      </c>
      <c r="F254" s="3" t="s">
        <v>279</v>
      </c>
      <c r="G254" s="4" t="s">
        <v>85</v>
      </c>
      <c r="H254" s="4">
        <v>23</v>
      </c>
      <c r="I254" s="4">
        <v>20</v>
      </c>
      <c r="J254" s="4">
        <v>23</v>
      </c>
      <c r="K254" s="5">
        <f t="shared" si="5"/>
        <v>33016.22</v>
      </c>
      <c r="L254" s="5">
        <f>30407.52+2608.7</f>
        <v>33016.22</v>
      </c>
      <c r="M254" s="5">
        <v>0</v>
      </c>
      <c r="N254" s="4">
        <v>6</v>
      </c>
      <c r="O254" s="5">
        <f t="shared" si="6"/>
        <v>37590.26</v>
      </c>
      <c r="P254" s="5">
        <v>37590.26</v>
      </c>
      <c r="Q254" s="5">
        <v>0</v>
      </c>
    </row>
    <row r="255" spans="1:17" ht="25.5" x14ac:dyDescent="0.25">
      <c r="A255" s="294">
        <f t="shared" si="7"/>
        <v>113</v>
      </c>
      <c r="B255" s="3" t="s">
        <v>50</v>
      </c>
      <c r="C255" s="3" t="s">
        <v>67</v>
      </c>
      <c r="D255" s="3" t="s">
        <v>123</v>
      </c>
      <c r="E255" s="3" t="s">
        <v>82</v>
      </c>
      <c r="F255" s="3" t="s">
        <v>280</v>
      </c>
      <c r="G255" s="4" t="s">
        <v>85</v>
      </c>
      <c r="H255" s="4">
        <v>7</v>
      </c>
      <c r="I255" s="4">
        <v>2</v>
      </c>
      <c r="J255" s="4">
        <v>2</v>
      </c>
      <c r="K255" s="5">
        <f t="shared" si="5"/>
        <v>3726.29</v>
      </c>
      <c r="L255" s="5">
        <v>3726.29</v>
      </c>
      <c r="M255" s="5">
        <v>0</v>
      </c>
      <c r="N255" s="4">
        <v>5</v>
      </c>
      <c r="O255" s="5">
        <f t="shared" si="6"/>
        <v>21689.57</v>
      </c>
      <c r="P255" s="5">
        <v>21689.57</v>
      </c>
      <c r="Q255" s="5">
        <v>0</v>
      </c>
    </row>
    <row r="256" spans="1:17" ht="25.5" x14ac:dyDescent="0.25">
      <c r="A256" s="294">
        <f t="shared" si="7"/>
        <v>114</v>
      </c>
      <c r="B256" s="3" t="s">
        <v>281</v>
      </c>
      <c r="C256" s="3" t="s">
        <v>62</v>
      </c>
      <c r="D256" s="3"/>
      <c r="E256" s="3" t="s">
        <v>282</v>
      </c>
      <c r="F256" s="3" t="s">
        <v>283</v>
      </c>
      <c r="G256" s="4" t="s">
        <v>85</v>
      </c>
      <c r="H256" s="4">
        <v>26</v>
      </c>
      <c r="I256" s="4">
        <v>5</v>
      </c>
      <c r="J256" s="4">
        <v>5</v>
      </c>
      <c r="K256" s="5">
        <f t="shared" si="5"/>
        <v>2685.29</v>
      </c>
      <c r="L256" s="5">
        <v>2685.29</v>
      </c>
      <c r="M256" s="5">
        <v>0</v>
      </c>
      <c r="N256" s="4">
        <v>0</v>
      </c>
      <c r="O256" s="5">
        <f t="shared" si="6"/>
        <v>0</v>
      </c>
      <c r="P256" s="5">
        <v>0</v>
      </c>
      <c r="Q256" s="5">
        <v>0</v>
      </c>
    </row>
    <row r="257" spans="1:17" x14ac:dyDescent="0.25">
      <c r="A257" s="294">
        <f t="shared" si="7"/>
        <v>115</v>
      </c>
      <c r="B257" s="3" t="s">
        <v>124</v>
      </c>
      <c r="C257" s="3" t="s">
        <v>62</v>
      </c>
      <c r="D257" s="3" t="s">
        <v>63</v>
      </c>
      <c r="E257" s="3" t="s">
        <v>63</v>
      </c>
      <c r="F257" s="3" t="s">
        <v>284</v>
      </c>
      <c r="G257" s="4" t="s">
        <v>85</v>
      </c>
      <c r="H257" s="4">
        <v>33</v>
      </c>
      <c r="I257" s="4">
        <v>30</v>
      </c>
      <c r="J257" s="4">
        <v>40</v>
      </c>
      <c r="K257" s="5">
        <f t="shared" si="5"/>
        <v>58265.41</v>
      </c>
      <c r="L257" s="5">
        <f>56018.86+2246.55</f>
        <v>58265.41</v>
      </c>
      <c r="M257" s="5">
        <v>0</v>
      </c>
      <c r="N257" s="4">
        <v>18</v>
      </c>
      <c r="O257" s="5">
        <f t="shared" si="6"/>
        <v>21019.74</v>
      </c>
      <c r="P257" s="5">
        <v>21019.74</v>
      </c>
      <c r="Q257" s="5">
        <v>0</v>
      </c>
    </row>
    <row r="258" spans="1:17" x14ac:dyDescent="0.25">
      <c r="A258" s="294">
        <f t="shared" si="7"/>
        <v>116</v>
      </c>
      <c r="B258" s="3" t="s">
        <v>51</v>
      </c>
      <c r="C258" s="3" t="s">
        <v>62</v>
      </c>
      <c r="D258" s="3" t="s">
        <v>63</v>
      </c>
      <c r="E258" s="3" t="s">
        <v>74</v>
      </c>
      <c r="F258" s="3" t="s">
        <v>285</v>
      </c>
      <c r="G258" s="4" t="s">
        <v>85</v>
      </c>
      <c r="H258" s="4">
        <v>18</v>
      </c>
      <c r="I258" s="4">
        <v>15</v>
      </c>
      <c r="J258" s="4">
        <v>16</v>
      </c>
      <c r="K258" s="5">
        <f t="shared" si="5"/>
        <v>5873.82</v>
      </c>
      <c r="L258" s="5">
        <v>5873.82</v>
      </c>
      <c r="M258" s="5">
        <v>0</v>
      </c>
      <c r="N258" s="4">
        <v>10</v>
      </c>
      <c r="O258" s="5">
        <f t="shared" si="6"/>
        <v>1797.24</v>
      </c>
      <c r="P258" s="5">
        <v>1797.24</v>
      </c>
      <c r="Q258" s="5">
        <v>0</v>
      </c>
    </row>
    <row r="259" spans="1:17" x14ac:dyDescent="0.25">
      <c r="A259" s="294">
        <f t="shared" si="7"/>
        <v>117</v>
      </c>
      <c r="B259" s="3" t="s">
        <v>665</v>
      </c>
      <c r="C259" s="3" t="s">
        <v>62</v>
      </c>
      <c r="D259" s="3" t="s">
        <v>63</v>
      </c>
      <c r="E259" s="3" t="s">
        <v>74</v>
      </c>
      <c r="F259" s="3" t="s">
        <v>666</v>
      </c>
      <c r="G259" s="4" t="s">
        <v>85</v>
      </c>
      <c r="H259" s="4">
        <v>0</v>
      </c>
      <c r="I259" s="4">
        <v>0</v>
      </c>
      <c r="J259" s="4">
        <v>0</v>
      </c>
      <c r="K259" s="5">
        <f t="shared" si="5"/>
        <v>0</v>
      </c>
      <c r="L259" s="5">
        <v>0</v>
      </c>
      <c r="M259" s="5">
        <v>0</v>
      </c>
      <c r="N259" s="4">
        <v>1</v>
      </c>
      <c r="O259" s="5">
        <f t="shared" si="6"/>
        <v>0</v>
      </c>
      <c r="P259" s="5">
        <v>0</v>
      </c>
      <c r="Q259" s="5">
        <v>0</v>
      </c>
    </row>
    <row r="260" spans="1:17" ht="25.5" x14ac:dyDescent="0.25">
      <c r="A260" s="294">
        <f t="shared" si="7"/>
        <v>118</v>
      </c>
      <c r="B260" s="3" t="s">
        <v>286</v>
      </c>
      <c r="C260" s="3" t="s">
        <v>62</v>
      </c>
      <c r="D260" s="3"/>
      <c r="E260" s="3" t="s">
        <v>174</v>
      </c>
      <c r="F260" s="3" t="s">
        <v>287</v>
      </c>
      <c r="G260" s="4" t="s">
        <v>85</v>
      </c>
      <c r="H260" s="4">
        <v>15</v>
      </c>
      <c r="I260" s="4">
        <v>11</v>
      </c>
      <c r="J260" s="4">
        <v>13</v>
      </c>
      <c r="K260" s="5">
        <f t="shared" si="5"/>
        <v>11071.01</v>
      </c>
      <c r="L260" s="5">
        <v>11071.01</v>
      </c>
      <c r="M260" s="5">
        <v>0</v>
      </c>
      <c r="N260" s="4">
        <v>0</v>
      </c>
      <c r="O260" s="5">
        <f t="shared" si="6"/>
        <v>0</v>
      </c>
      <c r="P260" s="5">
        <v>0</v>
      </c>
      <c r="Q260" s="5">
        <v>0</v>
      </c>
    </row>
    <row r="261" spans="1:17" x14ac:dyDescent="0.25">
      <c r="A261" s="294">
        <f t="shared" si="7"/>
        <v>119</v>
      </c>
      <c r="B261" s="3" t="s">
        <v>52</v>
      </c>
      <c r="C261" s="3" t="s">
        <v>62</v>
      </c>
      <c r="D261" s="3" t="s">
        <v>63</v>
      </c>
      <c r="E261" s="3" t="s">
        <v>74</v>
      </c>
      <c r="F261" s="3" t="s">
        <v>125</v>
      </c>
      <c r="G261" s="4" t="s">
        <v>85</v>
      </c>
      <c r="H261" s="4">
        <v>3</v>
      </c>
      <c r="I261" s="4">
        <v>0</v>
      </c>
      <c r="J261" s="4">
        <v>0</v>
      </c>
      <c r="K261" s="5">
        <f t="shared" si="5"/>
        <v>0</v>
      </c>
      <c r="L261" s="5">
        <v>0</v>
      </c>
      <c r="M261" s="5">
        <v>0</v>
      </c>
      <c r="N261" s="4">
        <v>0</v>
      </c>
      <c r="O261" s="5">
        <f t="shared" si="6"/>
        <v>0</v>
      </c>
      <c r="P261" s="5">
        <v>0</v>
      </c>
      <c r="Q261" s="5">
        <v>0</v>
      </c>
    </row>
    <row r="262" spans="1:17" x14ac:dyDescent="0.25">
      <c r="A262" s="294">
        <f t="shared" si="7"/>
        <v>120</v>
      </c>
      <c r="B262" s="3" t="s">
        <v>469</v>
      </c>
      <c r="C262" s="3" t="s">
        <v>62</v>
      </c>
      <c r="D262" s="3" t="s">
        <v>63</v>
      </c>
      <c r="E262" s="3" t="s">
        <v>74</v>
      </c>
      <c r="F262" s="3" t="s">
        <v>470</v>
      </c>
      <c r="G262" s="4" t="s">
        <v>85</v>
      </c>
      <c r="H262" s="4">
        <v>1</v>
      </c>
      <c r="I262" s="4">
        <v>0</v>
      </c>
      <c r="J262" s="4">
        <v>0</v>
      </c>
      <c r="K262" s="5">
        <f t="shared" si="5"/>
        <v>0</v>
      </c>
      <c r="L262" s="5">
        <v>0</v>
      </c>
      <c r="M262" s="5">
        <v>0</v>
      </c>
      <c r="N262" s="4">
        <v>0</v>
      </c>
      <c r="O262" s="5">
        <f t="shared" si="6"/>
        <v>0</v>
      </c>
      <c r="P262" s="5">
        <v>0</v>
      </c>
      <c r="Q262" s="5">
        <v>0</v>
      </c>
    </row>
    <row r="263" spans="1:17" x14ac:dyDescent="0.25">
      <c r="A263" s="294">
        <f t="shared" si="7"/>
        <v>121</v>
      </c>
      <c r="B263" s="3" t="s">
        <v>53</v>
      </c>
      <c r="C263" s="3" t="s">
        <v>62</v>
      </c>
      <c r="D263" s="3" t="s">
        <v>63</v>
      </c>
      <c r="E263" s="3" t="s">
        <v>74</v>
      </c>
      <c r="F263" s="3" t="s">
        <v>126</v>
      </c>
      <c r="G263" s="4" t="s">
        <v>85</v>
      </c>
      <c r="H263" s="4">
        <v>8</v>
      </c>
      <c r="I263" s="4">
        <v>0</v>
      </c>
      <c r="J263" s="4">
        <v>0</v>
      </c>
      <c r="K263" s="5">
        <f t="shared" si="5"/>
        <v>0</v>
      </c>
      <c r="L263" s="5">
        <v>0</v>
      </c>
      <c r="M263" s="5">
        <v>0</v>
      </c>
      <c r="N263" s="4">
        <v>0</v>
      </c>
      <c r="O263" s="5">
        <f t="shared" si="6"/>
        <v>0</v>
      </c>
      <c r="P263" s="5">
        <v>0</v>
      </c>
      <c r="Q263" s="5">
        <v>0</v>
      </c>
    </row>
    <row r="264" spans="1:17" x14ac:dyDescent="0.25">
      <c r="A264" s="294">
        <f t="shared" si="7"/>
        <v>122</v>
      </c>
      <c r="B264" s="3" t="s">
        <v>151</v>
      </c>
      <c r="C264" s="3" t="s">
        <v>62</v>
      </c>
      <c r="D264" s="3" t="s">
        <v>63</v>
      </c>
      <c r="E264" s="3" t="s">
        <v>74</v>
      </c>
      <c r="F264" s="3" t="s">
        <v>288</v>
      </c>
      <c r="G264" s="4" t="s">
        <v>85</v>
      </c>
      <c r="H264" s="4">
        <v>10</v>
      </c>
      <c r="I264" s="4">
        <v>8</v>
      </c>
      <c r="J264" s="4">
        <v>10</v>
      </c>
      <c r="K264" s="5">
        <f t="shared" si="5"/>
        <v>15560.06</v>
      </c>
      <c r="L264" s="5">
        <v>15560.06</v>
      </c>
      <c r="M264" s="5">
        <v>0</v>
      </c>
      <c r="N264" s="4">
        <v>6</v>
      </c>
      <c r="O264" s="5">
        <f t="shared" si="6"/>
        <v>14253.5</v>
      </c>
      <c r="P264" s="5">
        <v>14253.5</v>
      </c>
      <c r="Q264" s="5">
        <v>0</v>
      </c>
    </row>
    <row r="265" spans="1:17" x14ac:dyDescent="0.25">
      <c r="A265" s="294">
        <f t="shared" si="7"/>
        <v>123</v>
      </c>
      <c r="B265" s="3" t="s">
        <v>155</v>
      </c>
      <c r="C265" s="3" t="s">
        <v>62</v>
      </c>
      <c r="D265" s="3" t="s">
        <v>63</v>
      </c>
      <c r="E265" s="3" t="s">
        <v>74</v>
      </c>
      <c r="F265" s="3" t="s">
        <v>289</v>
      </c>
      <c r="G265" s="4" t="s">
        <v>85</v>
      </c>
      <c r="H265" s="4">
        <v>14</v>
      </c>
      <c r="I265" s="4">
        <v>10</v>
      </c>
      <c r="J265" s="4">
        <v>15</v>
      </c>
      <c r="K265" s="5">
        <f t="shared" si="5"/>
        <v>38355.85</v>
      </c>
      <c r="L265" s="5">
        <v>38355.85</v>
      </c>
      <c r="M265" s="5">
        <v>0</v>
      </c>
      <c r="N265" s="4">
        <v>3</v>
      </c>
      <c r="O265" s="5">
        <f t="shared" si="6"/>
        <v>28262.06</v>
      </c>
      <c r="P265" s="5">
        <v>28262.06</v>
      </c>
      <c r="Q265" s="5">
        <v>0</v>
      </c>
    </row>
    <row r="266" spans="1:17" x14ac:dyDescent="0.25">
      <c r="A266" s="294">
        <f t="shared" si="7"/>
        <v>124</v>
      </c>
      <c r="B266" s="3" t="s">
        <v>290</v>
      </c>
      <c r="C266" s="3" t="s">
        <v>62</v>
      </c>
      <c r="D266" s="3"/>
      <c r="E266" s="3" t="s">
        <v>291</v>
      </c>
      <c r="F266" s="3" t="s">
        <v>292</v>
      </c>
      <c r="G266" s="4" t="s">
        <v>85</v>
      </c>
      <c r="H266" s="4">
        <v>34</v>
      </c>
      <c r="I266" s="4">
        <v>25</v>
      </c>
      <c r="J266" s="4">
        <v>33</v>
      </c>
      <c r="K266" s="5">
        <f t="shared" si="5"/>
        <v>34384.86</v>
      </c>
      <c r="L266" s="5">
        <v>34384.86</v>
      </c>
      <c r="M266" s="5">
        <v>0</v>
      </c>
      <c r="N266" s="4">
        <v>0</v>
      </c>
      <c r="O266" s="5">
        <f t="shared" si="6"/>
        <v>0</v>
      </c>
      <c r="P266" s="5">
        <v>0</v>
      </c>
      <c r="Q266" s="5">
        <v>0</v>
      </c>
    </row>
    <row r="267" spans="1:17" ht="25.5" x14ac:dyDescent="0.25">
      <c r="A267" s="294">
        <f t="shared" si="7"/>
        <v>125</v>
      </c>
      <c r="B267" s="3" t="s">
        <v>495</v>
      </c>
      <c r="C267" s="3" t="s">
        <v>62</v>
      </c>
      <c r="D267" s="3"/>
      <c r="E267" s="3" t="s">
        <v>313</v>
      </c>
      <c r="F267" s="3" t="s">
        <v>496</v>
      </c>
      <c r="G267" s="4" t="s">
        <v>85</v>
      </c>
      <c r="H267" s="4">
        <v>29</v>
      </c>
      <c r="I267" s="4">
        <v>5</v>
      </c>
      <c r="J267" s="4">
        <v>5</v>
      </c>
      <c r="K267" s="5">
        <f t="shared" si="5"/>
        <v>9234.7099999999991</v>
      </c>
      <c r="L267" s="5">
        <v>9234.7099999999991</v>
      </c>
      <c r="M267" s="5">
        <v>0</v>
      </c>
      <c r="N267" s="4">
        <v>0</v>
      </c>
      <c r="O267" s="5">
        <f t="shared" si="6"/>
        <v>0</v>
      </c>
      <c r="P267" s="5">
        <v>0</v>
      </c>
      <c r="Q267" s="5">
        <v>0</v>
      </c>
    </row>
    <row r="268" spans="1:17" x14ac:dyDescent="0.25">
      <c r="A268" s="294">
        <f t="shared" si="7"/>
        <v>126</v>
      </c>
      <c r="B268" s="3" t="s">
        <v>134</v>
      </c>
      <c r="C268" s="3" t="s">
        <v>62</v>
      </c>
      <c r="D268" s="3" t="s">
        <v>63</v>
      </c>
      <c r="E268" s="3" t="s">
        <v>74</v>
      </c>
      <c r="F268" s="3" t="s">
        <v>293</v>
      </c>
      <c r="G268" s="4" t="s">
        <v>85</v>
      </c>
      <c r="H268" s="4">
        <v>8</v>
      </c>
      <c r="I268" s="4">
        <v>5</v>
      </c>
      <c r="J268" s="4">
        <v>6</v>
      </c>
      <c r="K268" s="5">
        <f t="shared" si="5"/>
        <v>7119.1</v>
      </c>
      <c r="L268" s="5">
        <f>1656.9+5462.2</f>
        <v>7119.1</v>
      </c>
      <c r="M268" s="5">
        <v>0</v>
      </c>
      <c r="N268" s="4">
        <v>2</v>
      </c>
      <c r="O268" s="5">
        <f t="shared" si="6"/>
        <v>10990.78</v>
      </c>
      <c r="P268" s="5">
        <v>10990.78</v>
      </c>
      <c r="Q268" s="5">
        <v>0</v>
      </c>
    </row>
    <row r="269" spans="1:17" x14ac:dyDescent="0.25">
      <c r="A269" s="294">
        <f t="shared" si="7"/>
        <v>127</v>
      </c>
      <c r="B269" s="3" t="s">
        <v>127</v>
      </c>
      <c r="C269" s="3" t="s">
        <v>62</v>
      </c>
      <c r="D269" s="3" t="s">
        <v>63</v>
      </c>
      <c r="E269" s="3" t="s">
        <v>74</v>
      </c>
      <c r="F269" s="3" t="s">
        <v>294</v>
      </c>
      <c r="G269" s="4" t="s">
        <v>85</v>
      </c>
      <c r="H269" s="4">
        <v>9</v>
      </c>
      <c r="I269" s="4">
        <v>6</v>
      </c>
      <c r="J269" s="4">
        <v>7</v>
      </c>
      <c r="K269" s="5">
        <f t="shared" si="5"/>
        <v>5794.74</v>
      </c>
      <c r="L269" s="5">
        <v>5794.74</v>
      </c>
      <c r="M269" s="5">
        <v>0</v>
      </c>
      <c r="N269" s="4">
        <v>2</v>
      </c>
      <c r="O269" s="5">
        <f t="shared" si="6"/>
        <v>3267.6</v>
      </c>
      <c r="P269" s="5">
        <v>3267.6</v>
      </c>
      <c r="Q269" s="5">
        <v>0</v>
      </c>
    </row>
    <row r="270" spans="1:17" ht="25.5" x14ac:dyDescent="0.25">
      <c r="A270" s="294">
        <f t="shared" si="7"/>
        <v>128</v>
      </c>
      <c r="B270" s="3" t="s">
        <v>55</v>
      </c>
      <c r="C270" s="3" t="s">
        <v>64</v>
      </c>
      <c r="D270" s="3" t="s">
        <v>66</v>
      </c>
      <c r="E270" s="3" t="s">
        <v>80</v>
      </c>
      <c r="F270" s="3" t="s">
        <v>295</v>
      </c>
      <c r="G270" s="4" t="s">
        <v>85</v>
      </c>
      <c r="H270" s="4">
        <v>6</v>
      </c>
      <c r="I270" s="4">
        <v>4</v>
      </c>
      <c r="J270" s="4">
        <v>4</v>
      </c>
      <c r="K270" s="5">
        <f t="shared" si="5"/>
        <v>1989.43</v>
      </c>
      <c r="L270" s="5">
        <v>1989.43</v>
      </c>
      <c r="M270" s="5">
        <v>0</v>
      </c>
      <c r="N270" s="4">
        <v>3</v>
      </c>
      <c r="O270" s="5">
        <f t="shared" si="6"/>
        <v>17287.61</v>
      </c>
      <c r="P270" s="5">
        <v>17287.61</v>
      </c>
      <c r="Q270" s="5">
        <v>0</v>
      </c>
    </row>
    <row r="271" spans="1:17" x14ac:dyDescent="0.25">
      <c r="A271" s="294">
        <f t="shared" si="7"/>
        <v>129</v>
      </c>
      <c r="B271" s="3" t="s">
        <v>135</v>
      </c>
      <c r="C271" s="3" t="s">
        <v>62</v>
      </c>
      <c r="D271" s="3" t="s">
        <v>63</v>
      </c>
      <c r="E271" s="3" t="s">
        <v>63</v>
      </c>
      <c r="F271" s="3" t="s">
        <v>296</v>
      </c>
      <c r="G271" s="4" t="s">
        <v>85</v>
      </c>
      <c r="H271" s="4">
        <v>7</v>
      </c>
      <c r="I271" s="4">
        <v>2</v>
      </c>
      <c r="J271" s="4">
        <v>2</v>
      </c>
      <c r="K271" s="5">
        <f t="shared" si="5"/>
        <v>1785.77</v>
      </c>
      <c r="L271" s="5">
        <f>552.6+1233.17</f>
        <v>1785.77</v>
      </c>
      <c r="M271" s="5">
        <v>0</v>
      </c>
      <c r="N271" s="4">
        <v>10</v>
      </c>
      <c r="O271" s="5">
        <f t="shared" si="6"/>
        <v>18103.64</v>
      </c>
      <c r="P271" s="5">
        <v>18103.64</v>
      </c>
      <c r="Q271" s="5">
        <v>0</v>
      </c>
    </row>
    <row r="272" spans="1:17" x14ac:dyDescent="0.25">
      <c r="A272" s="294">
        <f t="shared" si="7"/>
        <v>130</v>
      </c>
      <c r="B272" s="3" t="s">
        <v>128</v>
      </c>
      <c r="C272" s="3" t="s">
        <v>62</v>
      </c>
      <c r="D272" s="3" t="s">
        <v>63</v>
      </c>
      <c r="E272" s="3" t="s">
        <v>74</v>
      </c>
      <c r="F272" s="3" t="s">
        <v>297</v>
      </c>
      <c r="G272" s="4" t="s">
        <v>85</v>
      </c>
      <c r="H272" s="4">
        <v>2</v>
      </c>
      <c r="I272" s="4">
        <v>2</v>
      </c>
      <c r="J272" s="4">
        <v>2</v>
      </c>
      <c r="K272" s="5">
        <f t="shared" ref="K272:K301" si="8">L272+M272</f>
        <v>1303.8499999999999</v>
      </c>
      <c r="L272" s="5">
        <v>1303.8499999999999</v>
      </c>
      <c r="M272" s="5">
        <v>0</v>
      </c>
      <c r="N272" s="4">
        <v>1</v>
      </c>
      <c r="O272" s="5">
        <f t="shared" ref="O272:O301" si="9">P272+Q272</f>
        <v>264.3</v>
      </c>
      <c r="P272" s="5">
        <v>264.3</v>
      </c>
      <c r="Q272" s="5">
        <v>0</v>
      </c>
    </row>
    <row r="273" spans="1:17" ht="25.5" x14ac:dyDescent="0.25">
      <c r="A273" s="294">
        <f t="shared" ref="A273:A301" si="10">A272+1</f>
        <v>131</v>
      </c>
      <c r="B273" s="3" t="s">
        <v>508</v>
      </c>
      <c r="C273" s="3" t="s">
        <v>64</v>
      </c>
      <c r="D273" s="3" t="s">
        <v>551</v>
      </c>
      <c r="E273" s="3" t="s">
        <v>313</v>
      </c>
      <c r="F273" s="3" t="s">
        <v>552</v>
      </c>
      <c r="G273" s="4" t="s">
        <v>85</v>
      </c>
      <c r="H273" s="4">
        <v>21</v>
      </c>
      <c r="I273" s="4">
        <v>17</v>
      </c>
      <c r="J273" s="4">
        <v>18</v>
      </c>
      <c r="K273" s="5">
        <f t="shared" si="8"/>
        <v>3880.85</v>
      </c>
      <c r="L273" s="5">
        <v>3880.85</v>
      </c>
      <c r="M273" s="5">
        <v>0</v>
      </c>
      <c r="N273" s="4">
        <v>0</v>
      </c>
      <c r="O273" s="5">
        <f t="shared" si="9"/>
        <v>0</v>
      </c>
      <c r="P273" s="5">
        <v>0</v>
      </c>
      <c r="Q273" s="5">
        <v>0</v>
      </c>
    </row>
    <row r="274" spans="1:17" ht="25.5" x14ac:dyDescent="0.25">
      <c r="A274" s="294">
        <f t="shared" si="10"/>
        <v>132</v>
      </c>
      <c r="B274" s="3" t="s">
        <v>497</v>
      </c>
      <c r="C274" s="3" t="s">
        <v>62</v>
      </c>
      <c r="D274" s="3"/>
      <c r="E274" s="3" t="s">
        <v>313</v>
      </c>
      <c r="F274" s="3" t="s">
        <v>498</v>
      </c>
      <c r="G274" s="4" t="s">
        <v>85</v>
      </c>
      <c r="H274" s="4">
        <v>54</v>
      </c>
      <c r="I274" s="4">
        <v>34</v>
      </c>
      <c r="J274" s="4">
        <v>35</v>
      </c>
      <c r="K274" s="5">
        <f t="shared" si="8"/>
        <v>29545.75</v>
      </c>
      <c r="L274" s="5">
        <v>29545.75</v>
      </c>
      <c r="M274" s="5">
        <v>0</v>
      </c>
      <c r="N274" s="4">
        <v>0</v>
      </c>
      <c r="O274" s="5">
        <f t="shared" si="9"/>
        <v>0</v>
      </c>
      <c r="P274" s="5">
        <v>0</v>
      </c>
      <c r="Q274" s="5">
        <v>0</v>
      </c>
    </row>
    <row r="275" spans="1:17" x14ac:dyDescent="0.25">
      <c r="A275" s="294">
        <f t="shared" si="10"/>
        <v>133</v>
      </c>
      <c r="B275" s="3" t="s">
        <v>646</v>
      </c>
      <c r="C275" s="3" t="s">
        <v>62</v>
      </c>
      <c r="D275" s="3" t="s">
        <v>63</v>
      </c>
      <c r="E275" s="3" t="s">
        <v>74</v>
      </c>
      <c r="F275" s="3" t="s">
        <v>647</v>
      </c>
      <c r="G275" s="4" t="s">
        <v>85</v>
      </c>
      <c r="H275" s="4">
        <v>1</v>
      </c>
      <c r="I275" s="4">
        <v>0</v>
      </c>
      <c r="J275" s="4">
        <v>0</v>
      </c>
      <c r="K275" s="5">
        <f t="shared" si="8"/>
        <v>0</v>
      </c>
      <c r="L275" s="5">
        <v>0</v>
      </c>
      <c r="M275" s="5">
        <v>0</v>
      </c>
      <c r="N275" s="4">
        <v>0</v>
      </c>
      <c r="O275" s="5">
        <f t="shared" si="9"/>
        <v>0</v>
      </c>
      <c r="P275" s="5">
        <v>0</v>
      </c>
      <c r="Q275" s="5">
        <v>0</v>
      </c>
    </row>
    <row r="276" spans="1:17" x14ac:dyDescent="0.25">
      <c r="A276" s="294">
        <f t="shared" si="10"/>
        <v>134</v>
      </c>
      <c r="B276" s="3" t="s">
        <v>56</v>
      </c>
      <c r="C276" s="3" t="s">
        <v>62</v>
      </c>
      <c r="D276" s="3" t="s">
        <v>63</v>
      </c>
      <c r="E276" s="3" t="s">
        <v>83</v>
      </c>
      <c r="F276" s="3" t="s">
        <v>298</v>
      </c>
      <c r="G276" s="4" t="s">
        <v>85</v>
      </c>
      <c r="H276" s="4">
        <v>81</v>
      </c>
      <c r="I276" s="4">
        <v>74</v>
      </c>
      <c r="J276" s="4">
        <v>107</v>
      </c>
      <c r="K276" s="5">
        <f t="shared" si="8"/>
        <v>121877.98000000001</v>
      </c>
      <c r="L276" s="5">
        <f>99429.35+22448.63</f>
        <v>121877.98000000001</v>
      </c>
      <c r="M276" s="5">
        <v>0</v>
      </c>
      <c r="N276" s="4">
        <v>34</v>
      </c>
      <c r="O276" s="5">
        <f t="shared" si="9"/>
        <v>96660.36</v>
      </c>
      <c r="P276" s="5">
        <f>95408.48+1251.88</f>
        <v>96660.36</v>
      </c>
      <c r="Q276" s="5">
        <v>0</v>
      </c>
    </row>
    <row r="277" spans="1:17" ht="38.25" x14ac:dyDescent="0.25">
      <c r="A277" s="294">
        <f t="shared" si="10"/>
        <v>135</v>
      </c>
      <c r="B277" s="3" t="s">
        <v>638</v>
      </c>
      <c r="C277" s="3" t="s">
        <v>67</v>
      </c>
      <c r="D277" s="3" t="s">
        <v>639</v>
      </c>
      <c r="E277" s="3" t="s">
        <v>640</v>
      </c>
      <c r="F277" s="3" t="s">
        <v>641</v>
      </c>
      <c r="G277" s="4" t="s">
        <v>85</v>
      </c>
      <c r="H277" s="4">
        <v>4</v>
      </c>
      <c r="I277" s="4">
        <v>0</v>
      </c>
      <c r="J277" s="4">
        <v>0</v>
      </c>
      <c r="K277" s="5">
        <f t="shared" si="8"/>
        <v>0</v>
      </c>
      <c r="L277" s="5">
        <v>0</v>
      </c>
      <c r="M277" s="5">
        <v>0</v>
      </c>
      <c r="N277" s="4">
        <v>0</v>
      </c>
      <c r="O277" s="5">
        <f t="shared" si="9"/>
        <v>0</v>
      </c>
      <c r="P277" s="5">
        <v>0</v>
      </c>
      <c r="Q277" s="5">
        <v>0</v>
      </c>
    </row>
    <row r="278" spans="1:17" ht="25.5" x14ac:dyDescent="0.25">
      <c r="A278" s="294">
        <f t="shared" si="10"/>
        <v>136</v>
      </c>
      <c r="B278" s="3" t="s">
        <v>299</v>
      </c>
      <c r="C278" s="3" t="s">
        <v>62</v>
      </c>
      <c r="D278" s="3"/>
      <c r="E278" s="3" t="s">
        <v>174</v>
      </c>
      <c r="F278" s="3" t="s">
        <v>300</v>
      </c>
      <c r="G278" s="4" t="s">
        <v>85</v>
      </c>
      <c r="H278" s="4">
        <v>22</v>
      </c>
      <c r="I278" s="4">
        <v>18</v>
      </c>
      <c r="J278" s="4">
        <v>21</v>
      </c>
      <c r="K278" s="5">
        <f t="shared" si="8"/>
        <v>18541.13</v>
      </c>
      <c r="L278" s="5">
        <f>17652.31+888.82</f>
        <v>18541.13</v>
      </c>
      <c r="M278" s="5">
        <v>0</v>
      </c>
      <c r="N278" s="4">
        <v>0</v>
      </c>
      <c r="O278" s="5">
        <f t="shared" si="9"/>
        <v>0</v>
      </c>
      <c r="P278" s="5">
        <v>0</v>
      </c>
      <c r="Q278" s="5">
        <v>0</v>
      </c>
    </row>
    <row r="279" spans="1:17" x14ac:dyDescent="0.25">
      <c r="A279" s="294">
        <f t="shared" si="10"/>
        <v>137</v>
      </c>
      <c r="B279" s="3" t="s">
        <v>156</v>
      </c>
      <c r="C279" s="3" t="s">
        <v>67</v>
      </c>
      <c r="D279" s="3" t="s">
        <v>499</v>
      </c>
      <c r="E279" s="3" t="s">
        <v>74</v>
      </c>
      <c r="F279" s="3" t="s">
        <v>301</v>
      </c>
      <c r="G279" s="4" t="s">
        <v>85</v>
      </c>
      <c r="H279" s="4">
        <v>34</v>
      </c>
      <c r="I279" s="4">
        <v>27</v>
      </c>
      <c r="J279" s="4">
        <v>31</v>
      </c>
      <c r="K279" s="5">
        <f t="shared" si="8"/>
        <v>34539.370000000003</v>
      </c>
      <c r="L279" s="5">
        <v>34539.370000000003</v>
      </c>
      <c r="M279" s="5">
        <v>0</v>
      </c>
      <c r="N279" s="4">
        <v>34</v>
      </c>
      <c r="O279" s="5">
        <f t="shared" si="9"/>
        <v>58828.76</v>
      </c>
      <c r="P279" s="5">
        <v>58828.76</v>
      </c>
      <c r="Q279" s="5">
        <v>0</v>
      </c>
    </row>
    <row r="280" spans="1:17" x14ac:dyDescent="0.25">
      <c r="A280" s="294">
        <f t="shared" si="10"/>
        <v>138</v>
      </c>
      <c r="B280" s="3" t="s">
        <v>302</v>
      </c>
      <c r="C280" s="3" t="s">
        <v>62</v>
      </c>
      <c r="D280" s="3"/>
      <c r="E280" s="3" t="s">
        <v>63</v>
      </c>
      <c r="F280" s="3" t="s">
        <v>303</v>
      </c>
      <c r="G280" s="4" t="s">
        <v>85</v>
      </c>
      <c r="H280" s="4">
        <v>15</v>
      </c>
      <c r="I280" s="4">
        <v>10</v>
      </c>
      <c r="J280" s="4">
        <v>12</v>
      </c>
      <c r="K280" s="5">
        <f t="shared" si="8"/>
        <v>6468.1</v>
      </c>
      <c r="L280" s="5">
        <v>6468.1</v>
      </c>
      <c r="M280" s="5">
        <v>0</v>
      </c>
      <c r="N280" s="4">
        <v>0</v>
      </c>
      <c r="O280" s="5">
        <f t="shared" si="9"/>
        <v>0</v>
      </c>
      <c r="P280" s="5">
        <v>0</v>
      </c>
      <c r="Q280" s="5">
        <v>0</v>
      </c>
    </row>
    <row r="281" spans="1:17" x14ac:dyDescent="0.25">
      <c r="A281" s="294">
        <f t="shared" si="10"/>
        <v>139</v>
      </c>
      <c r="B281" s="3" t="s">
        <v>140</v>
      </c>
      <c r="C281" s="3" t="s">
        <v>62</v>
      </c>
      <c r="D281" s="3" t="s">
        <v>63</v>
      </c>
      <c r="E281" s="3" t="s">
        <v>74</v>
      </c>
      <c r="F281" s="3" t="s">
        <v>304</v>
      </c>
      <c r="G281" s="4" t="s">
        <v>85</v>
      </c>
      <c r="H281" s="4">
        <v>62</v>
      </c>
      <c r="I281" s="4">
        <v>50</v>
      </c>
      <c r="J281" s="4">
        <v>53</v>
      </c>
      <c r="K281" s="5">
        <f t="shared" si="8"/>
        <v>49113.38</v>
      </c>
      <c r="L281" s="5">
        <v>49113.38</v>
      </c>
      <c r="M281" s="5">
        <v>0</v>
      </c>
      <c r="N281" s="4">
        <v>19</v>
      </c>
      <c r="O281" s="5">
        <f t="shared" si="9"/>
        <v>43411.7</v>
      </c>
      <c r="P281" s="5">
        <v>43411.7</v>
      </c>
      <c r="Q281" s="5">
        <v>0</v>
      </c>
    </row>
    <row r="282" spans="1:17" ht="25.5" x14ac:dyDescent="0.25">
      <c r="A282" s="294">
        <f t="shared" si="10"/>
        <v>140</v>
      </c>
      <c r="B282" s="3" t="s">
        <v>305</v>
      </c>
      <c r="C282" s="3" t="s">
        <v>62</v>
      </c>
      <c r="D282" s="3"/>
      <c r="E282" s="3" t="s">
        <v>186</v>
      </c>
      <c r="F282" s="3" t="s">
        <v>513</v>
      </c>
      <c r="G282" s="4" t="s">
        <v>85</v>
      </c>
      <c r="H282" s="4">
        <v>14</v>
      </c>
      <c r="I282" s="4">
        <v>9</v>
      </c>
      <c r="J282" s="4">
        <v>11</v>
      </c>
      <c r="K282" s="5">
        <f t="shared" si="8"/>
        <v>6542.9</v>
      </c>
      <c r="L282" s="5">
        <v>6542.9</v>
      </c>
      <c r="M282" s="5">
        <v>0</v>
      </c>
      <c r="N282" s="4">
        <v>0</v>
      </c>
      <c r="O282" s="5">
        <f t="shared" si="9"/>
        <v>0</v>
      </c>
      <c r="P282" s="5">
        <v>0</v>
      </c>
      <c r="Q282" s="5">
        <v>0</v>
      </c>
    </row>
    <row r="283" spans="1:17" x14ac:dyDescent="0.25">
      <c r="A283" s="294">
        <f t="shared" si="10"/>
        <v>141</v>
      </c>
      <c r="B283" s="3" t="s">
        <v>471</v>
      </c>
      <c r="C283" s="3" t="s">
        <v>64</v>
      </c>
      <c r="D283" s="3" t="s">
        <v>65</v>
      </c>
      <c r="E283" s="3" t="s">
        <v>74</v>
      </c>
      <c r="F283" s="3" t="s">
        <v>472</v>
      </c>
      <c r="G283" s="4" t="s">
        <v>85</v>
      </c>
      <c r="H283" s="4">
        <v>0</v>
      </c>
      <c r="I283" s="4">
        <v>0</v>
      </c>
      <c r="J283" s="4">
        <v>0</v>
      </c>
      <c r="K283" s="5">
        <f t="shared" si="8"/>
        <v>0</v>
      </c>
      <c r="L283" s="5">
        <v>0</v>
      </c>
      <c r="M283" s="5">
        <v>0</v>
      </c>
      <c r="N283" s="4">
        <v>1</v>
      </c>
      <c r="O283" s="5">
        <f t="shared" si="9"/>
        <v>0</v>
      </c>
      <c r="P283" s="5">
        <v>0</v>
      </c>
      <c r="Q283" s="5">
        <v>0</v>
      </c>
    </row>
    <row r="284" spans="1:17" ht="38.25" x14ac:dyDescent="0.25">
      <c r="A284" s="294">
        <f t="shared" si="10"/>
        <v>142</v>
      </c>
      <c r="B284" s="3" t="s">
        <v>57</v>
      </c>
      <c r="C284" s="3" t="s">
        <v>62</v>
      </c>
      <c r="D284" s="3" t="s">
        <v>63</v>
      </c>
      <c r="E284" s="3" t="s">
        <v>244</v>
      </c>
      <c r="F284" s="3" t="s">
        <v>306</v>
      </c>
      <c r="G284" s="4" t="s">
        <v>85</v>
      </c>
      <c r="H284" s="4">
        <v>33</v>
      </c>
      <c r="I284" s="4">
        <v>14</v>
      </c>
      <c r="J284" s="4">
        <v>15</v>
      </c>
      <c r="K284" s="5">
        <f t="shared" si="8"/>
        <v>19342.23</v>
      </c>
      <c r="L284" s="5">
        <v>19342.23</v>
      </c>
      <c r="M284" s="5">
        <v>0</v>
      </c>
      <c r="N284" s="4">
        <v>21</v>
      </c>
      <c r="O284" s="5">
        <f t="shared" si="9"/>
        <v>92362.92</v>
      </c>
      <c r="P284" s="5">
        <v>92362.92</v>
      </c>
      <c r="Q284" s="5">
        <v>0</v>
      </c>
    </row>
    <row r="285" spans="1:17" ht="25.5" x14ac:dyDescent="0.25">
      <c r="A285" s="294">
        <f t="shared" si="10"/>
        <v>143</v>
      </c>
      <c r="B285" s="3" t="s">
        <v>648</v>
      </c>
      <c r="C285" s="3" t="s">
        <v>62</v>
      </c>
      <c r="D285" s="3"/>
      <c r="E285" s="3" t="s">
        <v>313</v>
      </c>
      <c r="F285" s="3" t="s">
        <v>650</v>
      </c>
      <c r="G285" s="4" t="s">
        <v>85</v>
      </c>
      <c r="H285" s="4">
        <v>3</v>
      </c>
      <c r="I285" s="4">
        <v>0</v>
      </c>
      <c r="J285" s="4">
        <v>0</v>
      </c>
      <c r="K285" s="5">
        <f t="shared" si="8"/>
        <v>0</v>
      </c>
      <c r="L285" s="5">
        <v>0</v>
      </c>
      <c r="M285" s="5">
        <v>0</v>
      </c>
      <c r="N285" s="4">
        <v>0</v>
      </c>
      <c r="O285" s="5">
        <f t="shared" si="9"/>
        <v>0</v>
      </c>
      <c r="P285" s="5">
        <v>0</v>
      </c>
      <c r="Q285" s="5">
        <v>0</v>
      </c>
    </row>
    <row r="286" spans="1:17" x14ac:dyDescent="0.25">
      <c r="A286" s="294">
        <f t="shared" si="10"/>
        <v>144</v>
      </c>
      <c r="B286" s="3" t="s">
        <v>473</v>
      </c>
      <c r="C286" s="3" t="s">
        <v>62</v>
      </c>
      <c r="D286" s="3" t="s">
        <v>63</v>
      </c>
      <c r="E286" s="3" t="s">
        <v>63</v>
      </c>
      <c r="F286" s="3" t="s">
        <v>500</v>
      </c>
      <c r="G286" s="4" t="s">
        <v>85</v>
      </c>
      <c r="H286" s="4">
        <v>17</v>
      </c>
      <c r="I286" s="4">
        <v>5</v>
      </c>
      <c r="J286" s="4">
        <v>6</v>
      </c>
      <c r="K286" s="5">
        <f t="shared" si="8"/>
        <v>9948.68</v>
      </c>
      <c r="L286" s="5">
        <v>9948.68</v>
      </c>
      <c r="M286" s="5">
        <v>0</v>
      </c>
      <c r="N286" s="4">
        <v>4</v>
      </c>
      <c r="O286" s="5">
        <f t="shared" si="9"/>
        <v>20865.919999999998</v>
      </c>
      <c r="P286" s="5">
        <v>20865.919999999998</v>
      </c>
      <c r="Q286" s="5">
        <v>0</v>
      </c>
    </row>
    <row r="287" spans="1:17" x14ac:dyDescent="0.25">
      <c r="A287" s="294">
        <f t="shared" si="10"/>
        <v>145</v>
      </c>
      <c r="B287" s="3" t="s">
        <v>129</v>
      </c>
      <c r="C287" s="3" t="s">
        <v>62</v>
      </c>
      <c r="D287" s="3" t="s">
        <v>63</v>
      </c>
      <c r="E287" s="3" t="s">
        <v>74</v>
      </c>
      <c r="F287" s="3" t="s">
        <v>307</v>
      </c>
      <c r="G287" s="4" t="s">
        <v>85</v>
      </c>
      <c r="H287" s="4">
        <v>0</v>
      </c>
      <c r="I287" s="4">
        <v>0</v>
      </c>
      <c r="J287" s="4">
        <v>0</v>
      </c>
      <c r="K287" s="5">
        <f t="shared" si="8"/>
        <v>0</v>
      </c>
      <c r="L287" s="5">
        <v>0</v>
      </c>
      <c r="M287" s="5">
        <v>0</v>
      </c>
      <c r="N287" s="4">
        <v>2</v>
      </c>
      <c r="O287" s="5">
        <f t="shared" si="9"/>
        <v>12997.88</v>
      </c>
      <c r="P287" s="5">
        <f>2390.47+10607.41</f>
        <v>12997.88</v>
      </c>
      <c r="Q287" s="5">
        <v>0</v>
      </c>
    </row>
    <row r="288" spans="1:17" ht="25.5" x14ac:dyDescent="0.25">
      <c r="A288" s="294">
        <f t="shared" si="10"/>
        <v>146</v>
      </c>
      <c r="B288" s="3" t="s">
        <v>58</v>
      </c>
      <c r="C288" s="3" t="s">
        <v>62</v>
      </c>
      <c r="D288" s="3" t="s">
        <v>63</v>
      </c>
      <c r="E288" s="3" t="s">
        <v>84</v>
      </c>
      <c r="F288" s="3" t="s">
        <v>308</v>
      </c>
      <c r="G288" s="4" t="s">
        <v>85</v>
      </c>
      <c r="H288" s="4">
        <v>209</v>
      </c>
      <c r="I288" s="4">
        <v>198</v>
      </c>
      <c r="J288" s="4">
        <v>222</v>
      </c>
      <c r="K288" s="5">
        <f t="shared" si="8"/>
        <v>219265.57</v>
      </c>
      <c r="L288" s="5">
        <v>219265.57</v>
      </c>
      <c r="M288" s="5">
        <v>0</v>
      </c>
      <c r="N288" s="4">
        <v>61</v>
      </c>
      <c r="O288" s="5">
        <f t="shared" si="9"/>
        <v>216301.07</v>
      </c>
      <c r="P288" s="5">
        <v>216301.07</v>
      </c>
      <c r="Q288" s="5">
        <v>0</v>
      </c>
    </row>
    <row r="289" spans="1:17" ht="25.5" x14ac:dyDescent="0.25">
      <c r="A289" s="294">
        <f t="shared" si="10"/>
        <v>147</v>
      </c>
      <c r="B289" s="3" t="s">
        <v>59</v>
      </c>
      <c r="C289" s="3" t="s">
        <v>64</v>
      </c>
      <c r="D289" s="3" t="s">
        <v>66</v>
      </c>
      <c r="E289" s="3" t="s">
        <v>80</v>
      </c>
      <c r="F289" s="3" t="s">
        <v>309</v>
      </c>
      <c r="G289" s="4" t="s">
        <v>85</v>
      </c>
      <c r="H289" s="4">
        <v>41</v>
      </c>
      <c r="I289" s="4">
        <v>32</v>
      </c>
      <c r="J289" s="4">
        <v>49</v>
      </c>
      <c r="K289" s="5">
        <f t="shared" si="8"/>
        <v>83144.350000000006</v>
      </c>
      <c r="L289" s="5">
        <v>83144.350000000006</v>
      </c>
      <c r="M289" s="5">
        <v>0</v>
      </c>
      <c r="N289" s="4">
        <v>30</v>
      </c>
      <c r="O289" s="5">
        <f t="shared" si="9"/>
        <v>108860.27</v>
      </c>
      <c r="P289" s="5">
        <v>108860.27</v>
      </c>
      <c r="Q289" s="5">
        <v>0</v>
      </c>
    </row>
    <row r="290" spans="1:17" x14ac:dyDescent="0.25">
      <c r="A290" s="294">
        <f t="shared" si="10"/>
        <v>148</v>
      </c>
      <c r="B290" s="3" t="s">
        <v>130</v>
      </c>
      <c r="C290" s="3" t="s">
        <v>62</v>
      </c>
      <c r="D290" s="3" t="s">
        <v>63</v>
      </c>
      <c r="E290" s="3" t="s">
        <v>74</v>
      </c>
      <c r="F290" s="3" t="s">
        <v>553</v>
      </c>
      <c r="G290" s="4" t="s">
        <v>85</v>
      </c>
      <c r="H290" s="4">
        <v>4</v>
      </c>
      <c r="I290" s="4">
        <v>1</v>
      </c>
      <c r="J290" s="4">
        <v>1</v>
      </c>
      <c r="K290" s="5">
        <f t="shared" si="8"/>
        <v>299.54000000000002</v>
      </c>
      <c r="L290" s="5">
        <v>299.54000000000002</v>
      </c>
      <c r="M290" s="5">
        <v>0</v>
      </c>
      <c r="N290" s="4">
        <v>3</v>
      </c>
      <c r="O290" s="5">
        <f t="shared" si="9"/>
        <v>20018.759999999998</v>
      </c>
      <c r="P290" s="5">
        <f>14754.22+5264.54</f>
        <v>20018.759999999998</v>
      </c>
      <c r="Q290" s="5">
        <v>0</v>
      </c>
    </row>
    <row r="291" spans="1:17" x14ac:dyDescent="0.25">
      <c r="A291" s="294">
        <f t="shared" si="10"/>
        <v>149</v>
      </c>
      <c r="B291" s="3" t="s">
        <v>97</v>
      </c>
      <c r="C291" s="3" t="s">
        <v>62</v>
      </c>
      <c r="D291" s="3" t="s">
        <v>63</v>
      </c>
      <c r="E291" s="3" t="s">
        <v>74</v>
      </c>
      <c r="F291" s="3" t="s">
        <v>310</v>
      </c>
      <c r="G291" s="4" t="s">
        <v>85</v>
      </c>
      <c r="H291" s="4">
        <v>6</v>
      </c>
      <c r="I291" s="4">
        <v>4</v>
      </c>
      <c r="J291" s="4">
        <v>4</v>
      </c>
      <c r="K291" s="5">
        <f t="shared" si="8"/>
        <v>8498.34</v>
      </c>
      <c r="L291" s="5">
        <f>5524.96+2973.38</f>
        <v>8498.34</v>
      </c>
      <c r="M291" s="5">
        <v>0</v>
      </c>
      <c r="N291" s="4">
        <v>1</v>
      </c>
      <c r="O291" s="5">
        <f t="shared" si="9"/>
        <v>808.76</v>
      </c>
      <c r="P291" s="5">
        <v>808.76</v>
      </c>
      <c r="Q291" s="5">
        <v>0</v>
      </c>
    </row>
    <row r="292" spans="1:17" ht="25.5" x14ac:dyDescent="0.25">
      <c r="A292" s="294">
        <f t="shared" si="10"/>
        <v>150</v>
      </c>
      <c r="B292" s="3" t="s">
        <v>667</v>
      </c>
      <c r="C292" s="3" t="s">
        <v>62</v>
      </c>
      <c r="D292" s="3" t="s">
        <v>63</v>
      </c>
      <c r="E292" s="3" t="s">
        <v>174</v>
      </c>
      <c r="F292" s="3" t="s">
        <v>668</v>
      </c>
      <c r="G292" s="4" t="s">
        <v>85</v>
      </c>
      <c r="H292" s="4">
        <v>1</v>
      </c>
      <c r="I292" s="4">
        <v>0</v>
      </c>
      <c r="J292" s="4">
        <v>0</v>
      </c>
      <c r="K292" s="5">
        <f t="shared" si="8"/>
        <v>0</v>
      </c>
      <c r="L292" s="5">
        <v>0</v>
      </c>
      <c r="M292" s="5">
        <v>0</v>
      </c>
      <c r="N292" s="4">
        <v>0</v>
      </c>
      <c r="O292" s="5">
        <f t="shared" si="9"/>
        <v>0</v>
      </c>
      <c r="P292" s="5">
        <v>0</v>
      </c>
      <c r="Q292" s="5">
        <v>0</v>
      </c>
    </row>
    <row r="293" spans="1:17" ht="25.5" x14ac:dyDescent="0.25">
      <c r="A293" s="294">
        <f t="shared" si="10"/>
        <v>151</v>
      </c>
      <c r="B293" s="3" t="s">
        <v>514</v>
      </c>
      <c r="C293" s="3" t="s">
        <v>62</v>
      </c>
      <c r="D293" s="3" t="s">
        <v>652</v>
      </c>
      <c r="E293" s="3" t="s">
        <v>223</v>
      </c>
      <c r="F293" s="3" t="s">
        <v>515</v>
      </c>
      <c r="G293" s="4" t="s">
        <v>85</v>
      </c>
      <c r="H293" s="4">
        <v>20</v>
      </c>
      <c r="I293" s="4">
        <v>11</v>
      </c>
      <c r="J293" s="4">
        <v>16</v>
      </c>
      <c r="K293" s="5">
        <f t="shared" si="8"/>
        <v>21122.21</v>
      </c>
      <c r="L293" s="5">
        <v>21122.21</v>
      </c>
      <c r="M293" s="5">
        <v>0</v>
      </c>
      <c r="N293" s="4">
        <v>0</v>
      </c>
      <c r="O293" s="5">
        <f t="shared" si="9"/>
        <v>0</v>
      </c>
      <c r="P293" s="5">
        <v>0</v>
      </c>
      <c r="Q293" s="5">
        <v>0</v>
      </c>
    </row>
    <row r="294" spans="1:17" x14ac:dyDescent="0.25">
      <c r="A294" s="294">
        <f t="shared" si="10"/>
        <v>152</v>
      </c>
      <c r="B294" s="3" t="s">
        <v>132</v>
      </c>
      <c r="C294" s="3" t="s">
        <v>62</v>
      </c>
      <c r="D294" s="3" t="s">
        <v>63</v>
      </c>
      <c r="E294" s="3" t="s">
        <v>74</v>
      </c>
      <c r="F294" s="3" t="s">
        <v>311</v>
      </c>
      <c r="G294" s="4" t="s">
        <v>85</v>
      </c>
      <c r="H294" s="4">
        <v>19</v>
      </c>
      <c r="I294" s="4">
        <v>7</v>
      </c>
      <c r="J294" s="4">
        <v>8</v>
      </c>
      <c r="K294" s="5">
        <f t="shared" si="8"/>
        <v>7071.18</v>
      </c>
      <c r="L294" s="5">
        <v>7071.18</v>
      </c>
      <c r="M294" s="5">
        <v>0</v>
      </c>
      <c r="N294" s="4">
        <v>11</v>
      </c>
      <c r="O294" s="5">
        <f t="shared" si="9"/>
        <v>7200.72</v>
      </c>
      <c r="P294" s="5">
        <v>7200.72</v>
      </c>
      <c r="Q294" s="5">
        <v>0</v>
      </c>
    </row>
    <row r="295" spans="1:17" ht="25.5" x14ac:dyDescent="0.25">
      <c r="A295" s="294">
        <f t="shared" si="10"/>
        <v>153</v>
      </c>
      <c r="B295" s="3" t="s">
        <v>312</v>
      </c>
      <c r="C295" s="3" t="s">
        <v>62</v>
      </c>
      <c r="D295" s="3"/>
      <c r="E295" s="3" t="s">
        <v>313</v>
      </c>
      <c r="F295" s="3" t="s">
        <v>314</v>
      </c>
      <c r="G295" s="4" t="s">
        <v>85</v>
      </c>
      <c r="H295" s="4">
        <v>50</v>
      </c>
      <c r="I295" s="4">
        <v>1</v>
      </c>
      <c r="J295" s="4">
        <v>1</v>
      </c>
      <c r="K295" s="5">
        <f t="shared" si="8"/>
        <v>0</v>
      </c>
      <c r="L295" s="5">
        <v>0</v>
      </c>
      <c r="M295" s="5">
        <v>0</v>
      </c>
      <c r="N295" s="4">
        <v>0</v>
      </c>
      <c r="O295" s="5">
        <f t="shared" si="9"/>
        <v>0</v>
      </c>
      <c r="P295" s="5">
        <v>0</v>
      </c>
      <c r="Q295" s="5">
        <v>0</v>
      </c>
    </row>
    <row r="296" spans="1:17" x14ac:dyDescent="0.25">
      <c r="A296" s="294">
        <f t="shared" si="10"/>
        <v>154</v>
      </c>
      <c r="B296" s="3" t="s">
        <v>315</v>
      </c>
      <c r="C296" s="3" t="s">
        <v>62</v>
      </c>
      <c r="D296" s="3" t="s">
        <v>63</v>
      </c>
      <c r="E296" s="3" t="s">
        <v>74</v>
      </c>
      <c r="F296" s="3" t="s">
        <v>316</v>
      </c>
      <c r="G296" s="4" t="s">
        <v>85</v>
      </c>
      <c r="H296" s="4">
        <v>16</v>
      </c>
      <c r="I296" s="4">
        <v>9</v>
      </c>
      <c r="J296" s="4">
        <v>11</v>
      </c>
      <c r="K296" s="5">
        <f t="shared" si="8"/>
        <v>11020.91</v>
      </c>
      <c r="L296" s="5">
        <v>11020.91</v>
      </c>
      <c r="M296" s="5">
        <v>0</v>
      </c>
      <c r="N296" s="4">
        <v>3</v>
      </c>
      <c r="O296" s="5">
        <f t="shared" si="9"/>
        <v>3889.02</v>
      </c>
      <c r="P296" s="5">
        <v>3889.02</v>
      </c>
      <c r="Q296" s="5">
        <v>0</v>
      </c>
    </row>
    <row r="297" spans="1:17" x14ac:dyDescent="0.25">
      <c r="A297" s="294">
        <f t="shared" si="10"/>
        <v>155</v>
      </c>
      <c r="B297" s="3" t="s">
        <v>317</v>
      </c>
      <c r="C297" s="3" t="s">
        <v>62</v>
      </c>
      <c r="D297" s="3"/>
      <c r="E297" s="3" t="s">
        <v>158</v>
      </c>
      <c r="F297" s="3" t="s">
        <v>474</v>
      </c>
      <c r="G297" s="4" t="s">
        <v>85</v>
      </c>
      <c r="H297" s="4">
        <v>10</v>
      </c>
      <c r="I297" s="4">
        <v>7</v>
      </c>
      <c r="J297" s="4">
        <v>8</v>
      </c>
      <c r="K297" s="5">
        <f t="shared" si="8"/>
        <v>4210.97</v>
      </c>
      <c r="L297" s="5">
        <v>4210.97</v>
      </c>
      <c r="M297" s="5">
        <v>0</v>
      </c>
      <c r="N297" s="4">
        <v>0</v>
      </c>
      <c r="O297" s="5">
        <f t="shared" si="9"/>
        <v>0</v>
      </c>
      <c r="P297" s="5">
        <v>0</v>
      </c>
      <c r="Q297" s="5">
        <v>0</v>
      </c>
    </row>
    <row r="298" spans="1:17" ht="25.5" x14ac:dyDescent="0.25">
      <c r="A298" s="294">
        <f t="shared" si="10"/>
        <v>156</v>
      </c>
      <c r="B298" s="3" t="s">
        <v>318</v>
      </c>
      <c r="C298" s="3" t="s">
        <v>62</v>
      </c>
      <c r="D298" s="3"/>
      <c r="E298" s="3" t="s">
        <v>174</v>
      </c>
      <c r="F298" s="3" t="s">
        <v>319</v>
      </c>
      <c r="G298" s="4" t="s">
        <v>85</v>
      </c>
      <c r="H298" s="4">
        <v>28</v>
      </c>
      <c r="I298" s="4">
        <v>17</v>
      </c>
      <c r="J298" s="4">
        <v>20</v>
      </c>
      <c r="K298" s="5">
        <f t="shared" si="8"/>
        <v>23365.279999999999</v>
      </c>
      <c r="L298" s="5">
        <v>23365.279999999999</v>
      </c>
      <c r="M298" s="5">
        <v>0</v>
      </c>
      <c r="N298" s="4">
        <v>0</v>
      </c>
      <c r="O298" s="5">
        <f t="shared" si="9"/>
        <v>0</v>
      </c>
      <c r="P298" s="5">
        <v>0</v>
      </c>
      <c r="Q298" s="5">
        <v>0</v>
      </c>
    </row>
    <row r="299" spans="1:17" x14ac:dyDescent="0.25">
      <c r="A299" s="294">
        <f t="shared" si="10"/>
        <v>157</v>
      </c>
      <c r="B299" s="3" t="s">
        <v>60</v>
      </c>
      <c r="C299" s="3" t="s">
        <v>67</v>
      </c>
      <c r="D299" s="3" t="s">
        <v>68</v>
      </c>
      <c r="E299" s="3" t="s">
        <v>74</v>
      </c>
      <c r="F299" s="3" t="s">
        <v>320</v>
      </c>
      <c r="G299" s="4" t="s">
        <v>85</v>
      </c>
      <c r="H299" s="4">
        <v>64</v>
      </c>
      <c r="I299" s="4">
        <v>56</v>
      </c>
      <c r="J299" s="4">
        <v>84</v>
      </c>
      <c r="K299" s="5">
        <f t="shared" si="8"/>
        <v>159674.60999999999</v>
      </c>
      <c r="L299" s="5">
        <v>159674.60999999999</v>
      </c>
      <c r="M299" s="5">
        <v>0</v>
      </c>
      <c r="N299" s="4">
        <v>44</v>
      </c>
      <c r="O299" s="5">
        <f t="shared" si="9"/>
        <v>110859.9</v>
      </c>
      <c r="P299" s="5">
        <v>110859.9</v>
      </c>
      <c r="Q299" s="5">
        <v>0</v>
      </c>
    </row>
    <row r="300" spans="1:17" x14ac:dyDescent="0.25">
      <c r="A300" s="294">
        <f t="shared" si="10"/>
        <v>158</v>
      </c>
      <c r="B300" s="3" t="s">
        <v>61</v>
      </c>
      <c r="C300" s="3" t="s">
        <v>67</v>
      </c>
      <c r="D300" s="3" t="s">
        <v>69</v>
      </c>
      <c r="E300" s="3" t="s">
        <v>74</v>
      </c>
      <c r="F300" s="3" t="s">
        <v>543</v>
      </c>
      <c r="G300" s="4" t="s">
        <v>85</v>
      </c>
      <c r="H300" s="4">
        <v>9</v>
      </c>
      <c r="I300" s="4">
        <v>5</v>
      </c>
      <c r="J300" s="4">
        <v>6</v>
      </c>
      <c r="K300" s="5">
        <f t="shared" si="8"/>
        <v>12993.1</v>
      </c>
      <c r="L300" s="5">
        <v>12993.1</v>
      </c>
      <c r="M300" s="5">
        <v>0</v>
      </c>
      <c r="N300" s="4">
        <v>7</v>
      </c>
      <c r="O300" s="5">
        <f t="shared" si="9"/>
        <v>7602.26</v>
      </c>
      <c r="P300" s="5">
        <v>7602.26</v>
      </c>
      <c r="Q300" s="5">
        <v>0</v>
      </c>
    </row>
    <row r="301" spans="1:17" x14ac:dyDescent="0.25">
      <c r="A301" s="294">
        <f t="shared" si="10"/>
        <v>159</v>
      </c>
      <c r="B301" s="3" t="s">
        <v>61</v>
      </c>
      <c r="C301" s="3" t="s">
        <v>67</v>
      </c>
      <c r="D301" s="3" t="s">
        <v>69</v>
      </c>
      <c r="E301" s="3" t="s">
        <v>74</v>
      </c>
      <c r="F301" s="3" t="s">
        <v>321</v>
      </c>
      <c r="G301" s="4" t="s">
        <v>85</v>
      </c>
      <c r="H301" s="4">
        <v>9</v>
      </c>
      <c r="I301" s="4">
        <v>5</v>
      </c>
      <c r="J301" s="4">
        <v>6</v>
      </c>
      <c r="K301" s="5">
        <f t="shared" si="8"/>
        <v>12993.1</v>
      </c>
      <c r="L301" s="5">
        <v>12993.1</v>
      </c>
      <c r="M301" s="5">
        <v>0</v>
      </c>
      <c r="N301" s="4">
        <v>7</v>
      </c>
      <c r="O301" s="5">
        <f t="shared" si="9"/>
        <v>7602.26</v>
      </c>
      <c r="P301" s="5">
        <v>7602.26</v>
      </c>
      <c r="Q301" s="5">
        <v>0</v>
      </c>
    </row>
  </sheetData>
  <autoFilter ref="A8:Q8"/>
  <mergeCells count="8">
    <mergeCell ref="B7:G7"/>
    <mergeCell ref="H7:M7"/>
    <mergeCell ref="N7:Q7"/>
    <mergeCell ref="O1:Q1"/>
    <mergeCell ref="A3:Q3"/>
    <mergeCell ref="A4:Q4"/>
    <mergeCell ref="A5:Q5"/>
    <mergeCell ref="A6:Q6"/>
  </mergeCells>
  <pageMargins left="0.31496062992125984" right="0.31496062992125984" top="0.55118110236220474" bottom="0.55118110236220474" header="0" footer="0"/>
  <pageSetup paperSize="9" scale="18" fitToWidth="2" orientation="landscape" horizontalDpi="300" verticalDpi="30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MK292"/>
  <sheetViews>
    <sheetView topLeftCell="A127" zoomScale="95" zoomScaleNormal="95" workbookViewId="0">
      <selection activeCell="A132" sqref="A132:XFD142"/>
    </sheetView>
  </sheetViews>
  <sheetFormatPr defaultRowHeight="15" customHeight="1" x14ac:dyDescent="0.25"/>
  <cols>
    <col min="1" max="1" width="4" customWidth="1"/>
    <col min="2" max="2" width="36.28515625" customWidth="1"/>
    <col min="3" max="3" width="11.28515625" customWidth="1"/>
    <col min="4" max="4" width="26.28515625" customWidth="1"/>
    <col min="5" max="5" width="15.7109375" customWidth="1"/>
    <col min="6" max="8" width="19.28515625" customWidth="1"/>
    <col min="9" max="9" width="11.85546875" customWidth="1"/>
    <col min="10" max="10" width="13.140625" customWidth="1"/>
    <col min="11" max="11" width="14.5703125" customWidth="1"/>
    <col min="12" max="12" width="13.42578125" customWidth="1"/>
    <col min="13" max="13" width="13.5703125" customWidth="1"/>
    <col min="14" max="14" width="13.28515625" customWidth="1"/>
    <col min="15" max="15" width="14.42578125" customWidth="1"/>
    <col min="16" max="17" width="13.42578125" customWidth="1"/>
  </cols>
  <sheetData>
    <row r="1" spans="1:18" x14ac:dyDescent="0.25">
      <c r="A1" s="373"/>
      <c r="B1" s="373"/>
      <c r="C1" s="373"/>
      <c r="D1" s="373"/>
      <c r="E1" s="373"/>
      <c r="F1" s="373"/>
      <c r="G1" s="373"/>
      <c r="H1" s="373"/>
      <c r="I1" s="373"/>
      <c r="J1" s="373"/>
      <c r="K1" s="7"/>
      <c r="L1" s="7"/>
      <c r="M1" s="7"/>
      <c r="N1" s="373"/>
      <c r="O1" s="620" t="s">
        <v>15</v>
      </c>
      <c r="P1" s="620"/>
      <c r="Q1" s="620"/>
      <c r="R1" s="6"/>
    </row>
    <row r="2" spans="1:18" x14ac:dyDescent="0.25">
      <c r="A2" s="373"/>
      <c r="B2" s="373"/>
      <c r="C2" s="373"/>
      <c r="D2" s="373"/>
      <c r="E2" s="373"/>
      <c r="F2" s="373"/>
      <c r="G2" s="373"/>
      <c r="H2" s="373"/>
      <c r="I2" s="373"/>
      <c r="J2" s="373"/>
      <c r="K2" s="7"/>
      <c r="L2" s="7"/>
      <c r="M2" s="7"/>
      <c r="N2" s="373"/>
      <c r="O2" s="7"/>
      <c r="P2" s="7"/>
      <c r="Q2" s="7"/>
      <c r="R2" s="6"/>
    </row>
    <row r="3" spans="1:18" x14ac:dyDescent="0.25">
      <c r="A3" s="621" t="s">
        <v>323</v>
      </c>
      <c r="B3" s="621"/>
      <c r="C3" s="621"/>
      <c r="D3" s="621"/>
      <c r="E3" s="621"/>
      <c r="F3" s="621"/>
      <c r="G3" s="621"/>
      <c r="H3" s="621"/>
      <c r="I3" s="621"/>
      <c r="J3" s="621"/>
      <c r="K3" s="621"/>
      <c r="L3" s="621"/>
      <c r="M3" s="621"/>
      <c r="N3" s="621"/>
      <c r="O3" s="621"/>
      <c r="P3" s="621"/>
      <c r="Q3" s="621"/>
      <c r="R3" s="6"/>
    </row>
    <row r="4" spans="1:18" ht="18.75" x14ac:dyDescent="0.25">
      <c r="A4" s="622" t="s">
        <v>16</v>
      </c>
      <c r="B4" s="622"/>
      <c r="C4" s="622"/>
      <c r="D4" s="622"/>
      <c r="E4" s="622"/>
      <c r="F4" s="622"/>
      <c r="G4" s="622"/>
      <c r="H4" s="622"/>
      <c r="I4" s="622"/>
      <c r="J4" s="622"/>
      <c r="K4" s="622"/>
      <c r="L4" s="622"/>
      <c r="M4" s="622"/>
      <c r="N4" s="622"/>
      <c r="O4" s="622"/>
      <c r="P4" s="622"/>
      <c r="Q4" s="622"/>
      <c r="R4" s="6"/>
    </row>
    <row r="5" spans="1:18" x14ac:dyDescent="0.25">
      <c r="A5" s="623" t="s">
        <v>14</v>
      </c>
      <c r="B5" s="623"/>
      <c r="C5" s="623"/>
      <c r="D5" s="623"/>
      <c r="E5" s="623"/>
      <c r="F5" s="623"/>
      <c r="G5" s="623"/>
      <c r="H5" s="623"/>
      <c r="I5" s="623"/>
      <c r="J5" s="623"/>
      <c r="K5" s="623"/>
      <c r="L5" s="623"/>
      <c r="M5" s="623"/>
      <c r="N5" s="623"/>
      <c r="O5" s="623"/>
      <c r="P5" s="623"/>
      <c r="Q5" s="623"/>
      <c r="R5" s="6"/>
    </row>
    <row r="6" spans="1:18" ht="21" x14ac:dyDescent="0.25">
      <c r="A6" s="624" t="s">
        <v>17</v>
      </c>
      <c r="B6" s="624"/>
      <c r="C6" s="624"/>
      <c r="D6" s="624"/>
      <c r="E6" s="624"/>
      <c r="F6" s="624"/>
      <c r="G6" s="624"/>
      <c r="H6" s="624"/>
      <c r="I6" s="624"/>
      <c r="J6" s="624"/>
      <c r="K6" s="624"/>
      <c r="L6" s="624"/>
      <c r="M6" s="624"/>
      <c r="N6" s="624"/>
      <c r="O6" s="624"/>
      <c r="P6" s="624"/>
      <c r="Q6" s="624"/>
      <c r="R6" s="6"/>
    </row>
    <row r="7" spans="1:18" x14ac:dyDescent="0.25">
      <c r="A7" s="9" t="s">
        <v>0</v>
      </c>
      <c r="B7" s="617" t="s">
        <v>10</v>
      </c>
      <c r="C7" s="618"/>
      <c r="D7" s="618"/>
      <c r="E7" s="618"/>
      <c r="F7" s="618"/>
      <c r="G7" s="619"/>
      <c r="H7" s="617" t="s">
        <v>322</v>
      </c>
      <c r="I7" s="618"/>
      <c r="J7" s="618"/>
      <c r="K7" s="618"/>
      <c r="L7" s="618"/>
      <c r="M7" s="618"/>
      <c r="N7" s="617" t="s">
        <v>324</v>
      </c>
      <c r="O7" s="618"/>
      <c r="P7" s="618"/>
      <c r="Q7" s="619"/>
      <c r="R7" s="6"/>
    </row>
    <row r="8" spans="1:18" ht="102" x14ac:dyDescent="0.25">
      <c r="A8" s="10"/>
      <c r="B8" s="11" t="s">
        <v>4</v>
      </c>
      <c r="C8" s="11" t="s">
        <v>1</v>
      </c>
      <c r="D8" s="11" t="s">
        <v>3</v>
      </c>
      <c r="E8" s="11" t="s">
        <v>2</v>
      </c>
      <c r="F8" s="11" t="s">
        <v>6</v>
      </c>
      <c r="G8" s="11" t="s">
        <v>5</v>
      </c>
      <c r="H8" s="12" t="s">
        <v>7</v>
      </c>
      <c r="I8" s="13" t="s">
        <v>8</v>
      </c>
      <c r="J8" s="13" t="s">
        <v>9</v>
      </c>
      <c r="K8" s="14" t="s">
        <v>11</v>
      </c>
      <c r="L8" s="14" t="s">
        <v>12</v>
      </c>
      <c r="M8" s="14" t="s">
        <v>13</v>
      </c>
      <c r="N8" s="13" t="s">
        <v>9</v>
      </c>
      <c r="O8" s="14" t="s">
        <v>11</v>
      </c>
      <c r="P8" s="14" t="s">
        <v>12</v>
      </c>
      <c r="Q8" s="15" t="s">
        <v>13</v>
      </c>
      <c r="R8" s="6"/>
    </row>
    <row r="9" spans="1:18" ht="25.5" x14ac:dyDescent="0.25">
      <c r="A9" s="190">
        <v>1</v>
      </c>
      <c r="B9" s="136" t="s">
        <v>134</v>
      </c>
      <c r="C9" s="134" t="s">
        <v>62</v>
      </c>
      <c r="D9" s="136"/>
      <c r="E9" s="134" t="s">
        <v>74</v>
      </c>
      <c r="F9" s="134" t="s">
        <v>408</v>
      </c>
      <c r="G9" s="136" t="s">
        <v>409</v>
      </c>
      <c r="H9" s="191">
        <v>25</v>
      </c>
      <c r="I9" s="191">
        <v>9</v>
      </c>
      <c r="J9" s="191">
        <v>9</v>
      </c>
      <c r="K9" s="192">
        <v>9901.2000000000007</v>
      </c>
      <c r="L9" s="192">
        <v>9901.2000000000007</v>
      </c>
      <c r="M9" s="193">
        <f t="shared" ref="M9:M57" si="0">K9-L9</f>
        <v>0</v>
      </c>
      <c r="N9" s="191">
        <v>7</v>
      </c>
      <c r="O9" s="192">
        <v>16876.099999999999</v>
      </c>
      <c r="P9" s="192">
        <v>16876.099999999999</v>
      </c>
      <c r="Q9" s="192">
        <f t="shared" ref="Q9:Q57" si="1">O9-P9</f>
        <v>0</v>
      </c>
    </row>
    <row r="10" spans="1:18" ht="25.5" x14ac:dyDescent="0.25">
      <c r="A10" s="190">
        <v>2</v>
      </c>
      <c r="B10" s="136" t="s">
        <v>335</v>
      </c>
      <c r="C10" s="134" t="s">
        <v>62</v>
      </c>
      <c r="D10" s="136"/>
      <c r="E10" s="134" t="s">
        <v>74</v>
      </c>
      <c r="F10" s="134" t="s">
        <v>410</v>
      </c>
      <c r="G10" s="136" t="s">
        <v>409</v>
      </c>
      <c r="H10" s="191">
        <v>12</v>
      </c>
      <c r="I10" s="191">
        <v>4</v>
      </c>
      <c r="J10" s="191">
        <v>4</v>
      </c>
      <c r="K10" s="192">
        <v>5675.4</v>
      </c>
      <c r="L10" s="192">
        <v>5675.4</v>
      </c>
      <c r="M10" s="193">
        <f t="shared" si="0"/>
        <v>0</v>
      </c>
      <c r="N10" s="191">
        <v>11</v>
      </c>
      <c r="O10" s="192">
        <v>16642.8</v>
      </c>
      <c r="P10" s="192">
        <v>16642.8</v>
      </c>
      <c r="Q10" s="192">
        <f t="shared" si="1"/>
        <v>0</v>
      </c>
    </row>
    <row r="11" spans="1:18" ht="38.25" x14ac:dyDescent="0.25">
      <c r="A11" s="190">
        <v>3</v>
      </c>
      <c r="B11" s="136" t="s">
        <v>46</v>
      </c>
      <c r="C11" s="134" t="s">
        <v>62</v>
      </c>
      <c r="D11" s="136"/>
      <c r="E11" s="134" t="s">
        <v>267</v>
      </c>
      <c r="F11" s="134" t="s">
        <v>411</v>
      </c>
      <c r="G11" s="136" t="s">
        <v>409</v>
      </c>
      <c r="H11" s="191">
        <v>33</v>
      </c>
      <c r="I11" s="191">
        <v>22</v>
      </c>
      <c r="J11" s="191">
        <v>22</v>
      </c>
      <c r="K11" s="192">
        <v>37189.9</v>
      </c>
      <c r="L11" s="192">
        <v>33507.9</v>
      </c>
      <c r="M11" s="193">
        <f t="shared" si="0"/>
        <v>3682</v>
      </c>
      <c r="N11" s="191">
        <v>21</v>
      </c>
      <c r="O11" s="192">
        <v>32130.52</v>
      </c>
      <c r="P11" s="192">
        <v>28461.05</v>
      </c>
      <c r="Q11" s="192">
        <f t="shared" si="1"/>
        <v>3669.4700000000012</v>
      </c>
    </row>
    <row r="12" spans="1:18" ht="25.5" x14ac:dyDescent="0.25">
      <c r="A12" s="190">
        <v>4</v>
      </c>
      <c r="B12" s="136" t="s">
        <v>36</v>
      </c>
      <c r="C12" s="134" t="s">
        <v>62</v>
      </c>
      <c r="D12" s="136"/>
      <c r="E12" s="134" t="s">
        <v>74</v>
      </c>
      <c r="F12" s="134" t="s">
        <v>412</v>
      </c>
      <c r="G12" s="136" t="s">
        <v>409</v>
      </c>
      <c r="H12" s="191">
        <v>25</v>
      </c>
      <c r="I12" s="191">
        <v>15</v>
      </c>
      <c r="J12" s="191">
        <v>15</v>
      </c>
      <c r="K12" s="192">
        <v>24127.25</v>
      </c>
      <c r="L12" s="192">
        <v>24127.25</v>
      </c>
      <c r="M12" s="193">
        <f t="shared" si="0"/>
        <v>0</v>
      </c>
      <c r="N12" s="191">
        <v>22</v>
      </c>
      <c r="O12" s="192">
        <v>61373.52</v>
      </c>
      <c r="P12" s="192">
        <v>60084.82</v>
      </c>
      <c r="Q12" s="192">
        <f t="shared" si="1"/>
        <v>1288.6999999999971</v>
      </c>
    </row>
    <row r="13" spans="1:18" ht="25.5" x14ac:dyDescent="0.25">
      <c r="A13" s="190">
        <v>5</v>
      </c>
      <c r="B13" s="136" t="s">
        <v>27</v>
      </c>
      <c r="C13" s="134" t="s">
        <v>62</v>
      </c>
      <c r="D13" s="136"/>
      <c r="E13" s="134" t="s">
        <v>74</v>
      </c>
      <c r="F13" s="134" t="s">
        <v>413</v>
      </c>
      <c r="G13" s="136" t="s">
        <v>409</v>
      </c>
      <c r="H13" s="191">
        <v>10</v>
      </c>
      <c r="I13" s="191">
        <v>6</v>
      </c>
      <c r="J13" s="191">
        <v>6</v>
      </c>
      <c r="K13" s="192">
        <v>11514.02</v>
      </c>
      <c r="L13" s="192">
        <v>11514.02</v>
      </c>
      <c r="M13" s="193">
        <f t="shared" si="0"/>
        <v>0</v>
      </c>
      <c r="N13" s="191">
        <v>10</v>
      </c>
      <c r="O13" s="192">
        <v>19563.2</v>
      </c>
      <c r="P13" s="192">
        <v>19563.2</v>
      </c>
      <c r="Q13" s="192">
        <f t="shared" si="1"/>
        <v>0</v>
      </c>
    </row>
    <row r="14" spans="1:18" ht="25.5" x14ac:dyDescent="0.25">
      <c r="A14" s="190">
        <v>6</v>
      </c>
      <c r="B14" s="136" t="s">
        <v>28</v>
      </c>
      <c r="C14" s="134" t="s">
        <v>62</v>
      </c>
      <c r="D14" s="136"/>
      <c r="E14" s="134" t="s">
        <v>74</v>
      </c>
      <c r="F14" s="134" t="s">
        <v>414</v>
      </c>
      <c r="G14" s="136" t="s">
        <v>409</v>
      </c>
      <c r="H14" s="191">
        <v>27</v>
      </c>
      <c r="I14" s="191">
        <v>16</v>
      </c>
      <c r="J14" s="191">
        <v>16</v>
      </c>
      <c r="K14" s="192">
        <v>24310.37</v>
      </c>
      <c r="L14" s="192">
        <v>24310.37</v>
      </c>
      <c r="M14" s="193">
        <f t="shared" si="0"/>
        <v>0</v>
      </c>
      <c r="N14" s="191">
        <v>11</v>
      </c>
      <c r="O14" s="192">
        <v>18572.099999999999</v>
      </c>
      <c r="P14" s="192">
        <v>18572.099999999999</v>
      </c>
      <c r="Q14" s="192">
        <f t="shared" si="1"/>
        <v>0</v>
      </c>
    </row>
    <row r="15" spans="1:18" ht="25.5" x14ac:dyDescent="0.25">
      <c r="A15" s="190">
        <v>7</v>
      </c>
      <c r="B15" s="298" t="s">
        <v>246</v>
      </c>
      <c r="C15" s="190" t="s">
        <v>62</v>
      </c>
      <c r="D15" s="298"/>
      <c r="E15" s="134" t="s">
        <v>74</v>
      </c>
      <c r="F15" s="190" t="s">
        <v>415</v>
      </c>
      <c r="G15" s="136" t="s">
        <v>409</v>
      </c>
      <c r="H15" s="191">
        <v>26</v>
      </c>
      <c r="I15" s="191">
        <v>5</v>
      </c>
      <c r="J15" s="191">
        <v>5</v>
      </c>
      <c r="K15" s="192">
        <v>5673.64</v>
      </c>
      <c r="L15" s="192">
        <v>5673.64</v>
      </c>
      <c r="M15" s="193">
        <f t="shared" si="0"/>
        <v>0</v>
      </c>
      <c r="N15" s="191">
        <v>0</v>
      </c>
      <c r="O15" s="192">
        <v>0</v>
      </c>
      <c r="P15" s="192">
        <v>0</v>
      </c>
      <c r="Q15" s="192">
        <f t="shared" si="1"/>
        <v>0</v>
      </c>
    </row>
    <row r="16" spans="1:18" ht="25.5" x14ac:dyDescent="0.25">
      <c r="A16" s="203">
        <v>8</v>
      </c>
      <c r="B16" s="195" t="s">
        <v>330</v>
      </c>
      <c r="C16" s="190" t="s">
        <v>62</v>
      </c>
      <c r="D16" s="298"/>
      <c r="E16" s="134" t="s">
        <v>74</v>
      </c>
      <c r="F16" s="190" t="s">
        <v>416</v>
      </c>
      <c r="G16" s="136" t="s">
        <v>409</v>
      </c>
      <c r="H16" s="191">
        <v>6</v>
      </c>
      <c r="I16" s="191">
        <v>0</v>
      </c>
      <c r="J16" s="191">
        <v>0</v>
      </c>
      <c r="K16" s="192">
        <v>0</v>
      </c>
      <c r="L16" s="192">
        <v>0</v>
      </c>
      <c r="M16" s="193">
        <f t="shared" si="0"/>
        <v>0</v>
      </c>
      <c r="N16" s="191">
        <v>0</v>
      </c>
      <c r="O16" s="192">
        <v>0</v>
      </c>
      <c r="P16" s="192">
        <v>0</v>
      </c>
      <c r="Q16" s="192">
        <f t="shared" si="1"/>
        <v>0</v>
      </c>
    </row>
    <row r="17" spans="1:17" ht="25.5" x14ac:dyDescent="0.25">
      <c r="A17" s="203">
        <v>9</v>
      </c>
      <c r="B17" s="195" t="s">
        <v>402</v>
      </c>
      <c r="C17" s="190" t="s">
        <v>62</v>
      </c>
      <c r="D17" s="298"/>
      <c r="E17" s="134" t="s">
        <v>74</v>
      </c>
      <c r="F17" s="190" t="s">
        <v>417</v>
      </c>
      <c r="G17" s="136" t="s">
        <v>409</v>
      </c>
      <c r="H17" s="191">
        <v>19</v>
      </c>
      <c r="I17" s="191">
        <v>8</v>
      </c>
      <c r="J17" s="191">
        <v>8</v>
      </c>
      <c r="K17" s="192">
        <v>10254.82</v>
      </c>
      <c r="L17" s="192">
        <v>10254.82</v>
      </c>
      <c r="M17" s="193">
        <f t="shared" si="0"/>
        <v>0</v>
      </c>
      <c r="N17" s="191">
        <v>0</v>
      </c>
      <c r="O17" s="192">
        <v>0</v>
      </c>
      <c r="P17" s="192">
        <v>0</v>
      </c>
      <c r="Q17" s="192">
        <f t="shared" si="1"/>
        <v>0</v>
      </c>
    </row>
    <row r="18" spans="1:17" ht="25.5" x14ac:dyDescent="0.25">
      <c r="A18" s="203">
        <v>10</v>
      </c>
      <c r="B18" s="195" t="s">
        <v>154</v>
      </c>
      <c r="C18" s="190" t="s">
        <v>62</v>
      </c>
      <c r="D18" s="298"/>
      <c r="E18" s="134" t="s">
        <v>72</v>
      </c>
      <c r="F18" s="190" t="s">
        <v>418</v>
      </c>
      <c r="G18" s="136" t="s">
        <v>409</v>
      </c>
      <c r="H18" s="191">
        <v>8</v>
      </c>
      <c r="I18" s="191">
        <v>1</v>
      </c>
      <c r="J18" s="191">
        <v>1</v>
      </c>
      <c r="K18" s="192">
        <v>925.05</v>
      </c>
      <c r="L18" s="192">
        <v>925.05</v>
      </c>
      <c r="M18" s="193">
        <f t="shared" si="0"/>
        <v>0</v>
      </c>
      <c r="N18" s="191">
        <v>8</v>
      </c>
      <c r="O18" s="192">
        <v>13569.2</v>
      </c>
      <c r="P18" s="192">
        <v>13569.2</v>
      </c>
      <c r="Q18" s="192">
        <f t="shared" si="1"/>
        <v>0</v>
      </c>
    </row>
    <row r="19" spans="1:17" ht="25.5" x14ac:dyDescent="0.25">
      <c r="A19" s="203">
        <v>11</v>
      </c>
      <c r="B19" s="195" t="s">
        <v>153</v>
      </c>
      <c r="C19" s="190" t="s">
        <v>62</v>
      </c>
      <c r="D19" s="298"/>
      <c r="E19" s="134" t="s">
        <v>74</v>
      </c>
      <c r="F19" s="190" t="s">
        <v>419</v>
      </c>
      <c r="G19" s="136" t="s">
        <v>409</v>
      </c>
      <c r="H19" s="191">
        <v>4</v>
      </c>
      <c r="I19" s="191">
        <v>1</v>
      </c>
      <c r="J19" s="191">
        <v>1</v>
      </c>
      <c r="K19" s="192">
        <v>1635.8</v>
      </c>
      <c r="L19" s="192">
        <v>1635.8</v>
      </c>
      <c r="M19" s="193">
        <f t="shared" si="0"/>
        <v>0</v>
      </c>
      <c r="N19" s="191">
        <v>18</v>
      </c>
      <c r="O19" s="192">
        <v>63052.81</v>
      </c>
      <c r="P19" s="192">
        <v>54035.01</v>
      </c>
      <c r="Q19" s="192">
        <f t="shared" si="1"/>
        <v>9017.7999999999956</v>
      </c>
    </row>
    <row r="20" spans="1:17" ht="25.5" x14ac:dyDescent="0.25">
      <c r="A20" s="203">
        <v>12</v>
      </c>
      <c r="B20" s="195" t="s">
        <v>89</v>
      </c>
      <c r="C20" s="190" t="s">
        <v>62</v>
      </c>
      <c r="D20" s="298"/>
      <c r="E20" s="134" t="s">
        <v>74</v>
      </c>
      <c r="F20" s="190" t="s">
        <v>420</v>
      </c>
      <c r="G20" s="136" t="s">
        <v>409</v>
      </c>
      <c r="H20" s="191">
        <v>12</v>
      </c>
      <c r="I20" s="191">
        <v>6</v>
      </c>
      <c r="J20" s="191">
        <v>6</v>
      </c>
      <c r="K20" s="192">
        <v>9804.5499999999993</v>
      </c>
      <c r="L20" s="192">
        <v>9804.5499999999993</v>
      </c>
      <c r="M20" s="193">
        <f t="shared" si="0"/>
        <v>0</v>
      </c>
      <c r="N20" s="191">
        <v>4</v>
      </c>
      <c r="O20" s="192">
        <v>12828.6</v>
      </c>
      <c r="P20" s="192">
        <v>12828.6</v>
      </c>
      <c r="Q20" s="192">
        <f t="shared" si="1"/>
        <v>0</v>
      </c>
    </row>
    <row r="21" spans="1:17" ht="25.5" x14ac:dyDescent="0.25">
      <c r="A21" s="203">
        <v>13</v>
      </c>
      <c r="B21" s="195" t="s">
        <v>379</v>
      </c>
      <c r="C21" s="190" t="s">
        <v>62</v>
      </c>
      <c r="D21" s="298"/>
      <c r="E21" s="134" t="s">
        <v>74</v>
      </c>
      <c r="F21" s="190" t="s">
        <v>421</v>
      </c>
      <c r="G21" s="136" t="s">
        <v>409</v>
      </c>
      <c r="H21" s="191">
        <v>7</v>
      </c>
      <c r="I21" s="191">
        <v>5</v>
      </c>
      <c r="J21" s="191">
        <v>5</v>
      </c>
      <c r="K21" s="192">
        <v>6120.15</v>
      </c>
      <c r="L21" s="192">
        <v>4831.45</v>
      </c>
      <c r="M21" s="193">
        <f t="shared" si="0"/>
        <v>1288.6999999999998</v>
      </c>
      <c r="N21" s="191">
        <v>0</v>
      </c>
      <c r="O21" s="192">
        <v>0</v>
      </c>
      <c r="P21" s="192">
        <v>0</v>
      </c>
      <c r="Q21" s="192">
        <f t="shared" si="1"/>
        <v>0</v>
      </c>
    </row>
    <row r="22" spans="1:17" ht="25.5" x14ac:dyDescent="0.25">
      <c r="A22" s="203">
        <v>14</v>
      </c>
      <c r="B22" s="195" t="s">
        <v>264</v>
      </c>
      <c r="C22" s="190" t="s">
        <v>62</v>
      </c>
      <c r="D22" s="298"/>
      <c r="E22" s="134" t="s">
        <v>74</v>
      </c>
      <c r="F22" s="190" t="s">
        <v>422</v>
      </c>
      <c r="G22" s="136" t="s">
        <v>409</v>
      </c>
      <c r="H22" s="191">
        <v>3</v>
      </c>
      <c r="I22" s="191">
        <v>0</v>
      </c>
      <c r="J22" s="191">
        <v>0</v>
      </c>
      <c r="K22" s="192">
        <v>0</v>
      </c>
      <c r="L22" s="192">
        <v>0</v>
      </c>
      <c r="M22" s="193">
        <f t="shared" si="0"/>
        <v>0</v>
      </c>
      <c r="N22" s="191">
        <v>0</v>
      </c>
      <c r="O22" s="192">
        <v>0</v>
      </c>
      <c r="P22" s="192">
        <v>0</v>
      </c>
      <c r="Q22" s="192">
        <f t="shared" si="1"/>
        <v>0</v>
      </c>
    </row>
    <row r="23" spans="1:17" ht="25.5" x14ac:dyDescent="0.25">
      <c r="A23" s="203">
        <v>15</v>
      </c>
      <c r="B23" s="195" t="s">
        <v>475</v>
      </c>
      <c r="C23" s="190" t="s">
        <v>67</v>
      </c>
      <c r="D23" s="136" t="s">
        <v>123</v>
      </c>
      <c r="E23" s="134" t="s">
        <v>82</v>
      </c>
      <c r="F23" s="190" t="s">
        <v>423</v>
      </c>
      <c r="G23" s="136" t="s">
        <v>409</v>
      </c>
      <c r="H23" s="191">
        <v>3</v>
      </c>
      <c r="I23" s="191">
        <v>0</v>
      </c>
      <c r="J23" s="191">
        <v>0</v>
      </c>
      <c r="K23" s="192">
        <v>0</v>
      </c>
      <c r="L23" s="192">
        <v>0</v>
      </c>
      <c r="M23" s="193">
        <f t="shared" si="0"/>
        <v>0</v>
      </c>
      <c r="N23" s="191">
        <v>0</v>
      </c>
      <c r="O23" s="192">
        <v>0</v>
      </c>
      <c r="P23" s="192">
        <v>0</v>
      </c>
      <c r="Q23" s="192">
        <f t="shared" si="1"/>
        <v>0</v>
      </c>
    </row>
    <row r="24" spans="1:17" ht="25.5" x14ac:dyDescent="0.25">
      <c r="A24" s="203">
        <v>16</v>
      </c>
      <c r="B24" s="195" t="s">
        <v>137</v>
      </c>
      <c r="C24" s="190" t="s">
        <v>62</v>
      </c>
      <c r="D24" s="298"/>
      <c r="E24" s="134" t="s">
        <v>78</v>
      </c>
      <c r="F24" s="190" t="s">
        <v>424</v>
      </c>
      <c r="G24" s="136" t="s">
        <v>409</v>
      </c>
      <c r="H24" s="191">
        <v>4</v>
      </c>
      <c r="I24" s="191">
        <v>1</v>
      </c>
      <c r="J24" s="191">
        <v>1</v>
      </c>
      <c r="K24" s="192">
        <v>1691.52</v>
      </c>
      <c r="L24" s="192">
        <v>1691.52</v>
      </c>
      <c r="M24" s="193">
        <f t="shared" si="0"/>
        <v>0</v>
      </c>
      <c r="N24" s="191">
        <v>0</v>
      </c>
      <c r="O24" s="192">
        <v>0</v>
      </c>
      <c r="P24" s="192">
        <v>0</v>
      </c>
      <c r="Q24" s="192">
        <f t="shared" si="1"/>
        <v>0</v>
      </c>
    </row>
    <row r="25" spans="1:17" ht="25.5" x14ac:dyDescent="0.25">
      <c r="A25" s="203">
        <v>17</v>
      </c>
      <c r="B25" s="195" t="s">
        <v>173</v>
      </c>
      <c r="C25" s="190" t="s">
        <v>67</v>
      </c>
      <c r="D25" s="298" t="s">
        <v>425</v>
      </c>
      <c r="E25" s="134" t="s">
        <v>74</v>
      </c>
      <c r="F25" s="190" t="s">
        <v>426</v>
      </c>
      <c r="G25" s="136" t="s">
        <v>409</v>
      </c>
      <c r="H25" s="191">
        <v>13</v>
      </c>
      <c r="I25" s="191">
        <v>5</v>
      </c>
      <c r="J25" s="191">
        <v>5</v>
      </c>
      <c r="K25" s="192">
        <v>7429.36</v>
      </c>
      <c r="L25" s="192">
        <v>7429.36</v>
      </c>
      <c r="M25" s="193">
        <f t="shared" si="0"/>
        <v>0</v>
      </c>
      <c r="N25" s="191">
        <v>0</v>
      </c>
      <c r="O25" s="192">
        <v>0</v>
      </c>
      <c r="P25" s="192">
        <v>0</v>
      </c>
      <c r="Q25" s="192">
        <f t="shared" si="1"/>
        <v>0</v>
      </c>
    </row>
    <row r="26" spans="1:17" ht="25.5" x14ac:dyDescent="0.25">
      <c r="A26" s="203">
        <v>18</v>
      </c>
      <c r="B26" s="195" t="s">
        <v>135</v>
      </c>
      <c r="C26" s="190" t="s">
        <v>62</v>
      </c>
      <c r="D26" s="298"/>
      <c r="E26" s="134" t="s">
        <v>74</v>
      </c>
      <c r="F26" s="190" t="s">
        <v>427</v>
      </c>
      <c r="G26" s="136" t="s">
        <v>409</v>
      </c>
      <c r="H26" s="191">
        <v>4</v>
      </c>
      <c r="I26" s="191">
        <v>2</v>
      </c>
      <c r="J26" s="191">
        <v>2</v>
      </c>
      <c r="K26" s="192">
        <v>2396.3200000000002</v>
      </c>
      <c r="L26" s="192">
        <v>2396.3200000000002</v>
      </c>
      <c r="M26" s="193">
        <f t="shared" si="0"/>
        <v>0</v>
      </c>
      <c r="N26" s="191">
        <v>7</v>
      </c>
      <c r="O26" s="192">
        <v>16256.42</v>
      </c>
      <c r="P26" s="192">
        <v>16256.42</v>
      </c>
      <c r="Q26" s="192">
        <f t="shared" si="1"/>
        <v>0</v>
      </c>
    </row>
    <row r="27" spans="1:17" ht="25.5" x14ac:dyDescent="0.25">
      <c r="A27" s="203">
        <v>19</v>
      </c>
      <c r="B27" s="195" t="s">
        <v>148</v>
      </c>
      <c r="C27" s="190" t="s">
        <v>62</v>
      </c>
      <c r="D27" s="298"/>
      <c r="E27" s="134" t="s">
        <v>149</v>
      </c>
      <c r="F27" s="190" t="s">
        <v>375</v>
      </c>
      <c r="G27" s="136" t="s">
        <v>409</v>
      </c>
      <c r="H27" s="191">
        <v>22</v>
      </c>
      <c r="I27" s="191">
        <v>11</v>
      </c>
      <c r="J27" s="191">
        <v>11</v>
      </c>
      <c r="K27" s="192">
        <v>30782.5</v>
      </c>
      <c r="L27" s="192">
        <v>30782.5</v>
      </c>
      <c r="M27" s="193">
        <f t="shared" si="0"/>
        <v>0</v>
      </c>
      <c r="N27" s="191">
        <v>28</v>
      </c>
      <c r="O27" s="192">
        <v>90393.49</v>
      </c>
      <c r="P27" s="192">
        <v>77423.789999999994</v>
      </c>
      <c r="Q27" s="192">
        <f t="shared" si="1"/>
        <v>12969.700000000012</v>
      </c>
    </row>
    <row r="28" spans="1:17" ht="25.5" x14ac:dyDescent="0.25">
      <c r="A28" s="203">
        <v>20</v>
      </c>
      <c r="B28" s="195" t="s">
        <v>147</v>
      </c>
      <c r="C28" s="190" t="s">
        <v>62</v>
      </c>
      <c r="D28" s="298"/>
      <c r="E28" s="134" t="s">
        <v>74</v>
      </c>
      <c r="F28" s="190" t="s">
        <v>331</v>
      </c>
      <c r="G28" s="136" t="s">
        <v>409</v>
      </c>
      <c r="H28" s="191">
        <v>6</v>
      </c>
      <c r="I28" s="191">
        <v>2</v>
      </c>
      <c r="J28" s="191">
        <v>2</v>
      </c>
      <c r="K28" s="192">
        <v>4915.3999999999996</v>
      </c>
      <c r="L28" s="192">
        <v>4915.3999999999996</v>
      </c>
      <c r="M28" s="193">
        <f t="shared" si="0"/>
        <v>0</v>
      </c>
      <c r="N28" s="191">
        <v>10</v>
      </c>
      <c r="O28" s="192">
        <v>22395.4</v>
      </c>
      <c r="P28" s="192">
        <v>22395.4</v>
      </c>
      <c r="Q28" s="192">
        <f t="shared" si="1"/>
        <v>0</v>
      </c>
    </row>
    <row r="29" spans="1:17" ht="25.5" x14ac:dyDescent="0.25">
      <c r="A29" s="203">
        <v>21</v>
      </c>
      <c r="B29" s="195" t="s">
        <v>124</v>
      </c>
      <c r="C29" s="190" t="s">
        <v>62</v>
      </c>
      <c r="D29" s="298"/>
      <c r="E29" s="134" t="s">
        <v>428</v>
      </c>
      <c r="F29" s="190" t="s">
        <v>329</v>
      </c>
      <c r="G29" s="136" t="s">
        <v>409</v>
      </c>
      <c r="H29" s="191">
        <v>17</v>
      </c>
      <c r="I29" s="191">
        <v>11</v>
      </c>
      <c r="J29" s="191">
        <v>11</v>
      </c>
      <c r="K29" s="192">
        <v>14887.37</v>
      </c>
      <c r="L29" s="192">
        <v>10997.84</v>
      </c>
      <c r="M29" s="193">
        <f t="shared" si="0"/>
        <v>3889.5300000000007</v>
      </c>
      <c r="N29" s="191">
        <v>26</v>
      </c>
      <c r="O29" s="192">
        <v>35829.449999999997</v>
      </c>
      <c r="P29" s="192">
        <v>34496.1</v>
      </c>
      <c r="Q29" s="192">
        <f t="shared" si="1"/>
        <v>1333.3499999999985</v>
      </c>
    </row>
    <row r="30" spans="1:17" ht="25.5" x14ac:dyDescent="0.25">
      <c r="A30" s="203">
        <v>22</v>
      </c>
      <c r="B30" s="195" t="s">
        <v>168</v>
      </c>
      <c r="C30" s="190" t="s">
        <v>62</v>
      </c>
      <c r="D30" s="298"/>
      <c r="E30" s="190" t="s">
        <v>371</v>
      </c>
      <c r="F30" s="190" t="s">
        <v>353</v>
      </c>
      <c r="G30" s="136" t="s">
        <v>409</v>
      </c>
      <c r="H30" s="191">
        <v>6</v>
      </c>
      <c r="I30" s="191">
        <v>1</v>
      </c>
      <c r="J30" s="191">
        <v>1</v>
      </c>
      <c r="K30" s="192">
        <v>1409.6</v>
      </c>
      <c r="L30" s="192">
        <v>1409.6</v>
      </c>
      <c r="M30" s="193">
        <f t="shared" si="0"/>
        <v>0</v>
      </c>
      <c r="N30" s="191">
        <v>0</v>
      </c>
      <c r="O30" s="192">
        <v>0</v>
      </c>
      <c r="P30" s="192">
        <v>0</v>
      </c>
      <c r="Q30" s="192">
        <f t="shared" si="1"/>
        <v>0</v>
      </c>
    </row>
    <row r="31" spans="1:17" ht="25.5" x14ac:dyDescent="0.25">
      <c r="A31" s="203">
        <v>23</v>
      </c>
      <c r="B31" s="195" t="s">
        <v>429</v>
      </c>
      <c r="C31" s="190" t="s">
        <v>62</v>
      </c>
      <c r="D31" s="298"/>
      <c r="E31" s="134" t="s">
        <v>74</v>
      </c>
      <c r="F31" s="190" t="s">
        <v>430</v>
      </c>
      <c r="G31" s="136" t="s">
        <v>409</v>
      </c>
      <c r="H31" s="191">
        <v>7</v>
      </c>
      <c r="I31" s="191">
        <v>3</v>
      </c>
      <c r="J31" s="191">
        <v>3</v>
      </c>
      <c r="K31" s="192">
        <v>5178.84</v>
      </c>
      <c r="L31" s="192">
        <v>5178.84</v>
      </c>
      <c r="M31" s="193">
        <f t="shared" si="0"/>
        <v>0</v>
      </c>
      <c r="N31" s="191">
        <v>7</v>
      </c>
      <c r="O31" s="192">
        <v>6995.76</v>
      </c>
      <c r="P31" s="192">
        <v>6995.76</v>
      </c>
      <c r="Q31" s="192">
        <f t="shared" si="1"/>
        <v>0</v>
      </c>
    </row>
    <row r="32" spans="1:17" ht="25.5" x14ac:dyDescent="0.25">
      <c r="A32" s="203">
        <v>24</v>
      </c>
      <c r="B32" s="195" t="s">
        <v>130</v>
      </c>
      <c r="C32" s="190" t="s">
        <v>62</v>
      </c>
      <c r="D32" s="298"/>
      <c r="E32" s="134" t="s">
        <v>74</v>
      </c>
      <c r="F32" s="190" t="s">
        <v>431</v>
      </c>
      <c r="G32" s="136" t="s">
        <v>409</v>
      </c>
      <c r="H32" s="191">
        <v>4</v>
      </c>
      <c r="I32" s="191">
        <v>4</v>
      </c>
      <c r="J32" s="191">
        <v>4</v>
      </c>
      <c r="K32" s="192">
        <v>5204.28</v>
      </c>
      <c r="L32" s="192">
        <v>5204.2</v>
      </c>
      <c r="M32" s="193">
        <f t="shared" si="0"/>
        <v>7.999999999992724E-2</v>
      </c>
      <c r="N32" s="191">
        <v>5</v>
      </c>
      <c r="O32" s="192">
        <v>10391.459999999999</v>
      </c>
      <c r="P32" s="192">
        <v>10391.459999999999</v>
      </c>
      <c r="Q32" s="192">
        <f t="shared" si="1"/>
        <v>0</v>
      </c>
    </row>
    <row r="33" spans="1:17" ht="25.5" x14ac:dyDescent="0.25">
      <c r="A33" s="203">
        <v>25</v>
      </c>
      <c r="B33" s="195" t="s">
        <v>32</v>
      </c>
      <c r="C33" s="190" t="s">
        <v>62</v>
      </c>
      <c r="D33" s="298"/>
      <c r="E33" s="134" t="s">
        <v>74</v>
      </c>
      <c r="F33" s="190" t="s">
        <v>432</v>
      </c>
      <c r="G33" s="136" t="s">
        <v>409</v>
      </c>
      <c r="H33" s="191">
        <v>14</v>
      </c>
      <c r="I33" s="191">
        <v>8</v>
      </c>
      <c r="J33" s="191">
        <v>8</v>
      </c>
      <c r="K33" s="192">
        <v>11468.46</v>
      </c>
      <c r="L33" s="192">
        <v>7823.28</v>
      </c>
      <c r="M33" s="193">
        <f t="shared" si="0"/>
        <v>3645.1799999999994</v>
      </c>
      <c r="N33" s="191">
        <v>8</v>
      </c>
      <c r="O33" s="192">
        <v>17086.599999999999</v>
      </c>
      <c r="P33" s="192">
        <v>17086.599999999999</v>
      </c>
      <c r="Q33" s="192">
        <f t="shared" si="1"/>
        <v>0</v>
      </c>
    </row>
    <row r="34" spans="1:17" ht="25.5" x14ac:dyDescent="0.25">
      <c r="A34" s="203">
        <v>26</v>
      </c>
      <c r="B34" s="195" t="s">
        <v>343</v>
      </c>
      <c r="C34" s="190" t="s">
        <v>62</v>
      </c>
      <c r="D34" s="298"/>
      <c r="E34" s="134" t="s">
        <v>74</v>
      </c>
      <c r="F34" s="190" t="s">
        <v>433</v>
      </c>
      <c r="G34" s="136" t="s">
        <v>409</v>
      </c>
      <c r="H34" s="191">
        <v>13</v>
      </c>
      <c r="I34" s="191">
        <v>10</v>
      </c>
      <c r="J34" s="191">
        <v>10</v>
      </c>
      <c r="K34" s="192">
        <v>18037.599999999999</v>
      </c>
      <c r="L34" s="192">
        <v>18037.599999999999</v>
      </c>
      <c r="M34" s="193">
        <f t="shared" si="0"/>
        <v>0</v>
      </c>
      <c r="N34" s="191">
        <v>0</v>
      </c>
      <c r="O34" s="192">
        <v>0</v>
      </c>
      <c r="P34" s="192">
        <v>0</v>
      </c>
      <c r="Q34" s="192">
        <f t="shared" si="1"/>
        <v>0</v>
      </c>
    </row>
    <row r="35" spans="1:17" ht="25.5" x14ac:dyDescent="0.25">
      <c r="A35" s="203">
        <v>27</v>
      </c>
      <c r="B35" s="195" t="s">
        <v>290</v>
      </c>
      <c r="C35" s="190" t="s">
        <v>62</v>
      </c>
      <c r="D35" s="298"/>
      <c r="E35" s="190" t="s">
        <v>371</v>
      </c>
      <c r="F35" s="190" t="s">
        <v>434</v>
      </c>
      <c r="G35" s="136" t="s">
        <v>409</v>
      </c>
      <c r="H35" s="191">
        <v>4</v>
      </c>
      <c r="I35" s="191">
        <v>1</v>
      </c>
      <c r="J35" s="191">
        <v>1</v>
      </c>
      <c r="K35" s="192">
        <v>1585.8</v>
      </c>
      <c r="L35" s="192">
        <v>1585.8</v>
      </c>
      <c r="M35" s="193">
        <f t="shared" si="0"/>
        <v>0</v>
      </c>
      <c r="N35" s="191">
        <v>0</v>
      </c>
      <c r="O35" s="192">
        <v>0</v>
      </c>
      <c r="P35" s="192">
        <v>0</v>
      </c>
      <c r="Q35" s="192">
        <f t="shared" si="1"/>
        <v>0</v>
      </c>
    </row>
    <row r="36" spans="1:17" ht="25.5" x14ac:dyDescent="0.25">
      <c r="A36" s="203">
        <v>28</v>
      </c>
      <c r="B36" s="195" t="s">
        <v>315</v>
      </c>
      <c r="C36" s="190" t="s">
        <v>62</v>
      </c>
      <c r="D36" s="298"/>
      <c r="E36" s="134" t="s">
        <v>74</v>
      </c>
      <c r="F36" s="190" t="s">
        <v>435</v>
      </c>
      <c r="G36" s="136" t="s">
        <v>409</v>
      </c>
      <c r="H36" s="191">
        <v>13</v>
      </c>
      <c r="I36" s="191">
        <v>3</v>
      </c>
      <c r="J36" s="191">
        <v>3</v>
      </c>
      <c r="K36" s="192">
        <v>4741</v>
      </c>
      <c r="L36" s="192">
        <v>4741</v>
      </c>
      <c r="M36" s="193">
        <f t="shared" si="0"/>
        <v>0</v>
      </c>
      <c r="N36" s="191">
        <v>5</v>
      </c>
      <c r="O36" s="192">
        <v>7208.02</v>
      </c>
      <c r="P36" s="192">
        <v>7208.02</v>
      </c>
      <c r="Q36" s="192">
        <f t="shared" si="1"/>
        <v>0</v>
      </c>
    </row>
    <row r="37" spans="1:17" ht="25.5" x14ac:dyDescent="0.25">
      <c r="A37" s="203">
        <v>29</v>
      </c>
      <c r="B37" s="195" t="s">
        <v>216</v>
      </c>
      <c r="C37" s="190" t="s">
        <v>67</v>
      </c>
      <c r="D37" s="298" t="s">
        <v>436</v>
      </c>
      <c r="E37" s="134" t="s">
        <v>74</v>
      </c>
      <c r="F37" s="190" t="s">
        <v>437</v>
      </c>
      <c r="G37" s="136" t="s">
        <v>409</v>
      </c>
      <c r="H37" s="191">
        <v>18</v>
      </c>
      <c r="I37" s="191">
        <v>6</v>
      </c>
      <c r="J37" s="191">
        <v>6</v>
      </c>
      <c r="K37" s="192">
        <v>12747.36</v>
      </c>
      <c r="L37" s="192">
        <v>12747.36</v>
      </c>
      <c r="M37" s="193">
        <f t="shared" si="0"/>
        <v>0</v>
      </c>
      <c r="N37" s="191">
        <v>0</v>
      </c>
      <c r="O37" s="192">
        <v>0</v>
      </c>
      <c r="P37" s="192">
        <v>0</v>
      </c>
      <c r="Q37" s="192">
        <f t="shared" si="1"/>
        <v>0</v>
      </c>
    </row>
    <row r="38" spans="1:17" ht="25.5" x14ac:dyDescent="0.25">
      <c r="A38" s="203">
        <v>30</v>
      </c>
      <c r="B38" s="195" t="s">
        <v>438</v>
      </c>
      <c r="C38" s="190" t="s">
        <v>62</v>
      </c>
      <c r="D38" s="298"/>
      <c r="E38" s="134" t="s">
        <v>74</v>
      </c>
      <c r="F38" s="190" t="s">
        <v>439</v>
      </c>
      <c r="G38" s="136" t="s">
        <v>409</v>
      </c>
      <c r="H38" s="191">
        <v>7</v>
      </c>
      <c r="I38" s="191">
        <v>0</v>
      </c>
      <c r="J38" s="191">
        <v>0</v>
      </c>
      <c r="K38" s="192">
        <v>0</v>
      </c>
      <c r="L38" s="192">
        <v>0</v>
      </c>
      <c r="M38" s="193">
        <f t="shared" si="0"/>
        <v>0</v>
      </c>
      <c r="N38" s="191">
        <v>0</v>
      </c>
      <c r="O38" s="192">
        <v>0</v>
      </c>
      <c r="P38" s="192">
        <v>0</v>
      </c>
      <c r="Q38" s="192">
        <f t="shared" si="1"/>
        <v>0</v>
      </c>
    </row>
    <row r="39" spans="1:17" ht="25.5" x14ac:dyDescent="0.25">
      <c r="A39" s="203">
        <v>31</v>
      </c>
      <c r="B39" s="195" t="s">
        <v>440</v>
      </c>
      <c r="C39" s="190" t="s">
        <v>62</v>
      </c>
      <c r="D39" s="298"/>
      <c r="E39" s="134" t="s">
        <v>74</v>
      </c>
      <c r="F39" s="190" t="s">
        <v>441</v>
      </c>
      <c r="G39" s="136" t="s">
        <v>409</v>
      </c>
      <c r="H39" s="191">
        <v>7</v>
      </c>
      <c r="I39" s="191">
        <v>3</v>
      </c>
      <c r="J39" s="191">
        <v>3</v>
      </c>
      <c r="K39" s="192">
        <v>3171.6</v>
      </c>
      <c r="L39" s="192">
        <v>3171.6</v>
      </c>
      <c r="M39" s="193">
        <f t="shared" si="0"/>
        <v>0</v>
      </c>
      <c r="N39" s="191">
        <v>0</v>
      </c>
      <c r="O39" s="192">
        <v>0</v>
      </c>
      <c r="P39" s="192">
        <v>0</v>
      </c>
      <c r="Q39" s="192">
        <f t="shared" si="1"/>
        <v>0</v>
      </c>
    </row>
    <row r="40" spans="1:17" ht="25.5" x14ac:dyDescent="0.25">
      <c r="A40" s="203">
        <v>32</v>
      </c>
      <c r="B40" s="195" t="s">
        <v>222</v>
      </c>
      <c r="C40" s="190" t="s">
        <v>64</v>
      </c>
      <c r="D40" s="136" t="s">
        <v>442</v>
      </c>
      <c r="E40" s="134" t="s">
        <v>74</v>
      </c>
      <c r="F40" s="190" t="s">
        <v>443</v>
      </c>
      <c r="G40" s="136" t="s">
        <v>409</v>
      </c>
      <c r="H40" s="191">
        <v>1</v>
      </c>
      <c r="I40" s="191">
        <v>0</v>
      </c>
      <c r="J40" s="191">
        <v>0</v>
      </c>
      <c r="K40" s="192">
        <v>0</v>
      </c>
      <c r="L40" s="192">
        <v>0</v>
      </c>
      <c r="M40" s="193">
        <f t="shared" si="0"/>
        <v>0</v>
      </c>
      <c r="N40" s="191">
        <v>0</v>
      </c>
      <c r="O40" s="192">
        <v>0</v>
      </c>
      <c r="P40" s="192">
        <v>0</v>
      </c>
      <c r="Q40" s="192">
        <f t="shared" si="1"/>
        <v>0</v>
      </c>
    </row>
    <row r="41" spans="1:17" ht="25.5" x14ac:dyDescent="0.25">
      <c r="A41" s="203">
        <v>33</v>
      </c>
      <c r="B41" s="195" t="s">
        <v>444</v>
      </c>
      <c r="C41" s="190" t="s">
        <v>62</v>
      </c>
      <c r="D41" s="298"/>
      <c r="E41" s="134" t="s">
        <v>74</v>
      </c>
      <c r="F41" s="190" t="s">
        <v>445</v>
      </c>
      <c r="G41" s="136" t="s">
        <v>409</v>
      </c>
      <c r="H41" s="191">
        <v>5</v>
      </c>
      <c r="I41" s="191">
        <v>2</v>
      </c>
      <c r="J41" s="191">
        <v>2</v>
      </c>
      <c r="K41" s="192">
        <v>1409.6</v>
      </c>
      <c r="L41" s="192">
        <v>1409.6</v>
      </c>
      <c r="M41" s="193">
        <f t="shared" si="0"/>
        <v>0</v>
      </c>
      <c r="N41" s="191">
        <v>0</v>
      </c>
      <c r="O41" s="192">
        <v>0</v>
      </c>
      <c r="P41" s="192">
        <v>0</v>
      </c>
      <c r="Q41" s="192">
        <f t="shared" si="1"/>
        <v>0</v>
      </c>
    </row>
    <row r="42" spans="1:17" ht="25.5" x14ac:dyDescent="0.25">
      <c r="A42" s="203">
        <v>34</v>
      </c>
      <c r="B42" s="195" t="s">
        <v>129</v>
      </c>
      <c r="C42" s="190" t="s">
        <v>62</v>
      </c>
      <c r="D42" s="298"/>
      <c r="E42" s="134" t="s">
        <v>74</v>
      </c>
      <c r="F42" s="190" t="s">
        <v>446</v>
      </c>
      <c r="G42" s="136" t="s">
        <v>409</v>
      </c>
      <c r="H42" s="191">
        <v>7</v>
      </c>
      <c r="I42" s="191">
        <v>3</v>
      </c>
      <c r="J42" s="191">
        <v>3</v>
      </c>
      <c r="K42" s="192">
        <v>3015.4</v>
      </c>
      <c r="L42" s="192">
        <v>3015.4</v>
      </c>
      <c r="M42" s="193">
        <f t="shared" si="0"/>
        <v>0</v>
      </c>
      <c r="N42" s="191">
        <v>10</v>
      </c>
      <c r="O42" s="192">
        <v>16183.86</v>
      </c>
      <c r="P42" s="192">
        <v>16183.86</v>
      </c>
      <c r="Q42" s="192">
        <f t="shared" si="1"/>
        <v>0</v>
      </c>
    </row>
    <row r="43" spans="1:17" ht="25.5" x14ac:dyDescent="0.25">
      <c r="A43" s="203">
        <v>35</v>
      </c>
      <c r="B43" s="299" t="s">
        <v>104</v>
      </c>
      <c r="C43" s="190" t="s">
        <v>62</v>
      </c>
      <c r="D43" s="298"/>
      <c r="E43" s="134" t="s">
        <v>105</v>
      </c>
      <c r="F43" s="190" t="s">
        <v>447</v>
      </c>
      <c r="G43" s="136" t="s">
        <v>409</v>
      </c>
      <c r="H43" s="191">
        <v>0</v>
      </c>
      <c r="I43" s="191">
        <v>0</v>
      </c>
      <c r="J43" s="191">
        <v>0</v>
      </c>
      <c r="K43" s="192">
        <v>0</v>
      </c>
      <c r="L43" s="192">
        <v>0</v>
      </c>
      <c r="M43" s="193">
        <f t="shared" si="0"/>
        <v>0</v>
      </c>
      <c r="N43" s="191">
        <v>7</v>
      </c>
      <c r="O43" s="192">
        <v>5726.5</v>
      </c>
      <c r="P43" s="192">
        <v>5726.5</v>
      </c>
      <c r="Q43" s="192">
        <f t="shared" si="1"/>
        <v>0</v>
      </c>
    </row>
    <row r="44" spans="1:17" ht="25.5" x14ac:dyDescent="0.25">
      <c r="A44" s="190">
        <v>36</v>
      </c>
      <c r="B44" s="298" t="s">
        <v>156</v>
      </c>
      <c r="C44" s="190" t="s">
        <v>67</v>
      </c>
      <c r="D44" s="298" t="s">
        <v>501</v>
      </c>
      <c r="E44" s="134" t="s">
        <v>74</v>
      </c>
      <c r="F44" s="190" t="s">
        <v>502</v>
      </c>
      <c r="G44" s="136" t="s">
        <v>409</v>
      </c>
      <c r="H44" s="191">
        <v>3</v>
      </c>
      <c r="I44" s="191">
        <v>0</v>
      </c>
      <c r="J44" s="191">
        <v>0</v>
      </c>
      <c r="K44" s="192">
        <v>0</v>
      </c>
      <c r="L44" s="192">
        <v>0</v>
      </c>
      <c r="M44" s="193">
        <f t="shared" si="0"/>
        <v>0</v>
      </c>
      <c r="N44" s="191">
        <v>5</v>
      </c>
      <c r="O44" s="192">
        <v>8865.2999999999993</v>
      </c>
      <c r="P44" s="192">
        <v>8865.2999999999993</v>
      </c>
      <c r="Q44" s="192">
        <f t="shared" si="1"/>
        <v>0</v>
      </c>
    </row>
    <row r="45" spans="1:17" ht="25.5" x14ac:dyDescent="0.25">
      <c r="A45" s="190">
        <v>37</v>
      </c>
      <c r="B45" s="298" t="s">
        <v>133</v>
      </c>
      <c r="C45" s="190" t="s">
        <v>67</v>
      </c>
      <c r="D45" s="298" t="s">
        <v>397</v>
      </c>
      <c r="E45" s="134" t="s">
        <v>74</v>
      </c>
      <c r="F45" s="190" t="s">
        <v>503</v>
      </c>
      <c r="G45" s="136" t="s">
        <v>409</v>
      </c>
      <c r="H45" s="191">
        <v>11</v>
      </c>
      <c r="I45" s="191">
        <v>2</v>
      </c>
      <c r="J45" s="191">
        <v>2</v>
      </c>
      <c r="K45" s="192">
        <v>3080.5</v>
      </c>
      <c r="L45" s="192">
        <v>3080.5</v>
      </c>
      <c r="M45" s="193">
        <f t="shared" si="0"/>
        <v>0</v>
      </c>
      <c r="N45" s="191">
        <v>16</v>
      </c>
      <c r="O45" s="192">
        <v>40414.080000000002</v>
      </c>
      <c r="P45" s="192">
        <v>40414.080000000002</v>
      </c>
      <c r="Q45" s="192">
        <f t="shared" si="1"/>
        <v>0</v>
      </c>
    </row>
    <row r="46" spans="1:17" ht="25.5" x14ac:dyDescent="0.25">
      <c r="A46" s="190">
        <v>38</v>
      </c>
      <c r="B46" s="298" t="s">
        <v>114</v>
      </c>
      <c r="C46" s="190" t="s">
        <v>62</v>
      </c>
      <c r="D46" s="298"/>
      <c r="E46" s="134" t="s">
        <v>115</v>
      </c>
      <c r="F46" s="190" t="s">
        <v>504</v>
      </c>
      <c r="G46" s="136" t="s">
        <v>409</v>
      </c>
      <c r="H46" s="191">
        <v>0</v>
      </c>
      <c r="I46" s="191">
        <v>0</v>
      </c>
      <c r="J46" s="191">
        <v>0</v>
      </c>
      <c r="K46" s="192">
        <v>0</v>
      </c>
      <c r="L46" s="192">
        <v>0</v>
      </c>
      <c r="M46" s="193">
        <f t="shared" si="0"/>
        <v>0</v>
      </c>
      <c r="N46" s="191">
        <v>4</v>
      </c>
      <c r="O46" s="192">
        <v>3524</v>
      </c>
      <c r="P46" s="192">
        <v>3524</v>
      </c>
      <c r="Q46" s="192">
        <f t="shared" si="1"/>
        <v>0</v>
      </c>
    </row>
    <row r="47" spans="1:17" ht="25.5" x14ac:dyDescent="0.25">
      <c r="A47" s="190">
        <v>39</v>
      </c>
      <c r="B47" s="298" t="s">
        <v>505</v>
      </c>
      <c r="C47" s="190" t="s">
        <v>62</v>
      </c>
      <c r="D47" s="298"/>
      <c r="E47" s="134" t="s">
        <v>74</v>
      </c>
      <c r="F47" s="190" t="s">
        <v>506</v>
      </c>
      <c r="G47" s="136" t="s">
        <v>409</v>
      </c>
      <c r="H47" s="191">
        <v>1</v>
      </c>
      <c r="I47" s="191">
        <v>0</v>
      </c>
      <c r="J47" s="191">
        <v>0</v>
      </c>
      <c r="K47" s="192">
        <v>0</v>
      </c>
      <c r="L47" s="192">
        <v>0</v>
      </c>
      <c r="M47" s="193">
        <f t="shared" si="0"/>
        <v>0</v>
      </c>
      <c r="N47" s="191">
        <v>0</v>
      </c>
      <c r="O47" s="192">
        <v>0</v>
      </c>
      <c r="P47" s="192">
        <v>0</v>
      </c>
      <c r="Q47" s="192">
        <f t="shared" si="1"/>
        <v>0</v>
      </c>
    </row>
    <row r="48" spans="1:17" ht="25.5" x14ac:dyDescent="0.25">
      <c r="A48" s="190">
        <v>40</v>
      </c>
      <c r="B48" s="298" t="s">
        <v>473</v>
      </c>
      <c r="C48" s="190" t="s">
        <v>62</v>
      </c>
      <c r="D48" s="298"/>
      <c r="E48" s="190" t="s">
        <v>74</v>
      </c>
      <c r="F48" s="190" t="s">
        <v>558</v>
      </c>
      <c r="G48" s="136" t="s">
        <v>409</v>
      </c>
      <c r="H48" s="191">
        <v>0</v>
      </c>
      <c r="I48" s="191">
        <v>0</v>
      </c>
      <c r="J48" s="191">
        <v>0</v>
      </c>
      <c r="K48" s="192">
        <v>0</v>
      </c>
      <c r="L48" s="192">
        <v>0</v>
      </c>
      <c r="M48" s="193">
        <f t="shared" si="0"/>
        <v>0</v>
      </c>
      <c r="N48" s="191">
        <v>0</v>
      </c>
      <c r="O48" s="192">
        <v>0</v>
      </c>
      <c r="P48" s="192">
        <v>0</v>
      </c>
      <c r="Q48" s="192">
        <f t="shared" si="1"/>
        <v>0</v>
      </c>
    </row>
    <row r="49" spans="1:17" ht="25.5" x14ac:dyDescent="0.25">
      <c r="A49" s="190">
        <v>41</v>
      </c>
      <c r="B49" s="298" t="s">
        <v>376</v>
      </c>
      <c r="C49" s="190" t="s">
        <v>62</v>
      </c>
      <c r="D49" s="298"/>
      <c r="E49" s="190" t="s">
        <v>74</v>
      </c>
      <c r="F49" s="190" t="s">
        <v>559</v>
      </c>
      <c r="G49" s="136" t="s">
        <v>409</v>
      </c>
      <c r="H49" s="191">
        <v>0</v>
      </c>
      <c r="I49" s="191">
        <v>0</v>
      </c>
      <c r="J49" s="191">
        <v>0</v>
      </c>
      <c r="K49" s="192">
        <v>0</v>
      </c>
      <c r="L49" s="192">
        <v>0</v>
      </c>
      <c r="M49" s="193">
        <f t="shared" si="0"/>
        <v>0</v>
      </c>
      <c r="N49" s="191">
        <v>0</v>
      </c>
      <c r="O49" s="192">
        <v>0</v>
      </c>
      <c r="P49" s="192">
        <v>0</v>
      </c>
      <c r="Q49" s="192">
        <f t="shared" si="1"/>
        <v>0</v>
      </c>
    </row>
    <row r="50" spans="1:17" ht="25.5" x14ac:dyDescent="0.25">
      <c r="A50" s="190">
        <v>42</v>
      </c>
      <c r="B50" s="298" t="s">
        <v>119</v>
      </c>
      <c r="C50" s="190" t="s">
        <v>62</v>
      </c>
      <c r="D50" s="298"/>
      <c r="E50" s="190" t="s">
        <v>74</v>
      </c>
      <c r="F50" s="190" t="s">
        <v>560</v>
      </c>
      <c r="G50" s="136" t="s">
        <v>409</v>
      </c>
      <c r="H50" s="191">
        <v>7</v>
      </c>
      <c r="I50" s="191">
        <v>1</v>
      </c>
      <c r="J50" s="191">
        <v>1</v>
      </c>
      <c r="K50" s="192">
        <v>1691.52</v>
      </c>
      <c r="L50" s="192">
        <v>1691.52</v>
      </c>
      <c r="M50" s="193">
        <f t="shared" si="0"/>
        <v>0</v>
      </c>
      <c r="N50" s="191">
        <v>14</v>
      </c>
      <c r="O50" s="192">
        <v>20900.5</v>
      </c>
      <c r="P50" s="192">
        <v>20900.5</v>
      </c>
      <c r="Q50" s="192">
        <f t="shared" si="1"/>
        <v>0</v>
      </c>
    </row>
    <row r="51" spans="1:17" ht="25.5" x14ac:dyDescent="0.25">
      <c r="A51" s="190">
        <v>43</v>
      </c>
      <c r="B51" s="298" t="s">
        <v>47</v>
      </c>
      <c r="C51" s="190" t="s">
        <v>62</v>
      </c>
      <c r="D51" s="298"/>
      <c r="E51" s="190" t="s">
        <v>141</v>
      </c>
      <c r="F51" s="190" t="s">
        <v>589</v>
      </c>
      <c r="G51" s="136" t="s">
        <v>409</v>
      </c>
      <c r="H51" s="191">
        <v>0</v>
      </c>
      <c r="I51" s="191">
        <v>0</v>
      </c>
      <c r="J51" s="191">
        <v>0</v>
      </c>
      <c r="K51" s="192">
        <v>0</v>
      </c>
      <c r="L51" s="192">
        <v>0</v>
      </c>
      <c r="M51" s="193">
        <f t="shared" si="0"/>
        <v>0</v>
      </c>
      <c r="N51" s="191">
        <v>1</v>
      </c>
      <c r="O51" s="192">
        <v>6554.64</v>
      </c>
      <c r="P51" s="192">
        <v>6554.64</v>
      </c>
      <c r="Q51" s="192">
        <f t="shared" si="1"/>
        <v>0</v>
      </c>
    </row>
    <row r="52" spans="1:17" ht="25.5" x14ac:dyDescent="0.25">
      <c r="A52" s="190">
        <v>44</v>
      </c>
      <c r="B52" s="298" t="s">
        <v>37</v>
      </c>
      <c r="C52" s="190" t="s">
        <v>62</v>
      </c>
      <c r="D52" s="190"/>
      <c r="E52" s="190" t="s">
        <v>74</v>
      </c>
      <c r="F52" s="190" t="s">
        <v>590</v>
      </c>
      <c r="G52" s="136" t="s">
        <v>409</v>
      </c>
      <c r="H52" s="191">
        <v>1</v>
      </c>
      <c r="I52" s="191">
        <v>0</v>
      </c>
      <c r="J52" s="191">
        <v>0</v>
      </c>
      <c r="K52" s="192">
        <v>0</v>
      </c>
      <c r="L52" s="192">
        <v>0</v>
      </c>
      <c r="M52" s="193">
        <f t="shared" si="0"/>
        <v>0</v>
      </c>
      <c r="N52" s="191">
        <v>0</v>
      </c>
      <c r="O52" s="192">
        <v>0</v>
      </c>
      <c r="P52" s="192">
        <v>0</v>
      </c>
      <c r="Q52" s="192">
        <f t="shared" si="1"/>
        <v>0</v>
      </c>
    </row>
    <row r="53" spans="1:17" ht="25.5" x14ac:dyDescent="0.25">
      <c r="A53" s="190">
        <v>45</v>
      </c>
      <c r="B53" s="298" t="s">
        <v>97</v>
      </c>
      <c r="C53" s="190" t="s">
        <v>62</v>
      </c>
      <c r="D53" s="190"/>
      <c r="E53" s="190" t="s">
        <v>74</v>
      </c>
      <c r="F53" s="190" t="s">
        <v>591</v>
      </c>
      <c r="G53" s="136" t="s">
        <v>409</v>
      </c>
      <c r="H53" s="191">
        <v>4</v>
      </c>
      <c r="I53" s="191">
        <v>2</v>
      </c>
      <c r="J53" s="191">
        <v>2</v>
      </c>
      <c r="K53" s="192">
        <v>3626.7</v>
      </c>
      <c r="L53" s="192">
        <v>3626.7</v>
      </c>
      <c r="M53" s="193">
        <f t="shared" si="0"/>
        <v>0</v>
      </c>
      <c r="N53" s="191">
        <v>2</v>
      </c>
      <c r="O53" s="192">
        <v>704.8</v>
      </c>
      <c r="P53" s="192">
        <v>704.8</v>
      </c>
      <c r="Q53" s="192">
        <f t="shared" si="1"/>
        <v>0</v>
      </c>
    </row>
    <row r="54" spans="1:17" ht="25.5" x14ac:dyDescent="0.25">
      <c r="A54" s="190">
        <v>46</v>
      </c>
      <c r="B54" s="298" t="s">
        <v>613</v>
      </c>
      <c r="C54" s="190" t="s">
        <v>62</v>
      </c>
      <c r="D54" s="190"/>
      <c r="E54" s="190" t="s">
        <v>74</v>
      </c>
      <c r="F54" s="190" t="s">
        <v>614</v>
      </c>
      <c r="G54" s="136" t="s">
        <v>409</v>
      </c>
      <c r="H54" s="191">
        <v>4</v>
      </c>
      <c r="I54" s="191">
        <v>2</v>
      </c>
      <c r="J54" s="191">
        <v>2</v>
      </c>
      <c r="K54" s="192">
        <v>1585.8</v>
      </c>
      <c r="L54" s="192">
        <v>1585.8</v>
      </c>
      <c r="M54" s="193">
        <f t="shared" si="0"/>
        <v>0</v>
      </c>
      <c r="N54" s="191">
        <v>3</v>
      </c>
      <c r="O54" s="192">
        <v>616.70000000000005</v>
      </c>
      <c r="P54" s="192">
        <v>616.70000000000005</v>
      </c>
      <c r="Q54" s="192">
        <f t="shared" si="1"/>
        <v>0</v>
      </c>
    </row>
    <row r="55" spans="1:17" ht="25.5" x14ac:dyDescent="0.25">
      <c r="A55" s="190">
        <v>47</v>
      </c>
      <c r="B55" s="298" t="s">
        <v>615</v>
      </c>
      <c r="C55" s="190" t="s">
        <v>62</v>
      </c>
      <c r="D55" s="190"/>
      <c r="E55" s="190" t="s">
        <v>74</v>
      </c>
      <c r="F55" s="190" t="s">
        <v>616</v>
      </c>
      <c r="G55" s="136" t="s">
        <v>409</v>
      </c>
      <c r="H55" s="191">
        <v>5</v>
      </c>
      <c r="I55" s="191">
        <v>0</v>
      </c>
      <c r="J55" s="191">
        <v>0</v>
      </c>
      <c r="K55" s="192">
        <v>0</v>
      </c>
      <c r="L55" s="192">
        <v>0</v>
      </c>
      <c r="M55" s="193">
        <f t="shared" si="0"/>
        <v>0</v>
      </c>
      <c r="N55" s="191">
        <v>0</v>
      </c>
      <c r="O55" s="192">
        <v>0</v>
      </c>
      <c r="P55" s="192">
        <v>0</v>
      </c>
      <c r="Q55" s="192">
        <f t="shared" si="1"/>
        <v>0</v>
      </c>
    </row>
    <row r="56" spans="1:17" ht="25.5" x14ac:dyDescent="0.25">
      <c r="A56" s="190">
        <v>48</v>
      </c>
      <c r="B56" s="298" t="s">
        <v>357</v>
      </c>
      <c r="C56" s="300" t="s">
        <v>64</v>
      </c>
      <c r="D56" s="134" t="s">
        <v>617</v>
      </c>
      <c r="E56" s="190" t="s">
        <v>74</v>
      </c>
      <c r="F56" s="190" t="s">
        <v>618</v>
      </c>
      <c r="G56" s="136" t="s">
        <v>409</v>
      </c>
      <c r="H56" s="191">
        <v>2</v>
      </c>
      <c r="I56" s="191">
        <v>0</v>
      </c>
      <c r="J56" s="191">
        <v>0</v>
      </c>
      <c r="K56" s="192">
        <v>0</v>
      </c>
      <c r="L56" s="192">
        <v>0</v>
      </c>
      <c r="M56" s="193">
        <f t="shared" si="0"/>
        <v>0</v>
      </c>
      <c r="N56" s="191">
        <v>1</v>
      </c>
      <c r="O56" s="192">
        <v>0</v>
      </c>
      <c r="P56" s="192">
        <v>0</v>
      </c>
      <c r="Q56" s="192">
        <f t="shared" si="1"/>
        <v>0</v>
      </c>
    </row>
    <row r="57" spans="1:17" ht="25.5" x14ac:dyDescent="0.25">
      <c r="A57" s="190">
        <v>49</v>
      </c>
      <c r="B57" s="298" t="s">
        <v>621</v>
      </c>
      <c r="C57" s="190" t="s">
        <v>62</v>
      </c>
      <c r="D57" s="190"/>
      <c r="E57" s="190" t="s">
        <v>74</v>
      </c>
      <c r="F57" s="190" t="s">
        <v>625</v>
      </c>
      <c r="G57" s="136" t="s">
        <v>409</v>
      </c>
      <c r="H57" s="191">
        <v>8</v>
      </c>
      <c r="I57" s="191">
        <v>0</v>
      </c>
      <c r="J57" s="191">
        <v>0</v>
      </c>
      <c r="K57" s="192">
        <v>0</v>
      </c>
      <c r="L57" s="192">
        <v>0</v>
      </c>
      <c r="M57" s="193">
        <f t="shared" si="0"/>
        <v>0</v>
      </c>
      <c r="N57" s="191">
        <v>0</v>
      </c>
      <c r="O57" s="192">
        <v>0</v>
      </c>
      <c r="P57" s="192">
        <v>0</v>
      </c>
      <c r="Q57" s="192">
        <f t="shared" si="1"/>
        <v>0</v>
      </c>
    </row>
    <row r="58" spans="1:17" x14ac:dyDescent="0.25">
      <c r="A58" s="254">
        <v>1</v>
      </c>
      <c r="B58" s="255" t="s">
        <v>146</v>
      </c>
      <c r="C58" s="155" t="s">
        <v>62</v>
      </c>
      <c r="D58" s="155"/>
      <c r="E58" s="155" t="s">
        <v>74</v>
      </c>
      <c r="F58" s="255" t="s">
        <v>325</v>
      </c>
      <c r="G58" s="256" t="s">
        <v>326</v>
      </c>
      <c r="H58" s="256">
        <v>15</v>
      </c>
      <c r="I58" s="256">
        <v>7</v>
      </c>
      <c r="J58" s="256">
        <v>7</v>
      </c>
      <c r="K58" s="146">
        <f>2643+2466.8+2554.9+1288.7</f>
        <v>8953.4000000000015</v>
      </c>
      <c r="L58" s="146">
        <f>5109.8+2554.9+1288.7</f>
        <v>8953.4000000000015</v>
      </c>
      <c r="M58" s="146">
        <f>K58-L58</f>
        <v>0</v>
      </c>
      <c r="N58" s="257">
        <v>6</v>
      </c>
      <c r="O58" s="146">
        <v>5374.1</v>
      </c>
      <c r="P58" s="150">
        <f>2378.7+2995.4</f>
        <v>5374.1</v>
      </c>
      <c r="Q58" s="150">
        <f>O58-P58</f>
        <v>0</v>
      </c>
    </row>
    <row r="59" spans="1:17" x14ac:dyDescent="0.25">
      <c r="A59" s="254">
        <v>2</v>
      </c>
      <c r="B59" s="255" t="s">
        <v>166</v>
      </c>
      <c r="C59" s="155" t="s">
        <v>62</v>
      </c>
      <c r="D59" s="155"/>
      <c r="E59" s="155" t="s">
        <v>158</v>
      </c>
      <c r="F59" s="255" t="s">
        <v>327</v>
      </c>
      <c r="G59" s="255" t="s">
        <v>326</v>
      </c>
      <c r="H59" s="256">
        <v>4</v>
      </c>
      <c r="I59" s="256">
        <v>2</v>
      </c>
      <c r="J59" s="256">
        <v>2</v>
      </c>
      <c r="K59" s="146">
        <f>1233.4+4228.8</f>
        <v>5462.2000000000007</v>
      </c>
      <c r="L59" s="146">
        <f>73.95+1159.45+4228.8</f>
        <v>5462.2000000000007</v>
      </c>
      <c r="M59" s="146">
        <f>K59-L59</f>
        <v>0</v>
      </c>
      <c r="N59" s="257">
        <v>0</v>
      </c>
      <c r="O59" s="146">
        <v>0</v>
      </c>
      <c r="P59" s="150">
        <v>0</v>
      </c>
      <c r="Q59" s="150">
        <f>O59-P59</f>
        <v>0</v>
      </c>
    </row>
    <row r="60" spans="1:17" ht="26.25" customHeight="1" x14ac:dyDescent="0.25">
      <c r="A60" s="254">
        <v>3</v>
      </c>
      <c r="B60" s="255" t="s">
        <v>173</v>
      </c>
      <c r="C60" s="155" t="s">
        <v>67</v>
      </c>
      <c r="D60" s="155" t="s">
        <v>328</v>
      </c>
      <c r="E60" s="155" t="s">
        <v>158</v>
      </c>
      <c r="F60" s="255" t="s">
        <v>329</v>
      </c>
      <c r="G60" s="255" t="s">
        <v>326</v>
      </c>
      <c r="H60" s="256">
        <v>8</v>
      </c>
      <c r="I60" s="256">
        <v>4</v>
      </c>
      <c r="J60" s="256">
        <v>4</v>
      </c>
      <c r="K60" s="146">
        <f>704.8+2945.6+5154.8</f>
        <v>8805.2000000000007</v>
      </c>
      <c r="L60" s="146">
        <f>704.8+2945.6+5154.8</f>
        <v>8805.2000000000007</v>
      </c>
      <c r="M60" s="146">
        <f>K60-L60</f>
        <v>0</v>
      </c>
      <c r="N60" s="257">
        <v>0</v>
      </c>
      <c r="O60" s="146">
        <v>0</v>
      </c>
      <c r="P60" s="150">
        <v>0</v>
      </c>
      <c r="Q60" s="150">
        <f>O60-P60</f>
        <v>0</v>
      </c>
    </row>
    <row r="61" spans="1:17" x14ac:dyDescent="0.25">
      <c r="A61" s="254">
        <v>4</v>
      </c>
      <c r="B61" s="255" t="s">
        <v>330</v>
      </c>
      <c r="C61" s="155" t="s">
        <v>62</v>
      </c>
      <c r="D61" s="155"/>
      <c r="E61" s="155" t="s">
        <v>158</v>
      </c>
      <c r="F61" s="255" t="s">
        <v>331</v>
      </c>
      <c r="G61" s="255" t="s">
        <v>326</v>
      </c>
      <c r="H61" s="256">
        <v>14</v>
      </c>
      <c r="I61" s="256">
        <v>9</v>
      </c>
      <c r="J61" s="256">
        <v>9</v>
      </c>
      <c r="K61" s="146">
        <f>704.8+11276.8</f>
        <v>11981.599999999999</v>
      </c>
      <c r="L61" s="146">
        <f>704.8+11276.8</f>
        <v>11981.599999999999</v>
      </c>
      <c r="M61" s="146">
        <f>K61-L61</f>
        <v>0</v>
      </c>
      <c r="N61" s="257">
        <v>0</v>
      </c>
      <c r="O61" s="146">
        <v>0</v>
      </c>
      <c r="P61" s="150">
        <v>0</v>
      </c>
      <c r="Q61" s="150">
        <f>O61-P61</f>
        <v>0</v>
      </c>
    </row>
    <row r="62" spans="1:17" x14ac:dyDescent="0.25">
      <c r="A62" s="254">
        <v>5</v>
      </c>
      <c r="B62" s="255" t="s">
        <v>147</v>
      </c>
      <c r="C62" s="155" t="s">
        <v>62</v>
      </c>
      <c r="D62" s="139"/>
      <c r="E62" s="155" t="s">
        <v>74</v>
      </c>
      <c r="F62" s="255" t="s">
        <v>332</v>
      </c>
      <c r="G62" s="255" t="s">
        <v>326</v>
      </c>
      <c r="H62" s="258">
        <v>15</v>
      </c>
      <c r="I62" s="258">
        <v>5</v>
      </c>
      <c r="J62" s="258">
        <v>5</v>
      </c>
      <c r="K62" s="259">
        <f>1409.6+1762+3347.8+2209.2</f>
        <v>8728.5999999999985</v>
      </c>
      <c r="L62" s="146">
        <f>1409.6+1762+3347.8+2209.2</f>
        <v>8728.5999999999985</v>
      </c>
      <c r="M62" s="146">
        <f>K62-L62</f>
        <v>0</v>
      </c>
      <c r="N62" s="257">
        <v>4</v>
      </c>
      <c r="O62" s="142">
        <f>4757.4+5523</f>
        <v>10280.4</v>
      </c>
      <c r="P62" s="143">
        <f>4052.6+704.8+5523</f>
        <v>10280.4</v>
      </c>
      <c r="Q62" s="150">
        <f>O62-P62</f>
        <v>0</v>
      </c>
    </row>
    <row r="63" spans="1:17" ht="45" x14ac:dyDescent="0.25">
      <c r="A63" s="254">
        <v>6</v>
      </c>
      <c r="B63" s="255" t="s">
        <v>554</v>
      </c>
      <c r="C63" s="155" t="s">
        <v>67</v>
      </c>
      <c r="D63" s="260" t="s">
        <v>555</v>
      </c>
      <c r="E63" s="155" t="s">
        <v>74</v>
      </c>
      <c r="F63" s="255" t="s">
        <v>556</v>
      </c>
      <c r="G63" s="255" t="s">
        <v>326</v>
      </c>
      <c r="H63" s="258">
        <v>2</v>
      </c>
      <c r="I63" s="258">
        <v>0</v>
      </c>
      <c r="J63" s="258">
        <v>0</v>
      </c>
      <c r="K63" s="259">
        <v>0</v>
      </c>
      <c r="L63" s="146">
        <v>0</v>
      </c>
      <c r="M63" s="146">
        <v>0</v>
      </c>
      <c r="N63" s="257">
        <v>0</v>
      </c>
      <c r="O63" s="146">
        <v>0</v>
      </c>
      <c r="P63" s="150">
        <v>0</v>
      </c>
      <c r="Q63" s="150">
        <v>0</v>
      </c>
    </row>
    <row r="64" spans="1:17" x14ac:dyDescent="0.25">
      <c r="A64" s="254">
        <v>7</v>
      </c>
      <c r="B64" s="255" t="s">
        <v>88</v>
      </c>
      <c r="C64" s="155" t="s">
        <v>62</v>
      </c>
      <c r="D64" s="139"/>
      <c r="E64" s="155" t="s">
        <v>74</v>
      </c>
      <c r="F64" s="255" t="s">
        <v>333</v>
      </c>
      <c r="G64" s="255" t="s">
        <v>326</v>
      </c>
      <c r="H64" s="258">
        <v>2</v>
      </c>
      <c r="I64" s="258">
        <v>2</v>
      </c>
      <c r="J64" s="258">
        <v>2</v>
      </c>
      <c r="K64" s="259">
        <f>704.8+1585.8</f>
        <v>2290.6</v>
      </c>
      <c r="L64" s="146">
        <f>704.8+1585.8</f>
        <v>2290.6</v>
      </c>
      <c r="M64" s="146">
        <f t="shared" ref="M64:M70" si="2">K64-L64</f>
        <v>0</v>
      </c>
      <c r="N64" s="257">
        <v>1</v>
      </c>
      <c r="O64" s="142">
        <v>1145.3</v>
      </c>
      <c r="P64" s="150">
        <v>1145.3</v>
      </c>
      <c r="Q64" s="150">
        <f t="shared" ref="Q64:Q89" si="3">O64-P64</f>
        <v>0</v>
      </c>
    </row>
    <row r="65" spans="1:17" x14ac:dyDescent="0.25">
      <c r="A65" s="254">
        <v>8</v>
      </c>
      <c r="B65" s="255" t="s">
        <v>182</v>
      </c>
      <c r="C65" s="155" t="s">
        <v>62</v>
      </c>
      <c r="D65" s="139"/>
      <c r="E65" s="155" t="s">
        <v>158</v>
      </c>
      <c r="F65" s="255" t="s">
        <v>334</v>
      </c>
      <c r="G65" s="255" t="s">
        <v>326</v>
      </c>
      <c r="H65" s="258">
        <v>5</v>
      </c>
      <c r="I65" s="258">
        <v>1</v>
      </c>
      <c r="J65" s="258">
        <v>1</v>
      </c>
      <c r="K65" s="259">
        <f>1233.4</f>
        <v>1233.4000000000001</v>
      </c>
      <c r="L65" s="146">
        <f>1233.4</f>
        <v>1233.4000000000001</v>
      </c>
      <c r="M65" s="146">
        <f t="shared" si="2"/>
        <v>0</v>
      </c>
      <c r="N65" s="257">
        <v>0</v>
      </c>
      <c r="O65" s="142">
        <v>0</v>
      </c>
      <c r="P65" s="150">
        <v>0</v>
      </c>
      <c r="Q65" s="150">
        <f t="shared" si="3"/>
        <v>0</v>
      </c>
    </row>
    <row r="66" spans="1:17" x14ac:dyDescent="0.25">
      <c r="A66" s="254">
        <v>9</v>
      </c>
      <c r="B66" s="255" t="s">
        <v>335</v>
      </c>
      <c r="C66" s="155" t="s">
        <v>62</v>
      </c>
      <c r="D66" s="145"/>
      <c r="E66" s="155" t="s">
        <v>74</v>
      </c>
      <c r="F66" s="255" t="s">
        <v>336</v>
      </c>
      <c r="G66" s="255" t="s">
        <v>326</v>
      </c>
      <c r="H66" s="258">
        <v>15</v>
      </c>
      <c r="I66" s="258">
        <v>7</v>
      </c>
      <c r="J66" s="258">
        <v>7</v>
      </c>
      <c r="K66" s="259">
        <f>3700.2+704.8+2114.4+2819.2+1012.55+552.3</f>
        <v>10903.449999999997</v>
      </c>
      <c r="L66" s="146">
        <f>3700.2+704.8+2114.4+2819.2+1012.55+552.3</f>
        <v>10903.449999999997</v>
      </c>
      <c r="M66" s="146">
        <f t="shared" si="2"/>
        <v>0</v>
      </c>
      <c r="N66" s="257">
        <v>8</v>
      </c>
      <c r="O66" s="146">
        <f>3435.9+3171.6+132.15</f>
        <v>6739.65</v>
      </c>
      <c r="P66" s="150">
        <f>3435.9+3171.6+132.15</f>
        <v>6739.65</v>
      </c>
      <c r="Q66" s="150">
        <f t="shared" si="3"/>
        <v>0</v>
      </c>
    </row>
    <row r="67" spans="1:17" x14ac:dyDescent="0.25">
      <c r="A67" s="254">
        <v>10</v>
      </c>
      <c r="B67" s="255" t="s">
        <v>27</v>
      </c>
      <c r="C67" s="155" t="s">
        <v>62</v>
      </c>
      <c r="D67" s="139"/>
      <c r="E67" s="155" t="s">
        <v>158</v>
      </c>
      <c r="F67" s="255" t="s">
        <v>337</v>
      </c>
      <c r="G67" s="255" t="s">
        <v>326</v>
      </c>
      <c r="H67" s="258">
        <v>13</v>
      </c>
      <c r="I67" s="258">
        <v>12</v>
      </c>
      <c r="J67" s="258">
        <v>12</v>
      </c>
      <c r="K67" s="259">
        <f>5638.4+2819.2+528.6+1964.2+1873</f>
        <v>12823.4</v>
      </c>
      <c r="L67" s="146">
        <f>1233.4+4405+2819.2+528.6+1964.2+1873</f>
        <v>12823.4</v>
      </c>
      <c r="M67" s="146">
        <f t="shared" si="2"/>
        <v>0</v>
      </c>
      <c r="N67" s="257">
        <v>0</v>
      </c>
      <c r="O67" s="142">
        <v>0</v>
      </c>
      <c r="P67" s="143">
        <v>0</v>
      </c>
      <c r="Q67" s="150">
        <f t="shared" si="3"/>
        <v>0</v>
      </c>
    </row>
    <row r="68" spans="1:17" x14ac:dyDescent="0.25">
      <c r="A68" s="147">
        <v>11</v>
      </c>
      <c r="B68" s="255" t="s">
        <v>190</v>
      </c>
      <c r="C68" s="155" t="s">
        <v>62</v>
      </c>
      <c r="D68" s="139"/>
      <c r="E68" s="155" t="s">
        <v>338</v>
      </c>
      <c r="F68" s="255" t="s">
        <v>339</v>
      </c>
      <c r="G68" s="255" t="s">
        <v>326</v>
      </c>
      <c r="H68" s="258">
        <v>20</v>
      </c>
      <c r="I68" s="258">
        <v>10</v>
      </c>
      <c r="J68" s="258">
        <v>10</v>
      </c>
      <c r="K68" s="259">
        <f>1938.2+2819.2+2819.2+2290.6+1862+2543.3+552.3</f>
        <v>14824.8</v>
      </c>
      <c r="L68" s="146">
        <f>704.8+704.8+528.6+2819.2+2819.2+2290.6+1592.92+3364.68</f>
        <v>14824.8</v>
      </c>
      <c r="M68" s="146">
        <f t="shared" si="2"/>
        <v>0</v>
      </c>
      <c r="N68" s="257">
        <v>0</v>
      </c>
      <c r="O68" s="142">
        <v>0</v>
      </c>
      <c r="P68" s="150">
        <v>0</v>
      </c>
      <c r="Q68" s="150">
        <f t="shared" si="3"/>
        <v>0</v>
      </c>
    </row>
    <row r="69" spans="1:17" x14ac:dyDescent="0.25">
      <c r="A69" s="147">
        <v>12</v>
      </c>
      <c r="B69" s="255" t="s">
        <v>89</v>
      </c>
      <c r="C69" s="155" t="s">
        <v>62</v>
      </c>
      <c r="D69" s="139"/>
      <c r="E69" s="155" t="s">
        <v>74</v>
      </c>
      <c r="F69" s="255" t="s">
        <v>340</v>
      </c>
      <c r="G69" s="255" t="s">
        <v>326</v>
      </c>
      <c r="H69" s="258">
        <v>6</v>
      </c>
      <c r="I69" s="258">
        <v>6</v>
      </c>
      <c r="J69" s="258">
        <v>6</v>
      </c>
      <c r="K69" s="259">
        <f>1762+3876.4+2995.4</f>
        <v>8633.7999999999993</v>
      </c>
      <c r="L69" s="146">
        <f>1762+3876.4+2995.4</f>
        <v>8633.7999999999993</v>
      </c>
      <c r="M69" s="146">
        <f t="shared" si="2"/>
        <v>0</v>
      </c>
      <c r="N69" s="257">
        <v>4</v>
      </c>
      <c r="O69" s="142">
        <f>440.5+5990.8+2819.2</f>
        <v>9250.5</v>
      </c>
      <c r="P69" s="150">
        <f>440.5+5990.8+2819.2</f>
        <v>9250.5</v>
      </c>
      <c r="Q69" s="150">
        <f t="shared" si="3"/>
        <v>0</v>
      </c>
    </row>
    <row r="70" spans="1:17" x14ac:dyDescent="0.25">
      <c r="A70" s="147">
        <v>13</v>
      </c>
      <c r="B70" s="255" t="s">
        <v>196</v>
      </c>
      <c r="C70" s="155" t="s">
        <v>62</v>
      </c>
      <c r="D70" s="139"/>
      <c r="E70" s="155" t="s">
        <v>341</v>
      </c>
      <c r="F70" s="255" t="s">
        <v>342</v>
      </c>
      <c r="G70" s="255" t="s">
        <v>326</v>
      </c>
      <c r="H70" s="258">
        <v>7</v>
      </c>
      <c r="I70" s="258">
        <v>5</v>
      </c>
      <c r="J70" s="258">
        <v>5</v>
      </c>
      <c r="K70" s="259">
        <v>4933.6000000000004</v>
      </c>
      <c r="L70" s="146">
        <f>4933.6</f>
        <v>4933.6000000000004</v>
      </c>
      <c r="M70" s="146">
        <f t="shared" si="2"/>
        <v>0</v>
      </c>
      <c r="N70" s="257">
        <v>0</v>
      </c>
      <c r="O70" s="142">
        <v>0</v>
      </c>
      <c r="P70" s="150">
        <v>0</v>
      </c>
      <c r="Q70" s="150">
        <f t="shared" si="3"/>
        <v>0</v>
      </c>
    </row>
    <row r="71" spans="1:17" x14ac:dyDescent="0.25">
      <c r="A71" s="147">
        <v>14</v>
      </c>
      <c r="B71" s="255" t="s">
        <v>631</v>
      </c>
      <c r="C71" s="155" t="s">
        <v>62</v>
      </c>
      <c r="D71" s="139"/>
      <c r="E71" s="155" t="s">
        <v>74</v>
      </c>
      <c r="F71" s="255" t="s">
        <v>642</v>
      </c>
      <c r="G71" s="255" t="s">
        <v>326</v>
      </c>
      <c r="H71" s="258">
        <v>0</v>
      </c>
      <c r="I71" s="258">
        <v>0</v>
      </c>
      <c r="J71" s="258">
        <v>0</v>
      </c>
      <c r="K71" s="259">
        <v>0</v>
      </c>
      <c r="L71" s="146">
        <v>0</v>
      </c>
      <c r="M71" s="146">
        <v>0</v>
      </c>
      <c r="N71" s="257">
        <v>0</v>
      </c>
      <c r="O71" s="142">
        <v>0</v>
      </c>
      <c r="P71" s="150">
        <v>0</v>
      </c>
      <c r="Q71" s="150">
        <f t="shared" si="3"/>
        <v>0</v>
      </c>
    </row>
    <row r="72" spans="1:17" x14ac:dyDescent="0.25">
      <c r="A72" s="147">
        <v>15</v>
      </c>
      <c r="B72" s="255" t="s">
        <v>628</v>
      </c>
      <c r="C72" s="155" t="s">
        <v>62</v>
      </c>
      <c r="D72" s="139"/>
      <c r="E72" s="155" t="s">
        <v>74</v>
      </c>
      <c r="F72" s="255" t="s">
        <v>629</v>
      </c>
      <c r="G72" s="255" t="s">
        <v>326</v>
      </c>
      <c r="H72" s="258">
        <v>0</v>
      </c>
      <c r="I72" s="258">
        <v>0</v>
      </c>
      <c r="J72" s="258">
        <v>0</v>
      </c>
      <c r="K72" s="259">
        <v>0</v>
      </c>
      <c r="L72" s="146">
        <v>0</v>
      </c>
      <c r="M72" s="146">
        <v>0</v>
      </c>
      <c r="N72" s="257">
        <v>0</v>
      </c>
      <c r="O72" s="142">
        <v>0</v>
      </c>
      <c r="P72" s="150">
        <v>0</v>
      </c>
      <c r="Q72" s="150">
        <f t="shared" si="3"/>
        <v>0</v>
      </c>
    </row>
    <row r="73" spans="1:17" x14ac:dyDescent="0.25">
      <c r="A73" s="147">
        <v>16</v>
      </c>
      <c r="B73" s="255" t="s">
        <v>343</v>
      </c>
      <c r="C73" s="155" t="s">
        <v>62</v>
      </c>
      <c r="D73" s="139"/>
      <c r="E73" s="155" t="s">
        <v>74</v>
      </c>
      <c r="F73" s="255" t="s">
        <v>344</v>
      </c>
      <c r="G73" s="255" t="s">
        <v>326</v>
      </c>
      <c r="H73" s="258">
        <v>9</v>
      </c>
      <c r="I73" s="258">
        <v>2</v>
      </c>
      <c r="J73" s="258">
        <v>2</v>
      </c>
      <c r="K73" s="259">
        <f>2466.8</f>
        <v>2466.8000000000002</v>
      </c>
      <c r="L73" s="146">
        <f>2466.8</f>
        <v>2466.8000000000002</v>
      </c>
      <c r="M73" s="146">
        <f t="shared" ref="M73:M81" si="4">K73-L73</f>
        <v>0</v>
      </c>
      <c r="N73" s="257">
        <v>0</v>
      </c>
      <c r="O73" s="142">
        <v>0</v>
      </c>
      <c r="P73" s="150">
        <v>0</v>
      </c>
      <c r="Q73" s="150">
        <f t="shared" si="3"/>
        <v>0</v>
      </c>
    </row>
    <row r="74" spans="1:17" x14ac:dyDescent="0.25">
      <c r="A74" s="147">
        <v>17</v>
      </c>
      <c r="B74" s="255" t="s">
        <v>154</v>
      </c>
      <c r="C74" s="155" t="s">
        <v>62</v>
      </c>
      <c r="D74" s="139"/>
      <c r="E74" s="155" t="s">
        <v>74</v>
      </c>
      <c r="F74" s="255" t="s">
        <v>345</v>
      </c>
      <c r="G74" s="255" t="s">
        <v>326</v>
      </c>
      <c r="H74" s="258">
        <v>7</v>
      </c>
      <c r="I74" s="258">
        <v>3</v>
      </c>
      <c r="J74" s="258">
        <v>3</v>
      </c>
      <c r="K74" s="259">
        <f>1497.7+1288.7</f>
        <v>2786.4</v>
      </c>
      <c r="L74" s="146">
        <f>1497.7+1288.7</f>
        <v>2786.4</v>
      </c>
      <c r="M74" s="146">
        <f t="shared" si="4"/>
        <v>0</v>
      </c>
      <c r="N74" s="257">
        <v>6</v>
      </c>
      <c r="O74" s="142">
        <f>4228.8+3700.2+552.3</f>
        <v>8481.2999999999993</v>
      </c>
      <c r="P74" s="143">
        <f>4228.8+3700.2+552.3</f>
        <v>8481.2999999999993</v>
      </c>
      <c r="Q74" s="150">
        <f t="shared" si="3"/>
        <v>0</v>
      </c>
    </row>
    <row r="75" spans="1:17" x14ac:dyDescent="0.25">
      <c r="A75" s="147">
        <v>18</v>
      </c>
      <c r="B75" s="255" t="s">
        <v>346</v>
      </c>
      <c r="C75" s="155" t="s">
        <v>62</v>
      </c>
      <c r="D75" s="139"/>
      <c r="E75" s="155" t="s">
        <v>158</v>
      </c>
      <c r="F75" s="255" t="s">
        <v>347</v>
      </c>
      <c r="G75" s="255" t="s">
        <v>326</v>
      </c>
      <c r="H75" s="258">
        <v>2</v>
      </c>
      <c r="I75" s="258">
        <v>0</v>
      </c>
      <c r="J75" s="258">
        <v>0</v>
      </c>
      <c r="K75" s="259">
        <v>0</v>
      </c>
      <c r="L75" s="146">
        <v>0</v>
      </c>
      <c r="M75" s="146">
        <f t="shared" si="4"/>
        <v>0</v>
      </c>
      <c r="N75" s="257">
        <v>0</v>
      </c>
      <c r="O75" s="142">
        <v>0</v>
      </c>
      <c r="P75" s="150">
        <v>0</v>
      </c>
      <c r="Q75" s="150">
        <f t="shared" si="3"/>
        <v>0</v>
      </c>
    </row>
    <row r="76" spans="1:17" x14ac:dyDescent="0.25">
      <c r="A76" s="147">
        <v>19</v>
      </c>
      <c r="B76" s="255" t="s">
        <v>348</v>
      </c>
      <c r="C76" s="155" t="s">
        <v>62</v>
      </c>
      <c r="D76" s="139"/>
      <c r="E76" s="155" t="s">
        <v>158</v>
      </c>
      <c r="F76" s="255" t="s">
        <v>349</v>
      </c>
      <c r="G76" s="255" t="s">
        <v>326</v>
      </c>
      <c r="H76" s="258">
        <v>6</v>
      </c>
      <c r="I76" s="258">
        <v>0</v>
      </c>
      <c r="J76" s="258">
        <v>0</v>
      </c>
      <c r="K76" s="259">
        <v>0</v>
      </c>
      <c r="L76" s="146">
        <v>0</v>
      </c>
      <c r="M76" s="146">
        <f t="shared" si="4"/>
        <v>0</v>
      </c>
      <c r="N76" s="257">
        <v>0</v>
      </c>
      <c r="O76" s="142">
        <v>0</v>
      </c>
      <c r="P76" s="150">
        <v>0</v>
      </c>
      <c r="Q76" s="150">
        <f t="shared" si="3"/>
        <v>0</v>
      </c>
    </row>
    <row r="77" spans="1:17" x14ac:dyDescent="0.25">
      <c r="A77" s="147">
        <v>20</v>
      </c>
      <c r="B77" s="255" t="s">
        <v>350</v>
      </c>
      <c r="C77" s="155" t="s">
        <v>62</v>
      </c>
      <c r="D77" s="139"/>
      <c r="E77" s="155" t="s">
        <v>74</v>
      </c>
      <c r="F77" s="255" t="s">
        <v>351</v>
      </c>
      <c r="G77" s="255" t="s">
        <v>326</v>
      </c>
      <c r="H77" s="258">
        <v>1</v>
      </c>
      <c r="I77" s="258">
        <v>1</v>
      </c>
      <c r="J77" s="258">
        <v>1</v>
      </c>
      <c r="K77" s="259">
        <f>528.6</f>
        <v>528.6</v>
      </c>
      <c r="L77" s="146">
        <f>528.6</f>
        <v>528.6</v>
      </c>
      <c r="M77" s="146">
        <f t="shared" si="4"/>
        <v>0</v>
      </c>
      <c r="N77" s="257">
        <v>4</v>
      </c>
      <c r="O77" s="142">
        <v>5065.75</v>
      </c>
      <c r="P77" s="150">
        <f>1894.15+3171.6</f>
        <v>5065.75</v>
      </c>
      <c r="Q77" s="150">
        <f t="shared" si="3"/>
        <v>0</v>
      </c>
    </row>
    <row r="78" spans="1:17" ht="60" x14ac:dyDescent="0.25">
      <c r="A78" s="148">
        <v>21</v>
      </c>
      <c r="B78" s="255" t="s">
        <v>222</v>
      </c>
      <c r="C78" s="155" t="s">
        <v>64</v>
      </c>
      <c r="D78" s="149" t="s">
        <v>352</v>
      </c>
      <c r="E78" s="155" t="s">
        <v>158</v>
      </c>
      <c r="F78" s="255" t="s">
        <v>353</v>
      </c>
      <c r="G78" s="255" t="s">
        <v>326</v>
      </c>
      <c r="H78" s="258">
        <v>6</v>
      </c>
      <c r="I78" s="258">
        <v>2</v>
      </c>
      <c r="J78" s="258">
        <v>2</v>
      </c>
      <c r="K78" s="259">
        <f>1233.4+2290.6</f>
        <v>3524</v>
      </c>
      <c r="L78" s="146">
        <f>1233.4+2290.6</f>
        <v>3524</v>
      </c>
      <c r="M78" s="146">
        <f t="shared" si="4"/>
        <v>0</v>
      </c>
      <c r="N78" s="257">
        <v>0</v>
      </c>
      <c r="O78" s="146">
        <v>0</v>
      </c>
      <c r="P78" s="150">
        <v>0</v>
      </c>
      <c r="Q78" s="150">
        <f t="shared" si="3"/>
        <v>0</v>
      </c>
    </row>
    <row r="79" spans="1:17" x14ac:dyDescent="0.25">
      <c r="A79" s="147">
        <v>22</v>
      </c>
      <c r="B79" s="255" t="s">
        <v>238</v>
      </c>
      <c r="C79" s="155" t="s">
        <v>62</v>
      </c>
      <c r="D79" s="139"/>
      <c r="E79" s="155" t="s">
        <v>158</v>
      </c>
      <c r="F79" s="255" t="s">
        <v>354</v>
      </c>
      <c r="G79" s="255" t="s">
        <v>326</v>
      </c>
      <c r="H79" s="258">
        <v>8</v>
      </c>
      <c r="I79" s="258">
        <v>6</v>
      </c>
      <c r="J79" s="258">
        <v>6</v>
      </c>
      <c r="K79" s="259">
        <f>2466.8+4581.2+1012.55</f>
        <v>8060.55</v>
      </c>
      <c r="L79" s="146">
        <f>1233.4+1233.4+4581.2+1012.55</f>
        <v>8060.55</v>
      </c>
      <c r="M79" s="146">
        <f t="shared" si="4"/>
        <v>0</v>
      </c>
      <c r="N79" s="257">
        <v>0</v>
      </c>
      <c r="O79" s="142">
        <v>0</v>
      </c>
      <c r="P79" s="150">
        <v>0</v>
      </c>
      <c r="Q79" s="150">
        <f t="shared" si="3"/>
        <v>0</v>
      </c>
    </row>
    <row r="80" spans="1:17" x14ac:dyDescent="0.25">
      <c r="A80" s="147">
        <v>23</v>
      </c>
      <c r="B80" s="255" t="s">
        <v>355</v>
      </c>
      <c r="C80" s="155" t="s">
        <v>62</v>
      </c>
      <c r="D80" s="139"/>
      <c r="E80" s="155" t="s">
        <v>158</v>
      </c>
      <c r="F80" s="255" t="s">
        <v>356</v>
      </c>
      <c r="G80" s="255" t="s">
        <v>326</v>
      </c>
      <c r="H80" s="258">
        <v>7</v>
      </c>
      <c r="I80" s="258">
        <v>2</v>
      </c>
      <c r="J80" s="258">
        <v>2</v>
      </c>
      <c r="K80" s="259">
        <v>1762</v>
      </c>
      <c r="L80" s="146">
        <f>1233.4+528.6</f>
        <v>1762</v>
      </c>
      <c r="M80" s="146">
        <f t="shared" si="4"/>
        <v>0</v>
      </c>
      <c r="N80" s="257">
        <v>0</v>
      </c>
      <c r="O80" s="142">
        <v>0</v>
      </c>
      <c r="P80" s="150">
        <v>0</v>
      </c>
      <c r="Q80" s="150">
        <f t="shared" si="3"/>
        <v>0</v>
      </c>
    </row>
    <row r="81" spans="1:17" ht="38.25" x14ac:dyDescent="0.25">
      <c r="A81" s="148">
        <v>24</v>
      </c>
      <c r="B81" s="255" t="s">
        <v>357</v>
      </c>
      <c r="C81" s="155" t="s">
        <v>64</v>
      </c>
      <c r="D81" s="254" t="s">
        <v>358</v>
      </c>
      <c r="E81" s="155" t="s">
        <v>158</v>
      </c>
      <c r="F81" s="155" t="s">
        <v>507</v>
      </c>
      <c r="G81" s="255" t="s">
        <v>326</v>
      </c>
      <c r="H81" s="258">
        <v>3</v>
      </c>
      <c r="I81" s="145">
        <v>1</v>
      </c>
      <c r="J81" s="145">
        <v>1</v>
      </c>
      <c r="K81" s="259">
        <f>1288.7</f>
        <v>1288.7</v>
      </c>
      <c r="L81" s="146">
        <f>1288.7</f>
        <v>1288.7</v>
      </c>
      <c r="M81" s="146">
        <f t="shared" si="4"/>
        <v>0</v>
      </c>
      <c r="N81" s="257">
        <v>0</v>
      </c>
      <c r="O81" s="146">
        <v>0</v>
      </c>
      <c r="P81" s="150">
        <v>0</v>
      </c>
      <c r="Q81" s="150">
        <f t="shared" si="3"/>
        <v>0</v>
      </c>
    </row>
    <row r="82" spans="1:17" x14ac:dyDescent="0.25">
      <c r="A82" s="148">
        <v>25</v>
      </c>
      <c r="B82" s="255" t="s">
        <v>36</v>
      </c>
      <c r="C82" s="155" t="s">
        <v>62</v>
      </c>
      <c r="D82" s="254"/>
      <c r="E82" s="155" t="s">
        <v>74</v>
      </c>
      <c r="F82" s="377" t="s">
        <v>630</v>
      </c>
      <c r="G82" s="255" t="s">
        <v>326</v>
      </c>
      <c r="H82" s="258">
        <v>2</v>
      </c>
      <c r="I82" s="145">
        <v>1</v>
      </c>
      <c r="J82" s="145">
        <v>1</v>
      </c>
      <c r="K82" s="259">
        <v>0</v>
      </c>
      <c r="L82" s="146">
        <v>0</v>
      </c>
      <c r="M82" s="146">
        <v>0</v>
      </c>
      <c r="N82" s="257">
        <v>0</v>
      </c>
      <c r="O82" s="146">
        <v>0</v>
      </c>
      <c r="P82" s="150">
        <v>0</v>
      </c>
      <c r="Q82" s="150">
        <f t="shared" si="3"/>
        <v>0</v>
      </c>
    </row>
    <row r="83" spans="1:17" x14ac:dyDescent="0.25">
      <c r="A83" s="147">
        <v>26</v>
      </c>
      <c r="B83" s="255" t="s">
        <v>359</v>
      </c>
      <c r="C83" s="155" t="s">
        <v>62</v>
      </c>
      <c r="D83" s="254"/>
      <c r="E83" s="155" t="s">
        <v>158</v>
      </c>
      <c r="F83" s="155" t="s">
        <v>360</v>
      </c>
      <c r="G83" s="255" t="s">
        <v>326</v>
      </c>
      <c r="H83" s="258">
        <v>5</v>
      </c>
      <c r="I83" s="258">
        <v>5</v>
      </c>
      <c r="J83" s="258">
        <v>5</v>
      </c>
      <c r="K83" s="259">
        <f>1409.6+704.8+528.6+2290.6</f>
        <v>4933.5999999999995</v>
      </c>
      <c r="L83" s="146">
        <f>704.8+704.8+704.8+9.97+518.63+2290.6</f>
        <v>4933.5999999999995</v>
      </c>
      <c r="M83" s="146">
        <f>K83-L83</f>
        <v>0</v>
      </c>
      <c r="N83" s="257">
        <v>0</v>
      </c>
      <c r="O83" s="142">
        <v>0</v>
      </c>
      <c r="P83" s="143">
        <v>0</v>
      </c>
      <c r="Q83" s="150">
        <f t="shared" si="3"/>
        <v>0</v>
      </c>
    </row>
    <row r="84" spans="1:17" x14ac:dyDescent="0.25">
      <c r="A84" s="147">
        <v>27</v>
      </c>
      <c r="B84" s="255" t="s">
        <v>118</v>
      </c>
      <c r="C84" s="155" t="s">
        <v>62</v>
      </c>
      <c r="D84" s="139"/>
      <c r="E84" s="155" t="s">
        <v>338</v>
      </c>
      <c r="F84" s="255" t="s">
        <v>361</v>
      </c>
      <c r="G84" s="255" t="s">
        <v>326</v>
      </c>
      <c r="H84" s="258">
        <v>1</v>
      </c>
      <c r="I84" s="258">
        <v>1</v>
      </c>
      <c r="J84" s="258">
        <v>1</v>
      </c>
      <c r="K84" s="259">
        <f>1012.55</f>
        <v>1012.55</v>
      </c>
      <c r="L84" s="146">
        <f>1012.55</f>
        <v>1012.55</v>
      </c>
      <c r="M84" s="146">
        <f>K84-L84</f>
        <v>0</v>
      </c>
      <c r="N84" s="257">
        <v>0</v>
      </c>
      <c r="O84" s="142">
        <v>0</v>
      </c>
      <c r="P84" s="150">
        <v>0</v>
      </c>
      <c r="Q84" s="150">
        <f t="shared" si="3"/>
        <v>0</v>
      </c>
    </row>
    <row r="85" spans="1:17" x14ac:dyDescent="0.25">
      <c r="A85" s="147">
        <v>28</v>
      </c>
      <c r="B85" s="255" t="s">
        <v>246</v>
      </c>
      <c r="C85" s="155" t="s">
        <v>62</v>
      </c>
      <c r="D85" s="139"/>
      <c r="E85" s="155" t="s">
        <v>158</v>
      </c>
      <c r="F85" s="255" t="s">
        <v>362</v>
      </c>
      <c r="G85" s="255" t="s">
        <v>326</v>
      </c>
      <c r="H85" s="258">
        <v>5</v>
      </c>
      <c r="I85" s="258">
        <v>3</v>
      </c>
      <c r="J85" s="258">
        <v>3</v>
      </c>
      <c r="K85" s="259">
        <f>1233.4+1288.7</f>
        <v>2522.1000000000004</v>
      </c>
      <c r="L85" s="146">
        <f>1233.4+1288.7</f>
        <v>2522.1000000000004</v>
      </c>
      <c r="M85" s="146">
        <f>K85-L85</f>
        <v>0</v>
      </c>
      <c r="N85" s="257">
        <v>0</v>
      </c>
      <c r="O85" s="142">
        <v>0</v>
      </c>
      <c r="P85" s="150">
        <v>0</v>
      </c>
      <c r="Q85" s="150">
        <f t="shared" si="3"/>
        <v>0</v>
      </c>
    </row>
    <row r="86" spans="1:17" x14ac:dyDescent="0.25">
      <c r="A86" s="147">
        <v>29</v>
      </c>
      <c r="B86" s="255" t="s">
        <v>643</v>
      </c>
      <c r="C86" s="155" t="s">
        <v>62</v>
      </c>
      <c r="D86" s="139"/>
      <c r="E86" s="155" t="s">
        <v>74</v>
      </c>
      <c r="F86" s="255" t="s">
        <v>644</v>
      </c>
      <c r="G86" s="255" t="s">
        <v>326</v>
      </c>
      <c r="H86" s="258">
        <v>1</v>
      </c>
      <c r="I86" s="258">
        <v>0</v>
      </c>
      <c r="J86" s="258">
        <v>0</v>
      </c>
      <c r="K86" s="259">
        <v>0</v>
      </c>
      <c r="L86" s="146">
        <v>0</v>
      </c>
      <c r="M86" s="146">
        <v>0</v>
      </c>
      <c r="N86" s="257">
        <v>0</v>
      </c>
      <c r="O86" s="142">
        <v>0</v>
      </c>
      <c r="P86" s="150">
        <v>0</v>
      </c>
      <c r="Q86" s="150">
        <f t="shared" si="3"/>
        <v>0</v>
      </c>
    </row>
    <row r="87" spans="1:17" x14ac:dyDescent="0.25">
      <c r="A87" s="147">
        <v>30</v>
      </c>
      <c r="B87" s="255" t="s">
        <v>43</v>
      </c>
      <c r="C87" s="155" t="s">
        <v>62</v>
      </c>
      <c r="D87" s="139"/>
      <c r="E87" s="155" t="s">
        <v>74</v>
      </c>
      <c r="F87" s="255" t="s">
        <v>363</v>
      </c>
      <c r="G87" s="255" t="s">
        <v>326</v>
      </c>
      <c r="H87" s="258">
        <v>3</v>
      </c>
      <c r="I87" s="258">
        <v>1</v>
      </c>
      <c r="J87" s="258">
        <v>1</v>
      </c>
      <c r="K87" s="259">
        <v>660.75</v>
      </c>
      <c r="L87" s="146">
        <f>660.75</f>
        <v>660.75</v>
      </c>
      <c r="M87" s="146">
        <f t="shared" ref="M87:M106" si="5">K87-L87</f>
        <v>0</v>
      </c>
      <c r="N87" s="257">
        <v>0</v>
      </c>
      <c r="O87" s="142">
        <v>0</v>
      </c>
      <c r="P87" s="150">
        <v>0</v>
      </c>
      <c r="Q87" s="150">
        <f t="shared" si="3"/>
        <v>0</v>
      </c>
    </row>
    <row r="88" spans="1:17" x14ac:dyDescent="0.25">
      <c r="A88" s="147">
        <v>31</v>
      </c>
      <c r="B88" s="255" t="s">
        <v>364</v>
      </c>
      <c r="C88" s="155" t="s">
        <v>62</v>
      </c>
      <c r="D88" s="139"/>
      <c r="E88" s="155" t="s">
        <v>74</v>
      </c>
      <c r="F88" s="255" t="s">
        <v>365</v>
      </c>
      <c r="G88" s="255" t="s">
        <v>326</v>
      </c>
      <c r="H88" s="258">
        <v>7</v>
      </c>
      <c r="I88" s="258">
        <v>2</v>
      </c>
      <c r="J88" s="258">
        <v>2</v>
      </c>
      <c r="K88" s="259">
        <v>2466.8000000000002</v>
      </c>
      <c r="L88" s="146">
        <v>2466.8000000000002</v>
      </c>
      <c r="M88" s="146">
        <f t="shared" si="5"/>
        <v>0</v>
      </c>
      <c r="N88" s="257">
        <v>3</v>
      </c>
      <c r="O88" s="142">
        <f>3524+2671.06+3497.9</f>
        <v>9692.9599999999991</v>
      </c>
      <c r="P88" s="150">
        <f>3524+6168.96</f>
        <v>9692.9599999999991</v>
      </c>
      <c r="Q88" s="150">
        <f t="shared" si="3"/>
        <v>0</v>
      </c>
    </row>
    <row r="89" spans="1:17" x14ac:dyDescent="0.25">
      <c r="A89" s="147">
        <v>32</v>
      </c>
      <c r="B89" s="255" t="s">
        <v>46</v>
      </c>
      <c r="C89" s="155" t="s">
        <v>62</v>
      </c>
      <c r="D89" s="139"/>
      <c r="E89" s="155" t="s">
        <v>366</v>
      </c>
      <c r="F89" s="255" t="s">
        <v>367</v>
      </c>
      <c r="G89" s="255" t="s">
        <v>326</v>
      </c>
      <c r="H89" s="258">
        <v>0</v>
      </c>
      <c r="I89" s="258">
        <v>0</v>
      </c>
      <c r="J89" s="258">
        <v>0</v>
      </c>
      <c r="K89" s="259">
        <v>0</v>
      </c>
      <c r="L89" s="146">
        <v>0</v>
      </c>
      <c r="M89" s="146">
        <f t="shared" si="5"/>
        <v>0</v>
      </c>
      <c r="N89" s="257">
        <v>2</v>
      </c>
      <c r="O89" s="142">
        <f>4140.7+528.6</f>
        <v>4669.3</v>
      </c>
      <c r="P89" s="143">
        <f>4140.7+528.6</f>
        <v>4669.3</v>
      </c>
      <c r="Q89" s="150">
        <f t="shared" si="3"/>
        <v>0</v>
      </c>
    </row>
    <row r="90" spans="1:17" x14ac:dyDescent="0.25">
      <c r="A90" s="147">
        <v>33</v>
      </c>
      <c r="B90" s="255" t="s">
        <v>270</v>
      </c>
      <c r="C90" s="155" t="s">
        <v>62</v>
      </c>
      <c r="D90" s="139"/>
      <c r="E90" s="155" t="s">
        <v>74</v>
      </c>
      <c r="F90" s="255" t="s">
        <v>539</v>
      </c>
      <c r="G90" s="255" t="s">
        <v>326</v>
      </c>
      <c r="H90" s="258">
        <v>2</v>
      </c>
      <c r="I90" s="258">
        <v>0</v>
      </c>
      <c r="J90" s="258">
        <v>0</v>
      </c>
      <c r="K90" s="259">
        <v>0</v>
      </c>
      <c r="L90" s="146">
        <v>0</v>
      </c>
      <c r="M90" s="146">
        <f t="shared" si="5"/>
        <v>0</v>
      </c>
      <c r="N90" s="257">
        <v>0</v>
      </c>
      <c r="O90" s="142">
        <v>0</v>
      </c>
      <c r="P90" s="143">
        <v>0</v>
      </c>
      <c r="Q90" s="150">
        <v>0</v>
      </c>
    </row>
    <row r="91" spans="1:17" x14ac:dyDescent="0.25">
      <c r="A91" s="147">
        <v>34</v>
      </c>
      <c r="B91" s="255" t="s">
        <v>621</v>
      </c>
      <c r="C91" s="155" t="s">
        <v>62</v>
      </c>
      <c r="D91" s="139"/>
      <c r="E91" s="155" t="s">
        <v>74</v>
      </c>
      <c r="F91" s="255" t="s">
        <v>622</v>
      </c>
      <c r="G91" s="255" t="s">
        <v>326</v>
      </c>
      <c r="H91" s="258">
        <v>2</v>
      </c>
      <c r="I91" s="258">
        <v>0</v>
      </c>
      <c r="J91" s="258">
        <v>0</v>
      </c>
      <c r="K91" s="259">
        <v>0</v>
      </c>
      <c r="L91" s="146">
        <v>0</v>
      </c>
      <c r="M91" s="146">
        <f t="shared" si="5"/>
        <v>0</v>
      </c>
      <c r="N91" s="257">
        <v>0</v>
      </c>
      <c r="O91" s="142">
        <v>0</v>
      </c>
      <c r="P91" s="143">
        <v>0</v>
      </c>
      <c r="Q91" s="150">
        <v>0</v>
      </c>
    </row>
    <row r="92" spans="1:17" x14ac:dyDescent="0.25">
      <c r="A92" s="147">
        <v>35</v>
      </c>
      <c r="B92" s="255" t="s">
        <v>96</v>
      </c>
      <c r="C92" s="155" t="s">
        <v>62</v>
      </c>
      <c r="D92" s="139"/>
      <c r="E92" s="155" t="s">
        <v>98</v>
      </c>
      <c r="F92" s="255" t="s">
        <v>540</v>
      </c>
      <c r="G92" s="255" t="s">
        <v>326</v>
      </c>
      <c r="H92" s="258">
        <v>1</v>
      </c>
      <c r="I92" s="258">
        <v>0</v>
      </c>
      <c r="J92" s="258">
        <v>0</v>
      </c>
      <c r="K92" s="259">
        <v>0</v>
      </c>
      <c r="L92" s="146">
        <v>0</v>
      </c>
      <c r="M92" s="146">
        <f t="shared" si="5"/>
        <v>0</v>
      </c>
      <c r="N92" s="257">
        <v>1</v>
      </c>
      <c r="O92" s="142">
        <v>0</v>
      </c>
      <c r="P92" s="143">
        <v>0</v>
      </c>
      <c r="Q92" s="150">
        <v>0</v>
      </c>
    </row>
    <row r="93" spans="1:17" x14ac:dyDescent="0.25">
      <c r="A93" s="147">
        <v>36</v>
      </c>
      <c r="B93" s="255" t="s">
        <v>124</v>
      </c>
      <c r="C93" s="155" t="s">
        <v>62</v>
      </c>
      <c r="D93" s="139"/>
      <c r="E93" s="155" t="s">
        <v>74</v>
      </c>
      <c r="F93" s="255" t="s">
        <v>368</v>
      </c>
      <c r="G93" s="255" t="s">
        <v>326</v>
      </c>
      <c r="H93" s="258">
        <v>27</v>
      </c>
      <c r="I93" s="258">
        <v>18</v>
      </c>
      <c r="J93" s="258">
        <v>18</v>
      </c>
      <c r="K93" s="259">
        <f>6343.2+3700.2+4326.35+3589.95</f>
        <v>17959.7</v>
      </c>
      <c r="L93" s="146">
        <f>1762+1762+2819.2+3700.2+4326.35+3589.95</f>
        <v>17959.7</v>
      </c>
      <c r="M93" s="146">
        <f t="shared" si="5"/>
        <v>0</v>
      </c>
      <c r="N93" s="257">
        <v>8</v>
      </c>
      <c r="O93" s="142">
        <f>3171.6+88+1493.8-704.8+704.8</f>
        <v>4753.3999999999996</v>
      </c>
      <c r="P93" s="150">
        <f>1765.8+1493.8+789+704.8</f>
        <v>4753.3999999999996</v>
      </c>
      <c r="Q93" s="146">
        <f>O93-P93</f>
        <v>0</v>
      </c>
    </row>
    <row r="94" spans="1:17" x14ac:dyDescent="0.25">
      <c r="A94" s="147">
        <v>37</v>
      </c>
      <c r="B94" s="255" t="s">
        <v>51</v>
      </c>
      <c r="C94" s="155" t="s">
        <v>62</v>
      </c>
      <c r="D94" s="139"/>
      <c r="E94" s="155" t="s">
        <v>74</v>
      </c>
      <c r="F94" s="255" t="s">
        <v>369</v>
      </c>
      <c r="G94" s="255" t="s">
        <v>326</v>
      </c>
      <c r="H94" s="258">
        <v>0</v>
      </c>
      <c r="I94" s="258">
        <v>0</v>
      </c>
      <c r="J94" s="258">
        <v>0</v>
      </c>
      <c r="K94" s="259">
        <v>0</v>
      </c>
      <c r="L94" s="146">
        <v>0</v>
      </c>
      <c r="M94" s="146">
        <f t="shared" si="5"/>
        <v>0</v>
      </c>
      <c r="N94" s="257">
        <v>1</v>
      </c>
      <c r="O94" s="142">
        <v>2290.6</v>
      </c>
      <c r="P94" s="150">
        <v>2290.6</v>
      </c>
      <c r="Q94" s="150">
        <f>O94-P94</f>
        <v>0</v>
      </c>
    </row>
    <row r="95" spans="1:17" x14ac:dyDescent="0.25">
      <c r="A95" s="147">
        <v>38</v>
      </c>
      <c r="B95" s="255" t="s">
        <v>286</v>
      </c>
      <c r="C95" s="155" t="s">
        <v>62</v>
      </c>
      <c r="D95" s="139"/>
      <c r="E95" s="155" t="s">
        <v>74</v>
      </c>
      <c r="F95" s="255" t="s">
        <v>476</v>
      </c>
      <c r="G95" s="255" t="s">
        <v>326</v>
      </c>
      <c r="H95" s="258">
        <v>8</v>
      </c>
      <c r="I95" s="258">
        <v>4</v>
      </c>
      <c r="J95" s="258">
        <v>4</v>
      </c>
      <c r="K95" s="259">
        <f>1233.4+1409.6+552.3</f>
        <v>3195.3</v>
      </c>
      <c r="L95" s="146">
        <f>1233.4+1409.6+552.3</f>
        <v>3195.3</v>
      </c>
      <c r="M95" s="146">
        <f t="shared" si="5"/>
        <v>0</v>
      </c>
      <c r="N95" s="257">
        <v>0</v>
      </c>
      <c r="O95" s="142">
        <v>0</v>
      </c>
      <c r="P95" s="150">
        <v>0</v>
      </c>
      <c r="Q95" s="150">
        <v>0</v>
      </c>
    </row>
    <row r="96" spans="1:17" x14ac:dyDescent="0.25">
      <c r="A96" s="147">
        <v>39</v>
      </c>
      <c r="B96" s="255" t="s">
        <v>290</v>
      </c>
      <c r="C96" s="155" t="s">
        <v>62</v>
      </c>
      <c r="D96" s="139"/>
      <c r="E96" s="155" t="s">
        <v>371</v>
      </c>
      <c r="F96" s="255" t="s">
        <v>372</v>
      </c>
      <c r="G96" s="255" t="s">
        <v>326</v>
      </c>
      <c r="H96" s="258">
        <v>8</v>
      </c>
      <c r="I96" s="258">
        <v>6</v>
      </c>
      <c r="J96" s="258">
        <v>6</v>
      </c>
      <c r="K96" s="259">
        <f>1409.6+704.8</f>
        <v>2114.3999999999996</v>
      </c>
      <c r="L96" s="146">
        <f>1409.6+704.8</f>
        <v>2114.3999999999996</v>
      </c>
      <c r="M96" s="146">
        <f t="shared" si="5"/>
        <v>0</v>
      </c>
      <c r="N96" s="257">
        <v>0</v>
      </c>
      <c r="O96" s="142">
        <v>0</v>
      </c>
      <c r="P96" s="143">
        <v>0</v>
      </c>
      <c r="Q96" s="150">
        <f>O96-P96</f>
        <v>0</v>
      </c>
    </row>
    <row r="97" spans="1:17" x14ac:dyDescent="0.25">
      <c r="A97" s="147">
        <v>40</v>
      </c>
      <c r="B97" s="255" t="s">
        <v>134</v>
      </c>
      <c r="C97" s="155" t="s">
        <v>62</v>
      </c>
      <c r="D97" s="139"/>
      <c r="E97" s="155" t="s">
        <v>74</v>
      </c>
      <c r="F97" s="255" t="s">
        <v>373</v>
      </c>
      <c r="G97" s="255" t="s">
        <v>326</v>
      </c>
      <c r="H97" s="258">
        <v>3</v>
      </c>
      <c r="I97" s="258">
        <v>1</v>
      </c>
      <c r="J97" s="258">
        <v>1</v>
      </c>
      <c r="K97" s="259">
        <f>1938.2</f>
        <v>1938.2</v>
      </c>
      <c r="L97" s="146">
        <v>1938.2</v>
      </c>
      <c r="M97" s="146">
        <f t="shared" si="5"/>
        <v>0</v>
      </c>
      <c r="N97" s="257">
        <v>2</v>
      </c>
      <c r="O97" s="142">
        <v>2643</v>
      </c>
      <c r="P97" s="150">
        <f>881+1762</f>
        <v>2643</v>
      </c>
      <c r="Q97" s="150">
        <f>O97-P97</f>
        <v>0</v>
      </c>
    </row>
    <row r="98" spans="1:17" x14ac:dyDescent="0.25">
      <c r="A98" s="147">
        <v>41</v>
      </c>
      <c r="B98" s="255" t="s">
        <v>135</v>
      </c>
      <c r="C98" s="155" t="s">
        <v>62</v>
      </c>
      <c r="D98" s="139"/>
      <c r="E98" s="155" t="s">
        <v>74</v>
      </c>
      <c r="F98" s="255" t="s">
        <v>374</v>
      </c>
      <c r="G98" s="255" t="s">
        <v>326</v>
      </c>
      <c r="H98" s="258">
        <v>19</v>
      </c>
      <c r="I98" s="258">
        <v>4</v>
      </c>
      <c r="J98" s="258">
        <v>4</v>
      </c>
      <c r="K98" s="259">
        <f>5109.8+881</f>
        <v>5990.8</v>
      </c>
      <c r="L98" s="146">
        <f>2290.6+2819.2+881</f>
        <v>5990.7999999999993</v>
      </c>
      <c r="M98" s="146">
        <f t="shared" si="5"/>
        <v>0</v>
      </c>
      <c r="N98" s="257">
        <v>87</v>
      </c>
      <c r="O98" s="142">
        <f>15109.16+9717+2845.2+3774.05+1585.8</f>
        <v>33031.21</v>
      </c>
      <c r="P98" s="150">
        <f>14228.16+881+9717+2845.2+3774.05+1585.8</f>
        <v>33031.21</v>
      </c>
      <c r="Q98" s="146">
        <f>O98-P98</f>
        <v>0</v>
      </c>
    </row>
    <row r="99" spans="1:17" ht="25.5" x14ac:dyDescent="0.25">
      <c r="A99" s="148">
        <v>42</v>
      </c>
      <c r="B99" s="255" t="s">
        <v>508</v>
      </c>
      <c r="C99" s="155" t="s">
        <v>64</v>
      </c>
      <c r="D99" s="254" t="s">
        <v>509</v>
      </c>
      <c r="E99" s="155" t="s">
        <v>74</v>
      </c>
      <c r="F99" s="255" t="s">
        <v>510</v>
      </c>
      <c r="G99" s="255" t="s">
        <v>326</v>
      </c>
      <c r="H99" s="258">
        <v>3</v>
      </c>
      <c r="I99" s="258">
        <v>2</v>
      </c>
      <c r="J99" s="258">
        <v>2</v>
      </c>
      <c r="K99" s="259">
        <f>4418.4</f>
        <v>4418.3999999999996</v>
      </c>
      <c r="L99" s="146">
        <f>4418.4</f>
        <v>4418.3999999999996</v>
      </c>
      <c r="M99" s="146">
        <f t="shared" si="5"/>
        <v>0</v>
      </c>
      <c r="N99" s="257">
        <v>0</v>
      </c>
      <c r="O99" s="146">
        <v>0</v>
      </c>
      <c r="P99" s="150">
        <v>0</v>
      </c>
      <c r="Q99" s="150">
        <v>0</v>
      </c>
    </row>
    <row r="100" spans="1:17" x14ac:dyDescent="0.25">
      <c r="A100" s="147">
        <v>43</v>
      </c>
      <c r="B100" s="255" t="s">
        <v>299</v>
      </c>
      <c r="C100" s="155" t="s">
        <v>62</v>
      </c>
      <c r="D100" s="139"/>
      <c r="E100" s="155" t="s">
        <v>158</v>
      </c>
      <c r="F100" s="255" t="s">
        <v>375</v>
      </c>
      <c r="G100" s="255" t="s">
        <v>326</v>
      </c>
      <c r="H100" s="258">
        <v>3</v>
      </c>
      <c r="I100" s="258">
        <v>1</v>
      </c>
      <c r="J100" s="258">
        <v>1</v>
      </c>
      <c r="K100" s="259">
        <f>704.8</f>
        <v>704.8</v>
      </c>
      <c r="L100" s="146">
        <f>704.8</f>
        <v>704.8</v>
      </c>
      <c r="M100" s="146">
        <f t="shared" si="5"/>
        <v>0</v>
      </c>
      <c r="N100" s="257">
        <v>0</v>
      </c>
      <c r="O100" s="142">
        <v>0</v>
      </c>
      <c r="P100" s="150">
        <v>0</v>
      </c>
      <c r="Q100" s="150">
        <f t="shared" ref="Q100:Q106" si="6">O100-P100</f>
        <v>0</v>
      </c>
    </row>
    <row r="101" spans="1:17" x14ac:dyDescent="0.25">
      <c r="A101" s="147">
        <v>44</v>
      </c>
      <c r="B101" s="255" t="s">
        <v>376</v>
      </c>
      <c r="C101" s="155" t="s">
        <v>62</v>
      </c>
      <c r="D101" s="139"/>
      <c r="E101" s="155" t="s">
        <v>74</v>
      </c>
      <c r="F101" s="255" t="s">
        <v>377</v>
      </c>
      <c r="G101" s="255" t="s">
        <v>326</v>
      </c>
      <c r="H101" s="258">
        <v>7</v>
      </c>
      <c r="I101" s="258">
        <v>5</v>
      </c>
      <c r="J101" s="258">
        <v>5</v>
      </c>
      <c r="K101" s="259">
        <f>1409.6+2643+2117.15</f>
        <v>6169.75</v>
      </c>
      <c r="L101" s="146">
        <f>1409.6+2339.82+303.18+2117.15</f>
        <v>6169.75</v>
      </c>
      <c r="M101" s="146">
        <f t="shared" si="5"/>
        <v>0</v>
      </c>
      <c r="N101" s="257">
        <v>0</v>
      </c>
      <c r="O101" s="142">
        <v>0</v>
      </c>
      <c r="P101" s="150">
        <v>0</v>
      </c>
      <c r="Q101" s="150">
        <f t="shared" si="6"/>
        <v>0</v>
      </c>
    </row>
    <row r="102" spans="1:17" x14ac:dyDescent="0.25">
      <c r="A102" s="147">
        <v>45</v>
      </c>
      <c r="B102" s="255" t="s">
        <v>129</v>
      </c>
      <c r="C102" s="155" t="s">
        <v>62</v>
      </c>
      <c r="D102" s="139"/>
      <c r="E102" s="155" t="s">
        <v>74</v>
      </c>
      <c r="F102" s="255" t="s">
        <v>378</v>
      </c>
      <c r="G102" s="255" t="s">
        <v>326</v>
      </c>
      <c r="H102" s="258">
        <v>44</v>
      </c>
      <c r="I102" s="258">
        <v>30</v>
      </c>
      <c r="J102" s="258">
        <v>30</v>
      </c>
      <c r="K102" s="259">
        <f>7355.96+1306.55+4415.93+5710.35+1310.55+10196.79+4488.25+552.3+739.02+1656.85+1104.55+1058.23+1102.23</f>
        <v>40997.560000000012</v>
      </c>
      <c r="L102" s="146">
        <f>3615.96+5046.55+4415.93+2821.97+2888.38+15995.59+5110.95+1102.23</f>
        <v>40997.560000000005</v>
      </c>
      <c r="M102" s="146">
        <f t="shared" si="5"/>
        <v>0</v>
      </c>
      <c r="N102" s="257">
        <v>39</v>
      </c>
      <c r="O102" s="142">
        <f>28417.04+2923.96+3402.23+528.6+3259.4+1369.4+10104.55+4063.86+3819.85+596.3+3137.2+1453.42+10908.65</f>
        <v>73984.460000000006</v>
      </c>
      <c r="P102" s="143">
        <f>22002.43+5101.53+1313.08+2923.96+3402.23+528.6+3259.4+19357.66+596.3+3137.2+1453.42+10908.65</f>
        <v>73984.459999999992</v>
      </c>
      <c r="Q102" s="150">
        <f t="shared" si="6"/>
        <v>0</v>
      </c>
    </row>
    <row r="103" spans="1:17" x14ac:dyDescent="0.25">
      <c r="A103" s="147">
        <v>46</v>
      </c>
      <c r="B103" s="255" t="s">
        <v>379</v>
      </c>
      <c r="C103" s="155" t="s">
        <v>62</v>
      </c>
      <c r="D103" s="139"/>
      <c r="E103" s="155" t="s">
        <v>158</v>
      </c>
      <c r="F103" s="255" t="s">
        <v>380</v>
      </c>
      <c r="G103" s="255" t="s">
        <v>326</v>
      </c>
      <c r="H103" s="258">
        <v>3</v>
      </c>
      <c r="I103" s="258">
        <v>2</v>
      </c>
      <c r="J103" s="258">
        <v>2</v>
      </c>
      <c r="K103" s="259">
        <f>704.8+1012.55</f>
        <v>1717.35</v>
      </c>
      <c r="L103" s="146">
        <f>704.8+1012.55</f>
        <v>1717.35</v>
      </c>
      <c r="M103" s="146">
        <f t="shared" si="5"/>
        <v>0</v>
      </c>
      <c r="N103" s="257">
        <v>0</v>
      </c>
      <c r="O103" s="142">
        <v>0</v>
      </c>
      <c r="P103" s="150">
        <v>0</v>
      </c>
      <c r="Q103" s="150">
        <f t="shared" si="6"/>
        <v>0</v>
      </c>
    </row>
    <row r="104" spans="1:17" x14ac:dyDescent="0.25">
      <c r="A104" s="147">
        <v>47</v>
      </c>
      <c r="B104" s="255" t="s">
        <v>130</v>
      </c>
      <c r="C104" s="155" t="s">
        <v>62</v>
      </c>
      <c r="D104" s="139"/>
      <c r="E104" s="155" t="s">
        <v>74</v>
      </c>
      <c r="F104" s="255" t="s">
        <v>557</v>
      </c>
      <c r="G104" s="255" t="s">
        <v>326</v>
      </c>
      <c r="H104" s="258">
        <v>1</v>
      </c>
      <c r="I104" s="258">
        <v>0</v>
      </c>
      <c r="J104" s="258">
        <v>0</v>
      </c>
      <c r="K104" s="259">
        <v>0</v>
      </c>
      <c r="L104" s="146">
        <v>0</v>
      </c>
      <c r="M104" s="146">
        <f t="shared" si="5"/>
        <v>0</v>
      </c>
      <c r="N104" s="257">
        <v>2</v>
      </c>
      <c r="O104" s="142">
        <f>3700.2</f>
        <v>3700.2</v>
      </c>
      <c r="P104" s="150">
        <f>3700.2</f>
        <v>3700.2</v>
      </c>
      <c r="Q104" s="150">
        <f t="shared" si="6"/>
        <v>0</v>
      </c>
    </row>
    <row r="105" spans="1:17" x14ac:dyDescent="0.25">
      <c r="A105" s="147">
        <v>48</v>
      </c>
      <c r="B105" s="255" t="s">
        <v>382</v>
      </c>
      <c r="C105" s="155" t="s">
        <v>62</v>
      </c>
      <c r="D105" s="139"/>
      <c r="E105" s="155" t="s">
        <v>383</v>
      </c>
      <c r="F105" s="255" t="s">
        <v>384</v>
      </c>
      <c r="G105" s="255" t="s">
        <v>326</v>
      </c>
      <c r="H105" s="258">
        <v>1</v>
      </c>
      <c r="I105" s="258">
        <v>1</v>
      </c>
      <c r="J105" s="258">
        <v>1</v>
      </c>
      <c r="K105" s="259">
        <v>704.8</v>
      </c>
      <c r="L105" s="146">
        <f>187.75+517.05</f>
        <v>704.8</v>
      </c>
      <c r="M105" s="146">
        <f t="shared" si="5"/>
        <v>0</v>
      </c>
      <c r="N105" s="257">
        <v>0</v>
      </c>
      <c r="O105" s="142">
        <v>0</v>
      </c>
      <c r="P105" s="150">
        <v>0</v>
      </c>
      <c r="Q105" s="150">
        <f t="shared" si="6"/>
        <v>0</v>
      </c>
    </row>
    <row r="106" spans="1:17" x14ac:dyDescent="0.25">
      <c r="A106" s="147">
        <v>49</v>
      </c>
      <c r="B106" s="255" t="s">
        <v>385</v>
      </c>
      <c r="C106" s="155" t="s">
        <v>62</v>
      </c>
      <c r="D106" s="139"/>
      <c r="E106" s="139" t="s">
        <v>145</v>
      </c>
      <c r="F106" s="255" t="s">
        <v>386</v>
      </c>
      <c r="G106" s="255" t="s">
        <v>326</v>
      </c>
      <c r="H106" s="258">
        <v>12</v>
      </c>
      <c r="I106" s="258">
        <v>6</v>
      </c>
      <c r="J106" s="258">
        <v>6</v>
      </c>
      <c r="K106" s="259">
        <f>1762+2422.75</f>
        <v>4184.75</v>
      </c>
      <c r="L106" s="146">
        <f>1057.2+704.8+2422.75</f>
        <v>4184.75</v>
      </c>
      <c r="M106" s="146">
        <f t="shared" si="5"/>
        <v>0</v>
      </c>
      <c r="N106" s="257">
        <v>18</v>
      </c>
      <c r="O106" s="142">
        <v>9602.9</v>
      </c>
      <c r="P106" s="143">
        <f>9074.3+528.6</f>
        <v>9602.9</v>
      </c>
      <c r="Q106" s="150">
        <f t="shared" si="6"/>
        <v>0</v>
      </c>
    </row>
    <row r="107" spans="1:17" x14ac:dyDescent="0.25">
      <c r="A107" s="147">
        <v>50</v>
      </c>
      <c r="B107" s="255" t="s">
        <v>150</v>
      </c>
      <c r="C107" s="155" t="s">
        <v>62</v>
      </c>
      <c r="D107" s="139"/>
      <c r="E107" s="155" t="s">
        <v>74</v>
      </c>
      <c r="F107" s="255" t="s">
        <v>370</v>
      </c>
      <c r="G107" s="255" t="s">
        <v>326</v>
      </c>
      <c r="H107" s="258">
        <v>0</v>
      </c>
      <c r="I107" s="258">
        <v>0</v>
      </c>
      <c r="J107" s="258">
        <v>0</v>
      </c>
      <c r="K107" s="259">
        <v>0</v>
      </c>
      <c r="L107" s="146">
        <v>0</v>
      </c>
      <c r="M107" s="146">
        <v>0</v>
      </c>
      <c r="N107" s="257">
        <v>0</v>
      </c>
      <c r="O107" s="142">
        <v>0</v>
      </c>
      <c r="P107" s="143">
        <v>0</v>
      </c>
      <c r="Q107" s="150">
        <v>0</v>
      </c>
    </row>
    <row r="108" spans="1:17" x14ac:dyDescent="0.25">
      <c r="A108" s="147">
        <v>51</v>
      </c>
      <c r="B108" s="255" t="s">
        <v>387</v>
      </c>
      <c r="C108" s="155" t="s">
        <v>62</v>
      </c>
      <c r="D108" s="139"/>
      <c r="E108" s="155" t="s">
        <v>157</v>
      </c>
      <c r="F108" s="255" t="s">
        <v>388</v>
      </c>
      <c r="G108" s="255" t="s">
        <v>326</v>
      </c>
      <c r="H108" s="258">
        <v>0</v>
      </c>
      <c r="I108" s="258">
        <v>0</v>
      </c>
      <c r="J108" s="258">
        <v>0</v>
      </c>
      <c r="K108" s="273">
        <v>0</v>
      </c>
      <c r="L108" s="146">
        <v>0</v>
      </c>
      <c r="M108" s="146">
        <f>K108-L108</f>
        <v>0</v>
      </c>
      <c r="N108" s="257">
        <v>0</v>
      </c>
      <c r="O108" s="142">
        <v>0</v>
      </c>
      <c r="P108" s="150">
        <v>0</v>
      </c>
      <c r="Q108" s="150">
        <f>O108-P108</f>
        <v>0</v>
      </c>
    </row>
    <row r="109" spans="1:17" x14ac:dyDescent="0.25">
      <c r="A109" s="147">
        <v>52</v>
      </c>
      <c r="B109" s="255" t="s">
        <v>54</v>
      </c>
      <c r="C109" s="155" t="s">
        <v>62</v>
      </c>
      <c r="D109" s="139"/>
      <c r="E109" s="155" t="s">
        <v>338</v>
      </c>
      <c r="F109" s="255" t="s">
        <v>391</v>
      </c>
      <c r="G109" s="255" t="s">
        <v>326</v>
      </c>
      <c r="H109" s="258">
        <v>0</v>
      </c>
      <c r="I109" s="258">
        <v>0</v>
      </c>
      <c r="J109" s="139">
        <v>0</v>
      </c>
      <c r="K109" s="273">
        <v>0</v>
      </c>
      <c r="L109" s="146">
        <v>0</v>
      </c>
      <c r="M109" s="146">
        <f>K109-L109</f>
        <v>0</v>
      </c>
      <c r="N109" s="257">
        <v>0</v>
      </c>
      <c r="O109" s="142">
        <v>0</v>
      </c>
      <c r="P109" s="143">
        <v>0</v>
      </c>
      <c r="Q109" s="150">
        <f>O109-P109</f>
        <v>0</v>
      </c>
    </row>
    <row r="110" spans="1:17" ht="39" x14ac:dyDescent="0.25">
      <c r="A110" s="148">
        <v>53</v>
      </c>
      <c r="B110" s="255" t="s">
        <v>131</v>
      </c>
      <c r="C110" s="155" t="s">
        <v>64</v>
      </c>
      <c r="D110" s="261" t="s">
        <v>392</v>
      </c>
      <c r="E110" s="155" t="s">
        <v>158</v>
      </c>
      <c r="F110" s="256" t="s">
        <v>393</v>
      </c>
      <c r="G110" s="255" t="s">
        <v>326</v>
      </c>
      <c r="H110" s="258">
        <v>0</v>
      </c>
      <c r="I110" s="258">
        <v>0</v>
      </c>
      <c r="J110" s="145">
        <v>0</v>
      </c>
      <c r="K110" s="274">
        <v>0</v>
      </c>
      <c r="L110" s="150">
        <v>0</v>
      </c>
      <c r="M110" s="150">
        <f>K110-L110</f>
        <v>0</v>
      </c>
      <c r="N110" s="256">
        <v>0</v>
      </c>
      <c r="O110" s="150">
        <v>0</v>
      </c>
      <c r="P110" s="150">
        <v>0</v>
      </c>
      <c r="Q110" s="150">
        <f>O110-P110</f>
        <v>0</v>
      </c>
    </row>
    <row r="111" spans="1:17" ht="25.5" x14ac:dyDescent="0.25">
      <c r="A111" s="63">
        <v>1</v>
      </c>
      <c r="B111" s="100" t="s">
        <v>21</v>
      </c>
      <c r="C111" s="100" t="s">
        <v>62</v>
      </c>
      <c r="D111" s="100"/>
      <c r="E111" s="100" t="s">
        <v>157</v>
      </c>
      <c r="F111" s="100" t="s">
        <v>523</v>
      </c>
      <c r="G111" s="100" t="s">
        <v>524</v>
      </c>
      <c r="H111" s="234">
        <v>1</v>
      </c>
      <c r="I111" s="234">
        <v>0</v>
      </c>
      <c r="J111" s="234">
        <v>0</v>
      </c>
      <c r="K111" s="215">
        <v>0</v>
      </c>
      <c r="L111" s="215">
        <v>0</v>
      </c>
      <c r="M111" s="215">
        <v>0</v>
      </c>
      <c r="N111" s="234">
        <v>2</v>
      </c>
      <c r="O111" s="215">
        <v>1233.4000000000001</v>
      </c>
      <c r="P111" s="215">
        <v>1233.4000000000001</v>
      </c>
      <c r="Q111" s="215">
        <v>0</v>
      </c>
    </row>
    <row r="112" spans="1:17" ht="25.5" x14ac:dyDescent="0.25">
      <c r="A112" s="63">
        <v>2</v>
      </c>
      <c r="B112" s="100" t="s">
        <v>147</v>
      </c>
      <c r="C112" s="100" t="s">
        <v>62</v>
      </c>
      <c r="D112" s="100"/>
      <c r="E112" s="100" t="s">
        <v>158</v>
      </c>
      <c r="F112" s="100" t="s">
        <v>525</v>
      </c>
      <c r="G112" s="100" t="s">
        <v>524</v>
      </c>
      <c r="H112" s="234">
        <v>1</v>
      </c>
      <c r="I112" s="234">
        <v>1</v>
      </c>
      <c r="J112" s="234">
        <v>1</v>
      </c>
      <c r="K112" s="215">
        <v>1762</v>
      </c>
      <c r="L112" s="215">
        <v>1762</v>
      </c>
      <c r="M112" s="215">
        <v>0</v>
      </c>
      <c r="N112" s="234">
        <v>2</v>
      </c>
      <c r="O112" s="215">
        <v>10751.3</v>
      </c>
      <c r="P112" s="215">
        <v>10751.3</v>
      </c>
      <c r="Q112" s="215">
        <v>0</v>
      </c>
    </row>
    <row r="113" spans="1:1025" ht="25.5" x14ac:dyDescent="0.25">
      <c r="A113" s="63">
        <v>3</v>
      </c>
      <c r="B113" s="232" t="s">
        <v>526</v>
      </c>
      <c r="C113" s="100" t="s">
        <v>62</v>
      </c>
      <c r="D113" s="100"/>
      <c r="E113" s="100" t="s">
        <v>527</v>
      </c>
      <c r="F113" s="100" t="s">
        <v>528</v>
      </c>
      <c r="G113" s="100" t="s">
        <v>524</v>
      </c>
      <c r="H113" s="234">
        <v>0</v>
      </c>
      <c r="I113" s="234">
        <v>0</v>
      </c>
      <c r="J113" s="234">
        <v>0</v>
      </c>
      <c r="K113" s="215">
        <v>0</v>
      </c>
      <c r="L113" s="215">
        <v>0</v>
      </c>
      <c r="M113" s="215">
        <v>0</v>
      </c>
      <c r="N113" s="234">
        <v>0</v>
      </c>
      <c r="O113" s="218">
        <v>0</v>
      </c>
      <c r="P113" s="215">
        <v>0</v>
      </c>
      <c r="Q113" s="215">
        <v>0</v>
      </c>
    </row>
    <row r="114" spans="1:1025" ht="25.5" x14ac:dyDescent="0.25">
      <c r="A114" s="63">
        <v>4</v>
      </c>
      <c r="B114" s="100" t="s">
        <v>305</v>
      </c>
      <c r="C114" s="100" t="s">
        <v>62</v>
      </c>
      <c r="D114" s="100"/>
      <c r="E114" s="100" t="s">
        <v>157</v>
      </c>
      <c r="F114" s="100" t="s">
        <v>531</v>
      </c>
      <c r="G114" s="100" t="s">
        <v>524</v>
      </c>
      <c r="H114" s="234">
        <v>4</v>
      </c>
      <c r="I114" s="234">
        <v>4</v>
      </c>
      <c r="J114" s="234">
        <v>4</v>
      </c>
      <c r="K114" s="215">
        <v>10545.1</v>
      </c>
      <c r="L114" s="215">
        <v>4107.8999999999996</v>
      </c>
      <c r="M114" s="215">
        <v>6437.2</v>
      </c>
      <c r="N114" s="234">
        <v>0</v>
      </c>
      <c r="O114" s="215">
        <v>0</v>
      </c>
      <c r="P114" s="215">
        <v>0</v>
      </c>
      <c r="Q114" s="215">
        <v>0</v>
      </c>
    </row>
    <row r="115" spans="1:1025" ht="25.5" x14ac:dyDescent="0.25">
      <c r="A115" s="63">
        <v>5</v>
      </c>
      <c r="B115" s="100" t="s">
        <v>407</v>
      </c>
      <c r="C115" s="100" t="s">
        <v>62</v>
      </c>
      <c r="D115" s="100"/>
      <c r="E115" s="100" t="s">
        <v>157</v>
      </c>
      <c r="F115" s="100" t="s">
        <v>532</v>
      </c>
      <c r="G115" s="100" t="s">
        <v>524</v>
      </c>
      <c r="H115" s="234">
        <v>4</v>
      </c>
      <c r="I115" s="234">
        <v>1</v>
      </c>
      <c r="J115" s="234">
        <v>1</v>
      </c>
      <c r="K115" s="215">
        <v>3866.1</v>
      </c>
      <c r="L115" s="215">
        <v>0</v>
      </c>
      <c r="M115" s="215">
        <v>3866.1</v>
      </c>
      <c r="N115" s="234">
        <v>0</v>
      </c>
      <c r="O115" s="215">
        <v>0</v>
      </c>
      <c r="P115" s="215">
        <v>0</v>
      </c>
      <c r="Q115" s="215">
        <v>0</v>
      </c>
    </row>
    <row r="116" spans="1:1025" ht="25.5" x14ac:dyDescent="0.25">
      <c r="A116" s="63">
        <v>6</v>
      </c>
      <c r="B116" s="100" t="s">
        <v>185</v>
      </c>
      <c r="C116" s="100" t="s">
        <v>62</v>
      </c>
      <c r="D116" s="100"/>
      <c r="E116" s="100" t="s">
        <v>157</v>
      </c>
      <c r="F116" s="100" t="s">
        <v>533</v>
      </c>
      <c r="G116" s="100" t="s">
        <v>524</v>
      </c>
      <c r="H116" s="234">
        <v>4</v>
      </c>
      <c r="I116" s="234">
        <v>3</v>
      </c>
      <c r="J116" s="234">
        <v>3</v>
      </c>
      <c r="K116" s="215">
        <v>12249.46</v>
      </c>
      <c r="L116" s="215">
        <v>8615.4</v>
      </c>
      <c r="M116" s="215">
        <v>3634.06</v>
      </c>
      <c r="N116" s="234">
        <v>0</v>
      </c>
      <c r="O116" s="215">
        <v>0</v>
      </c>
      <c r="P116" s="215">
        <v>0</v>
      </c>
      <c r="Q116" s="215">
        <v>0</v>
      </c>
    </row>
    <row r="117" spans="1:1025" ht="25.5" x14ac:dyDescent="0.25">
      <c r="A117" s="63">
        <v>7</v>
      </c>
      <c r="B117" s="100" t="s">
        <v>534</v>
      </c>
      <c r="C117" s="100" t="s">
        <v>62</v>
      </c>
      <c r="D117" s="100"/>
      <c r="E117" s="100" t="s">
        <v>157</v>
      </c>
      <c r="F117" s="100" t="s">
        <v>535</v>
      </c>
      <c r="G117" s="100" t="s">
        <v>524</v>
      </c>
      <c r="H117" s="234">
        <v>1</v>
      </c>
      <c r="I117" s="234">
        <v>0</v>
      </c>
      <c r="J117" s="234">
        <v>0</v>
      </c>
      <c r="K117" s="215">
        <v>0</v>
      </c>
      <c r="L117" s="215">
        <v>0</v>
      </c>
      <c r="M117" s="215">
        <v>0</v>
      </c>
      <c r="N117" s="234">
        <v>0</v>
      </c>
      <c r="O117" s="215">
        <v>0</v>
      </c>
      <c r="P117" s="215">
        <v>0</v>
      </c>
      <c r="Q117" s="215">
        <v>0</v>
      </c>
    </row>
    <row r="118" spans="1:1025" ht="25.5" x14ac:dyDescent="0.25">
      <c r="A118" s="63">
        <v>8</v>
      </c>
      <c r="B118" s="100" t="s">
        <v>104</v>
      </c>
      <c r="C118" s="100" t="s">
        <v>62</v>
      </c>
      <c r="D118" s="100"/>
      <c r="E118" s="100" t="s">
        <v>158</v>
      </c>
      <c r="F118" s="233" t="s">
        <v>536</v>
      </c>
      <c r="G118" s="100" t="s">
        <v>524</v>
      </c>
      <c r="H118" s="234">
        <v>0</v>
      </c>
      <c r="I118" s="234">
        <v>0</v>
      </c>
      <c r="J118" s="234">
        <v>0</v>
      </c>
      <c r="K118" s="215">
        <v>0</v>
      </c>
      <c r="L118" s="215">
        <v>0</v>
      </c>
      <c r="M118" s="215">
        <v>0</v>
      </c>
      <c r="N118" s="234">
        <v>1</v>
      </c>
      <c r="O118" s="215">
        <v>3187.89</v>
      </c>
      <c r="P118" s="215">
        <v>0</v>
      </c>
      <c r="Q118" s="215">
        <v>3187.89</v>
      </c>
    </row>
    <row r="119" spans="1:1025" ht="25.5" x14ac:dyDescent="0.25">
      <c r="A119" s="63">
        <v>9</v>
      </c>
      <c r="B119" s="100" t="s">
        <v>30</v>
      </c>
      <c r="C119" s="100" t="s">
        <v>62</v>
      </c>
      <c r="D119" s="100"/>
      <c r="E119" s="100" t="s">
        <v>537</v>
      </c>
      <c r="F119" s="100" t="s">
        <v>592</v>
      </c>
      <c r="G119" s="100" t="s">
        <v>524</v>
      </c>
      <c r="H119" s="234">
        <v>0</v>
      </c>
      <c r="I119" s="234">
        <v>0</v>
      </c>
      <c r="J119" s="234">
        <v>0</v>
      </c>
      <c r="K119" s="215">
        <v>0</v>
      </c>
      <c r="L119" s="215">
        <v>0</v>
      </c>
      <c r="M119" s="215">
        <v>0</v>
      </c>
      <c r="N119" s="234">
        <v>0</v>
      </c>
      <c r="O119" s="215">
        <v>0</v>
      </c>
      <c r="P119" s="215">
        <v>0</v>
      </c>
      <c r="Q119" s="215">
        <v>0</v>
      </c>
    </row>
    <row r="120" spans="1:1025" ht="25.5" x14ac:dyDescent="0.25">
      <c r="A120" s="63">
        <v>10</v>
      </c>
      <c r="B120" s="100" t="s">
        <v>621</v>
      </c>
      <c r="C120" s="100" t="s">
        <v>62</v>
      </c>
      <c r="D120" s="100"/>
      <c r="E120" s="100" t="s">
        <v>158</v>
      </c>
      <c r="F120" s="100" t="s">
        <v>645</v>
      </c>
      <c r="G120" s="100" t="s">
        <v>524</v>
      </c>
      <c r="H120" s="234">
        <v>0</v>
      </c>
      <c r="I120" s="234">
        <v>0</v>
      </c>
      <c r="J120" s="234">
        <v>0</v>
      </c>
      <c r="K120" s="215">
        <v>0</v>
      </c>
      <c r="L120" s="215">
        <v>0</v>
      </c>
      <c r="M120" s="215">
        <v>0</v>
      </c>
      <c r="N120" s="234">
        <v>0</v>
      </c>
      <c r="O120" s="215">
        <v>0</v>
      </c>
      <c r="P120" s="215">
        <v>0</v>
      </c>
      <c r="Q120" s="215">
        <v>0</v>
      </c>
    </row>
    <row r="121" spans="1:1025" s="297" customFormat="1" ht="30" customHeight="1" x14ac:dyDescent="0.25">
      <c r="A121" s="254">
        <v>1</v>
      </c>
      <c r="B121" s="255" t="s">
        <v>47</v>
      </c>
      <c r="C121" s="255" t="s">
        <v>62</v>
      </c>
      <c r="D121" s="254"/>
      <c r="E121" s="255" t="s">
        <v>141</v>
      </c>
      <c r="F121" s="254" t="s">
        <v>448</v>
      </c>
      <c r="G121" s="255" t="s">
        <v>142</v>
      </c>
      <c r="H121" s="258">
        <v>7</v>
      </c>
      <c r="I121" s="258">
        <v>1</v>
      </c>
      <c r="J121" s="258">
        <v>1</v>
      </c>
      <c r="K121" s="378">
        <v>1233.4000000000001</v>
      </c>
      <c r="L121" s="378">
        <v>1233.4000000000001</v>
      </c>
      <c r="M121" s="378">
        <v>0</v>
      </c>
      <c r="N121" s="258">
        <v>22</v>
      </c>
      <c r="O121" s="378">
        <v>37867.42</v>
      </c>
      <c r="P121" s="378">
        <v>37867.42</v>
      </c>
      <c r="Q121" s="378">
        <v>0</v>
      </c>
      <c r="AMK121" s="379"/>
    </row>
    <row r="122" spans="1:1025" s="297" customFormat="1" ht="30" customHeight="1" x14ac:dyDescent="0.25">
      <c r="A122" s="254">
        <f>A121+1</f>
        <v>2</v>
      </c>
      <c r="B122" s="255" t="s">
        <v>55</v>
      </c>
      <c r="C122" s="255" t="s">
        <v>62</v>
      </c>
      <c r="D122" s="254"/>
      <c r="E122" s="255" t="s">
        <v>141</v>
      </c>
      <c r="F122" s="254" t="s">
        <v>449</v>
      </c>
      <c r="G122" s="255" t="s">
        <v>142</v>
      </c>
      <c r="H122" s="258">
        <v>8</v>
      </c>
      <c r="I122" s="258">
        <v>4</v>
      </c>
      <c r="J122" s="258">
        <v>4</v>
      </c>
      <c r="K122" s="378">
        <v>4284.1000000000004</v>
      </c>
      <c r="L122" s="378">
        <v>4284.1000000000004</v>
      </c>
      <c r="M122" s="378">
        <v>0</v>
      </c>
      <c r="N122" s="258">
        <v>14</v>
      </c>
      <c r="O122" s="378">
        <v>29300.9</v>
      </c>
      <c r="P122" s="378">
        <v>29300.9</v>
      </c>
      <c r="Q122" s="378">
        <v>0</v>
      </c>
      <c r="AMK122" s="379"/>
    </row>
    <row r="123" spans="1:1025" s="297" customFormat="1" ht="30" customHeight="1" x14ac:dyDescent="0.25">
      <c r="A123" s="254">
        <f>A122+1</f>
        <v>3</v>
      </c>
      <c r="B123" s="255" t="s">
        <v>122</v>
      </c>
      <c r="C123" s="255" t="s">
        <v>62</v>
      </c>
      <c r="D123" s="254"/>
      <c r="E123" s="255" t="s">
        <v>143</v>
      </c>
      <c r="F123" s="254" t="s">
        <v>450</v>
      </c>
      <c r="G123" s="255" t="s">
        <v>142</v>
      </c>
      <c r="H123" s="258">
        <v>5</v>
      </c>
      <c r="I123" s="258">
        <v>2</v>
      </c>
      <c r="J123" s="258">
        <v>2</v>
      </c>
      <c r="K123" s="378">
        <v>2301.25</v>
      </c>
      <c r="L123" s="378">
        <v>1012.55</v>
      </c>
      <c r="M123" s="378">
        <v>1288.7</v>
      </c>
      <c r="N123" s="258">
        <v>6</v>
      </c>
      <c r="O123" s="378">
        <v>13201.89</v>
      </c>
      <c r="P123" s="378">
        <v>13201.89</v>
      </c>
      <c r="Q123" s="378">
        <v>0</v>
      </c>
      <c r="AMK123" s="379"/>
    </row>
    <row r="124" spans="1:1025" s="297" customFormat="1" ht="30" customHeight="1" x14ac:dyDescent="0.25">
      <c r="A124" s="254">
        <f>A123+1</f>
        <v>4</v>
      </c>
      <c r="B124" s="255" t="s">
        <v>144</v>
      </c>
      <c r="C124" s="255" t="s">
        <v>62</v>
      </c>
      <c r="D124" s="254"/>
      <c r="E124" s="255" t="s">
        <v>141</v>
      </c>
      <c r="F124" s="254" t="s">
        <v>451</v>
      </c>
      <c r="G124" s="255" t="s">
        <v>142</v>
      </c>
      <c r="H124" s="258">
        <v>7</v>
      </c>
      <c r="I124" s="258">
        <v>7</v>
      </c>
      <c r="J124" s="258">
        <v>7</v>
      </c>
      <c r="K124" s="378">
        <v>8121.62</v>
      </c>
      <c r="L124" s="378">
        <v>8121.62</v>
      </c>
      <c r="M124" s="378">
        <v>0</v>
      </c>
      <c r="N124" s="258">
        <v>3</v>
      </c>
      <c r="O124" s="378">
        <v>3595.1</v>
      </c>
      <c r="P124" s="378">
        <v>3595.1</v>
      </c>
      <c r="Q124" s="378">
        <v>0</v>
      </c>
      <c r="AMK124" s="379"/>
    </row>
    <row r="125" spans="1:1025" s="381" customFormat="1" ht="30" customHeight="1" x14ac:dyDescent="0.25">
      <c r="A125" s="254">
        <f>A124+1</f>
        <v>5</v>
      </c>
      <c r="B125" s="255" t="s">
        <v>46</v>
      </c>
      <c r="C125" s="255" t="s">
        <v>62</v>
      </c>
      <c r="D125" s="254"/>
      <c r="E125" s="255" t="s">
        <v>452</v>
      </c>
      <c r="F125" s="254" t="s">
        <v>453</v>
      </c>
      <c r="G125" s="255" t="s">
        <v>142</v>
      </c>
      <c r="H125" s="258">
        <v>0</v>
      </c>
      <c r="I125" s="258">
        <v>0</v>
      </c>
      <c r="J125" s="258">
        <v>0</v>
      </c>
      <c r="K125" s="378">
        <v>0</v>
      </c>
      <c r="L125" s="378">
        <v>0</v>
      </c>
      <c r="M125" s="378">
        <v>0</v>
      </c>
      <c r="N125" s="258">
        <v>0</v>
      </c>
      <c r="O125" s="378">
        <v>0</v>
      </c>
      <c r="P125" s="378">
        <v>0</v>
      </c>
      <c r="Q125" s="378">
        <v>0</v>
      </c>
      <c r="R125" s="380"/>
      <c r="S125" s="380"/>
      <c r="T125" s="380"/>
      <c r="U125" s="380"/>
      <c r="V125" s="380"/>
      <c r="W125" s="380"/>
      <c r="X125" s="380"/>
      <c r="Y125" s="380"/>
      <c r="Z125" s="380"/>
      <c r="AA125" s="380"/>
      <c r="AB125" s="380"/>
      <c r="AC125" s="380"/>
      <c r="AD125" s="380"/>
      <c r="AE125" s="380"/>
      <c r="AF125" s="380"/>
      <c r="AG125" s="380"/>
      <c r="AH125" s="380"/>
      <c r="AI125" s="380"/>
      <c r="AJ125" s="380"/>
      <c r="AK125" s="380"/>
      <c r="AL125" s="380"/>
      <c r="AM125" s="380"/>
      <c r="AN125" s="380"/>
      <c r="AO125" s="380"/>
      <c r="AP125" s="380"/>
      <c r="AQ125" s="380"/>
      <c r="AR125" s="380"/>
      <c r="AS125" s="380"/>
      <c r="AT125" s="380"/>
      <c r="AU125" s="380"/>
      <c r="AV125" s="380"/>
      <c r="AW125" s="380"/>
      <c r="AX125" s="380"/>
      <c r="AY125" s="380"/>
      <c r="AZ125" s="380"/>
      <c r="BA125" s="380"/>
      <c r="BB125" s="380"/>
      <c r="BC125" s="380"/>
      <c r="BD125" s="380"/>
      <c r="BE125" s="380"/>
      <c r="BF125" s="380"/>
      <c r="BG125" s="380"/>
      <c r="BH125" s="380"/>
      <c r="BI125" s="380"/>
      <c r="BJ125" s="380"/>
      <c r="BK125" s="380"/>
      <c r="BL125" s="380"/>
      <c r="BM125" s="380"/>
      <c r="BN125" s="380"/>
      <c r="BO125" s="380"/>
    </row>
    <row r="126" spans="1:1025" s="297" customFormat="1" ht="30" customHeight="1" x14ac:dyDescent="0.25">
      <c r="A126" s="254">
        <v>6</v>
      </c>
      <c r="B126" s="255" t="s">
        <v>133</v>
      </c>
      <c r="C126" s="255" t="s">
        <v>67</v>
      </c>
      <c r="D126" s="255" t="s">
        <v>397</v>
      </c>
      <c r="E126" s="255" t="s">
        <v>74</v>
      </c>
      <c r="F126" s="254" t="s">
        <v>593</v>
      </c>
      <c r="G126" s="255" t="s">
        <v>142</v>
      </c>
      <c r="H126" s="258">
        <v>0</v>
      </c>
      <c r="I126" s="382">
        <v>0</v>
      </c>
      <c r="J126" s="382">
        <v>0</v>
      </c>
      <c r="K126" s="383">
        <v>0</v>
      </c>
      <c r="L126" s="383">
        <v>0</v>
      </c>
      <c r="M126" s="383">
        <v>0</v>
      </c>
      <c r="N126" s="258">
        <v>0</v>
      </c>
      <c r="O126" s="378">
        <v>0</v>
      </c>
      <c r="P126" s="378">
        <v>0</v>
      </c>
      <c r="Q126" s="378">
        <v>0</v>
      </c>
      <c r="R126" s="380"/>
      <c r="S126" s="380"/>
      <c r="T126" s="380"/>
      <c r="U126" s="380"/>
      <c r="V126" s="380"/>
      <c r="W126" s="380"/>
      <c r="X126" s="380"/>
      <c r="Y126" s="380"/>
      <c r="Z126" s="380"/>
      <c r="AA126" s="380"/>
      <c r="AB126" s="380"/>
      <c r="AC126" s="380"/>
      <c r="AD126" s="380"/>
      <c r="AE126" s="380"/>
      <c r="AF126" s="380"/>
      <c r="AG126" s="380"/>
      <c r="AH126" s="380"/>
      <c r="AI126" s="380"/>
      <c r="AJ126" s="380"/>
      <c r="AK126" s="380"/>
      <c r="AL126" s="380"/>
      <c r="AM126" s="380"/>
      <c r="AN126" s="380"/>
      <c r="AO126" s="380"/>
      <c r="AP126" s="380"/>
      <c r="AQ126" s="380"/>
      <c r="AR126" s="380"/>
      <c r="AS126" s="380"/>
      <c r="AT126" s="380"/>
      <c r="AU126" s="380"/>
      <c r="AV126" s="380"/>
      <c r="AW126" s="380"/>
      <c r="AX126" s="380"/>
      <c r="AY126" s="380"/>
      <c r="AZ126" s="380"/>
      <c r="BA126" s="380"/>
      <c r="BB126" s="380"/>
      <c r="BC126" s="380"/>
      <c r="BD126" s="380"/>
      <c r="BE126" s="380"/>
      <c r="BF126" s="380"/>
      <c r="BG126" s="380"/>
      <c r="BH126" s="380"/>
      <c r="BI126" s="380"/>
      <c r="BJ126" s="380"/>
      <c r="BK126" s="380"/>
      <c r="BL126" s="380"/>
      <c r="BM126" s="380"/>
      <c r="BN126" s="380"/>
      <c r="BO126" s="380"/>
      <c r="BP126" s="379"/>
      <c r="BQ126" s="379"/>
      <c r="BR126" s="379"/>
      <c r="BS126" s="379"/>
      <c r="BT126" s="379"/>
      <c r="BU126" s="379"/>
      <c r="BV126" s="379"/>
      <c r="BW126" s="379"/>
      <c r="BX126" s="379"/>
      <c r="BY126" s="379"/>
      <c r="BZ126" s="379"/>
      <c r="CA126" s="379"/>
      <c r="CB126" s="379"/>
      <c r="CC126" s="379"/>
      <c r="CD126" s="379"/>
      <c r="CE126" s="379"/>
      <c r="CF126" s="379"/>
      <c r="CG126" s="379"/>
      <c r="CH126" s="379"/>
      <c r="CI126" s="379"/>
      <c r="CJ126" s="379"/>
      <c r="CK126" s="379"/>
      <c r="CL126" s="379"/>
      <c r="CM126" s="379"/>
      <c r="CN126" s="379"/>
      <c r="CO126" s="379"/>
      <c r="CP126" s="379"/>
      <c r="CQ126" s="379"/>
      <c r="CR126" s="379"/>
      <c r="CS126" s="379"/>
      <c r="CT126" s="379"/>
      <c r="CU126" s="379"/>
      <c r="CV126" s="379"/>
      <c r="CW126" s="379"/>
      <c r="CX126" s="379"/>
      <c r="CY126" s="379"/>
      <c r="CZ126" s="379"/>
      <c r="DA126" s="379"/>
      <c r="DB126" s="379"/>
      <c r="DC126" s="379"/>
      <c r="DD126" s="379"/>
      <c r="DE126" s="379"/>
      <c r="DF126" s="379"/>
      <c r="DG126" s="379"/>
      <c r="DH126" s="379"/>
      <c r="DI126" s="379"/>
      <c r="DJ126" s="379"/>
      <c r="DK126" s="379"/>
      <c r="DL126" s="379"/>
      <c r="DM126" s="379"/>
      <c r="DN126" s="379"/>
      <c r="DO126" s="379"/>
      <c r="DP126" s="379"/>
      <c r="DQ126" s="379"/>
      <c r="DR126" s="379"/>
      <c r="DS126" s="379"/>
      <c r="DT126" s="379"/>
      <c r="DU126" s="379"/>
      <c r="DV126" s="379"/>
      <c r="DW126" s="379"/>
      <c r="DX126" s="379"/>
      <c r="DY126" s="379"/>
      <c r="DZ126" s="379"/>
      <c r="EA126" s="379"/>
      <c r="EB126" s="379"/>
      <c r="EC126" s="379"/>
      <c r="ED126" s="379"/>
      <c r="EE126" s="379"/>
      <c r="EF126" s="379"/>
      <c r="EG126" s="379"/>
      <c r="EH126" s="379"/>
      <c r="EI126" s="379"/>
      <c r="EJ126" s="379"/>
      <c r="EK126" s="379"/>
      <c r="EL126" s="379"/>
      <c r="EM126" s="379"/>
      <c r="EN126" s="379"/>
      <c r="EO126" s="379"/>
      <c r="EP126" s="379"/>
      <c r="EQ126" s="379"/>
      <c r="ER126" s="379"/>
      <c r="ES126" s="379"/>
      <c r="ET126" s="379"/>
      <c r="EU126" s="379"/>
      <c r="EV126" s="379"/>
      <c r="EW126" s="379"/>
      <c r="EX126" s="379"/>
      <c r="EY126" s="379"/>
      <c r="EZ126" s="379"/>
      <c r="FA126" s="379"/>
      <c r="FB126" s="379"/>
      <c r="FC126" s="379"/>
      <c r="FD126" s="379"/>
      <c r="FE126" s="379"/>
      <c r="FF126" s="379"/>
      <c r="FG126" s="379"/>
      <c r="FH126" s="379"/>
      <c r="FI126" s="379"/>
      <c r="FJ126" s="379"/>
      <c r="FK126" s="379"/>
      <c r="FL126" s="379"/>
      <c r="FM126" s="379"/>
      <c r="FN126" s="379"/>
      <c r="FO126" s="379"/>
      <c r="FP126" s="379"/>
      <c r="FQ126" s="379"/>
      <c r="FR126" s="379"/>
      <c r="FS126" s="379"/>
      <c r="FT126" s="379"/>
      <c r="FU126" s="379"/>
      <c r="FV126" s="379"/>
      <c r="FW126" s="379"/>
      <c r="FX126" s="379"/>
      <c r="FY126" s="379"/>
      <c r="FZ126" s="379"/>
      <c r="GA126" s="379"/>
      <c r="GB126" s="379"/>
      <c r="GC126" s="379"/>
      <c r="GD126" s="379"/>
      <c r="GE126" s="379"/>
      <c r="GF126" s="379"/>
      <c r="GG126" s="379"/>
      <c r="GH126" s="379"/>
      <c r="GI126" s="379"/>
      <c r="GJ126" s="379"/>
      <c r="GK126" s="379"/>
      <c r="GL126" s="379"/>
      <c r="GM126" s="379"/>
      <c r="GN126" s="379"/>
      <c r="GO126" s="379"/>
      <c r="GP126" s="379"/>
      <c r="GQ126" s="379"/>
      <c r="GR126" s="379"/>
      <c r="GS126" s="379"/>
      <c r="GT126" s="379"/>
      <c r="GU126" s="379"/>
      <c r="GV126" s="379"/>
      <c r="GW126" s="379"/>
      <c r="GX126" s="379"/>
      <c r="GY126" s="379"/>
      <c r="GZ126" s="379"/>
      <c r="HA126" s="379"/>
      <c r="HB126" s="379"/>
      <c r="HC126" s="379"/>
      <c r="HD126" s="379"/>
      <c r="HE126" s="379"/>
      <c r="HF126" s="379"/>
      <c r="HG126" s="379"/>
      <c r="HH126" s="379"/>
      <c r="HI126" s="379"/>
      <c r="HJ126" s="379"/>
      <c r="HK126" s="379"/>
      <c r="HL126" s="379"/>
      <c r="HM126" s="379"/>
      <c r="HN126" s="379"/>
      <c r="HO126" s="379"/>
      <c r="HP126" s="379"/>
      <c r="HQ126" s="379"/>
      <c r="HR126" s="379"/>
      <c r="HS126" s="379"/>
      <c r="HT126" s="379"/>
      <c r="HU126" s="379"/>
      <c r="HV126" s="379"/>
      <c r="HW126" s="379"/>
      <c r="HX126" s="379"/>
      <c r="HY126" s="379"/>
      <c r="HZ126" s="379"/>
      <c r="IA126" s="379"/>
      <c r="IB126" s="379"/>
      <c r="IC126" s="379"/>
      <c r="ID126" s="379"/>
      <c r="IE126" s="379"/>
      <c r="IF126" s="379"/>
      <c r="IG126" s="379"/>
      <c r="IH126" s="379"/>
      <c r="II126" s="379"/>
      <c r="IJ126" s="379"/>
      <c r="IK126" s="379"/>
      <c r="IL126" s="379"/>
      <c r="IM126" s="379"/>
      <c r="IN126" s="379"/>
      <c r="IO126" s="379"/>
      <c r="IP126" s="379"/>
      <c r="IQ126" s="379"/>
      <c r="IR126" s="379"/>
      <c r="IS126" s="379"/>
      <c r="IT126" s="379"/>
      <c r="IU126" s="379"/>
      <c r="IV126" s="379"/>
      <c r="IW126" s="379"/>
      <c r="IX126" s="379"/>
      <c r="IY126" s="379"/>
      <c r="IZ126" s="379"/>
      <c r="JA126" s="379"/>
      <c r="JB126" s="379"/>
      <c r="JC126" s="379"/>
      <c r="JD126" s="379"/>
      <c r="JE126" s="379"/>
      <c r="JF126" s="379"/>
      <c r="JG126" s="379"/>
      <c r="JH126" s="379"/>
      <c r="JI126" s="379"/>
      <c r="JJ126" s="379"/>
      <c r="JK126" s="379"/>
      <c r="JL126" s="379"/>
      <c r="JM126" s="379"/>
      <c r="JN126" s="379"/>
      <c r="JO126" s="379"/>
      <c r="JP126" s="379"/>
      <c r="JQ126" s="379"/>
      <c r="JR126" s="379"/>
      <c r="JS126" s="379"/>
      <c r="JT126" s="379"/>
      <c r="JU126" s="379"/>
      <c r="JV126" s="379"/>
      <c r="JW126" s="379"/>
      <c r="JX126" s="379"/>
      <c r="JY126" s="379"/>
      <c r="JZ126" s="379"/>
      <c r="KA126" s="379"/>
      <c r="KB126" s="379"/>
      <c r="KC126" s="379"/>
      <c r="KD126" s="379"/>
      <c r="KE126" s="379"/>
      <c r="KF126" s="379"/>
      <c r="KG126" s="379"/>
      <c r="KH126" s="379"/>
      <c r="KI126" s="379"/>
      <c r="KJ126" s="379"/>
      <c r="KK126" s="379"/>
      <c r="KL126" s="379"/>
      <c r="KM126" s="379"/>
      <c r="KN126" s="379"/>
      <c r="KO126" s="379"/>
      <c r="KP126" s="379"/>
      <c r="KQ126" s="379"/>
      <c r="KR126" s="379"/>
      <c r="KS126" s="379"/>
      <c r="KT126" s="379"/>
      <c r="KU126" s="379"/>
      <c r="KV126" s="379"/>
      <c r="KW126" s="379"/>
      <c r="KX126" s="379"/>
      <c r="KY126" s="379"/>
      <c r="KZ126" s="379"/>
      <c r="LA126" s="379"/>
      <c r="LB126" s="379"/>
      <c r="LC126" s="379"/>
      <c r="LD126" s="379"/>
      <c r="LE126" s="379"/>
      <c r="LF126" s="379"/>
      <c r="LG126" s="379"/>
      <c r="LH126" s="379"/>
      <c r="LI126" s="379"/>
      <c r="LJ126" s="379"/>
      <c r="LK126" s="379"/>
      <c r="LL126" s="379"/>
      <c r="LM126" s="379"/>
      <c r="LN126" s="379"/>
      <c r="LO126" s="379"/>
      <c r="LP126" s="379"/>
      <c r="LQ126" s="379"/>
      <c r="LR126" s="379"/>
      <c r="LS126" s="379"/>
      <c r="LT126" s="379"/>
      <c r="LU126" s="379"/>
      <c r="LV126" s="379"/>
      <c r="LW126" s="379"/>
      <c r="LX126" s="379"/>
      <c r="LY126" s="379"/>
      <c r="LZ126" s="379"/>
      <c r="MA126" s="379"/>
      <c r="MB126" s="379"/>
      <c r="MC126" s="379"/>
      <c r="MD126" s="379"/>
      <c r="ME126" s="379"/>
      <c r="MF126" s="379"/>
      <c r="MG126" s="379"/>
      <c r="MH126" s="379"/>
      <c r="MI126" s="379"/>
      <c r="MJ126" s="379"/>
      <c r="MK126" s="379"/>
      <c r="ML126" s="379"/>
      <c r="MM126" s="379"/>
      <c r="MN126" s="379"/>
      <c r="MO126" s="379"/>
      <c r="MP126" s="379"/>
      <c r="MQ126" s="379"/>
      <c r="MR126" s="379"/>
      <c r="MS126" s="379"/>
      <c r="MT126" s="379"/>
      <c r="MU126" s="379"/>
      <c r="MV126" s="379"/>
      <c r="MW126" s="379"/>
      <c r="MX126" s="379"/>
      <c r="MY126" s="379"/>
      <c r="MZ126" s="379"/>
      <c r="NA126" s="379"/>
      <c r="NB126" s="379"/>
      <c r="NC126" s="379"/>
      <c r="ND126" s="379"/>
      <c r="NE126" s="379"/>
      <c r="NF126" s="379"/>
      <c r="NG126" s="379"/>
      <c r="NH126" s="379"/>
      <c r="NI126" s="379"/>
      <c r="NJ126" s="379"/>
      <c r="NK126" s="379"/>
      <c r="NL126" s="379"/>
      <c r="NM126" s="379"/>
      <c r="NN126" s="379"/>
      <c r="NO126" s="379"/>
      <c r="NP126" s="379"/>
      <c r="NQ126" s="379"/>
      <c r="NR126" s="379"/>
      <c r="NS126" s="379"/>
      <c r="NT126" s="379"/>
      <c r="NU126" s="379"/>
      <c r="NV126" s="379"/>
      <c r="NW126" s="379"/>
      <c r="NX126" s="379"/>
      <c r="NY126" s="379"/>
      <c r="NZ126" s="379"/>
      <c r="OA126" s="379"/>
      <c r="OB126" s="379"/>
      <c r="OC126" s="379"/>
      <c r="OD126" s="379"/>
      <c r="OE126" s="379"/>
      <c r="OF126" s="379"/>
      <c r="OG126" s="379"/>
      <c r="OH126" s="379"/>
      <c r="OI126" s="379"/>
      <c r="OJ126" s="379"/>
      <c r="OK126" s="379"/>
      <c r="OL126" s="379"/>
      <c r="OM126" s="379"/>
      <c r="ON126" s="379"/>
      <c r="OO126" s="379"/>
      <c r="OP126" s="379"/>
      <c r="OQ126" s="379"/>
      <c r="OR126" s="379"/>
      <c r="OS126" s="379"/>
      <c r="OT126" s="379"/>
      <c r="OU126" s="379"/>
      <c r="OV126" s="379"/>
      <c r="OW126" s="379"/>
      <c r="OX126" s="379"/>
      <c r="OY126" s="379"/>
      <c r="OZ126" s="379"/>
      <c r="PA126" s="379"/>
      <c r="PB126" s="379"/>
      <c r="PC126" s="379"/>
      <c r="PD126" s="379"/>
      <c r="PE126" s="379"/>
      <c r="PF126" s="379"/>
      <c r="PG126" s="379"/>
      <c r="PH126" s="379"/>
      <c r="PI126" s="379"/>
      <c r="PJ126" s="379"/>
      <c r="PK126" s="379"/>
      <c r="PL126" s="379"/>
      <c r="PM126" s="379"/>
      <c r="PN126" s="379"/>
      <c r="PO126" s="379"/>
      <c r="PP126" s="379"/>
      <c r="PQ126" s="379"/>
      <c r="PR126" s="379"/>
      <c r="PS126" s="379"/>
      <c r="PT126" s="379"/>
      <c r="PU126" s="379"/>
      <c r="PV126" s="379"/>
      <c r="PW126" s="379"/>
      <c r="PX126" s="379"/>
      <c r="PY126" s="379"/>
      <c r="PZ126" s="379"/>
      <c r="QA126" s="379"/>
      <c r="QB126" s="379"/>
      <c r="QC126" s="379"/>
      <c r="QD126" s="379"/>
      <c r="QE126" s="379"/>
      <c r="QF126" s="379"/>
      <c r="QG126" s="379"/>
      <c r="QH126" s="379"/>
      <c r="QI126" s="379"/>
      <c r="QJ126" s="379"/>
      <c r="QK126" s="379"/>
      <c r="QL126" s="379"/>
      <c r="QM126" s="379"/>
      <c r="QN126" s="379"/>
      <c r="QO126" s="379"/>
      <c r="QP126" s="379"/>
      <c r="QQ126" s="379"/>
      <c r="QR126" s="379"/>
      <c r="QS126" s="379"/>
      <c r="QT126" s="379"/>
      <c r="QU126" s="379"/>
      <c r="QV126" s="379"/>
      <c r="QW126" s="379"/>
      <c r="QX126" s="379"/>
      <c r="QY126" s="379"/>
      <c r="QZ126" s="379"/>
      <c r="RA126" s="379"/>
      <c r="RB126" s="379"/>
      <c r="RC126" s="379"/>
      <c r="RD126" s="379"/>
      <c r="RE126" s="379"/>
      <c r="RF126" s="379"/>
      <c r="RG126" s="379"/>
      <c r="RH126" s="379"/>
      <c r="RI126" s="379"/>
      <c r="RJ126" s="379"/>
      <c r="RK126" s="379"/>
      <c r="RL126" s="379"/>
      <c r="RM126" s="379"/>
      <c r="RN126" s="379"/>
      <c r="RO126" s="379"/>
      <c r="RP126" s="379"/>
      <c r="RQ126" s="379"/>
      <c r="RR126" s="379"/>
      <c r="RS126" s="379"/>
      <c r="RT126" s="379"/>
      <c r="RU126" s="379"/>
      <c r="RV126" s="379"/>
      <c r="RW126" s="379"/>
      <c r="RX126" s="379"/>
      <c r="RY126" s="379"/>
      <c r="RZ126" s="379"/>
      <c r="SA126" s="379"/>
      <c r="SB126" s="379"/>
      <c r="SC126" s="379"/>
      <c r="SD126" s="379"/>
      <c r="SE126" s="379"/>
      <c r="SF126" s="379"/>
      <c r="SG126" s="379"/>
      <c r="SH126" s="379"/>
      <c r="SI126" s="379"/>
      <c r="SJ126" s="379"/>
      <c r="SK126" s="379"/>
      <c r="SL126" s="379"/>
      <c r="SM126" s="379"/>
      <c r="SN126" s="379"/>
      <c r="SO126" s="379"/>
      <c r="SP126" s="379"/>
      <c r="SQ126" s="379"/>
      <c r="SR126" s="379"/>
      <c r="SS126" s="379"/>
      <c r="ST126" s="379"/>
      <c r="SU126" s="379"/>
      <c r="SV126" s="379"/>
      <c r="SW126" s="379"/>
      <c r="SX126" s="379"/>
      <c r="SY126" s="379"/>
      <c r="SZ126" s="379"/>
      <c r="TA126" s="379"/>
      <c r="TB126" s="379"/>
      <c r="TC126" s="379"/>
      <c r="TD126" s="379"/>
      <c r="TE126" s="379"/>
      <c r="TF126" s="379"/>
      <c r="TG126" s="379"/>
      <c r="TH126" s="379"/>
      <c r="TI126" s="379"/>
      <c r="TJ126" s="379"/>
      <c r="TK126" s="379"/>
      <c r="TL126" s="379"/>
      <c r="TM126" s="379"/>
      <c r="TN126" s="379"/>
      <c r="TO126" s="379"/>
      <c r="TP126" s="379"/>
      <c r="TQ126" s="379"/>
      <c r="TR126" s="379"/>
      <c r="TS126" s="379"/>
      <c r="TT126" s="379"/>
      <c r="TU126" s="379"/>
      <c r="TV126" s="379"/>
      <c r="TW126" s="379"/>
      <c r="TX126" s="379"/>
      <c r="TY126" s="379"/>
      <c r="TZ126" s="379"/>
      <c r="UA126" s="379"/>
      <c r="UB126" s="379"/>
      <c r="UC126" s="379"/>
      <c r="UD126" s="379"/>
      <c r="UE126" s="379"/>
      <c r="UF126" s="379"/>
      <c r="UG126" s="379"/>
      <c r="UH126" s="379"/>
      <c r="UI126" s="379"/>
      <c r="UJ126" s="379"/>
      <c r="UK126" s="379"/>
      <c r="UL126" s="379"/>
      <c r="UM126" s="379"/>
      <c r="UN126" s="379"/>
      <c r="UO126" s="379"/>
      <c r="UP126" s="379"/>
      <c r="UQ126" s="379"/>
      <c r="UR126" s="379"/>
      <c r="US126" s="379"/>
      <c r="UT126" s="379"/>
      <c r="UU126" s="379"/>
      <c r="UV126" s="379"/>
      <c r="UW126" s="379"/>
      <c r="UX126" s="379"/>
      <c r="UY126" s="379"/>
      <c r="UZ126" s="379"/>
      <c r="VA126" s="379"/>
      <c r="VB126" s="379"/>
      <c r="VC126" s="379"/>
      <c r="VD126" s="379"/>
      <c r="VE126" s="379"/>
      <c r="VF126" s="379"/>
      <c r="VG126" s="379"/>
      <c r="VH126" s="379"/>
      <c r="VI126" s="379"/>
      <c r="VJ126" s="379"/>
      <c r="VK126" s="379"/>
      <c r="VL126" s="379"/>
      <c r="VM126" s="379"/>
      <c r="VN126" s="379"/>
      <c r="VO126" s="379"/>
      <c r="VP126" s="379"/>
      <c r="VQ126" s="379"/>
      <c r="VR126" s="379"/>
      <c r="VS126" s="379"/>
      <c r="VT126" s="379"/>
      <c r="VU126" s="379"/>
      <c r="VV126" s="379"/>
      <c r="VW126" s="379"/>
      <c r="VX126" s="379"/>
      <c r="VY126" s="379"/>
      <c r="VZ126" s="379"/>
      <c r="WA126" s="379"/>
      <c r="WB126" s="379"/>
      <c r="WC126" s="379"/>
      <c r="WD126" s="379"/>
      <c r="WE126" s="379"/>
      <c r="WF126" s="379"/>
      <c r="WG126" s="379"/>
      <c r="WH126" s="379"/>
      <c r="WI126" s="379"/>
      <c r="WJ126" s="379"/>
      <c r="WK126" s="379"/>
      <c r="WL126" s="379"/>
      <c r="WM126" s="379"/>
      <c r="WN126" s="379"/>
      <c r="WO126" s="379"/>
      <c r="WP126" s="379"/>
      <c r="WQ126" s="379"/>
      <c r="WR126" s="379"/>
      <c r="WS126" s="379"/>
      <c r="WT126" s="379"/>
      <c r="WU126" s="379"/>
      <c r="WV126" s="379"/>
      <c r="WW126" s="379"/>
      <c r="WX126" s="379"/>
      <c r="WY126" s="379"/>
      <c r="WZ126" s="379"/>
      <c r="XA126" s="379"/>
      <c r="XB126" s="379"/>
      <c r="XC126" s="379"/>
      <c r="XD126" s="379"/>
      <c r="XE126" s="379"/>
      <c r="XF126" s="379"/>
      <c r="XG126" s="379"/>
      <c r="XH126" s="379"/>
      <c r="XI126" s="379"/>
      <c r="XJ126" s="379"/>
      <c r="XK126" s="379"/>
      <c r="XL126" s="379"/>
      <c r="XM126" s="379"/>
      <c r="XN126" s="379"/>
      <c r="XO126" s="379"/>
      <c r="XP126" s="379"/>
      <c r="XQ126" s="379"/>
      <c r="XR126" s="379"/>
      <c r="XS126" s="379"/>
      <c r="XT126" s="379"/>
      <c r="XU126" s="379"/>
      <c r="XV126" s="379"/>
      <c r="XW126" s="379"/>
      <c r="XX126" s="379"/>
      <c r="XY126" s="379"/>
      <c r="XZ126" s="379"/>
      <c r="YA126" s="379"/>
      <c r="YB126" s="379"/>
      <c r="YC126" s="379"/>
      <c r="YD126" s="379"/>
      <c r="YE126" s="379"/>
      <c r="YF126" s="379"/>
      <c r="YG126" s="379"/>
      <c r="YH126" s="379"/>
      <c r="YI126" s="379"/>
      <c r="YJ126" s="379"/>
      <c r="YK126" s="379"/>
      <c r="YL126" s="379"/>
      <c r="YM126" s="379"/>
      <c r="YN126" s="379"/>
      <c r="YO126" s="379"/>
      <c r="YP126" s="379"/>
      <c r="YQ126" s="379"/>
      <c r="YR126" s="379"/>
      <c r="YS126" s="379"/>
      <c r="YT126" s="379"/>
      <c r="YU126" s="379"/>
      <c r="YV126" s="379"/>
      <c r="YW126" s="379"/>
      <c r="YX126" s="379"/>
      <c r="YY126" s="379"/>
      <c r="YZ126" s="379"/>
      <c r="ZA126" s="379"/>
      <c r="ZB126" s="379"/>
      <c r="ZC126" s="379"/>
      <c r="ZD126" s="379"/>
      <c r="ZE126" s="379"/>
      <c r="ZF126" s="379"/>
      <c r="ZG126" s="379"/>
      <c r="ZH126" s="379"/>
      <c r="ZI126" s="379"/>
      <c r="ZJ126" s="379"/>
      <c r="ZK126" s="379"/>
      <c r="ZL126" s="379"/>
      <c r="ZM126" s="379"/>
      <c r="ZN126" s="379"/>
      <c r="ZO126" s="379"/>
      <c r="ZP126" s="379"/>
      <c r="ZQ126" s="379"/>
      <c r="ZR126" s="379"/>
      <c r="ZS126" s="379"/>
      <c r="ZT126" s="379"/>
      <c r="ZU126" s="379"/>
      <c r="ZV126" s="379"/>
      <c r="ZW126" s="379"/>
      <c r="ZX126" s="379"/>
      <c r="ZY126" s="379"/>
      <c r="ZZ126" s="379"/>
      <c r="AAA126" s="379"/>
      <c r="AAB126" s="379"/>
      <c r="AAC126" s="379"/>
      <c r="AAD126" s="379"/>
      <c r="AAE126" s="379"/>
      <c r="AAF126" s="379"/>
      <c r="AAG126" s="379"/>
      <c r="AAH126" s="379"/>
      <c r="AAI126" s="379"/>
      <c r="AAJ126" s="379"/>
      <c r="AAK126" s="379"/>
      <c r="AAL126" s="379"/>
      <c r="AAM126" s="379"/>
      <c r="AAN126" s="379"/>
      <c r="AAO126" s="379"/>
      <c r="AAP126" s="379"/>
      <c r="AAQ126" s="379"/>
      <c r="AAR126" s="379"/>
      <c r="AAS126" s="379"/>
      <c r="AAT126" s="379"/>
      <c r="AAU126" s="379"/>
      <c r="AAV126" s="379"/>
      <c r="AAW126" s="379"/>
      <c r="AAX126" s="379"/>
      <c r="AAY126" s="379"/>
      <c r="AAZ126" s="379"/>
      <c r="ABA126" s="379"/>
      <c r="ABB126" s="379"/>
      <c r="ABC126" s="379"/>
      <c r="ABD126" s="379"/>
      <c r="ABE126" s="379"/>
      <c r="ABF126" s="379"/>
      <c r="ABG126" s="379"/>
      <c r="ABH126" s="379"/>
      <c r="ABI126" s="379"/>
      <c r="ABJ126" s="379"/>
      <c r="ABK126" s="379"/>
      <c r="ABL126" s="379"/>
      <c r="ABM126" s="379"/>
      <c r="ABN126" s="379"/>
      <c r="ABO126" s="379"/>
      <c r="ABP126" s="379"/>
      <c r="ABQ126" s="379"/>
      <c r="ABR126" s="379"/>
      <c r="ABS126" s="379"/>
      <c r="ABT126" s="379"/>
      <c r="ABU126" s="379"/>
      <c r="ABV126" s="379"/>
      <c r="ABW126" s="379"/>
      <c r="ABX126" s="379"/>
      <c r="ABY126" s="379"/>
      <c r="ABZ126" s="379"/>
      <c r="ACA126" s="379"/>
      <c r="ACB126" s="379"/>
      <c r="ACC126" s="379"/>
      <c r="ACD126" s="379"/>
      <c r="ACE126" s="379"/>
      <c r="ACF126" s="379"/>
      <c r="ACG126" s="379"/>
      <c r="ACH126" s="379"/>
      <c r="ACI126" s="379"/>
      <c r="ACJ126" s="379"/>
      <c r="ACK126" s="379"/>
      <c r="ACL126" s="379"/>
      <c r="ACM126" s="379"/>
      <c r="ACN126" s="379"/>
      <c r="ACO126" s="379"/>
      <c r="ACP126" s="379"/>
      <c r="ACQ126" s="379"/>
      <c r="ACR126" s="379"/>
      <c r="ACS126" s="379"/>
      <c r="ACT126" s="379"/>
      <c r="ACU126" s="379"/>
      <c r="ACV126" s="379"/>
      <c r="ACW126" s="379"/>
      <c r="ACX126" s="379"/>
      <c r="ACY126" s="379"/>
      <c r="ACZ126" s="379"/>
      <c r="ADA126" s="379"/>
      <c r="ADB126" s="379"/>
      <c r="ADC126" s="379"/>
      <c r="ADD126" s="379"/>
      <c r="ADE126" s="379"/>
      <c r="ADF126" s="379"/>
      <c r="ADG126" s="379"/>
      <c r="ADH126" s="379"/>
      <c r="ADI126" s="379"/>
      <c r="ADJ126" s="379"/>
      <c r="ADK126" s="379"/>
      <c r="ADL126" s="379"/>
      <c r="ADM126" s="379"/>
      <c r="ADN126" s="379"/>
      <c r="ADO126" s="379"/>
      <c r="ADP126" s="379"/>
      <c r="ADQ126" s="379"/>
      <c r="ADR126" s="379"/>
      <c r="ADS126" s="379"/>
      <c r="ADT126" s="379"/>
      <c r="ADU126" s="379"/>
      <c r="ADV126" s="379"/>
      <c r="ADW126" s="379"/>
      <c r="ADX126" s="379"/>
      <c r="ADY126" s="379"/>
      <c r="ADZ126" s="379"/>
      <c r="AEA126" s="379"/>
      <c r="AEB126" s="379"/>
      <c r="AEC126" s="379"/>
      <c r="AED126" s="379"/>
      <c r="AEE126" s="379"/>
      <c r="AEF126" s="379"/>
      <c r="AEG126" s="379"/>
      <c r="AEH126" s="379"/>
      <c r="AEI126" s="379"/>
      <c r="AEJ126" s="379"/>
      <c r="AEK126" s="379"/>
      <c r="AEL126" s="379"/>
      <c r="AEM126" s="379"/>
      <c r="AEN126" s="379"/>
      <c r="AEO126" s="379"/>
      <c r="AEP126" s="379"/>
      <c r="AEQ126" s="379"/>
      <c r="AER126" s="379"/>
      <c r="AES126" s="379"/>
      <c r="AET126" s="379"/>
      <c r="AEU126" s="379"/>
      <c r="AEV126" s="379"/>
      <c r="AEW126" s="379"/>
      <c r="AEX126" s="379"/>
      <c r="AEY126" s="379"/>
      <c r="AEZ126" s="379"/>
      <c r="AFA126" s="379"/>
      <c r="AFB126" s="379"/>
      <c r="AFC126" s="379"/>
      <c r="AFD126" s="379"/>
      <c r="AFE126" s="379"/>
      <c r="AFF126" s="379"/>
      <c r="AFG126" s="379"/>
      <c r="AFH126" s="379"/>
      <c r="AFI126" s="379"/>
      <c r="AFJ126" s="379"/>
      <c r="AFK126" s="379"/>
      <c r="AFL126" s="379"/>
      <c r="AFM126" s="379"/>
      <c r="AFN126" s="379"/>
      <c r="AFO126" s="379"/>
      <c r="AFP126" s="379"/>
      <c r="AFQ126" s="379"/>
      <c r="AFR126" s="379"/>
      <c r="AFS126" s="379"/>
      <c r="AFT126" s="379"/>
      <c r="AFU126" s="379"/>
      <c r="AFV126" s="379"/>
      <c r="AFW126" s="379"/>
      <c r="AFX126" s="379"/>
      <c r="AFY126" s="379"/>
      <c r="AFZ126" s="379"/>
      <c r="AGA126" s="379"/>
      <c r="AGB126" s="379"/>
      <c r="AGC126" s="379"/>
      <c r="AGD126" s="379"/>
      <c r="AGE126" s="379"/>
      <c r="AGF126" s="379"/>
      <c r="AGG126" s="379"/>
      <c r="AGH126" s="379"/>
      <c r="AGI126" s="379"/>
      <c r="AGJ126" s="379"/>
      <c r="AGK126" s="379"/>
      <c r="AGL126" s="379"/>
      <c r="AGM126" s="379"/>
      <c r="AGN126" s="379"/>
      <c r="AGO126" s="379"/>
      <c r="AGP126" s="379"/>
      <c r="AGQ126" s="379"/>
      <c r="AGR126" s="379"/>
      <c r="AGS126" s="379"/>
      <c r="AGT126" s="379"/>
      <c r="AGU126" s="379"/>
      <c r="AGV126" s="379"/>
      <c r="AGW126" s="379"/>
      <c r="AGX126" s="379"/>
      <c r="AGY126" s="379"/>
      <c r="AGZ126" s="379"/>
      <c r="AHA126" s="379"/>
      <c r="AHB126" s="379"/>
      <c r="AHC126" s="379"/>
      <c r="AHD126" s="379"/>
      <c r="AHE126" s="379"/>
      <c r="AHF126" s="379"/>
      <c r="AHG126" s="379"/>
      <c r="AHH126" s="379"/>
      <c r="AHI126" s="379"/>
      <c r="AHJ126" s="379"/>
      <c r="AHK126" s="379"/>
      <c r="AHL126" s="379"/>
      <c r="AHM126" s="379"/>
      <c r="AHN126" s="379"/>
      <c r="AHO126" s="379"/>
      <c r="AHP126" s="379"/>
      <c r="AHQ126" s="379"/>
      <c r="AHR126" s="379"/>
      <c r="AHS126" s="379"/>
      <c r="AHT126" s="379"/>
      <c r="AHU126" s="379"/>
      <c r="AHV126" s="379"/>
      <c r="AHW126" s="379"/>
      <c r="AHX126" s="379"/>
      <c r="AHY126" s="379"/>
      <c r="AHZ126" s="379"/>
      <c r="AIA126" s="379"/>
      <c r="AIB126" s="379"/>
      <c r="AIC126" s="379"/>
      <c r="AID126" s="379"/>
      <c r="AIE126" s="379"/>
      <c r="AIF126" s="379"/>
      <c r="AIG126" s="379"/>
      <c r="AIH126" s="379"/>
      <c r="AII126" s="379"/>
      <c r="AIJ126" s="379"/>
      <c r="AIK126" s="379"/>
      <c r="AIL126" s="379"/>
      <c r="AIM126" s="379"/>
      <c r="AIN126" s="379"/>
      <c r="AIO126" s="379"/>
      <c r="AIP126" s="379"/>
      <c r="AIQ126" s="379"/>
      <c r="AIR126" s="379"/>
      <c r="AIS126" s="379"/>
      <c r="AIT126" s="379"/>
      <c r="AIU126" s="379"/>
      <c r="AIV126" s="379"/>
      <c r="AIW126" s="379"/>
      <c r="AIX126" s="379"/>
      <c r="AIY126" s="379"/>
      <c r="AIZ126" s="379"/>
      <c r="AJA126" s="379"/>
      <c r="AJB126" s="379"/>
      <c r="AJC126" s="379"/>
      <c r="AJD126" s="379"/>
      <c r="AJE126" s="379"/>
      <c r="AJF126" s="379"/>
      <c r="AJG126" s="379"/>
      <c r="AJH126" s="379"/>
      <c r="AJI126" s="379"/>
      <c r="AJJ126" s="379"/>
      <c r="AJK126" s="379"/>
      <c r="AJL126" s="379"/>
      <c r="AJM126" s="379"/>
      <c r="AJN126" s="379"/>
      <c r="AJO126" s="379"/>
      <c r="AJP126" s="379"/>
      <c r="AJQ126" s="379"/>
      <c r="AJR126" s="379"/>
      <c r="AJS126" s="379"/>
      <c r="AJT126" s="379"/>
      <c r="AJU126" s="379"/>
      <c r="AJV126" s="379"/>
      <c r="AJW126" s="379"/>
      <c r="AJX126" s="379"/>
      <c r="AJY126" s="379"/>
      <c r="AJZ126" s="379"/>
      <c r="AKA126" s="379"/>
      <c r="AKB126" s="379"/>
      <c r="AKC126" s="379"/>
      <c r="AKD126" s="379"/>
      <c r="AKE126" s="379"/>
      <c r="AKF126" s="379"/>
      <c r="AKG126" s="379"/>
      <c r="AKH126" s="379"/>
      <c r="AKI126" s="379"/>
      <c r="AKJ126" s="379"/>
      <c r="AKK126" s="379"/>
      <c r="AKL126" s="379"/>
      <c r="AKM126" s="379"/>
      <c r="AKN126" s="379"/>
      <c r="AKO126" s="379"/>
      <c r="AKP126" s="379"/>
      <c r="AKQ126" s="379"/>
      <c r="AKR126" s="379"/>
      <c r="AKS126" s="379"/>
      <c r="AKT126" s="379"/>
      <c r="AKU126" s="379"/>
      <c r="AKV126" s="379"/>
      <c r="AKW126" s="379"/>
      <c r="AKX126" s="379"/>
      <c r="AKY126" s="379"/>
      <c r="AKZ126" s="379"/>
      <c r="ALA126" s="379"/>
      <c r="ALB126" s="379"/>
      <c r="ALC126" s="379"/>
      <c r="ALD126" s="379"/>
      <c r="ALE126" s="379"/>
      <c r="ALF126" s="379"/>
      <c r="ALG126" s="379"/>
      <c r="ALH126" s="379"/>
      <c r="ALI126" s="379"/>
      <c r="ALJ126" s="379"/>
      <c r="ALK126" s="379"/>
      <c r="ALL126" s="379"/>
      <c r="ALM126" s="379"/>
      <c r="ALN126" s="379"/>
      <c r="ALO126" s="379"/>
      <c r="ALP126" s="379"/>
      <c r="ALQ126" s="379"/>
      <c r="ALR126" s="379"/>
      <c r="ALS126" s="379"/>
      <c r="ALT126" s="379"/>
      <c r="ALU126" s="379"/>
      <c r="ALV126" s="379"/>
      <c r="ALW126" s="379"/>
      <c r="ALX126" s="379"/>
      <c r="ALY126" s="379"/>
      <c r="ALZ126" s="379"/>
      <c r="AMA126" s="379"/>
      <c r="AMB126" s="379"/>
      <c r="AMC126" s="379"/>
      <c r="AMD126" s="379"/>
      <c r="AME126" s="379"/>
      <c r="AMF126" s="379"/>
      <c r="AMG126" s="379"/>
      <c r="AMH126" s="379"/>
      <c r="AMI126" s="379"/>
      <c r="AMJ126" s="379"/>
      <c r="AMK126" s="379"/>
    </row>
    <row r="127" spans="1:1025" s="297" customFormat="1" ht="30" customHeight="1" x14ac:dyDescent="0.25">
      <c r="A127" s="254">
        <v>7</v>
      </c>
      <c r="B127" s="255" t="s">
        <v>176</v>
      </c>
      <c r="C127" s="255" t="s">
        <v>62</v>
      </c>
      <c r="D127" s="254"/>
      <c r="E127" s="255" t="s">
        <v>141</v>
      </c>
      <c r="F127" s="254" t="s">
        <v>455</v>
      </c>
      <c r="G127" s="255" t="s">
        <v>142</v>
      </c>
      <c r="H127" s="258">
        <v>12</v>
      </c>
      <c r="I127" s="258">
        <v>9</v>
      </c>
      <c r="J127" s="258">
        <v>9</v>
      </c>
      <c r="K127" s="378">
        <v>10807.76</v>
      </c>
      <c r="L127" s="378">
        <v>10807.76</v>
      </c>
      <c r="M127" s="378">
        <v>0</v>
      </c>
      <c r="N127" s="258">
        <v>0</v>
      </c>
      <c r="O127" s="378">
        <v>0</v>
      </c>
      <c r="P127" s="378">
        <v>0</v>
      </c>
      <c r="Q127" s="378">
        <v>0</v>
      </c>
      <c r="R127" s="380"/>
      <c r="S127" s="380"/>
      <c r="T127" s="380"/>
      <c r="U127" s="380"/>
      <c r="V127" s="380"/>
      <c r="W127" s="380"/>
      <c r="X127" s="380"/>
      <c r="Y127" s="380"/>
      <c r="Z127" s="380"/>
      <c r="AA127" s="380"/>
      <c r="AB127" s="380"/>
      <c r="AC127" s="380"/>
      <c r="AD127" s="380"/>
      <c r="AE127" s="380"/>
      <c r="AF127" s="380"/>
      <c r="AG127" s="380"/>
      <c r="AH127" s="380"/>
      <c r="AI127" s="380"/>
      <c r="AJ127" s="380"/>
      <c r="AK127" s="380"/>
      <c r="AL127" s="380"/>
      <c r="AM127" s="380"/>
      <c r="AN127" s="380"/>
      <c r="AO127" s="380"/>
      <c r="AP127" s="380"/>
      <c r="AQ127" s="380"/>
      <c r="AR127" s="380"/>
      <c r="AS127" s="380"/>
      <c r="AT127" s="380"/>
      <c r="AU127" s="380"/>
      <c r="AV127" s="380"/>
      <c r="AW127" s="380"/>
      <c r="AX127" s="380"/>
      <c r="AY127" s="380"/>
      <c r="AZ127" s="380"/>
      <c r="BA127" s="380"/>
      <c r="BB127" s="380"/>
      <c r="BC127" s="380"/>
      <c r="BD127" s="380"/>
      <c r="BE127" s="380"/>
      <c r="BF127" s="380"/>
      <c r="BG127" s="380"/>
      <c r="BH127" s="380"/>
      <c r="BI127" s="380"/>
      <c r="BJ127" s="380"/>
      <c r="BK127" s="380"/>
      <c r="BL127" s="380"/>
      <c r="BM127" s="380"/>
      <c r="BN127" s="380"/>
      <c r="BO127" s="380"/>
      <c r="BP127" s="379"/>
      <c r="BQ127" s="379"/>
      <c r="BR127" s="379"/>
      <c r="BS127" s="379"/>
      <c r="BT127" s="379"/>
      <c r="BU127" s="379"/>
      <c r="BV127" s="379"/>
      <c r="BW127" s="379"/>
      <c r="BX127" s="379"/>
      <c r="BY127" s="379"/>
      <c r="BZ127" s="379"/>
      <c r="CA127" s="379"/>
      <c r="CB127" s="379"/>
      <c r="CC127" s="379"/>
      <c r="CD127" s="379"/>
      <c r="CE127" s="379"/>
      <c r="CF127" s="379"/>
      <c r="CG127" s="379"/>
      <c r="CH127" s="379"/>
      <c r="CI127" s="379"/>
      <c r="CJ127" s="379"/>
      <c r="CK127" s="379"/>
      <c r="CL127" s="379"/>
      <c r="CM127" s="379"/>
      <c r="CN127" s="379"/>
      <c r="CO127" s="379"/>
      <c r="CP127" s="379"/>
      <c r="CQ127" s="379"/>
      <c r="CR127" s="379"/>
      <c r="CS127" s="379"/>
      <c r="CT127" s="379"/>
      <c r="CU127" s="379"/>
      <c r="CV127" s="379"/>
      <c r="CW127" s="379"/>
      <c r="CX127" s="379"/>
      <c r="CY127" s="379"/>
      <c r="CZ127" s="379"/>
      <c r="DA127" s="379"/>
      <c r="DB127" s="379"/>
      <c r="DC127" s="379"/>
      <c r="DD127" s="379"/>
      <c r="DE127" s="379"/>
      <c r="DF127" s="379"/>
      <c r="DG127" s="379"/>
      <c r="DH127" s="379"/>
      <c r="DI127" s="379"/>
      <c r="DJ127" s="379"/>
      <c r="DK127" s="379"/>
      <c r="DL127" s="379"/>
      <c r="DM127" s="379"/>
      <c r="DN127" s="379"/>
      <c r="DO127" s="379"/>
      <c r="DP127" s="379"/>
      <c r="DQ127" s="379"/>
      <c r="DR127" s="379"/>
      <c r="DS127" s="379"/>
      <c r="DT127" s="379"/>
      <c r="DU127" s="379"/>
      <c r="DV127" s="379"/>
      <c r="DW127" s="379"/>
      <c r="DX127" s="379"/>
      <c r="DY127" s="379"/>
      <c r="DZ127" s="379"/>
      <c r="EA127" s="379"/>
      <c r="EB127" s="379"/>
      <c r="EC127" s="379"/>
      <c r="ED127" s="379"/>
      <c r="EE127" s="379"/>
      <c r="EF127" s="379"/>
      <c r="EG127" s="379"/>
      <c r="EH127" s="379"/>
      <c r="EI127" s="379"/>
      <c r="EJ127" s="379"/>
      <c r="EK127" s="379"/>
      <c r="EL127" s="379"/>
      <c r="EM127" s="379"/>
      <c r="EN127" s="379"/>
      <c r="EO127" s="379"/>
      <c r="EP127" s="379"/>
      <c r="EQ127" s="379"/>
      <c r="ER127" s="379"/>
      <c r="ES127" s="379"/>
      <c r="ET127" s="379"/>
      <c r="EU127" s="379"/>
      <c r="EV127" s="379"/>
      <c r="EW127" s="379"/>
      <c r="EX127" s="379"/>
      <c r="EY127" s="379"/>
      <c r="EZ127" s="379"/>
      <c r="FA127" s="379"/>
      <c r="FB127" s="379"/>
      <c r="FC127" s="379"/>
      <c r="FD127" s="379"/>
      <c r="FE127" s="379"/>
      <c r="FF127" s="379"/>
      <c r="FG127" s="379"/>
      <c r="FH127" s="379"/>
      <c r="FI127" s="379"/>
      <c r="FJ127" s="379"/>
      <c r="FK127" s="379"/>
      <c r="FL127" s="379"/>
      <c r="FM127" s="379"/>
      <c r="FN127" s="379"/>
      <c r="FO127" s="379"/>
      <c r="FP127" s="379"/>
      <c r="FQ127" s="379"/>
      <c r="FR127" s="379"/>
      <c r="FS127" s="379"/>
      <c r="FT127" s="379"/>
      <c r="FU127" s="379"/>
      <c r="FV127" s="379"/>
      <c r="FW127" s="379"/>
      <c r="FX127" s="379"/>
      <c r="FY127" s="379"/>
      <c r="FZ127" s="379"/>
      <c r="GA127" s="379"/>
      <c r="GB127" s="379"/>
      <c r="GC127" s="379"/>
      <c r="GD127" s="379"/>
      <c r="GE127" s="379"/>
      <c r="GF127" s="379"/>
      <c r="GG127" s="379"/>
      <c r="GH127" s="379"/>
      <c r="GI127" s="379"/>
      <c r="GJ127" s="379"/>
      <c r="GK127" s="379"/>
      <c r="GL127" s="379"/>
      <c r="GM127" s="379"/>
      <c r="GN127" s="379"/>
      <c r="GO127" s="379"/>
      <c r="GP127" s="379"/>
      <c r="GQ127" s="379"/>
      <c r="GR127" s="379"/>
      <c r="GS127" s="379"/>
      <c r="GT127" s="379"/>
      <c r="GU127" s="379"/>
      <c r="GV127" s="379"/>
      <c r="GW127" s="379"/>
      <c r="GX127" s="379"/>
      <c r="GY127" s="379"/>
      <c r="GZ127" s="379"/>
      <c r="HA127" s="379"/>
      <c r="HB127" s="379"/>
      <c r="HC127" s="379"/>
      <c r="HD127" s="379"/>
      <c r="HE127" s="379"/>
      <c r="HF127" s="379"/>
      <c r="HG127" s="379"/>
      <c r="HH127" s="379"/>
      <c r="HI127" s="379"/>
      <c r="HJ127" s="379"/>
      <c r="HK127" s="379"/>
      <c r="HL127" s="379"/>
      <c r="HM127" s="379"/>
      <c r="HN127" s="379"/>
      <c r="HO127" s="379"/>
      <c r="HP127" s="379"/>
      <c r="HQ127" s="379"/>
      <c r="HR127" s="379"/>
      <c r="HS127" s="379"/>
      <c r="HT127" s="379"/>
      <c r="HU127" s="379"/>
      <c r="HV127" s="379"/>
      <c r="HW127" s="379"/>
      <c r="HX127" s="379"/>
      <c r="HY127" s="379"/>
      <c r="HZ127" s="379"/>
      <c r="IA127" s="379"/>
      <c r="IB127" s="379"/>
      <c r="IC127" s="379"/>
      <c r="ID127" s="379"/>
      <c r="IE127" s="379"/>
      <c r="IF127" s="379"/>
      <c r="IG127" s="379"/>
      <c r="IH127" s="379"/>
      <c r="II127" s="379"/>
      <c r="IJ127" s="379"/>
      <c r="IK127" s="379"/>
      <c r="IL127" s="379"/>
      <c r="IM127" s="379"/>
      <c r="IN127" s="379"/>
      <c r="IO127" s="379"/>
      <c r="IP127" s="379"/>
      <c r="IQ127" s="379"/>
      <c r="IR127" s="379"/>
      <c r="IS127" s="379"/>
      <c r="IT127" s="379"/>
      <c r="IU127" s="379"/>
      <c r="IV127" s="379"/>
      <c r="IW127" s="379"/>
      <c r="IX127" s="379"/>
      <c r="IY127" s="379"/>
      <c r="IZ127" s="379"/>
      <c r="JA127" s="379"/>
      <c r="JB127" s="379"/>
      <c r="JC127" s="379"/>
      <c r="JD127" s="379"/>
      <c r="JE127" s="379"/>
      <c r="JF127" s="379"/>
      <c r="JG127" s="379"/>
      <c r="JH127" s="379"/>
      <c r="JI127" s="379"/>
      <c r="JJ127" s="379"/>
      <c r="JK127" s="379"/>
      <c r="JL127" s="379"/>
      <c r="JM127" s="379"/>
      <c r="JN127" s="379"/>
      <c r="JO127" s="379"/>
      <c r="JP127" s="379"/>
      <c r="JQ127" s="379"/>
      <c r="JR127" s="379"/>
      <c r="JS127" s="379"/>
      <c r="JT127" s="379"/>
      <c r="JU127" s="379"/>
      <c r="JV127" s="379"/>
      <c r="JW127" s="379"/>
      <c r="JX127" s="379"/>
      <c r="JY127" s="379"/>
      <c r="JZ127" s="379"/>
      <c r="KA127" s="379"/>
      <c r="KB127" s="379"/>
      <c r="KC127" s="379"/>
      <c r="KD127" s="379"/>
      <c r="KE127" s="379"/>
      <c r="KF127" s="379"/>
      <c r="KG127" s="379"/>
      <c r="KH127" s="379"/>
      <c r="KI127" s="379"/>
      <c r="KJ127" s="379"/>
      <c r="KK127" s="379"/>
      <c r="KL127" s="379"/>
      <c r="KM127" s="379"/>
      <c r="KN127" s="379"/>
      <c r="KO127" s="379"/>
      <c r="KP127" s="379"/>
      <c r="KQ127" s="379"/>
      <c r="KR127" s="379"/>
      <c r="KS127" s="379"/>
      <c r="KT127" s="379"/>
      <c r="KU127" s="379"/>
      <c r="KV127" s="379"/>
      <c r="KW127" s="379"/>
      <c r="KX127" s="379"/>
      <c r="KY127" s="379"/>
      <c r="KZ127" s="379"/>
      <c r="LA127" s="379"/>
      <c r="LB127" s="379"/>
      <c r="LC127" s="379"/>
      <c r="LD127" s="379"/>
      <c r="LE127" s="379"/>
      <c r="LF127" s="379"/>
      <c r="LG127" s="379"/>
      <c r="LH127" s="379"/>
      <c r="LI127" s="379"/>
      <c r="LJ127" s="379"/>
      <c r="LK127" s="379"/>
      <c r="LL127" s="379"/>
      <c r="LM127" s="379"/>
      <c r="LN127" s="379"/>
      <c r="LO127" s="379"/>
      <c r="LP127" s="379"/>
      <c r="LQ127" s="379"/>
      <c r="LR127" s="379"/>
      <c r="LS127" s="379"/>
      <c r="LT127" s="379"/>
      <c r="LU127" s="379"/>
      <c r="LV127" s="379"/>
      <c r="LW127" s="379"/>
      <c r="LX127" s="379"/>
      <c r="LY127" s="379"/>
      <c r="LZ127" s="379"/>
      <c r="MA127" s="379"/>
      <c r="MB127" s="379"/>
      <c r="MC127" s="379"/>
      <c r="MD127" s="379"/>
      <c r="ME127" s="379"/>
      <c r="MF127" s="379"/>
      <c r="MG127" s="379"/>
      <c r="MH127" s="379"/>
      <c r="MI127" s="379"/>
      <c r="MJ127" s="379"/>
      <c r="MK127" s="379"/>
      <c r="ML127" s="379"/>
      <c r="MM127" s="379"/>
      <c r="MN127" s="379"/>
      <c r="MO127" s="379"/>
      <c r="MP127" s="379"/>
      <c r="MQ127" s="379"/>
      <c r="MR127" s="379"/>
      <c r="MS127" s="379"/>
      <c r="MT127" s="379"/>
      <c r="MU127" s="379"/>
      <c r="MV127" s="379"/>
      <c r="MW127" s="379"/>
      <c r="MX127" s="379"/>
      <c r="MY127" s="379"/>
      <c r="MZ127" s="379"/>
      <c r="NA127" s="379"/>
      <c r="NB127" s="379"/>
      <c r="NC127" s="379"/>
      <c r="ND127" s="379"/>
      <c r="NE127" s="379"/>
      <c r="NF127" s="379"/>
      <c r="NG127" s="379"/>
      <c r="NH127" s="379"/>
      <c r="NI127" s="379"/>
      <c r="NJ127" s="379"/>
      <c r="NK127" s="379"/>
      <c r="NL127" s="379"/>
      <c r="NM127" s="379"/>
      <c r="NN127" s="379"/>
      <c r="NO127" s="379"/>
      <c r="NP127" s="379"/>
      <c r="NQ127" s="379"/>
      <c r="NR127" s="379"/>
      <c r="NS127" s="379"/>
      <c r="NT127" s="379"/>
      <c r="NU127" s="379"/>
      <c r="NV127" s="379"/>
      <c r="NW127" s="379"/>
      <c r="NX127" s="379"/>
      <c r="NY127" s="379"/>
      <c r="NZ127" s="379"/>
      <c r="OA127" s="379"/>
      <c r="OB127" s="379"/>
      <c r="OC127" s="379"/>
      <c r="OD127" s="379"/>
      <c r="OE127" s="379"/>
      <c r="OF127" s="379"/>
      <c r="OG127" s="379"/>
      <c r="OH127" s="379"/>
      <c r="OI127" s="379"/>
      <c r="OJ127" s="379"/>
      <c r="OK127" s="379"/>
      <c r="OL127" s="379"/>
      <c r="OM127" s="379"/>
      <c r="ON127" s="379"/>
      <c r="OO127" s="379"/>
      <c r="OP127" s="379"/>
      <c r="OQ127" s="379"/>
      <c r="OR127" s="379"/>
      <c r="OS127" s="379"/>
      <c r="OT127" s="379"/>
      <c r="OU127" s="379"/>
      <c r="OV127" s="379"/>
      <c r="OW127" s="379"/>
      <c r="OX127" s="379"/>
      <c r="OY127" s="379"/>
      <c r="OZ127" s="379"/>
      <c r="PA127" s="379"/>
      <c r="PB127" s="379"/>
      <c r="PC127" s="379"/>
      <c r="PD127" s="379"/>
      <c r="PE127" s="379"/>
      <c r="PF127" s="379"/>
      <c r="PG127" s="379"/>
      <c r="PH127" s="379"/>
      <c r="PI127" s="379"/>
      <c r="PJ127" s="379"/>
      <c r="PK127" s="379"/>
      <c r="PL127" s="379"/>
      <c r="PM127" s="379"/>
      <c r="PN127" s="379"/>
      <c r="PO127" s="379"/>
      <c r="PP127" s="379"/>
      <c r="PQ127" s="379"/>
      <c r="PR127" s="379"/>
      <c r="PS127" s="379"/>
      <c r="PT127" s="379"/>
      <c r="PU127" s="379"/>
      <c r="PV127" s="379"/>
      <c r="PW127" s="379"/>
      <c r="PX127" s="379"/>
      <c r="PY127" s="379"/>
      <c r="PZ127" s="379"/>
      <c r="QA127" s="379"/>
      <c r="QB127" s="379"/>
      <c r="QC127" s="379"/>
      <c r="QD127" s="379"/>
      <c r="QE127" s="379"/>
      <c r="QF127" s="379"/>
      <c r="QG127" s="379"/>
      <c r="QH127" s="379"/>
      <c r="QI127" s="379"/>
      <c r="QJ127" s="379"/>
      <c r="QK127" s="379"/>
      <c r="QL127" s="379"/>
      <c r="QM127" s="379"/>
      <c r="QN127" s="379"/>
      <c r="QO127" s="379"/>
      <c r="QP127" s="379"/>
      <c r="QQ127" s="379"/>
      <c r="QR127" s="379"/>
      <c r="QS127" s="379"/>
      <c r="QT127" s="379"/>
      <c r="QU127" s="379"/>
      <c r="QV127" s="379"/>
      <c r="QW127" s="379"/>
      <c r="QX127" s="379"/>
      <c r="QY127" s="379"/>
      <c r="QZ127" s="379"/>
      <c r="RA127" s="379"/>
      <c r="RB127" s="379"/>
      <c r="RC127" s="379"/>
      <c r="RD127" s="379"/>
      <c r="RE127" s="379"/>
      <c r="RF127" s="379"/>
      <c r="RG127" s="379"/>
      <c r="RH127" s="379"/>
      <c r="RI127" s="379"/>
      <c r="RJ127" s="379"/>
      <c r="RK127" s="379"/>
      <c r="RL127" s="379"/>
      <c r="RM127" s="379"/>
      <c r="RN127" s="379"/>
      <c r="RO127" s="379"/>
      <c r="RP127" s="379"/>
      <c r="RQ127" s="379"/>
      <c r="RR127" s="379"/>
      <c r="RS127" s="379"/>
      <c r="RT127" s="379"/>
      <c r="RU127" s="379"/>
      <c r="RV127" s="379"/>
      <c r="RW127" s="379"/>
      <c r="RX127" s="379"/>
      <c r="RY127" s="379"/>
      <c r="RZ127" s="379"/>
      <c r="SA127" s="379"/>
      <c r="SB127" s="379"/>
      <c r="SC127" s="379"/>
      <c r="SD127" s="379"/>
      <c r="SE127" s="379"/>
      <c r="SF127" s="379"/>
      <c r="SG127" s="379"/>
      <c r="SH127" s="379"/>
      <c r="SI127" s="379"/>
      <c r="SJ127" s="379"/>
      <c r="SK127" s="379"/>
      <c r="SL127" s="379"/>
      <c r="SM127" s="379"/>
      <c r="SN127" s="379"/>
      <c r="SO127" s="379"/>
      <c r="SP127" s="379"/>
      <c r="SQ127" s="379"/>
      <c r="SR127" s="379"/>
      <c r="SS127" s="379"/>
      <c r="ST127" s="379"/>
      <c r="SU127" s="379"/>
      <c r="SV127" s="379"/>
      <c r="SW127" s="379"/>
      <c r="SX127" s="379"/>
      <c r="SY127" s="379"/>
      <c r="SZ127" s="379"/>
      <c r="TA127" s="379"/>
      <c r="TB127" s="379"/>
      <c r="TC127" s="379"/>
      <c r="TD127" s="379"/>
      <c r="TE127" s="379"/>
      <c r="TF127" s="379"/>
      <c r="TG127" s="379"/>
      <c r="TH127" s="379"/>
      <c r="TI127" s="379"/>
      <c r="TJ127" s="379"/>
      <c r="TK127" s="379"/>
      <c r="TL127" s="379"/>
      <c r="TM127" s="379"/>
      <c r="TN127" s="379"/>
      <c r="TO127" s="379"/>
      <c r="TP127" s="379"/>
      <c r="TQ127" s="379"/>
      <c r="TR127" s="379"/>
      <c r="TS127" s="379"/>
      <c r="TT127" s="379"/>
      <c r="TU127" s="379"/>
      <c r="TV127" s="379"/>
      <c r="TW127" s="379"/>
      <c r="TX127" s="379"/>
      <c r="TY127" s="379"/>
      <c r="TZ127" s="379"/>
      <c r="UA127" s="379"/>
      <c r="UB127" s="379"/>
      <c r="UC127" s="379"/>
      <c r="UD127" s="379"/>
      <c r="UE127" s="379"/>
      <c r="UF127" s="379"/>
      <c r="UG127" s="379"/>
      <c r="UH127" s="379"/>
      <c r="UI127" s="379"/>
      <c r="UJ127" s="379"/>
      <c r="UK127" s="379"/>
      <c r="UL127" s="379"/>
      <c r="UM127" s="379"/>
      <c r="UN127" s="379"/>
      <c r="UO127" s="379"/>
      <c r="UP127" s="379"/>
      <c r="UQ127" s="379"/>
      <c r="UR127" s="379"/>
      <c r="US127" s="379"/>
      <c r="UT127" s="379"/>
      <c r="UU127" s="379"/>
      <c r="UV127" s="379"/>
      <c r="UW127" s="379"/>
      <c r="UX127" s="379"/>
      <c r="UY127" s="379"/>
      <c r="UZ127" s="379"/>
      <c r="VA127" s="379"/>
      <c r="VB127" s="379"/>
      <c r="VC127" s="379"/>
      <c r="VD127" s="379"/>
      <c r="VE127" s="379"/>
      <c r="VF127" s="379"/>
      <c r="VG127" s="379"/>
      <c r="VH127" s="379"/>
      <c r="VI127" s="379"/>
      <c r="VJ127" s="379"/>
      <c r="VK127" s="379"/>
      <c r="VL127" s="379"/>
      <c r="VM127" s="379"/>
      <c r="VN127" s="379"/>
      <c r="VO127" s="379"/>
      <c r="VP127" s="379"/>
      <c r="VQ127" s="379"/>
      <c r="VR127" s="379"/>
      <c r="VS127" s="379"/>
      <c r="VT127" s="379"/>
      <c r="VU127" s="379"/>
      <c r="VV127" s="379"/>
      <c r="VW127" s="379"/>
      <c r="VX127" s="379"/>
      <c r="VY127" s="379"/>
      <c r="VZ127" s="379"/>
      <c r="WA127" s="379"/>
      <c r="WB127" s="379"/>
      <c r="WC127" s="379"/>
      <c r="WD127" s="379"/>
      <c r="WE127" s="379"/>
      <c r="WF127" s="379"/>
      <c r="WG127" s="379"/>
      <c r="WH127" s="379"/>
      <c r="WI127" s="379"/>
      <c r="WJ127" s="379"/>
      <c r="WK127" s="379"/>
      <c r="WL127" s="379"/>
      <c r="WM127" s="379"/>
      <c r="WN127" s="379"/>
      <c r="WO127" s="379"/>
      <c r="WP127" s="379"/>
      <c r="WQ127" s="379"/>
      <c r="WR127" s="379"/>
      <c r="WS127" s="379"/>
      <c r="WT127" s="379"/>
      <c r="WU127" s="379"/>
      <c r="WV127" s="379"/>
      <c r="WW127" s="379"/>
      <c r="WX127" s="379"/>
      <c r="WY127" s="379"/>
      <c r="WZ127" s="379"/>
      <c r="XA127" s="379"/>
      <c r="XB127" s="379"/>
      <c r="XC127" s="379"/>
      <c r="XD127" s="379"/>
      <c r="XE127" s="379"/>
      <c r="XF127" s="379"/>
      <c r="XG127" s="379"/>
      <c r="XH127" s="379"/>
      <c r="XI127" s="379"/>
      <c r="XJ127" s="379"/>
      <c r="XK127" s="379"/>
      <c r="XL127" s="379"/>
      <c r="XM127" s="379"/>
      <c r="XN127" s="379"/>
      <c r="XO127" s="379"/>
      <c r="XP127" s="379"/>
      <c r="XQ127" s="379"/>
      <c r="XR127" s="379"/>
      <c r="XS127" s="379"/>
      <c r="XT127" s="379"/>
      <c r="XU127" s="379"/>
      <c r="XV127" s="379"/>
      <c r="XW127" s="379"/>
      <c r="XX127" s="379"/>
      <c r="XY127" s="379"/>
      <c r="XZ127" s="379"/>
      <c r="YA127" s="379"/>
      <c r="YB127" s="379"/>
      <c r="YC127" s="379"/>
      <c r="YD127" s="379"/>
      <c r="YE127" s="379"/>
      <c r="YF127" s="379"/>
      <c r="YG127" s="379"/>
      <c r="YH127" s="379"/>
      <c r="YI127" s="379"/>
      <c r="YJ127" s="379"/>
      <c r="YK127" s="379"/>
      <c r="YL127" s="379"/>
      <c r="YM127" s="379"/>
      <c r="YN127" s="379"/>
      <c r="YO127" s="379"/>
      <c r="YP127" s="379"/>
      <c r="YQ127" s="379"/>
      <c r="YR127" s="379"/>
      <c r="YS127" s="379"/>
      <c r="YT127" s="379"/>
      <c r="YU127" s="379"/>
      <c r="YV127" s="379"/>
      <c r="YW127" s="379"/>
      <c r="YX127" s="379"/>
      <c r="YY127" s="379"/>
      <c r="YZ127" s="379"/>
      <c r="ZA127" s="379"/>
      <c r="ZB127" s="379"/>
      <c r="ZC127" s="379"/>
      <c r="ZD127" s="379"/>
      <c r="ZE127" s="379"/>
      <c r="ZF127" s="379"/>
      <c r="ZG127" s="379"/>
      <c r="ZH127" s="379"/>
      <c r="ZI127" s="379"/>
      <c r="ZJ127" s="379"/>
      <c r="ZK127" s="379"/>
      <c r="ZL127" s="379"/>
      <c r="ZM127" s="379"/>
      <c r="ZN127" s="379"/>
      <c r="ZO127" s="379"/>
      <c r="ZP127" s="379"/>
      <c r="ZQ127" s="379"/>
      <c r="ZR127" s="379"/>
      <c r="ZS127" s="379"/>
      <c r="ZT127" s="379"/>
      <c r="ZU127" s="379"/>
      <c r="ZV127" s="379"/>
      <c r="ZW127" s="379"/>
      <c r="ZX127" s="379"/>
      <c r="ZY127" s="379"/>
      <c r="ZZ127" s="379"/>
      <c r="AAA127" s="379"/>
      <c r="AAB127" s="379"/>
      <c r="AAC127" s="379"/>
      <c r="AAD127" s="379"/>
      <c r="AAE127" s="379"/>
      <c r="AAF127" s="379"/>
      <c r="AAG127" s="379"/>
      <c r="AAH127" s="379"/>
      <c r="AAI127" s="379"/>
      <c r="AAJ127" s="379"/>
      <c r="AAK127" s="379"/>
      <c r="AAL127" s="379"/>
      <c r="AAM127" s="379"/>
      <c r="AAN127" s="379"/>
      <c r="AAO127" s="379"/>
      <c r="AAP127" s="379"/>
      <c r="AAQ127" s="379"/>
      <c r="AAR127" s="379"/>
      <c r="AAS127" s="379"/>
      <c r="AAT127" s="379"/>
      <c r="AAU127" s="379"/>
      <c r="AAV127" s="379"/>
      <c r="AAW127" s="379"/>
      <c r="AAX127" s="379"/>
      <c r="AAY127" s="379"/>
      <c r="AAZ127" s="379"/>
      <c r="ABA127" s="379"/>
      <c r="ABB127" s="379"/>
      <c r="ABC127" s="379"/>
      <c r="ABD127" s="379"/>
      <c r="ABE127" s="379"/>
      <c r="ABF127" s="379"/>
      <c r="ABG127" s="379"/>
      <c r="ABH127" s="379"/>
      <c r="ABI127" s="379"/>
      <c r="ABJ127" s="379"/>
      <c r="ABK127" s="379"/>
      <c r="ABL127" s="379"/>
      <c r="ABM127" s="379"/>
      <c r="ABN127" s="379"/>
      <c r="ABO127" s="379"/>
      <c r="ABP127" s="379"/>
      <c r="ABQ127" s="379"/>
      <c r="ABR127" s="379"/>
      <c r="ABS127" s="379"/>
      <c r="ABT127" s="379"/>
      <c r="ABU127" s="379"/>
      <c r="ABV127" s="379"/>
      <c r="ABW127" s="379"/>
      <c r="ABX127" s="379"/>
      <c r="ABY127" s="379"/>
      <c r="ABZ127" s="379"/>
      <c r="ACA127" s="379"/>
      <c r="ACB127" s="379"/>
      <c r="ACC127" s="379"/>
      <c r="ACD127" s="379"/>
      <c r="ACE127" s="379"/>
      <c r="ACF127" s="379"/>
      <c r="ACG127" s="379"/>
      <c r="ACH127" s="379"/>
      <c r="ACI127" s="379"/>
      <c r="ACJ127" s="379"/>
      <c r="ACK127" s="379"/>
      <c r="ACL127" s="379"/>
      <c r="ACM127" s="379"/>
      <c r="ACN127" s="379"/>
      <c r="ACO127" s="379"/>
      <c r="ACP127" s="379"/>
      <c r="ACQ127" s="379"/>
      <c r="ACR127" s="379"/>
      <c r="ACS127" s="379"/>
      <c r="ACT127" s="379"/>
      <c r="ACU127" s="379"/>
      <c r="ACV127" s="379"/>
      <c r="ACW127" s="379"/>
      <c r="ACX127" s="379"/>
      <c r="ACY127" s="379"/>
      <c r="ACZ127" s="379"/>
      <c r="ADA127" s="379"/>
      <c r="ADB127" s="379"/>
      <c r="ADC127" s="379"/>
      <c r="ADD127" s="379"/>
      <c r="ADE127" s="379"/>
      <c r="ADF127" s="379"/>
      <c r="ADG127" s="379"/>
      <c r="ADH127" s="379"/>
      <c r="ADI127" s="379"/>
      <c r="ADJ127" s="379"/>
      <c r="ADK127" s="379"/>
      <c r="ADL127" s="379"/>
      <c r="ADM127" s="379"/>
      <c r="ADN127" s="379"/>
      <c r="ADO127" s="379"/>
      <c r="ADP127" s="379"/>
      <c r="ADQ127" s="379"/>
      <c r="ADR127" s="379"/>
      <c r="ADS127" s="379"/>
      <c r="ADT127" s="379"/>
      <c r="ADU127" s="379"/>
      <c r="ADV127" s="379"/>
      <c r="ADW127" s="379"/>
      <c r="ADX127" s="379"/>
      <c r="ADY127" s="379"/>
      <c r="ADZ127" s="379"/>
      <c r="AEA127" s="379"/>
      <c r="AEB127" s="379"/>
      <c r="AEC127" s="379"/>
      <c r="AED127" s="379"/>
      <c r="AEE127" s="379"/>
      <c r="AEF127" s="379"/>
      <c r="AEG127" s="379"/>
      <c r="AEH127" s="379"/>
      <c r="AEI127" s="379"/>
      <c r="AEJ127" s="379"/>
      <c r="AEK127" s="379"/>
      <c r="AEL127" s="379"/>
      <c r="AEM127" s="379"/>
      <c r="AEN127" s="379"/>
      <c r="AEO127" s="379"/>
      <c r="AEP127" s="379"/>
      <c r="AEQ127" s="379"/>
      <c r="AER127" s="379"/>
      <c r="AES127" s="379"/>
      <c r="AET127" s="379"/>
      <c r="AEU127" s="379"/>
      <c r="AEV127" s="379"/>
      <c r="AEW127" s="379"/>
      <c r="AEX127" s="379"/>
      <c r="AEY127" s="379"/>
      <c r="AEZ127" s="379"/>
      <c r="AFA127" s="379"/>
      <c r="AFB127" s="379"/>
      <c r="AFC127" s="379"/>
      <c r="AFD127" s="379"/>
      <c r="AFE127" s="379"/>
      <c r="AFF127" s="379"/>
      <c r="AFG127" s="379"/>
      <c r="AFH127" s="379"/>
      <c r="AFI127" s="379"/>
      <c r="AFJ127" s="379"/>
      <c r="AFK127" s="379"/>
      <c r="AFL127" s="379"/>
      <c r="AFM127" s="379"/>
      <c r="AFN127" s="379"/>
      <c r="AFO127" s="379"/>
      <c r="AFP127" s="379"/>
      <c r="AFQ127" s="379"/>
      <c r="AFR127" s="379"/>
      <c r="AFS127" s="379"/>
      <c r="AFT127" s="379"/>
      <c r="AFU127" s="379"/>
      <c r="AFV127" s="379"/>
      <c r="AFW127" s="379"/>
      <c r="AFX127" s="379"/>
      <c r="AFY127" s="379"/>
      <c r="AFZ127" s="379"/>
      <c r="AGA127" s="379"/>
      <c r="AGB127" s="379"/>
      <c r="AGC127" s="379"/>
      <c r="AGD127" s="379"/>
      <c r="AGE127" s="379"/>
      <c r="AGF127" s="379"/>
      <c r="AGG127" s="379"/>
      <c r="AGH127" s="379"/>
      <c r="AGI127" s="379"/>
      <c r="AGJ127" s="379"/>
      <c r="AGK127" s="379"/>
      <c r="AGL127" s="379"/>
      <c r="AGM127" s="379"/>
      <c r="AGN127" s="379"/>
      <c r="AGO127" s="379"/>
      <c r="AGP127" s="379"/>
      <c r="AGQ127" s="379"/>
      <c r="AGR127" s="379"/>
      <c r="AGS127" s="379"/>
      <c r="AGT127" s="379"/>
      <c r="AGU127" s="379"/>
      <c r="AGV127" s="379"/>
      <c r="AGW127" s="379"/>
      <c r="AGX127" s="379"/>
      <c r="AGY127" s="379"/>
      <c r="AGZ127" s="379"/>
      <c r="AHA127" s="379"/>
      <c r="AHB127" s="379"/>
      <c r="AHC127" s="379"/>
      <c r="AHD127" s="379"/>
      <c r="AHE127" s="379"/>
      <c r="AHF127" s="379"/>
      <c r="AHG127" s="379"/>
      <c r="AHH127" s="379"/>
      <c r="AHI127" s="379"/>
      <c r="AHJ127" s="379"/>
      <c r="AHK127" s="379"/>
      <c r="AHL127" s="379"/>
      <c r="AHM127" s="379"/>
      <c r="AHN127" s="379"/>
      <c r="AHO127" s="379"/>
      <c r="AHP127" s="379"/>
      <c r="AHQ127" s="379"/>
      <c r="AHR127" s="379"/>
      <c r="AHS127" s="379"/>
      <c r="AHT127" s="379"/>
      <c r="AHU127" s="379"/>
      <c r="AHV127" s="379"/>
      <c r="AHW127" s="379"/>
      <c r="AHX127" s="379"/>
      <c r="AHY127" s="379"/>
      <c r="AHZ127" s="379"/>
      <c r="AIA127" s="379"/>
      <c r="AIB127" s="379"/>
      <c r="AIC127" s="379"/>
      <c r="AID127" s="379"/>
      <c r="AIE127" s="379"/>
      <c r="AIF127" s="379"/>
      <c r="AIG127" s="379"/>
      <c r="AIH127" s="379"/>
      <c r="AII127" s="379"/>
      <c r="AIJ127" s="379"/>
      <c r="AIK127" s="379"/>
      <c r="AIL127" s="379"/>
      <c r="AIM127" s="379"/>
      <c r="AIN127" s="379"/>
      <c r="AIO127" s="379"/>
      <c r="AIP127" s="379"/>
      <c r="AIQ127" s="379"/>
      <c r="AIR127" s="379"/>
      <c r="AIS127" s="379"/>
      <c r="AIT127" s="379"/>
      <c r="AIU127" s="379"/>
      <c r="AIV127" s="379"/>
      <c r="AIW127" s="379"/>
      <c r="AIX127" s="379"/>
      <c r="AIY127" s="379"/>
      <c r="AIZ127" s="379"/>
      <c r="AJA127" s="379"/>
      <c r="AJB127" s="379"/>
      <c r="AJC127" s="379"/>
      <c r="AJD127" s="379"/>
      <c r="AJE127" s="379"/>
      <c r="AJF127" s="379"/>
      <c r="AJG127" s="379"/>
      <c r="AJH127" s="379"/>
      <c r="AJI127" s="379"/>
      <c r="AJJ127" s="379"/>
      <c r="AJK127" s="379"/>
      <c r="AJL127" s="379"/>
      <c r="AJM127" s="379"/>
      <c r="AJN127" s="379"/>
      <c r="AJO127" s="379"/>
      <c r="AJP127" s="379"/>
      <c r="AJQ127" s="379"/>
      <c r="AJR127" s="379"/>
      <c r="AJS127" s="379"/>
      <c r="AJT127" s="379"/>
      <c r="AJU127" s="379"/>
      <c r="AJV127" s="379"/>
      <c r="AJW127" s="379"/>
      <c r="AJX127" s="379"/>
      <c r="AJY127" s="379"/>
      <c r="AJZ127" s="379"/>
      <c r="AKA127" s="379"/>
      <c r="AKB127" s="379"/>
      <c r="AKC127" s="379"/>
      <c r="AKD127" s="379"/>
      <c r="AKE127" s="379"/>
      <c r="AKF127" s="379"/>
      <c r="AKG127" s="379"/>
      <c r="AKH127" s="379"/>
      <c r="AKI127" s="379"/>
      <c r="AKJ127" s="379"/>
      <c r="AKK127" s="379"/>
      <c r="AKL127" s="379"/>
      <c r="AKM127" s="379"/>
      <c r="AKN127" s="379"/>
      <c r="AKO127" s="379"/>
      <c r="AKP127" s="379"/>
      <c r="AKQ127" s="379"/>
      <c r="AKR127" s="379"/>
      <c r="AKS127" s="379"/>
      <c r="AKT127" s="379"/>
      <c r="AKU127" s="379"/>
      <c r="AKV127" s="379"/>
      <c r="AKW127" s="379"/>
      <c r="AKX127" s="379"/>
      <c r="AKY127" s="379"/>
      <c r="AKZ127" s="379"/>
      <c r="ALA127" s="379"/>
      <c r="ALB127" s="379"/>
      <c r="ALC127" s="379"/>
      <c r="ALD127" s="379"/>
      <c r="ALE127" s="379"/>
      <c r="ALF127" s="379"/>
      <c r="ALG127" s="379"/>
      <c r="ALH127" s="379"/>
      <c r="ALI127" s="379"/>
      <c r="ALJ127" s="379"/>
      <c r="ALK127" s="379"/>
      <c r="ALL127" s="379"/>
      <c r="ALM127" s="379"/>
      <c r="ALN127" s="379"/>
      <c r="ALO127" s="379"/>
      <c r="ALP127" s="379"/>
      <c r="ALQ127" s="379"/>
      <c r="ALR127" s="379"/>
      <c r="ALS127" s="379"/>
      <c r="ALT127" s="379"/>
      <c r="ALU127" s="379"/>
      <c r="ALV127" s="379"/>
      <c r="ALW127" s="379"/>
      <c r="ALX127" s="379"/>
      <c r="ALY127" s="379"/>
      <c r="ALZ127" s="379"/>
      <c r="AMA127" s="379"/>
      <c r="AMB127" s="379"/>
      <c r="AMC127" s="379"/>
      <c r="AMD127" s="379"/>
      <c r="AME127" s="379"/>
      <c r="AMF127" s="379"/>
      <c r="AMG127" s="379"/>
      <c r="AMH127" s="379"/>
      <c r="AMI127" s="379"/>
      <c r="AMJ127" s="379"/>
      <c r="AMK127" s="379"/>
    </row>
    <row r="128" spans="1:1025" s="297" customFormat="1" ht="30" customHeight="1" x14ac:dyDescent="0.25">
      <c r="A128" s="254">
        <v>8</v>
      </c>
      <c r="B128" s="255" t="s">
        <v>235</v>
      </c>
      <c r="C128" s="255" t="s">
        <v>62</v>
      </c>
      <c r="D128" s="254"/>
      <c r="E128" s="255" t="s">
        <v>456</v>
      </c>
      <c r="F128" s="254" t="s">
        <v>457</v>
      </c>
      <c r="G128" s="255" t="s">
        <v>142</v>
      </c>
      <c r="H128" s="382">
        <v>3</v>
      </c>
      <c r="I128" s="382">
        <v>3</v>
      </c>
      <c r="J128" s="382">
        <v>3</v>
      </c>
      <c r="K128" s="383">
        <v>2269.65</v>
      </c>
      <c r="L128" s="383">
        <v>2269.65</v>
      </c>
      <c r="M128" s="383">
        <v>0</v>
      </c>
      <c r="N128" s="258">
        <v>0</v>
      </c>
      <c r="O128" s="378">
        <v>0</v>
      </c>
      <c r="P128" s="378">
        <v>0</v>
      </c>
      <c r="Q128" s="378">
        <v>0</v>
      </c>
      <c r="R128" s="380"/>
      <c r="S128" s="380"/>
      <c r="T128" s="380"/>
      <c r="U128" s="380"/>
      <c r="V128" s="380"/>
      <c r="W128" s="380"/>
      <c r="X128" s="380"/>
      <c r="Y128" s="380"/>
      <c r="Z128" s="380"/>
      <c r="AA128" s="380"/>
      <c r="AB128" s="380"/>
      <c r="AC128" s="380"/>
      <c r="AD128" s="380"/>
      <c r="AE128" s="380"/>
      <c r="AF128" s="380"/>
      <c r="AG128" s="380"/>
      <c r="AH128" s="380"/>
      <c r="AI128" s="380"/>
      <c r="AJ128" s="380"/>
      <c r="AK128" s="380"/>
      <c r="AL128" s="380"/>
      <c r="AM128" s="380"/>
      <c r="AN128" s="380"/>
      <c r="AO128" s="380"/>
      <c r="AP128" s="380"/>
      <c r="AQ128" s="380"/>
      <c r="AR128" s="380"/>
      <c r="AS128" s="380"/>
      <c r="AT128" s="380"/>
      <c r="AU128" s="380"/>
      <c r="AV128" s="380"/>
      <c r="AW128" s="380"/>
      <c r="AX128" s="380"/>
      <c r="AY128" s="380"/>
      <c r="AZ128" s="380"/>
      <c r="BA128" s="380"/>
      <c r="BB128" s="380"/>
      <c r="BC128" s="380"/>
      <c r="BD128" s="380"/>
      <c r="BE128" s="380"/>
      <c r="BF128" s="380"/>
      <c r="BG128" s="380"/>
      <c r="BH128" s="380"/>
      <c r="BI128" s="380"/>
      <c r="BJ128" s="380"/>
      <c r="BK128" s="380"/>
      <c r="BL128" s="380"/>
      <c r="BM128" s="380"/>
      <c r="BN128" s="380"/>
      <c r="BO128" s="380"/>
      <c r="BP128" s="379"/>
      <c r="BQ128" s="379"/>
      <c r="BR128" s="379"/>
      <c r="BS128" s="379"/>
      <c r="BT128" s="379"/>
      <c r="BU128" s="379"/>
      <c r="BV128" s="379"/>
      <c r="BW128" s="379"/>
      <c r="BX128" s="379"/>
      <c r="BY128" s="379"/>
      <c r="BZ128" s="379"/>
      <c r="CA128" s="379"/>
      <c r="CB128" s="379"/>
      <c r="CC128" s="379"/>
      <c r="CD128" s="379"/>
      <c r="CE128" s="379"/>
      <c r="CF128" s="379"/>
      <c r="CG128" s="379"/>
      <c r="CH128" s="379"/>
      <c r="CI128" s="379"/>
      <c r="CJ128" s="379"/>
      <c r="CK128" s="379"/>
      <c r="CL128" s="379"/>
      <c r="CM128" s="379"/>
      <c r="CN128" s="379"/>
      <c r="CO128" s="379"/>
      <c r="CP128" s="379"/>
      <c r="CQ128" s="379"/>
      <c r="CR128" s="379"/>
      <c r="CS128" s="379"/>
      <c r="CT128" s="379"/>
      <c r="CU128" s="379"/>
      <c r="CV128" s="379"/>
      <c r="CW128" s="379"/>
      <c r="CX128" s="379"/>
      <c r="CY128" s="379"/>
      <c r="CZ128" s="379"/>
      <c r="DA128" s="379"/>
      <c r="DB128" s="379"/>
      <c r="DC128" s="379"/>
      <c r="DD128" s="379"/>
      <c r="DE128" s="379"/>
      <c r="DF128" s="379"/>
      <c r="DG128" s="379"/>
      <c r="DH128" s="379"/>
      <c r="DI128" s="379"/>
      <c r="DJ128" s="379"/>
      <c r="DK128" s="379"/>
      <c r="DL128" s="379"/>
      <c r="DM128" s="379"/>
      <c r="DN128" s="379"/>
      <c r="DO128" s="379"/>
      <c r="DP128" s="379"/>
      <c r="DQ128" s="379"/>
      <c r="DR128" s="379"/>
      <c r="DS128" s="379"/>
      <c r="DT128" s="379"/>
      <c r="DU128" s="379"/>
      <c r="DV128" s="379"/>
      <c r="DW128" s="379"/>
      <c r="DX128" s="379"/>
      <c r="DY128" s="379"/>
      <c r="DZ128" s="379"/>
      <c r="EA128" s="379"/>
      <c r="EB128" s="379"/>
      <c r="EC128" s="379"/>
      <c r="ED128" s="379"/>
      <c r="EE128" s="379"/>
      <c r="EF128" s="379"/>
      <c r="EG128" s="379"/>
      <c r="EH128" s="379"/>
      <c r="EI128" s="379"/>
      <c r="EJ128" s="379"/>
      <c r="EK128" s="379"/>
      <c r="EL128" s="379"/>
      <c r="EM128" s="379"/>
      <c r="EN128" s="379"/>
      <c r="EO128" s="379"/>
      <c r="EP128" s="379"/>
      <c r="EQ128" s="379"/>
      <c r="ER128" s="379"/>
      <c r="ES128" s="379"/>
      <c r="ET128" s="379"/>
      <c r="EU128" s="379"/>
      <c r="EV128" s="379"/>
      <c r="EW128" s="379"/>
      <c r="EX128" s="379"/>
      <c r="EY128" s="379"/>
      <c r="EZ128" s="379"/>
      <c r="FA128" s="379"/>
      <c r="FB128" s="379"/>
      <c r="FC128" s="379"/>
      <c r="FD128" s="379"/>
      <c r="FE128" s="379"/>
      <c r="FF128" s="379"/>
      <c r="FG128" s="379"/>
      <c r="FH128" s="379"/>
      <c r="FI128" s="379"/>
      <c r="FJ128" s="379"/>
      <c r="FK128" s="379"/>
      <c r="FL128" s="379"/>
      <c r="FM128" s="379"/>
      <c r="FN128" s="379"/>
      <c r="FO128" s="379"/>
      <c r="FP128" s="379"/>
      <c r="FQ128" s="379"/>
      <c r="FR128" s="379"/>
      <c r="FS128" s="379"/>
      <c r="FT128" s="379"/>
      <c r="FU128" s="379"/>
      <c r="FV128" s="379"/>
      <c r="FW128" s="379"/>
      <c r="FX128" s="379"/>
      <c r="FY128" s="379"/>
      <c r="FZ128" s="379"/>
      <c r="GA128" s="379"/>
      <c r="GB128" s="379"/>
      <c r="GC128" s="379"/>
      <c r="GD128" s="379"/>
      <c r="GE128" s="379"/>
      <c r="GF128" s="379"/>
      <c r="GG128" s="379"/>
      <c r="GH128" s="379"/>
      <c r="GI128" s="379"/>
      <c r="GJ128" s="379"/>
      <c r="GK128" s="379"/>
      <c r="GL128" s="379"/>
      <c r="GM128" s="379"/>
      <c r="GN128" s="379"/>
      <c r="GO128" s="379"/>
      <c r="GP128" s="379"/>
      <c r="GQ128" s="379"/>
      <c r="GR128" s="379"/>
      <c r="GS128" s="379"/>
      <c r="GT128" s="379"/>
      <c r="GU128" s="379"/>
      <c r="GV128" s="379"/>
      <c r="GW128" s="379"/>
      <c r="GX128" s="379"/>
      <c r="GY128" s="379"/>
      <c r="GZ128" s="379"/>
      <c r="HA128" s="379"/>
      <c r="HB128" s="379"/>
      <c r="HC128" s="379"/>
      <c r="HD128" s="379"/>
      <c r="HE128" s="379"/>
      <c r="HF128" s="379"/>
      <c r="HG128" s="379"/>
      <c r="HH128" s="379"/>
      <c r="HI128" s="379"/>
      <c r="HJ128" s="379"/>
      <c r="HK128" s="379"/>
      <c r="HL128" s="379"/>
      <c r="HM128" s="379"/>
      <c r="HN128" s="379"/>
      <c r="HO128" s="379"/>
      <c r="HP128" s="379"/>
      <c r="HQ128" s="379"/>
      <c r="HR128" s="379"/>
      <c r="HS128" s="379"/>
      <c r="HT128" s="379"/>
      <c r="HU128" s="379"/>
      <c r="HV128" s="379"/>
      <c r="HW128" s="379"/>
      <c r="HX128" s="379"/>
      <c r="HY128" s="379"/>
      <c r="HZ128" s="379"/>
      <c r="IA128" s="379"/>
      <c r="IB128" s="379"/>
      <c r="IC128" s="379"/>
      <c r="ID128" s="379"/>
      <c r="IE128" s="379"/>
      <c r="IF128" s="379"/>
      <c r="IG128" s="379"/>
      <c r="IH128" s="379"/>
      <c r="II128" s="379"/>
      <c r="IJ128" s="379"/>
      <c r="IK128" s="379"/>
      <c r="IL128" s="379"/>
      <c r="IM128" s="379"/>
      <c r="IN128" s="379"/>
      <c r="IO128" s="379"/>
      <c r="IP128" s="379"/>
      <c r="IQ128" s="379"/>
      <c r="IR128" s="379"/>
      <c r="IS128" s="379"/>
      <c r="IT128" s="379"/>
      <c r="IU128" s="379"/>
      <c r="IV128" s="379"/>
      <c r="IW128" s="379"/>
      <c r="IX128" s="379"/>
      <c r="IY128" s="379"/>
      <c r="IZ128" s="379"/>
      <c r="JA128" s="379"/>
      <c r="JB128" s="379"/>
      <c r="JC128" s="379"/>
      <c r="JD128" s="379"/>
      <c r="JE128" s="379"/>
      <c r="JF128" s="379"/>
      <c r="JG128" s="379"/>
      <c r="JH128" s="379"/>
      <c r="JI128" s="379"/>
      <c r="JJ128" s="379"/>
      <c r="JK128" s="379"/>
      <c r="JL128" s="379"/>
      <c r="JM128" s="379"/>
      <c r="JN128" s="379"/>
      <c r="JO128" s="379"/>
      <c r="JP128" s="379"/>
      <c r="JQ128" s="379"/>
      <c r="JR128" s="379"/>
      <c r="JS128" s="379"/>
      <c r="JT128" s="379"/>
      <c r="JU128" s="379"/>
      <c r="JV128" s="379"/>
      <c r="JW128" s="379"/>
      <c r="JX128" s="379"/>
      <c r="JY128" s="379"/>
      <c r="JZ128" s="379"/>
      <c r="KA128" s="379"/>
      <c r="KB128" s="379"/>
      <c r="KC128" s="379"/>
      <c r="KD128" s="379"/>
      <c r="KE128" s="379"/>
      <c r="KF128" s="379"/>
      <c r="KG128" s="379"/>
      <c r="KH128" s="379"/>
      <c r="KI128" s="379"/>
      <c r="KJ128" s="379"/>
      <c r="KK128" s="379"/>
      <c r="KL128" s="379"/>
      <c r="KM128" s="379"/>
      <c r="KN128" s="379"/>
      <c r="KO128" s="379"/>
      <c r="KP128" s="379"/>
      <c r="KQ128" s="379"/>
      <c r="KR128" s="379"/>
      <c r="KS128" s="379"/>
      <c r="KT128" s="379"/>
      <c r="KU128" s="379"/>
      <c r="KV128" s="379"/>
      <c r="KW128" s="379"/>
      <c r="KX128" s="379"/>
      <c r="KY128" s="379"/>
      <c r="KZ128" s="379"/>
      <c r="LA128" s="379"/>
      <c r="LB128" s="379"/>
      <c r="LC128" s="379"/>
      <c r="LD128" s="379"/>
      <c r="LE128" s="379"/>
      <c r="LF128" s="379"/>
      <c r="LG128" s="379"/>
      <c r="LH128" s="379"/>
      <c r="LI128" s="379"/>
      <c r="LJ128" s="379"/>
      <c r="LK128" s="379"/>
      <c r="LL128" s="379"/>
      <c r="LM128" s="379"/>
      <c r="LN128" s="379"/>
      <c r="LO128" s="379"/>
      <c r="LP128" s="379"/>
      <c r="LQ128" s="379"/>
      <c r="LR128" s="379"/>
      <c r="LS128" s="379"/>
      <c r="LT128" s="379"/>
      <c r="LU128" s="379"/>
      <c r="LV128" s="379"/>
      <c r="LW128" s="379"/>
      <c r="LX128" s="379"/>
      <c r="LY128" s="379"/>
      <c r="LZ128" s="379"/>
      <c r="MA128" s="379"/>
      <c r="MB128" s="379"/>
      <c r="MC128" s="379"/>
      <c r="MD128" s="379"/>
      <c r="ME128" s="379"/>
      <c r="MF128" s="379"/>
      <c r="MG128" s="379"/>
      <c r="MH128" s="379"/>
      <c r="MI128" s="379"/>
      <c r="MJ128" s="379"/>
      <c r="MK128" s="379"/>
      <c r="ML128" s="379"/>
      <c r="MM128" s="379"/>
      <c r="MN128" s="379"/>
      <c r="MO128" s="379"/>
      <c r="MP128" s="379"/>
      <c r="MQ128" s="379"/>
      <c r="MR128" s="379"/>
      <c r="MS128" s="379"/>
      <c r="MT128" s="379"/>
      <c r="MU128" s="379"/>
      <c r="MV128" s="379"/>
      <c r="MW128" s="379"/>
      <c r="MX128" s="379"/>
      <c r="MY128" s="379"/>
      <c r="MZ128" s="379"/>
      <c r="NA128" s="379"/>
      <c r="NB128" s="379"/>
      <c r="NC128" s="379"/>
      <c r="ND128" s="379"/>
      <c r="NE128" s="379"/>
      <c r="NF128" s="379"/>
      <c r="NG128" s="379"/>
      <c r="NH128" s="379"/>
      <c r="NI128" s="379"/>
      <c r="NJ128" s="379"/>
      <c r="NK128" s="379"/>
      <c r="NL128" s="379"/>
      <c r="NM128" s="379"/>
      <c r="NN128" s="379"/>
      <c r="NO128" s="379"/>
      <c r="NP128" s="379"/>
      <c r="NQ128" s="379"/>
      <c r="NR128" s="379"/>
      <c r="NS128" s="379"/>
      <c r="NT128" s="379"/>
      <c r="NU128" s="379"/>
      <c r="NV128" s="379"/>
      <c r="NW128" s="379"/>
      <c r="NX128" s="379"/>
      <c r="NY128" s="379"/>
      <c r="NZ128" s="379"/>
      <c r="OA128" s="379"/>
      <c r="OB128" s="379"/>
      <c r="OC128" s="379"/>
      <c r="OD128" s="379"/>
      <c r="OE128" s="379"/>
      <c r="OF128" s="379"/>
      <c r="OG128" s="379"/>
      <c r="OH128" s="379"/>
      <c r="OI128" s="379"/>
      <c r="OJ128" s="379"/>
      <c r="OK128" s="379"/>
      <c r="OL128" s="379"/>
      <c r="OM128" s="379"/>
      <c r="ON128" s="379"/>
      <c r="OO128" s="379"/>
      <c r="OP128" s="379"/>
      <c r="OQ128" s="379"/>
      <c r="OR128" s="379"/>
      <c r="OS128" s="379"/>
      <c r="OT128" s="379"/>
      <c r="OU128" s="379"/>
      <c r="OV128" s="379"/>
      <c r="OW128" s="379"/>
      <c r="OX128" s="379"/>
      <c r="OY128" s="379"/>
      <c r="OZ128" s="379"/>
      <c r="PA128" s="379"/>
      <c r="PB128" s="379"/>
      <c r="PC128" s="379"/>
      <c r="PD128" s="379"/>
      <c r="PE128" s="379"/>
      <c r="PF128" s="379"/>
      <c r="PG128" s="379"/>
      <c r="PH128" s="379"/>
      <c r="PI128" s="379"/>
      <c r="PJ128" s="379"/>
      <c r="PK128" s="379"/>
      <c r="PL128" s="379"/>
      <c r="PM128" s="379"/>
      <c r="PN128" s="379"/>
      <c r="PO128" s="379"/>
      <c r="PP128" s="379"/>
      <c r="PQ128" s="379"/>
      <c r="PR128" s="379"/>
      <c r="PS128" s="379"/>
      <c r="PT128" s="379"/>
      <c r="PU128" s="379"/>
      <c r="PV128" s="379"/>
      <c r="PW128" s="379"/>
      <c r="PX128" s="379"/>
      <c r="PY128" s="379"/>
      <c r="PZ128" s="379"/>
      <c r="QA128" s="379"/>
      <c r="QB128" s="379"/>
      <c r="QC128" s="379"/>
      <c r="QD128" s="379"/>
      <c r="QE128" s="379"/>
      <c r="QF128" s="379"/>
      <c r="QG128" s="379"/>
      <c r="QH128" s="379"/>
      <c r="QI128" s="379"/>
      <c r="QJ128" s="379"/>
      <c r="QK128" s="379"/>
      <c r="QL128" s="379"/>
      <c r="QM128" s="379"/>
      <c r="QN128" s="379"/>
      <c r="QO128" s="379"/>
      <c r="QP128" s="379"/>
      <c r="QQ128" s="379"/>
      <c r="QR128" s="379"/>
      <c r="QS128" s="379"/>
      <c r="QT128" s="379"/>
      <c r="QU128" s="379"/>
      <c r="QV128" s="379"/>
      <c r="QW128" s="379"/>
      <c r="QX128" s="379"/>
      <c r="QY128" s="379"/>
      <c r="QZ128" s="379"/>
      <c r="RA128" s="379"/>
      <c r="RB128" s="379"/>
      <c r="RC128" s="379"/>
      <c r="RD128" s="379"/>
      <c r="RE128" s="379"/>
      <c r="RF128" s="379"/>
      <c r="RG128" s="379"/>
      <c r="RH128" s="379"/>
      <c r="RI128" s="379"/>
      <c r="RJ128" s="379"/>
      <c r="RK128" s="379"/>
      <c r="RL128" s="379"/>
      <c r="RM128" s="379"/>
      <c r="RN128" s="379"/>
      <c r="RO128" s="379"/>
      <c r="RP128" s="379"/>
      <c r="RQ128" s="379"/>
      <c r="RR128" s="379"/>
      <c r="RS128" s="379"/>
      <c r="RT128" s="379"/>
      <c r="RU128" s="379"/>
      <c r="RV128" s="379"/>
      <c r="RW128" s="379"/>
      <c r="RX128" s="379"/>
      <c r="RY128" s="379"/>
      <c r="RZ128" s="379"/>
      <c r="SA128" s="379"/>
      <c r="SB128" s="379"/>
      <c r="SC128" s="379"/>
      <c r="SD128" s="379"/>
      <c r="SE128" s="379"/>
      <c r="SF128" s="379"/>
      <c r="SG128" s="379"/>
      <c r="SH128" s="379"/>
      <c r="SI128" s="379"/>
      <c r="SJ128" s="379"/>
      <c r="SK128" s="379"/>
      <c r="SL128" s="379"/>
      <c r="SM128" s="379"/>
      <c r="SN128" s="379"/>
      <c r="SO128" s="379"/>
      <c r="SP128" s="379"/>
      <c r="SQ128" s="379"/>
      <c r="SR128" s="379"/>
      <c r="SS128" s="379"/>
      <c r="ST128" s="379"/>
      <c r="SU128" s="379"/>
      <c r="SV128" s="379"/>
      <c r="SW128" s="379"/>
      <c r="SX128" s="379"/>
      <c r="SY128" s="379"/>
      <c r="SZ128" s="379"/>
      <c r="TA128" s="379"/>
      <c r="TB128" s="379"/>
      <c r="TC128" s="379"/>
      <c r="TD128" s="379"/>
      <c r="TE128" s="379"/>
      <c r="TF128" s="379"/>
      <c r="TG128" s="379"/>
      <c r="TH128" s="379"/>
      <c r="TI128" s="379"/>
      <c r="TJ128" s="379"/>
      <c r="TK128" s="379"/>
      <c r="TL128" s="379"/>
      <c r="TM128" s="379"/>
      <c r="TN128" s="379"/>
      <c r="TO128" s="379"/>
      <c r="TP128" s="379"/>
      <c r="TQ128" s="379"/>
      <c r="TR128" s="379"/>
      <c r="TS128" s="379"/>
      <c r="TT128" s="379"/>
      <c r="TU128" s="379"/>
      <c r="TV128" s="379"/>
      <c r="TW128" s="379"/>
      <c r="TX128" s="379"/>
      <c r="TY128" s="379"/>
      <c r="TZ128" s="379"/>
      <c r="UA128" s="379"/>
      <c r="UB128" s="379"/>
      <c r="UC128" s="379"/>
      <c r="UD128" s="379"/>
      <c r="UE128" s="379"/>
      <c r="UF128" s="379"/>
      <c r="UG128" s="379"/>
      <c r="UH128" s="379"/>
      <c r="UI128" s="379"/>
      <c r="UJ128" s="379"/>
      <c r="UK128" s="379"/>
      <c r="UL128" s="379"/>
      <c r="UM128" s="379"/>
      <c r="UN128" s="379"/>
      <c r="UO128" s="379"/>
      <c r="UP128" s="379"/>
      <c r="UQ128" s="379"/>
      <c r="UR128" s="379"/>
      <c r="US128" s="379"/>
      <c r="UT128" s="379"/>
      <c r="UU128" s="379"/>
      <c r="UV128" s="379"/>
      <c r="UW128" s="379"/>
      <c r="UX128" s="379"/>
      <c r="UY128" s="379"/>
      <c r="UZ128" s="379"/>
      <c r="VA128" s="379"/>
      <c r="VB128" s="379"/>
      <c r="VC128" s="379"/>
      <c r="VD128" s="379"/>
      <c r="VE128" s="379"/>
      <c r="VF128" s="379"/>
      <c r="VG128" s="379"/>
      <c r="VH128" s="379"/>
      <c r="VI128" s="379"/>
      <c r="VJ128" s="379"/>
      <c r="VK128" s="379"/>
      <c r="VL128" s="379"/>
      <c r="VM128" s="379"/>
      <c r="VN128" s="379"/>
      <c r="VO128" s="379"/>
      <c r="VP128" s="379"/>
      <c r="VQ128" s="379"/>
      <c r="VR128" s="379"/>
      <c r="VS128" s="379"/>
      <c r="VT128" s="379"/>
      <c r="VU128" s="379"/>
      <c r="VV128" s="379"/>
      <c r="VW128" s="379"/>
      <c r="VX128" s="379"/>
      <c r="VY128" s="379"/>
      <c r="VZ128" s="379"/>
      <c r="WA128" s="379"/>
      <c r="WB128" s="379"/>
      <c r="WC128" s="379"/>
      <c r="WD128" s="379"/>
      <c r="WE128" s="379"/>
      <c r="WF128" s="379"/>
      <c r="WG128" s="379"/>
      <c r="WH128" s="379"/>
      <c r="WI128" s="379"/>
      <c r="WJ128" s="379"/>
      <c r="WK128" s="379"/>
      <c r="WL128" s="379"/>
      <c r="WM128" s="379"/>
      <c r="WN128" s="379"/>
      <c r="WO128" s="379"/>
      <c r="WP128" s="379"/>
      <c r="WQ128" s="379"/>
      <c r="WR128" s="379"/>
      <c r="WS128" s="379"/>
      <c r="WT128" s="379"/>
      <c r="WU128" s="379"/>
      <c r="WV128" s="379"/>
      <c r="WW128" s="379"/>
      <c r="WX128" s="379"/>
      <c r="WY128" s="379"/>
      <c r="WZ128" s="379"/>
      <c r="XA128" s="379"/>
      <c r="XB128" s="379"/>
      <c r="XC128" s="379"/>
      <c r="XD128" s="379"/>
      <c r="XE128" s="379"/>
      <c r="XF128" s="379"/>
      <c r="XG128" s="379"/>
      <c r="XH128" s="379"/>
      <c r="XI128" s="379"/>
      <c r="XJ128" s="379"/>
      <c r="XK128" s="379"/>
      <c r="XL128" s="379"/>
      <c r="XM128" s="379"/>
      <c r="XN128" s="379"/>
      <c r="XO128" s="379"/>
      <c r="XP128" s="379"/>
      <c r="XQ128" s="379"/>
      <c r="XR128" s="379"/>
      <c r="XS128" s="379"/>
      <c r="XT128" s="379"/>
      <c r="XU128" s="379"/>
      <c r="XV128" s="379"/>
      <c r="XW128" s="379"/>
      <c r="XX128" s="379"/>
      <c r="XY128" s="379"/>
      <c r="XZ128" s="379"/>
      <c r="YA128" s="379"/>
      <c r="YB128" s="379"/>
      <c r="YC128" s="379"/>
      <c r="YD128" s="379"/>
      <c r="YE128" s="379"/>
      <c r="YF128" s="379"/>
      <c r="YG128" s="379"/>
      <c r="YH128" s="379"/>
      <c r="YI128" s="379"/>
      <c r="YJ128" s="379"/>
      <c r="YK128" s="379"/>
      <c r="YL128" s="379"/>
      <c r="YM128" s="379"/>
      <c r="YN128" s="379"/>
      <c r="YO128" s="379"/>
      <c r="YP128" s="379"/>
      <c r="YQ128" s="379"/>
      <c r="YR128" s="379"/>
      <c r="YS128" s="379"/>
      <c r="YT128" s="379"/>
      <c r="YU128" s="379"/>
      <c r="YV128" s="379"/>
      <c r="YW128" s="379"/>
      <c r="YX128" s="379"/>
      <c r="YY128" s="379"/>
      <c r="YZ128" s="379"/>
      <c r="ZA128" s="379"/>
      <c r="ZB128" s="379"/>
      <c r="ZC128" s="379"/>
      <c r="ZD128" s="379"/>
      <c r="ZE128" s="379"/>
      <c r="ZF128" s="379"/>
      <c r="ZG128" s="379"/>
      <c r="ZH128" s="379"/>
      <c r="ZI128" s="379"/>
      <c r="ZJ128" s="379"/>
      <c r="ZK128" s="379"/>
      <c r="ZL128" s="379"/>
      <c r="ZM128" s="379"/>
      <c r="ZN128" s="379"/>
      <c r="ZO128" s="379"/>
      <c r="ZP128" s="379"/>
      <c r="ZQ128" s="379"/>
      <c r="ZR128" s="379"/>
      <c r="ZS128" s="379"/>
      <c r="ZT128" s="379"/>
      <c r="ZU128" s="379"/>
      <c r="ZV128" s="379"/>
      <c r="ZW128" s="379"/>
      <c r="ZX128" s="379"/>
      <c r="ZY128" s="379"/>
      <c r="ZZ128" s="379"/>
      <c r="AAA128" s="379"/>
      <c r="AAB128" s="379"/>
      <c r="AAC128" s="379"/>
      <c r="AAD128" s="379"/>
      <c r="AAE128" s="379"/>
      <c r="AAF128" s="379"/>
      <c r="AAG128" s="379"/>
      <c r="AAH128" s="379"/>
      <c r="AAI128" s="379"/>
      <c r="AAJ128" s="379"/>
      <c r="AAK128" s="379"/>
      <c r="AAL128" s="379"/>
      <c r="AAM128" s="379"/>
      <c r="AAN128" s="379"/>
      <c r="AAO128" s="379"/>
      <c r="AAP128" s="379"/>
      <c r="AAQ128" s="379"/>
      <c r="AAR128" s="379"/>
      <c r="AAS128" s="379"/>
      <c r="AAT128" s="379"/>
      <c r="AAU128" s="379"/>
      <c r="AAV128" s="379"/>
      <c r="AAW128" s="379"/>
      <c r="AAX128" s="379"/>
      <c r="AAY128" s="379"/>
      <c r="AAZ128" s="379"/>
      <c r="ABA128" s="379"/>
      <c r="ABB128" s="379"/>
      <c r="ABC128" s="379"/>
      <c r="ABD128" s="379"/>
      <c r="ABE128" s="379"/>
      <c r="ABF128" s="379"/>
      <c r="ABG128" s="379"/>
      <c r="ABH128" s="379"/>
      <c r="ABI128" s="379"/>
      <c r="ABJ128" s="379"/>
      <c r="ABK128" s="379"/>
      <c r="ABL128" s="379"/>
      <c r="ABM128" s="379"/>
      <c r="ABN128" s="379"/>
      <c r="ABO128" s="379"/>
      <c r="ABP128" s="379"/>
      <c r="ABQ128" s="379"/>
      <c r="ABR128" s="379"/>
      <c r="ABS128" s="379"/>
      <c r="ABT128" s="379"/>
      <c r="ABU128" s="379"/>
      <c r="ABV128" s="379"/>
      <c r="ABW128" s="379"/>
      <c r="ABX128" s="379"/>
      <c r="ABY128" s="379"/>
      <c r="ABZ128" s="379"/>
      <c r="ACA128" s="379"/>
      <c r="ACB128" s="379"/>
      <c r="ACC128" s="379"/>
      <c r="ACD128" s="379"/>
      <c r="ACE128" s="379"/>
      <c r="ACF128" s="379"/>
      <c r="ACG128" s="379"/>
      <c r="ACH128" s="379"/>
      <c r="ACI128" s="379"/>
      <c r="ACJ128" s="379"/>
      <c r="ACK128" s="379"/>
      <c r="ACL128" s="379"/>
      <c r="ACM128" s="379"/>
      <c r="ACN128" s="379"/>
      <c r="ACO128" s="379"/>
      <c r="ACP128" s="379"/>
      <c r="ACQ128" s="379"/>
      <c r="ACR128" s="379"/>
      <c r="ACS128" s="379"/>
      <c r="ACT128" s="379"/>
      <c r="ACU128" s="379"/>
      <c r="ACV128" s="379"/>
      <c r="ACW128" s="379"/>
      <c r="ACX128" s="379"/>
      <c r="ACY128" s="379"/>
      <c r="ACZ128" s="379"/>
      <c r="ADA128" s="379"/>
      <c r="ADB128" s="379"/>
      <c r="ADC128" s="379"/>
      <c r="ADD128" s="379"/>
      <c r="ADE128" s="379"/>
      <c r="ADF128" s="379"/>
      <c r="ADG128" s="379"/>
      <c r="ADH128" s="379"/>
      <c r="ADI128" s="379"/>
      <c r="ADJ128" s="379"/>
      <c r="ADK128" s="379"/>
      <c r="ADL128" s="379"/>
      <c r="ADM128" s="379"/>
      <c r="ADN128" s="379"/>
      <c r="ADO128" s="379"/>
      <c r="ADP128" s="379"/>
      <c r="ADQ128" s="379"/>
      <c r="ADR128" s="379"/>
      <c r="ADS128" s="379"/>
      <c r="ADT128" s="379"/>
      <c r="ADU128" s="379"/>
      <c r="ADV128" s="379"/>
      <c r="ADW128" s="379"/>
      <c r="ADX128" s="379"/>
      <c r="ADY128" s="379"/>
      <c r="ADZ128" s="379"/>
      <c r="AEA128" s="379"/>
      <c r="AEB128" s="379"/>
      <c r="AEC128" s="379"/>
      <c r="AED128" s="379"/>
      <c r="AEE128" s="379"/>
      <c r="AEF128" s="379"/>
      <c r="AEG128" s="379"/>
      <c r="AEH128" s="379"/>
      <c r="AEI128" s="379"/>
      <c r="AEJ128" s="379"/>
      <c r="AEK128" s="379"/>
      <c r="AEL128" s="379"/>
      <c r="AEM128" s="379"/>
      <c r="AEN128" s="379"/>
      <c r="AEO128" s="379"/>
      <c r="AEP128" s="379"/>
      <c r="AEQ128" s="379"/>
      <c r="AER128" s="379"/>
      <c r="AES128" s="379"/>
      <c r="AET128" s="379"/>
      <c r="AEU128" s="379"/>
      <c r="AEV128" s="379"/>
      <c r="AEW128" s="379"/>
      <c r="AEX128" s="379"/>
      <c r="AEY128" s="379"/>
      <c r="AEZ128" s="379"/>
      <c r="AFA128" s="379"/>
      <c r="AFB128" s="379"/>
      <c r="AFC128" s="379"/>
      <c r="AFD128" s="379"/>
      <c r="AFE128" s="379"/>
      <c r="AFF128" s="379"/>
      <c r="AFG128" s="379"/>
      <c r="AFH128" s="379"/>
      <c r="AFI128" s="379"/>
      <c r="AFJ128" s="379"/>
      <c r="AFK128" s="379"/>
      <c r="AFL128" s="379"/>
      <c r="AFM128" s="379"/>
      <c r="AFN128" s="379"/>
      <c r="AFO128" s="379"/>
      <c r="AFP128" s="379"/>
      <c r="AFQ128" s="379"/>
      <c r="AFR128" s="379"/>
      <c r="AFS128" s="379"/>
      <c r="AFT128" s="379"/>
      <c r="AFU128" s="379"/>
      <c r="AFV128" s="379"/>
      <c r="AFW128" s="379"/>
      <c r="AFX128" s="379"/>
      <c r="AFY128" s="379"/>
      <c r="AFZ128" s="379"/>
      <c r="AGA128" s="379"/>
      <c r="AGB128" s="379"/>
      <c r="AGC128" s="379"/>
      <c r="AGD128" s="379"/>
      <c r="AGE128" s="379"/>
      <c r="AGF128" s="379"/>
      <c r="AGG128" s="379"/>
      <c r="AGH128" s="379"/>
      <c r="AGI128" s="379"/>
      <c r="AGJ128" s="379"/>
      <c r="AGK128" s="379"/>
      <c r="AGL128" s="379"/>
      <c r="AGM128" s="379"/>
      <c r="AGN128" s="379"/>
      <c r="AGO128" s="379"/>
      <c r="AGP128" s="379"/>
      <c r="AGQ128" s="379"/>
      <c r="AGR128" s="379"/>
      <c r="AGS128" s="379"/>
      <c r="AGT128" s="379"/>
      <c r="AGU128" s="379"/>
      <c r="AGV128" s="379"/>
      <c r="AGW128" s="379"/>
      <c r="AGX128" s="379"/>
      <c r="AGY128" s="379"/>
      <c r="AGZ128" s="379"/>
      <c r="AHA128" s="379"/>
      <c r="AHB128" s="379"/>
      <c r="AHC128" s="379"/>
      <c r="AHD128" s="379"/>
      <c r="AHE128" s="379"/>
      <c r="AHF128" s="379"/>
      <c r="AHG128" s="379"/>
      <c r="AHH128" s="379"/>
      <c r="AHI128" s="379"/>
      <c r="AHJ128" s="379"/>
      <c r="AHK128" s="379"/>
      <c r="AHL128" s="379"/>
      <c r="AHM128" s="379"/>
      <c r="AHN128" s="379"/>
      <c r="AHO128" s="379"/>
      <c r="AHP128" s="379"/>
      <c r="AHQ128" s="379"/>
      <c r="AHR128" s="379"/>
      <c r="AHS128" s="379"/>
      <c r="AHT128" s="379"/>
      <c r="AHU128" s="379"/>
      <c r="AHV128" s="379"/>
      <c r="AHW128" s="379"/>
      <c r="AHX128" s="379"/>
      <c r="AHY128" s="379"/>
      <c r="AHZ128" s="379"/>
      <c r="AIA128" s="379"/>
      <c r="AIB128" s="379"/>
      <c r="AIC128" s="379"/>
      <c r="AID128" s="379"/>
      <c r="AIE128" s="379"/>
      <c r="AIF128" s="379"/>
      <c r="AIG128" s="379"/>
      <c r="AIH128" s="379"/>
      <c r="AII128" s="379"/>
      <c r="AIJ128" s="379"/>
      <c r="AIK128" s="379"/>
      <c r="AIL128" s="379"/>
      <c r="AIM128" s="379"/>
      <c r="AIN128" s="379"/>
      <c r="AIO128" s="379"/>
      <c r="AIP128" s="379"/>
      <c r="AIQ128" s="379"/>
      <c r="AIR128" s="379"/>
      <c r="AIS128" s="379"/>
      <c r="AIT128" s="379"/>
      <c r="AIU128" s="379"/>
      <c r="AIV128" s="379"/>
      <c r="AIW128" s="379"/>
      <c r="AIX128" s="379"/>
      <c r="AIY128" s="379"/>
      <c r="AIZ128" s="379"/>
      <c r="AJA128" s="379"/>
      <c r="AJB128" s="379"/>
      <c r="AJC128" s="379"/>
      <c r="AJD128" s="379"/>
      <c r="AJE128" s="379"/>
      <c r="AJF128" s="379"/>
      <c r="AJG128" s="379"/>
      <c r="AJH128" s="379"/>
      <c r="AJI128" s="379"/>
      <c r="AJJ128" s="379"/>
      <c r="AJK128" s="379"/>
      <c r="AJL128" s="379"/>
      <c r="AJM128" s="379"/>
      <c r="AJN128" s="379"/>
      <c r="AJO128" s="379"/>
      <c r="AJP128" s="379"/>
      <c r="AJQ128" s="379"/>
      <c r="AJR128" s="379"/>
      <c r="AJS128" s="379"/>
      <c r="AJT128" s="379"/>
      <c r="AJU128" s="379"/>
      <c r="AJV128" s="379"/>
      <c r="AJW128" s="379"/>
      <c r="AJX128" s="379"/>
      <c r="AJY128" s="379"/>
      <c r="AJZ128" s="379"/>
      <c r="AKA128" s="379"/>
      <c r="AKB128" s="379"/>
      <c r="AKC128" s="379"/>
      <c r="AKD128" s="379"/>
      <c r="AKE128" s="379"/>
      <c r="AKF128" s="379"/>
      <c r="AKG128" s="379"/>
      <c r="AKH128" s="379"/>
      <c r="AKI128" s="379"/>
      <c r="AKJ128" s="379"/>
      <c r="AKK128" s="379"/>
      <c r="AKL128" s="379"/>
      <c r="AKM128" s="379"/>
      <c r="AKN128" s="379"/>
      <c r="AKO128" s="379"/>
      <c r="AKP128" s="379"/>
      <c r="AKQ128" s="379"/>
      <c r="AKR128" s="379"/>
      <c r="AKS128" s="379"/>
      <c r="AKT128" s="379"/>
      <c r="AKU128" s="379"/>
      <c r="AKV128" s="379"/>
      <c r="AKW128" s="379"/>
      <c r="AKX128" s="379"/>
      <c r="AKY128" s="379"/>
      <c r="AKZ128" s="379"/>
      <c r="ALA128" s="379"/>
      <c r="ALB128" s="379"/>
      <c r="ALC128" s="379"/>
      <c r="ALD128" s="379"/>
      <c r="ALE128" s="379"/>
      <c r="ALF128" s="379"/>
      <c r="ALG128" s="379"/>
      <c r="ALH128" s="379"/>
      <c r="ALI128" s="379"/>
      <c r="ALJ128" s="379"/>
      <c r="ALK128" s="379"/>
      <c r="ALL128" s="379"/>
      <c r="ALM128" s="379"/>
      <c r="ALN128" s="379"/>
      <c r="ALO128" s="379"/>
      <c r="ALP128" s="379"/>
      <c r="ALQ128" s="379"/>
      <c r="ALR128" s="379"/>
      <c r="ALS128" s="379"/>
      <c r="ALT128" s="379"/>
      <c r="ALU128" s="379"/>
      <c r="ALV128" s="379"/>
      <c r="ALW128" s="379"/>
      <c r="ALX128" s="379"/>
      <c r="ALY128" s="379"/>
      <c r="ALZ128" s="379"/>
      <c r="AMA128" s="379"/>
      <c r="AMB128" s="379"/>
      <c r="AMC128" s="379"/>
      <c r="AMD128" s="379"/>
      <c r="AME128" s="379"/>
      <c r="AMF128" s="379"/>
      <c r="AMG128" s="379"/>
      <c r="AMH128" s="379"/>
      <c r="AMI128" s="379"/>
      <c r="AMJ128" s="379"/>
      <c r="AMK128" s="379"/>
    </row>
    <row r="129" spans="1:1025" s="297" customFormat="1" ht="30" customHeight="1" x14ac:dyDescent="0.25">
      <c r="A129" s="254">
        <v>9</v>
      </c>
      <c r="B129" s="255" t="s">
        <v>251</v>
      </c>
      <c r="C129" s="255" t="s">
        <v>62</v>
      </c>
      <c r="D129" s="254"/>
      <c r="E129" s="255" t="s">
        <v>141</v>
      </c>
      <c r="F129" s="254" t="s">
        <v>458</v>
      </c>
      <c r="G129" s="255" t="s">
        <v>142</v>
      </c>
      <c r="H129" s="258">
        <v>5</v>
      </c>
      <c r="I129" s="258">
        <v>3</v>
      </c>
      <c r="J129" s="258">
        <v>3</v>
      </c>
      <c r="K129" s="378">
        <v>3434.7</v>
      </c>
      <c r="L129" s="378">
        <v>3434.7</v>
      </c>
      <c r="M129" s="378">
        <v>0</v>
      </c>
      <c r="N129" s="258">
        <v>0</v>
      </c>
      <c r="O129" s="378">
        <v>0</v>
      </c>
      <c r="P129" s="378">
        <v>0</v>
      </c>
      <c r="Q129" s="378">
        <v>0</v>
      </c>
      <c r="R129" s="380"/>
      <c r="S129" s="380"/>
      <c r="T129" s="380"/>
      <c r="U129" s="380"/>
      <c r="V129" s="380"/>
      <c r="W129" s="380"/>
      <c r="X129" s="380"/>
      <c r="Y129" s="380"/>
      <c r="Z129" s="380"/>
      <c r="AA129" s="380"/>
      <c r="AB129" s="380"/>
      <c r="AC129" s="380"/>
      <c r="AD129" s="380"/>
      <c r="AE129" s="380"/>
      <c r="AF129" s="380"/>
      <c r="AG129" s="380"/>
      <c r="AH129" s="380"/>
      <c r="AI129" s="380"/>
      <c r="AJ129" s="380"/>
      <c r="AK129" s="380"/>
      <c r="AL129" s="380"/>
      <c r="AM129" s="380"/>
      <c r="AN129" s="380"/>
      <c r="AO129" s="380"/>
      <c r="AP129" s="380"/>
      <c r="AQ129" s="380"/>
      <c r="AR129" s="380"/>
      <c r="AS129" s="380"/>
      <c r="AT129" s="380"/>
      <c r="AU129" s="380"/>
      <c r="AV129" s="380"/>
      <c r="AW129" s="380"/>
      <c r="AX129" s="380"/>
      <c r="AY129" s="380"/>
      <c r="AZ129" s="380"/>
      <c r="BA129" s="380"/>
      <c r="BB129" s="380"/>
      <c r="BC129" s="380"/>
      <c r="BD129" s="380"/>
      <c r="BE129" s="380"/>
      <c r="BF129" s="380"/>
      <c r="BG129" s="380"/>
      <c r="BH129" s="380"/>
      <c r="BI129" s="380"/>
      <c r="BJ129" s="380"/>
      <c r="BK129" s="380"/>
      <c r="BL129" s="380"/>
      <c r="BM129" s="380"/>
      <c r="BN129" s="380"/>
      <c r="BO129" s="380"/>
      <c r="BP129" s="379"/>
      <c r="BQ129" s="379"/>
      <c r="BR129" s="379"/>
      <c r="BS129" s="379"/>
      <c r="BT129" s="379"/>
      <c r="BU129" s="379"/>
      <c r="BV129" s="379"/>
      <c r="BW129" s="379"/>
      <c r="BX129" s="379"/>
      <c r="BY129" s="379"/>
      <c r="BZ129" s="379"/>
      <c r="CA129" s="379"/>
      <c r="CB129" s="379"/>
      <c r="CC129" s="379"/>
      <c r="CD129" s="379"/>
      <c r="CE129" s="379"/>
      <c r="CF129" s="379"/>
      <c r="CG129" s="379"/>
      <c r="CH129" s="379"/>
      <c r="CI129" s="379"/>
      <c r="CJ129" s="379"/>
      <c r="CK129" s="379"/>
      <c r="CL129" s="379"/>
      <c r="CM129" s="379"/>
      <c r="CN129" s="379"/>
      <c r="CO129" s="379"/>
      <c r="CP129" s="379"/>
      <c r="CQ129" s="379"/>
      <c r="CR129" s="379"/>
      <c r="CS129" s="379"/>
      <c r="CT129" s="379"/>
      <c r="CU129" s="379"/>
      <c r="CV129" s="379"/>
      <c r="CW129" s="379"/>
      <c r="CX129" s="379"/>
      <c r="CY129" s="379"/>
      <c r="CZ129" s="379"/>
      <c r="DA129" s="379"/>
      <c r="DB129" s="379"/>
      <c r="DC129" s="379"/>
      <c r="DD129" s="379"/>
      <c r="DE129" s="379"/>
      <c r="DF129" s="379"/>
      <c r="DG129" s="379"/>
      <c r="DH129" s="379"/>
      <c r="DI129" s="379"/>
      <c r="DJ129" s="379"/>
      <c r="DK129" s="379"/>
      <c r="DL129" s="379"/>
      <c r="DM129" s="379"/>
      <c r="DN129" s="379"/>
      <c r="DO129" s="379"/>
      <c r="DP129" s="379"/>
      <c r="DQ129" s="379"/>
      <c r="DR129" s="379"/>
      <c r="DS129" s="379"/>
      <c r="DT129" s="379"/>
      <c r="DU129" s="379"/>
      <c r="DV129" s="379"/>
      <c r="DW129" s="379"/>
      <c r="DX129" s="379"/>
      <c r="DY129" s="379"/>
      <c r="DZ129" s="379"/>
      <c r="EA129" s="379"/>
      <c r="EB129" s="379"/>
      <c r="EC129" s="379"/>
      <c r="ED129" s="379"/>
      <c r="EE129" s="379"/>
      <c r="EF129" s="379"/>
      <c r="EG129" s="379"/>
      <c r="EH129" s="379"/>
      <c r="EI129" s="379"/>
      <c r="EJ129" s="379"/>
      <c r="EK129" s="379"/>
      <c r="EL129" s="379"/>
      <c r="EM129" s="379"/>
      <c r="EN129" s="379"/>
      <c r="EO129" s="379"/>
      <c r="EP129" s="379"/>
      <c r="EQ129" s="379"/>
      <c r="ER129" s="379"/>
      <c r="ES129" s="379"/>
      <c r="ET129" s="379"/>
      <c r="EU129" s="379"/>
      <c r="EV129" s="379"/>
      <c r="EW129" s="379"/>
      <c r="EX129" s="379"/>
      <c r="EY129" s="379"/>
      <c r="EZ129" s="379"/>
      <c r="FA129" s="379"/>
      <c r="FB129" s="379"/>
      <c r="FC129" s="379"/>
      <c r="FD129" s="379"/>
      <c r="FE129" s="379"/>
      <c r="FF129" s="379"/>
      <c r="FG129" s="379"/>
      <c r="FH129" s="379"/>
      <c r="FI129" s="379"/>
      <c r="FJ129" s="379"/>
      <c r="FK129" s="379"/>
      <c r="FL129" s="379"/>
      <c r="FM129" s="379"/>
      <c r="FN129" s="379"/>
      <c r="FO129" s="379"/>
      <c r="FP129" s="379"/>
      <c r="FQ129" s="379"/>
      <c r="FR129" s="379"/>
      <c r="FS129" s="379"/>
      <c r="FT129" s="379"/>
      <c r="FU129" s="379"/>
      <c r="FV129" s="379"/>
      <c r="FW129" s="379"/>
      <c r="FX129" s="379"/>
      <c r="FY129" s="379"/>
      <c r="FZ129" s="379"/>
      <c r="GA129" s="379"/>
      <c r="GB129" s="379"/>
      <c r="GC129" s="379"/>
      <c r="GD129" s="379"/>
      <c r="GE129" s="379"/>
      <c r="GF129" s="379"/>
      <c r="GG129" s="379"/>
      <c r="GH129" s="379"/>
      <c r="GI129" s="379"/>
      <c r="GJ129" s="379"/>
      <c r="GK129" s="379"/>
      <c r="GL129" s="379"/>
      <c r="GM129" s="379"/>
      <c r="GN129" s="379"/>
      <c r="GO129" s="379"/>
      <c r="GP129" s="379"/>
      <c r="GQ129" s="379"/>
      <c r="GR129" s="379"/>
      <c r="GS129" s="379"/>
      <c r="GT129" s="379"/>
      <c r="GU129" s="379"/>
      <c r="GV129" s="379"/>
      <c r="GW129" s="379"/>
      <c r="GX129" s="379"/>
      <c r="GY129" s="379"/>
      <c r="GZ129" s="379"/>
      <c r="HA129" s="379"/>
      <c r="HB129" s="379"/>
      <c r="HC129" s="379"/>
      <c r="HD129" s="379"/>
      <c r="HE129" s="379"/>
      <c r="HF129" s="379"/>
      <c r="HG129" s="379"/>
      <c r="HH129" s="379"/>
      <c r="HI129" s="379"/>
      <c r="HJ129" s="379"/>
      <c r="HK129" s="379"/>
      <c r="HL129" s="379"/>
      <c r="HM129" s="379"/>
      <c r="HN129" s="379"/>
      <c r="HO129" s="379"/>
      <c r="HP129" s="379"/>
      <c r="HQ129" s="379"/>
      <c r="HR129" s="379"/>
      <c r="HS129" s="379"/>
      <c r="HT129" s="379"/>
      <c r="HU129" s="379"/>
      <c r="HV129" s="379"/>
      <c r="HW129" s="379"/>
      <c r="HX129" s="379"/>
      <c r="HY129" s="379"/>
      <c r="HZ129" s="379"/>
      <c r="IA129" s="379"/>
      <c r="IB129" s="379"/>
      <c r="IC129" s="379"/>
      <c r="ID129" s="379"/>
      <c r="IE129" s="379"/>
      <c r="IF129" s="379"/>
      <c r="IG129" s="379"/>
      <c r="IH129" s="379"/>
      <c r="II129" s="379"/>
      <c r="IJ129" s="379"/>
      <c r="IK129" s="379"/>
      <c r="IL129" s="379"/>
      <c r="IM129" s="379"/>
      <c r="IN129" s="379"/>
      <c r="IO129" s="379"/>
      <c r="IP129" s="379"/>
      <c r="IQ129" s="379"/>
      <c r="IR129" s="379"/>
      <c r="IS129" s="379"/>
      <c r="IT129" s="379"/>
      <c r="IU129" s="379"/>
      <c r="IV129" s="379"/>
      <c r="IW129" s="379"/>
      <c r="IX129" s="379"/>
      <c r="IY129" s="379"/>
      <c r="IZ129" s="379"/>
      <c r="JA129" s="379"/>
      <c r="JB129" s="379"/>
      <c r="JC129" s="379"/>
      <c r="JD129" s="379"/>
      <c r="JE129" s="379"/>
      <c r="JF129" s="379"/>
      <c r="JG129" s="379"/>
      <c r="JH129" s="379"/>
      <c r="JI129" s="379"/>
      <c r="JJ129" s="379"/>
      <c r="JK129" s="379"/>
      <c r="JL129" s="379"/>
      <c r="JM129" s="379"/>
      <c r="JN129" s="379"/>
      <c r="JO129" s="379"/>
      <c r="JP129" s="379"/>
      <c r="JQ129" s="379"/>
      <c r="JR129" s="379"/>
      <c r="JS129" s="379"/>
      <c r="JT129" s="379"/>
      <c r="JU129" s="379"/>
      <c r="JV129" s="379"/>
      <c r="JW129" s="379"/>
      <c r="JX129" s="379"/>
      <c r="JY129" s="379"/>
      <c r="JZ129" s="379"/>
      <c r="KA129" s="379"/>
      <c r="KB129" s="379"/>
      <c r="KC129" s="379"/>
      <c r="KD129" s="379"/>
      <c r="KE129" s="379"/>
      <c r="KF129" s="379"/>
      <c r="KG129" s="379"/>
      <c r="KH129" s="379"/>
      <c r="KI129" s="379"/>
      <c r="KJ129" s="379"/>
      <c r="KK129" s="379"/>
      <c r="KL129" s="379"/>
      <c r="KM129" s="379"/>
      <c r="KN129" s="379"/>
      <c r="KO129" s="379"/>
      <c r="KP129" s="379"/>
      <c r="KQ129" s="379"/>
      <c r="KR129" s="379"/>
      <c r="KS129" s="379"/>
      <c r="KT129" s="379"/>
      <c r="KU129" s="379"/>
      <c r="KV129" s="379"/>
      <c r="KW129" s="379"/>
      <c r="KX129" s="379"/>
      <c r="KY129" s="379"/>
      <c r="KZ129" s="379"/>
      <c r="LA129" s="379"/>
      <c r="LB129" s="379"/>
      <c r="LC129" s="379"/>
      <c r="LD129" s="379"/>
      <c r="LE129" s="379"/>
      <c r="LF129" s="379"/>
      <c r="LG129" s="379"/>
      <c r="LH129" s="379"/>
      <c r="LI129" s="379"/>
      <c r="LJ129" s="379"/>
      <c r="LK129" s="379"/>
      <c r="LL129" s="379"/>
      <c r="LM129" s="379"/>
      <c r="LN129" s="379"/>
      <c r="LO129" s="379"/>
      <c r="LP129" s="379"/>
      <c r="LQ129" s="379"/>
      <c r="LR129" s="379"/>
      <c r="LS129" s="379"/>
      <c r="LT129" s="379"/>
      <c r="LU129" s="379"/>
      <c r="LV129" s="379"/>
      <c r="LW129" s="379"/>
      <c r="LX129" s="379"/>
      <c r="LY129" s="379"/>
      <c r="LZ129" s="379"/>
      <c r="MA129" s="379"/>
      <c r="MB129" s="379"/>
      <c r="MC129" s="379"/>
      <c r="MD129" s="379"/>
      <c r="ME129" s="379"/>
      <c r="MF129" s="379"/>
      <c r="MG129" s="379"/>
      <c r="MH129" s="379"/>
      <c r="MI129" s="379"/>
      <c r="MJ129" s="379"/>
      <c r="MK129" s="379"/>
      <c r="ML129" s="379"/>
      <c r="MM129" s="379"/>
      <c r="MN129" s="379"/>
      <c r="MO129" s="379"/>
      <c r="MP129" s="379"/>
      <c r="MQ129" s="379"/>
      <c r="MR129" s="379"/>
      <c r="MS129" s="379"/>
      <c r="MT129" s="379"/>
      <c r="MU129" s="379"/>
      <c r="MV129" s="379"/>
      <c r="MW129" s="379"/>
      <c r="MX129" s="379"/>
      <c r="MY129" s="379"/>
      <c r="MZ129" s="379"/>
      <c r="NA129" s="379"/>
      <c r="NB129" s="379"/>
      <c r="NC129" s="379"/>
      <c r="ND129" s="379"/>
      <c r="NE129" s="379"/>
      <c r="NF129" s="379"/>
      <c r="NG129" s="379"/>
      <c r="NH129" s="379"/>
      <c r="NI129" s="379"/>
      <c r="NJ129" s="379"/>
      <c r="NK129" s="379"/>
      <c r="NL129" s="379"/>
      <c r="NM129" s="379"/>
      <c r="NN129" s="379"/>
      <c r="NO129" s="379"/>
      <c r="NP129" s="379"/>
      <c r="NQ129" s="379"/>
      <c r="NR129" s="379"/>
      <c r="NS129" s="379"/>
      <c r="NT129" s="379"/>
      <c r="NU129" s="379"/>
      <c r="NV129" s="379"/>
      <c r="NW129" s="379"/>
      <c r="NX129" s="379"/>
      <c r="NY129" s="379"/>
      <c r="NZ129" s="379"/>
      <c r="OA129" s="379"/>
      <c r="OB129" s="379"/>
      <c r="OC129" s="379"/>
      <c r="OD129" s="379"/>
      <c r="OE129" s="379"/>
      <c r="OF129" s="379"/>
      <c r="OG129" s="379"/>
      <c r="OH129" s="379"/>
      <c r="OI129" s="379"/>
      <c r="OJ129" s="379"/>
      <c r="OK129" s="379"/>
      <c r="OL129" s="379"/>
      <c r="OM129" s="379"/>
      <c r="ON129" s="379"/>
      <c r="OO129" s="379"/>
      <c r="OP129" s="379"/>
      <c r="OQ129" s="379"/>
      <c r="OR129" s="379"/>
      <c r="OS129" s="379"/>
      <c r="OT129" s="379"/>
      <c r="OU129" s="379"/>
      <c r="OV129" s="379"/>
      <c r="OW129" s="379"/>
      <c r="OX129" s="379"/>
      <c r="OY129" s="379"/>
      <c r="OZ129" s="379"/>
      <c r="PA129" s="379"/>
      <c r="PB129" s="379"/>
      <c r="PC129" s="379"/>
      <c r="PD129" s="379"/>
      <c r="PE129" s="379"/>
      <c r="PF129" s="379"/>
      <c r="PG129" s="379"/>
      <c r="PH129" s="379"/>
      <c r="PI129" s="379"/>
      <c r="PJ129" s="379"/>
      <c r="PK129" s="379"/>
      <c r="PL129" s="379"/>
      <c r="PM129" s="379"/>
      <c r="PN129" s="379"/>
      <c r="PO129" s="379"/>
      <c r="PP129" s="379"/>
      <c r="PQ129" s="379"/>
      <c r="PR129" s="379"/>
      <c r="PS129" s="379"/>
      <c r="PT129" s="379"/>
      <c r="PU129" s="379"/>
      <c r="PV129" s="379"/>
      <c r="PW129" s="379"/>
      <c r="PX129" s="379"/>
      <c r="PY129" s="379"/>
      <c r="PZ129" s="379"/>
      <c r="QA129" s="379"/>
      <c r="QB129" s="379"/>
      <c r="QC129" s="379"/>
      <c r="QD129" s="379"/>
      <c r="QE129" s="379"/>
      <c r="QF129" s="379"/>
      <c r="QG129" s="379"/>
      <c r="QH129" s="379"/>
      <c r="QI129" s="379"/>
      <c r="QJ129" s="379"/>
      <c r="QK129" s="379"/>
      <c r="QL129" s="379"/>
      <c r="QM129" s="379"/>
      <c r="QN129" s="379"/>
      <c r="QO129" s="379"/>
      <c r="QP129" s="379"/>
      <c r="QQ129" s="379"/>
      <c r="QR129" s="379"/>
      <c r="QS129" s="379"/>
      <c r="QT129" s="379"/>
      <c r="QU129" s="379"/>
      <c r="QV129" s="379"/>
      <c r="QW129" s="379"/>
      <c r="QX129" s="379"/>
      <c r="QY129" s="379"/>
      <c r="QZ129" s="379"/>
      <c r="RA129" s="379"/>
      <c r="RB129" s="379"/>
      <c r="RC129" s="379"/>
      <c r="RD129" s="379"/>
      <c r="RE129" s="379"/>
      <c r="RF129" s="379"/>
      <c r="RG129" s="379"/>
      <c r="RH129" s="379"/>
      <c r="RI129" s="379"/>
      <c r="RJ129" s="379"/>
      <c r="RK129" s="379"/>
      <c r="RL129" s="379"/>
      <c r="RM129" s="379"/>
      <c r="RN129" s="379"/>
      <c r="RO129" s="379"/>
      <c r="RP129" s="379"/>
      <c r="RQ129" s="379"/>
      <c r="RR129" s="379"/>
      <c r="RS129" s="379"/>
      <c r="RT129" s="379"/>
      <c r="RU129" s="379"/>
      <c r="RV129" s="379"/>
      <c r="RW129" s="379"/>
      <c r="RX129" s="379"/>
      <c r="RY129" s="379"/>
      <c r="RZ129" s="379"/>
      <c r="SA129" s="379"/>
      <c r="SB129" s="379"/>
      <c r="SC129" s="379"/>
      <c r="SD129" s="379"/>
      <c r="SE129" s="379"/>
      <c r="SF129" s="379"/>
      <c r="SG129" s="379"/>
      <c r="SH129" s="379"/>
      <c r="SI129" s="379"/>
      <c r="SJ129" s="379"/>
      <c r="SK129" s="379"/>
      <c r="SL129" s="379"/>
      <c r="SM129" s="379"/>
      <c r="SN129" s="379"/>
      <c r="SO129" s="379"/>
      <c r="SP129" s="379"/>
      <c r="SQ129" s="379"/>
      <c r="SR129" s="379"/>
      <c r="SS129" s="379"/>
      <c r="ST129" s="379"/>
      <c r="SU129" s="379"/>
      <c r="SV129" s="379"/>
      <c r="SW129" s="379"/>
      <c r="SX129" s="379"/>
      <c r="SY129" s="379"/>
      <c r="SZ129" s="379"/>
      <c r="TA129" s="379"/>
      <c r="TB129" s="379"/>
      <c r="TC129" s="379"/>
      <c r="TD129" s="379"/>
      <c r="TE129" s="379"/>
      <c r="TF129" s="379"/>
      <c r="TG129" s="379"/>
      <c r="TH129" s="379"/>
      <c r="TI129" s="379"/>
      <c r="TJ129" s="379"/>
      <c r="TK129" s="379"/>
      <c r="TL129" s="379"/>
      <c r="TM129" s="379"/>
      <c r="TN129" s="379"/>
      <c r="TO129" s="379"/>
      <c r="TP129" s="379"/>
      <c r="TQ129" s="379"/>
      <c r="TR129" s="379"/>
      <c r="TS129" s="379"/>
      <c r="TT129" s="379"/>
      <c r="TU129" s="379"/>
      <c r="TV129" s="379"/>
      <c r="TW129" s="379"/>
      <c r="TX129" s="379"/>
      <c r="TY129" s="379"/>
      <c r="TZ129" s="379"/>
      <c r="UA129" s="379"/>
      <c r="UB129" s="379"/>
      <c r="UC129" s="379"/>
      <c r="UD129" s="379"/>
      <c r="UE129" s="379"/>
      <c r="UF129" s="379"/>
      <c r="UG129" s="379"/>
      <c r="UH129" s="379"/>
      <c r="UI129" s="379"/>
      <c r="UJ129" s="379"/>
      <c r="UK129" s="379"/>
      <c r="UL129" s="379"/>
      <c r="UM129" s="379"/>
      <c r="UN129" s="379"/>
      <c r="UO129" s="379"/>
      <c r="UP129" s="379"/>
      <c r="UQ129" s="379"/>
      <c r="UR129" s="379"/>
      <c r="US129" s="379"/>
      <c r="UT129" s="379"/>
      <c r="UU129" s="379"/>
      <c r="UV129" s="379"/>
      <c r="UW129" s="379"/>
      <c r="UX129" s="379"/>
      <c r="UY129" s="379"/>
      <c r="UZ129" s="379"/>
      <c r="VA129" s="379"/>
      <c r="VB129" s="379"/>
      <c r="VC129" s="379"/>
      <c r="VD129" s="379"/>
      <c r="VE129" s="379"/>
      <c r="VF129" s="379"/>
      <c r="VG129" s="379"/>
      <c r="VH129" s="379"/>
      <c r="VI129" s="379"/>
      <c r="VJ129" s="379"/>
      <c r="VK129" s="379"/>
      <c r="VL129" s="379"/>
      <c r="VM129" s="379"/>
      <c r="VN129" s="379"/>
      <c r="VO129" s="379"/>
      <c r="VP129" s="379"/>
      <c r="VQ129" s="379"/>
      <c r="VR129" s="379"/>
      <c r="VS129" s="379"/>
      <c r="VT129" s="379"/>
      <c r="VU129" s="379"/>
      <c r="VV129" s="379"/>
      <c r="VW129" s="379"/>
      <c r="VX129" s="379"/>
      <c r="VY129" s="379"/>
      <c r="VZ129" s="379"/>
      <c r="WA129" s="379"/>
      <c r="WB129" s="379"/>
      <c r="WC129" s="379"/>
      <c r="WD129" s="379"/>
      <c r="WE129" s="379"/>
      <c r="WF129" s="379"/>
      <c r="WG129" s="379"/>
      <c r="WH129" s="379"/>
      <c r="WI129" s="379"/>
      <c r="WJ129" s="379"/>
      <c r="WK129" s="379"/>
      <c r="WL129" s="379"/>
      <c r="WM129" s="379"/>
      <c r="WN129" s="379"/>
      <c r="WO129" s="379"/>
      <c r="WP129" s="379"/>
      <c r="WQ129" s="379"/>
      <c r="WR129" s="379"/>
      <c r="WS129" s="379"/>
      <c r="WT129" s="379"/>
      <c r="WU129" s="379"/>
      <c r="WV129" s="379"/>
      <c r="WW129" s="379"/>
      <c r="WX129" s="379"/>
      <c r="WY129" s="379"/>
      <c r="WZ129" s="379"/>
      <c r="XA129" s="379"/>
      <c r="XB129" s="379"/>
      <c r="XC129" s="379"/>
      <c r="XD129" s="379"/>
      <c r="XE129" s="379"/>
      <c r="XF129" s="379"/>
      <c r="XG129" s="379"/>
      <c r="XH129" s="379"/>
      <c r="XI129" s="379"/>
      <c r="XJ129" s="379"/>
      <c r="XK129" s="379"/>
      <c r="XL129" s="379"/>
      <c r="XM129" s="379"/>
      <c r="XN129" s="379"/>
      <c r="XO129" s="379"/>
      <c r="XP129" s="379"/>
      <c r="XQ129" s="379"/>
      <c r="XR129" s="379"/>
      <c r="XS129" s="379"/>
      <c r="XT129" s="379"/>
      <c r="XU129" s="379"/>
      <c r="XV129" s="379"/>
      <c r="XW129" s="379"/>
      <c r="XX129" s="379"/>
      <c r="XY129" s="379"/>
      <c r="XZ129" s="379"/>
      <c r="YA129" s="379"/>
      <c r="YB129" s="379"/>
      <c r="YC129" s="379"/>
      <c r="YD129" s="379"/>
      <c r="YE129" s="379"/>
      <c r="YF129" s="379"/>
      <c r="YG129" s="379"/>
      <c r="YH129" s="379"/>
      <c r="YI129" s="379"/>
      <c r="YJ129" s="379"/>
      <c r="YK129" s="379"/>
      <c r="YL129" s="379"/>
      <c r="YM129" s="379"/>
      <c r="YN129" s="379"/>
      <c r="YO129" s="379"/>
      <c r="YP129" s="379"/>
      <c r="YQ129" s="379"/>
      <c r="YR129" s="379"/>
      <c r="YS129" s="379"/>
      <c r="YT129" s="379"/>
      <c r="YU129" s="379"/>
      <c r="YV129" s="379"/>
      <c r="YW129" s="379"/>
      <c r="YX129" s="379"/>
      <c r="YY129" s="379"/>
      <c r="YZ129" s="379"/>
      <c r="ZA129" s="379"/>
      <c r="ZB129" s="379"/>
      <c r="ZC129" s="379"/>
      <c r="ZD129" s="379"/>
      <c r="ZE129" s="379"/>
      <c r="ZF129" s="379"/>
      <c r="ZG129" s="379"/>
      <c r="ZH129" s="379"/>
      <c r="ZI129" s="379"/>
      <c r="ZJ129" s="379"/>
      <c r="ZK129" s="379"/>
      <c r="ZL129" s="379"/>
      <c r="ZM129" s="379"/>
      <c r="ZN129" s="379"/>
      <c r="ZO129" s="379"/>
      <c r="ZP129" s="379"/>
      <c r="ZQ129" s="379"/>
      <c r="ZR129" s="379"/>
      <c r="ZS129" s="379"/>
      <c r="ZT129" s="379"/>
      <c r="ZU129" s="379"/>
      <c r="ZV129" s="379"/>
      <c r="ZW129" s="379"/>
      <c r="ZX129" s="379"/>
      <c r="ZY129" s="379"/>
      <c r="ZZ129" s="379"/>
      <c r="AAA129" s="379"/>
      <c r="AAB129" s="379"/>
      <c r="AAC129" s="379"/>
      <c r="AAD129" s="379"/>
      <c r="AAE129" s="379"/>
      <c r="AAF129" s="379"/>
      <c r="AAG129" s="379"/>
      <c r="AAH129" s="379"/>
      <c r="AAI129" s="379"/>
      <c r="AAJ129" s="379"/>
      <c r="AAK129" s="379"/>
      <c r="AAL129" s="379"/>
      <c r="AAM129" s="379"/>
      <c r="AAN129" s="379"/>
      <c r="AAO129" s="379"/>
      <c r="AAP129" s="379"/>
      <c r="AAQ129" s="379"/>
      <c r="AAR129" s="379"/>
      <c r="AAS129" s="379"/>
      <c r="AAT129" s="379"/>
      <c r="AAU129" s="379"/>
      <c r="AAV129" s="379"/>
      <c r="AAW129" s="379"/>
      <c r="AAX129" s="379"/>
      <c r="AAY129" s="379"/>
      <c r="AAZ129" s="379"/>
      <c r="ABA129" s="379"/>
      <c r="ABB129" s="379"/>
      <c r="ABC129" s="379"/>
      <c r="ABD129" s="379"/>
      <c r="ABE129" s="379"/>
      <c r="ABF129" s="379"/>
      <c r="ABG129" s="379"/>
      <c r="ABH129" s="379"/>
      <c r="ABI129" s="379"/>
      <c r="ABJ129" s="379"/>
      <c r="ABK129" s="379"/>
      <c r="ABL129" s="379"/>
      <c r="ABM129" s="379"/>
      <c r="ABN129" s="379"/>
      <c r="ABO129" s="379"/>
      <c r="ABP129" s="379"/>
      <c r="ABQ129" s="379"/>
      <c r="ABR129" s="379"/>
      <c r="ABS129" s="379"/>
      <c r="ABT129" s="379"/>
      <c r="ABU129" s="379"/>
      <c r="ABV129" s="379"/>
      <c r="ABW129" s="379"/>
      <c r="ABX129" s="379"/>
      <c r="ABY129" s="379"/>
      <c r="ABZ129" s="379"/>
      <c r="ACA129" s="379"/>
      <c r="ACB129" s="379"/>
      <c r="ACC129" s="379"/>
      <c r="ACD129" s="379"/>
      <c r="ACE129" s="379"/>
      <c r="ACF129" s="379"/>
      <c r="ACG129" s="379"/>
      <c r="ACH129" s="379"/>
      <c r="ACI129" s="379"/>
      <c r="ACJ129" s="379"/>
      <c r="ACK129" s="379"/>
      <c r="ACL129" s="379"/>
      <c r="ACM129" s="379"/>
      <c r="ACN129" s="379"/>
      <c r="ACO129" s="379"/>
      <c r="ACP129" s="379"/>
      <c r="ACQ129" s="379"/>
      <c r="ACR129" s="379"/>
      <c r="ACS129" s="379"/>
      <c r="ACT129" s="379"/>
      <c r="ACU129" s="379"/>
      <c r="ACV129" s="379"/>
      <c r="ACW129" s="379"/>
      <c r="ACX129" s="379"/>
      <c r="ACY129" s="379"/>
      <c r="ACZ129" s="379"/>
      <c r="ADA129" s="379"/>
      <c r="ADB129" s="379"/>
      <c r="ADC129" s="379"/>
      <c r="ADD129" s="379"/>
      <c r="ADE129" s="379"/>
      <c r="ADF129" s="379"/>
      <c r="ADG129" s="379"/>
      <c r="ADH129" s="379"/>
      <c r="ADI129" s="379"/>
      <c r="ADJ129" s="379"/>
      <c r="ADK129" s="379"/>
      <c r="ADL129" s="379"/>
      <c r="ADM129" s="379"/>
      <c r="ADN129" s="379"/>
      <c r="ADO129" s="379"/>
      <c r="ADP129" s="379"/>
      <c r="ADQ129" s="379"/>
      <c r="ADR129" s="379"/>
      <c r="ADS129" s="379"/>
      <c r="ADT129" s="379"/>
      <c r="ADU129" s="379"/>
      <c r="ADV129" s="379"/>
      <c r="ADW129" s="379"/>
      <c r="ADX129" s="379"/>
      <c r="ADY129" s="379"/>
      <c r="ADZ129" s="379"/>
      <c r="AEA129" s="379"/>
      <c r="AEB129" s="379"/>
      <c r="AEC129" s="379"/>
      <c r="AED129" s="379"/>
      <c r="AEE129" s="379"/>
      <c r="AEF129" s="379"/>
      <c r="AEG129" s="379"/>
      <c r="AEH129" s="379"/>
      <c r="AEI129" s="379"/>
      <c r="AEJ129" s="379"/>
      <c r="AEK129" s="379"/>
      <c r="AEL129" s="379"/>
      <c r="AEM129" s="379"/>
      <c r="AEN129" s="379"/>
      <c r="AEO129" s="379"/>
      <c r="AEP129" s="379"/>
      <c r="AEQ129" s="379"/>
      <c r="AER129" s="379"/>
      <c r="AES129" s="379"/>
      <c r="AET129" s="379"/>
      <c r="AEU129" s="379"/>
      <c r="AEV129" s="379"/>
      <c r="AEW129" s="379"/>
      <c r="AEX129" s="379"/>
      <c r="AEY129" s="379"/>
      <c r="AEZ129" s="379"/>
      <c r="AFA129" s="379"/>
      <c r="AFB129" s="379"/>
      <c r="AFC129" s="379"/>
      <c r="AFD129" s="379"/>
      <c r="AFE129" s="379"/>
      <c r="AFF129" s="379"/>
      <c r="AFG129" s="379"/>
      <c r="AFH129" s="379"/>
      <c r="AFI129" s="379"/>
      <c r="AFJ129" s="379"/>
      <c r="AFK129" s="379"/>
      <c r="AFL129" s="379"/>
      <c r="AFM129" s="379"/>
      <c r="AFN129" s="379"/>
      <c r="AFO129" s="379"/>
      <c r="AFP129" s="379"/>
      <c r="AFQ129" s="379"/>
      <c r="AFR129" s="379"/>
      <c r="AFS129" s="379"/>
      <c r="AFT129" s="379"/>
      <c r="AFU129" s="379"/>
      <c r="AFV129" s="379"/>
      <c r="AFW129" s="379"/>
      <c r="AFX129" s="379"/>
      <c r="AFY129" s="379"/>
      <c r="AFZ129" s="379"/>
      <c r="AGA129" s="379"/>
      <c r="AGB129" s="379"/>
      <c r="AGC129" s="379"/>
      <c r="AGD129" s="379"/>
      <c r="AGE129" s="379"/>
      <c r="AGF129" s="379"/>
      <c r="AGG129" s="379"/>
      <c r="AGH129" s="379"/>
      <c r="AGI129" s="379"/>
      <c r="AGJ129" s="379"/>
      <c r="AGK129" s="379"/>
      <c r="AGL129" s="379"/>
      <c r="AGM129" s="379"/>
      <c r="AGN129" s="379"/>
      <c r="AGO129" s="379"/>
      <c r="AGP129" s="379"/>
      <c r="AGQ129" s="379"/>
      <c r="AGR129" s="379"/>
      <c r="AGS129" s="379"/>
      <c r="AGT129" s="379"/>
      <c r="AGU129" s="379"/>
      <c r="AGV129" s="379"/>
      <c r="AGW129" s="379"/>
      <c r="AGX129" s="379"/>
      <c r="AGY129" s="379"/>
      <c r="AGZ129" s="379"/>
      <c r="AHA129" s="379"/>
      <c r="AHB129" s="379"/>
      <c r="AHC129" s="379"/>
      <c r="AHD129" s="379"/>
      <c r="AHE129" s="379"/>
      <c r="AHF129" s="379"/>
      <c r="AHG129" s="379"/>
      <c r="AHH129" s="379"/>
      <c r="AHI129" s="379"/>
      <c r="AHJ129" s="379"/>
      <c r="AHK129" s="379"/>
      <c r="AHL129" s="379"/>
      <c r="AHM129" s="379"/>
      <c r="AHN129" s="379"/>
      <c r="AHO129" s="379"/>
      <c r="AHP129" s="379"/>
      <c r="AHQ129" s="379"/>
      <c r="AHR129" s="379"/>
      <c r="AHS129" s="379"/>
      <c r="AHT129" s="379"/>
      <c r="AHU129" s="379"/>
      <c r="AHV129" s="379"/>
      <c r="AHW129" s="379"/>
      <c r="AHX129" s="379"/>
      <c r="AHY129" s="379"/>
      <c r="AHZ129" s="379"/>
      <c r="AIA129" s="379"/>
      <c r="AIB129" s="379"/>
      <c r="AIC129" s="379"/>
      <c r="AID129" s="379"/>
      <c r="AIE129" s="379"/>
      <c r="AIF129" s="379"/>
      <c r="AIG129" s="379"/>
      <c r="AIH129" s="379"/>
      <c r="AII129" s="379"/>
      <c r="AIJ129" s="379"/>
      <c r="AIK129" s="379"/>
      <c r="AIL129" s="379"/>
      <c r="AIM129" s="379"/>
      <c r="AIN129" s="379"/>
      <c r="AIO129" s="379"/>
      <c r="AIP129" s="379"/>
      <c r="AIQ129" s="379"/>
      <c r="AIR129" s="379"/>
      <c r="AIS129" s="379"/>
      <c r="AIT129" s="379"/>
      <c r="AIU129" s="379"/>
      <c r="AIV129" s="379"/>
      <c r="AIW129" s="379"/>
      <c r="AIX129" s="379"/>
      <c r="AIY129" s="379"/>
      <c r="AIZ129" s="379"/>
      <c r="AJA129" s="379"/>
      <c r="AJB129" s="379"/>
      <c r="AJC129" s="379"/>
      <c r="AJD129" s="379"/>
      <c r="AJE129" s="379"/>
      <c r="AJF129" s="379"/>
      <c r="AJG129" s="379"/>
      <c r="AJH129" s="379"/>
      <c r="AJI129" s="379"/>
      <c r="AJJ129" s="379"/>
      <c r="AJK129" s="379"/>
      <c r="AJL129" s="379"/>
      <c r="AJM129" s="379"/>
      <c r="AJN129" s="379"/>
      <c r="AJO129" s="379"/>
      <c r="AJP129" s="379"/>
      <c r="AJQ129" s="379"/>
      <c r="AJR129" s="379"/>
      <c r="AJS129" s="379"/>
      <c r="AJT129" s="379"/>
      <c r="AJU129" s="379"/>
      <c r="AJV129" s="379"/>
      <c r="AJW129" s="379"/>
      <c r="AJX129" s="379"/>
      <c r="AJY129" s="379"/>
      <c r="AJZ129" s="379"/>
      <c r="AKA129" s="379"/>
      <c r="AKB129" s="379"/>
      <c r="AKC129" s="379"/>
      <c r="AKD129" s="379"/>
      <c r="AKE129" s="379"/>
      <c r="AKF129" s="379"/>
      <c r="AKG129" s="379"/>
      <c r="AKH129" s="379"/>
      <c r="AKI129" s="379"/>
      <c r="AKJ129" s="379"/>
      <c r="AKK129" s="379"/>
      <c r="AKL129" s="379"/>
      <c r="AKM129" s="379"/>
      <c r="AKN129" s="379"/>
      <c r="AKO129" s="379"/>
      <c r="AKP129" s="379"/>
      <c r="AKQ129" s="379"/>
      <c r="AKR129" s="379"/>
      <c r="AKS129" s="379"/>
      <c r="AKT129" s="379"/>
      <c r="AKU129" s="379"/>
      <c r="AKV129" s="379"/>
      <c r="AKW129" s="379"/>
      <c r="AKX129" s="379"/>
      <c r="AKY129" s="379"/>
      <c r="AKZ129" s="379"/>
      <c r="ALA129" s="379"/>
      <c r="ALB129" s="379"/>
      <c r="ALC129" s="379"/>
      <c r="ALD129" s="379"/>
      <c r="ALE129" s="379"/>
      <c r="ALF129" s="379"/>
      <c r="ALG129" s="379"/>
      <c r="ALH129" s="379"/>
      <c r="ALI129" s="379"/>
      <c r="ALJ129" s="379"/>
      <c r="ALK129" s="379"/>
      <c r="ALL129" s="379"/>
      <c r="ALM129" s="379"/>
      <c r="ALN129" s="379"/>
      <c r="ALO129" s="379"/>
      <c r="ALP129" s="379"/>
      <c r="ALQ129" s="379"/>
      <c r="ALR129" s="379"/>
      <c r="ALS129" s="379"/>
      <c r="ALT129" s="379"/>
      <c r="ALU129" s="379"/>
      <c r="ALV129" s="379"/>
      <c r="ALW129" s="379"/>
      <c r="ALX129" s="379"/>
      <c r="ALY129" s="379"/>
      <c r="ALZ129" s="379"/>
      <c r="AMA129" s="379"/>
      <c r="AMB129" s="379"/>
      <c r="AMC129" s="379"/>
      <c r="AMD129" s="379"/>
      <c r="AME129" s="379"/>
      <c r="AMF129" s="379"/>
      <c r="AMG129" s="379"/>
      <c r="AMH129" s="379"/>
      <c r="AMI129" s="379"/>
      <c r="AMJ129" s="379"/>
      <c r="AMK129" s="379"/>
    </row>
    <row r="130" spans="1:1025" s="297" customFormat="1" ht="30" customHeight="1" x14ac:dyDescent="0.25">
      <c r="A130" s="254">
        <v>10</v>
      </c>
      <c r="B130" s="255" t="s">
        <v>30</v>
      </c>
      <c r="C130" s="255" t="s">
        <v>62</v>
      </c>
      <c r="D130" s="254"/>
      <c r="E130" s="255" t="s">
        <v>459</v>
      </c>
      <c r="F130" s="254" t="s">
        <v>460</v>
      </c>
      <c r="G130" s="255" t="s">
        <v>142</v>
      </c>
      <c r="H130" s="258">
        <v>1</v>
      </c>
      <c r="I130" s="258">
        <v>0</v>
      </c>
      <c r="J130" s="258">
        <v>0</v>
      </c>
      <c r="K130" s="378">
        <v>0</v>
      </c>
      <c r="L130" s="378">
        <v>0</v>
      </c>
      <c r="M130" s="378">
        <v>0</v>
      </c>
      <c r="N130" s="258">
        <v>0</v>
      </c>
      <c r="O130" s="378">
        <v>0</v>
      </c>
      <c r="P130" s="378">
        <v>0</v>
      </c>
      <c r="Q130" s="378">
        <v>0</v>
      </c>
      <c r="R130" s="380"/>
      <c r="S130" s="380"/>
      <c r="T130" s="380"/>
      <c r="U130" s="380"/>
      <c r="V130" s="380"/>
      <c r="W130" s="380"/>
      <c r="X130" s="380"/>
      <c r="Y130" s="380"/>
      <c r="Z130" s="380"/>
      <c r="AA130" s="380"/>
      <c r="AB130" s="380"/>
      <c r="AC130" s="380"/>
      <c r="AD130" s="380"/>
      <c r="AE130" s="380"/>
      <c r="AF130" s="380"/>
      <c r="AG130" s="380"/>
      <c r="AH130" s="380"/>
      <c r="AI130" s="380"/>
      <c r="AJ130" s="380"/>
      <c r="AK130" s="380"/>
      <c r="AL130" s="380"/>
      <c r="AM130" s="380"/>
      <c r="AN130" s="380"/>
      <c r="AO130" s="380"/>
      <c r="AP130" s="380"/>
      <c r="AQ130" s="380"/>
      <c r="AR130" s="380"/>
      <c r="AS130" s="380"/>
      <c r="AT130" s="380"/>
      <c r="AU130" s="380"/>
      <c r="AV130" s="380"/>
      <c r="AW130" s="380"/>
      <c r="AX130" s="380"/>
      <c r="AY130" s="380"/>
      <c r="AZ130" s="380"/>
      <c r="BA130" s="380"/>
      <c r="BB130" s="380"/>
      <c r="BC130" s="380"/>
      <c r="BD130" s="380"/>
      <c r="BE130" s="380"/>
      <c r="BF130" s="380"/>
      <c r="BG130" s="380"/>
      <c r="BH130" s="380"/>
      <c r="BI130" s="380"/>
      <c r="BJ130" s="380"/>
      <c r="BK130" s="380"/>
      <c r="BL130" s="380"/>
      <c r="BM130" s="380"/>
      <c r="BN130" s="380"/>
      <c r="BO130" s="380"/>
      <c r="BP130" s="379"/>
      <c r="BQ130" s="379"/>
      <c r="BR130" s="379"/>
      <c r="BS130" s="379"/>
      <c r="BT130" s="379"/>
      <c r="BU130" s="379"/>
      <c r="BV130" s="379"/>
      <c r="BW130" s="379"/>
      <c r="BX130" s="379"/>
      <c r="BY130" s="379"/>
      <c r="BZ130" s="379"/>
      <c r="CA130" s="379"/>
      <c r="CB130" s="379"/>
      <c r="CC130" s="379"/>
      <c r="CD130" s="379"/>
      <c r="CE130" s="379"/>
      <c r="CF130" s="379"/>
      <c r="CG130" s="379"/>
      <c r="CH130" s="379"/>
      <c r="CI130" s="379"/>
      <c r="CJ130" s="379"/>
      <c r="CK130" s="379"/>
      <c r="CL130" s="379"/>
      <c r="CM130" s="379"/>
      <c r="CN130" s="379"/>
      <c r="CO130" s="379"/>
      <c r="CP130" s="379"/>
      <c r="CQ130" s="379"/>
      <c r="CR130" s="379"/>
      <c r="CS130" s="379"/>
      <c r="CT130" s="379"/>
      <c r="CU130" s="379"/>
      <c r="CV130" s="379"/>
      <c r="CW130" s="379"/>
      <c r="CX130" s="379"/>
      <c r="CY130" s="379"/>
      <c r="CZ130" s="379"/>
      <c r="DA130" s="379"/>
      <c r="DB130" s="379"/>
      <c r="DC130" s="379"/>
      <c r="DD130" s="379"/>
      <c r="DE130" s="379"/>
      <c r="DF130" s="379"/>
      <c r="DG130" s="379"/>
      <c r="DH130" s="379"/>
      <c r="DI130" s="379"/>
      <c r="DJ130" s="379"/>
      <c r="DK130" s="379"/>
      <c r="DL130" s="379"/>
      <c r="DM130" s="379"/>
      <c r="DN130" s="379"/>
      <c r="DO130" s="379"/>
      <c r="DP130" s="379"/>
      <c r="DQ130" s="379"/>
      <c r="DR130" s="379"/>
      <c r="DS130" s="379"/>
      <c r="DT130" s="379"/>
      <c r="DU130" s="379"/>
      <c r="DV130" s="379"/>
      <c r="DW130" s="379"/>
      <c r="DX130" s="379"/>
      <c r="DY130" s="379"/>
      <c r="DZ130" s="379"/>
      <c r="EA130" s="379"/>
      <c r="EB130" s="379"/>
      <c r="EC130" s="379"/>
      <c r="ED130" s="379"/>
      <c r="EE130" s="379"/>
      <c r="EF130" s="379"/>
      <c r="EG130" s="379"/>
      <c r="EH130" s="379"/>
      <c r="EI130" s="379"/>
      <c r="EJ130" s="379"/>
      <c r="EK130" s="379"/>
      <c r="EL130" s="379"/>
      <c r="EM130" s="379"/>
      <c r="EN130" s="379"/>
      <c r="EO130" s="379"/>
      <c r="EP130" s="379"/>
      <c r="EQ130" s="379"/>
      <c r="ER130" s="379"/>
      <c r="ES130" s="379"/>
      <c r="ET130" s="379"/>
      <c r="EU130" s="379"/>
      <c r="EV130" s="379"/>
      <c r="EW130" s="379"/>
      <c r="EX130" s="379"/>
      <c r="EY130" s="379"/>
      <c r="EZ130" s="379"/>
      <c r="FA130" s="379"/>
      <c r="FB130" s="379"/>
      <c r="FC130" s="379"/>
      <c r="FD130" s="379"/>
      <c r="FE130" s="379"/>
      <c r="FF130" s="379"/>
      <c r="FG130" s="379"/>
      <c r="FH130" s="379"/>
      <c r="FI130" s="379"/>
      <c r="FJ130" s="379"/>
      <c r="FK130" s="379"/>
      <c r="FL130" s="379"/>
      <c r="FM130" s="379"/>
      <c r="FN130" s="379"/>
      <c r="FO130" s="379"/>
      <c r="FP130" s="379"/>
      <c r="FQ130" s="379"/>
      <c r="FR130" s="379"/>
      <c r="FS130" s="379"/>
      <c r="FT130" s="379"/>
      <c r="FU130" s="379"/>
      <c r="FV130" s="379"/>
      <c r="FW130" s="379"/>
      <c r="FX130" s="379"/>
      <c r="FY130" s="379"/>
      <c r="FZ130" s="379"/>
      <c r="GA130" s="379"/>
      <c r="GB130" s="379"/>
      <c r="GC130" s="379"/>
      <c r="GD130" s="379"/>
      <c r="GE130" s="379"/>
      <c r="GF130" s="379"/>
      <c r="GG130" s="379"/>
      <c r="GH130" s="379"/>
      <c r="GI130" s="379"/>
      <c r="GJ130" s="379"/>
      <c r="GK130" s="379"/>
      <c r="GL130" s="379"/>
      <c r="GM130" s="379"/>
      <c r="GN130" s="379"/>
      <c r="GO130" s="379"/>
      <c r="GP130" s="379"/>
      <c r="GQ130" s="379"/>
      <c r="GR130" s="379"/>
      <c r="GS130" s="379"/>
      <c r="GT130" s="379"/>
      <c r="GU130" s="379"/>
      <c r="GV130" s="379"/>
      <c r="GW130" s="379"/>
      <c r="GX130" s="379"/>
      <c r="GY130" s="379"/>
      <c r="GZ130" s="379"/>
      <c r="HA130" s="379"/>
      <c r="HB130" s="379"/>
      <c r="HC130" s="379"/>
      <c r="HD130" s="379"/>
      <c r="HE130" s="379"/>
      <c r="HF130" s="379"/>
      <c r="HG130" s="379"/>
      <c r="HH130" s="379"/>
      <c r="HI130" s="379"/>
      <c r="HJ130" s="379"/>
      <c r="HK130" s="379"/>
      <c r="HL130" s="379"/>
      <c r="HM130" s="379"/>
      <c r="HN130" s="379"/>
      <c r="HO130" s="379"/>
      <c r="HP130" s="379"/>
      <c r="HQ130" s="379"/>
      <c r="HR130" s="379"/>
      <c r="HS130" s="379"/>
      <c r="HT130" s="379"/>
      <c r="HU130" s="379"/>
      <c r="HV130" s="379"/>
      <c r="HW130" s="379"/>
      <c r="HX130" s="379"/>
      <c r="HY130" s="379"/>
      <c r="HZ130" s="379"/>
      <c r="IA130" s="379"/>
      <c r="IB130" s="379"/>
      <c r="IC130" s="379"/>
      <c r="ID130" s="379"/>
      <c r="IE130" s="379"/>
      <c r="IF130" s="379"/>
      <c r="IG130" s="379"/>
      <c r="IH130" s="379"/>
      <c r="II130" s="379"/>
      <c r="IJ130" s="379"/>
      <c r="IK130" s="379"/>
      <c r="IL130" s="379"/>
      <c r="IM130" s="379"/>
      <c r="IN130" s="379"/>
      <c r="IO130" s="379"/>
      <c r="IP130" s="379"/>
      <c r="IQ130" s="379"/>
      <c r="IR130" s="379"/>
      <c r="IS130" s="379"/>
      <c r="IT130" s="379"/>
      <c r="IU130" s="379"/>
      <c r="IV130" s="379"/>
      <c r="IW130" s="379"/>
      <c r="IX130" s="379"/>
      <c r="IY130" s="379"/>
      <c r="IZ130" s="379"/>
      <c r="JA130" s="379"/>
      <c r="JB130" s="379"/>
      <c r="JC130" s="379"/>
      <c r="JD130" s="379"/>
      <c r="JE130" s="379"/>
      <c r="JF130" s="379"/>
      <c r="JG130" s="379"/>
      <c r="JH130" s="379"/>
      <c r="JI130" s="379"/>
      <c r="JJ130" s="379"/>
      <c r="JK130" s="379"/>
      <c r="JL130" s="379"/>
      <c r="JM130" s="379"/>
      <c r="JN130" s="379"/>
      <c r="JO130" s="379"/>
      <c r="JP130" s="379"/>
      <c r="JQ130" s="379"/>
      <c r="JR130" s="379"/>
      <c r="JS130" s="379"/>
      <c r="JT130" s="379"/>
      <c r="JU130" s="379"/>
      <c r="JV130" s="379"/>
      <c r="JW130" s="379"/>
      <c r="JX130" s="379"/>
      <c r="JY130" s="379"/>
      <c r="JZ130" s="379"/>
      <c r="KA130" s="379"/>
      <c r="KB130" s="379"/>
      <c r="KC130" s="379"/>
      <c r="KD130" s="379"/>
      <c r="KE130" s="379"/>
      <c r="KF130" s="379"/>
      <c r="KG130" s="379"/>
      <c r="KH130" s="379"/>
      <c r="KI130" s="379"/>
      <c r="KJ130" s="379"/>
      <c r="KK130" s="379"/>
      <c r="KL130" s="379"/>
      <c r="KM130" s="379"/>
      <c r="KN130" s="379"/>
      <c r="KO130" s="379"/>
      <c r="KP130" s="379"/>
      <c r="KQ130" s="379"/>
      <c r="KR130" s="379"/>
      <c r="KS130" s="379"/>
      <c r="KT130" s="379"/>
      <c r="KU130" s="379"/>
      <c r="KV130" s="379"/>
      <c r="KW130" s="379"/>
      <c r="KX130" s="379"/>
      <c r="KY130" s="379"/>
      <c r="KZ130" s="379"/>
      <c r="LA130" s="379"/>
      <c r="LB130" s="379"/>
      <c r="LC130" s="379"/>
      <c r="LD130" s="379"/>
      <c r="LE130" s="379"/>
      <c r="LF130" s="379"/>
      <c r="LG130" s="379"/>
      <c r="LH130" s="379"/>
      <c r="LI130" s="379"/>
      <c r="LJ130" s="379"/>
      <c r="LK130" s="379"/>
      <c r="LL130" s="379"/>
      <c r="LM130" s="379"/>
      <c r="LN130" s="379"/>
      <c r="LO130" s="379"/>
      <c r="LP130" s="379"/>
      <c r="LQ130" s="379"/>
      <c r="LR130" s="379"/>
      <c r="LS130" s="379"/>
      <c r="LT130" s="379"/>
      <c r="LU130" s="379"/>
      <c r="LV130" s="379"/>
      <c r="LW130" s="379"/>
      <c r="LX130" s="379"/>
      <c r="LY130" s="379"/>
      <c r="LZ130" s="379"/>
      <c r="MA130" s="379"/>
      <c r="MB130" s="379"/>
      <c r="MC130" s="379"/>
      <c r="MD130" s="379"/>
      <c r="ME130" s="379"/>
      <c r="MF130" s="379"/>
      <c r="MG130" s="379"/>
      <c r="MH130" s="379"/>
      <c r="MI130" s="379"/>
      <c r="MJ130" s="379"/>
      <c r="MK130" s="379"/>
      <c r="ML130" s="379"/>
      <c r="MM130" s="379"/>
      <c r="MN130" s="379"/>
      <c r="MO130" s="379"/>
      <c r="MP130" s="379"/>
      <c r="MQ130" s="379"/>
      <c r="MR130" s="379"/>
      <c r="MS130" s="379"/>
      <c r="MT130" s="379"/>
      <c r="MU130" s="379"/>
      <c r="MV130" s="379"/>
      <c r="MW130" s="379"/>
      <c r="MX130" s="379"/>
      <c r="MY130" s="379"/>
      <c r="MZ130" s="379"/>
      <c r="NA130" s="379"/>
      <c r="NB130" s="379"/>
      <c r="NC130" s="379"/>
      <c r="ND130" s="379"/>
      <c r="NE130" s="379"/>
      <c r="NF130" s="379"/>
      <c r="NG130" s="379"/>
      <c r="NH130" s="379"/>
      <c r="NI130" s="379"/>
      <c r="NJ130" s="379"/>
      <c r="NK130" s="379"/>
      <c r="NL130" s="379"/>
      <c r="NM130" s="379"/>
      <c r="NN130" s="379"/>
      <c r="NO130" s="379"/>
      <c r="NP130" s="379"/>
      <c r="NQ130" s="379"/>
      <c r="NR130" s="379"/>
      <c r="NS130" s="379"/>
      <c r="NT130" s="379"/>
      <c r="NU130" s="379"/>
      <c r="NV130" s="379"/>
      <c r="NW130" s="379"/>
      <c r="NX130" s="379"/>
      <c r="NY130" s="379"/>
      <c r="NZ130" s="379"/>
      <c r="OA130" s="379"/>
      <c r="OB130" s="379"/>
      <c r="OC130" s="379"/>
      <c r="OD130" s="379"/>
      <c r="OE130" s="379"/>
      <c r="OF130" s="379"/>
      <c r="OG130" s="379"/>
      <c r="OH130" s="379"/>
      <c r="OI130" s="379"/>
      <c r="OJ130" s="379"/>
      <c r="OK130" s="379"/>
      <c r="OL130" s="379"/>
      <c r="OM130" s="379"/>
      <c r="ON130" s="379"/>
      <c r="OO130" s="379"/>
      <c r="OP130" s="379"/>
      <c r="OQ130" s="379"/>
      <c r="OR130" s="379"/>
      <c r="OS130" s="379"/>
      <c r="OT130" s="379"/>
      <c r="OU130" s="379"/>
      <c r="OV130" s="379"/>
      <c r="OW130" s="379"/>
      <c r="OX130" s="379"/>
      <c r="OY130" s="379"/>
      <c r="OZ130" s="379"/>
      <c r="PA130" s="379"/>
      <c r="PB130" s="379"/>
      <c r="PC130" s="379"/>
      <c r="PD130" s="379"/>
      <c r="PE130" s="379"/>
      <c r="PF130" s="379"/>
      <c r="PG130" s="379"/>
      <c r="PH130" s="379"/>
      <c r="PI130" s="379"/>
      <c r="PJ130" s="379"/>
      <c r="PK130" s="379"/>
      <c r="PL130" s="379"/>
      <c r="PM130" s="379"/>
      <c r="PN130" s="379"/>
      <c r="PO130" s="379"/>
      <c r="PP130" s="379"/>
      <c r="PQ130" s="379"/>
      <c r="PR130" s="379"/>
      <c r="PS130" s="379"/>
      <c r="PT130" s="379"/>
      <c r="PU130" s="379"/>
      <c r="PV130" s="379"/>
      <c r="PW130" s="379"/>
      <c r="PX130" s="379"/>
      <c r="PY130" s="379"/>
      <c r="PZ130" s="379"/>
      <c r="QA130" s="379"/>
      <c r="QB130" s="379"/>
      <c r="QC130" s="379"/>
      <c r="QD130" s="379"/>
      <c r="QE130" s="379"/>
      <c r="QF130" s="379"/>
      <c r="QG130" s="379"/>
      <c r="QH130" s="379"/>
      <c r="QI130" s="379"/>
      <c r="QJ130" s="379"/>
      <c r="QK130" s="379"/>
      <c r="QL130" s="379"/>
      <c r="QM130" s="379"/>
      <c r="QN130" s="379"/>
      <c r="QO130" s="379"/>
      <c r="QP130" s="379"/>
      <c r="QQ130" s="379"/>
      <c r="QR130" s="379"/>
      <c r="QS130" s="379"/>
      <c r="QT130" s="379"/>
      <c r="QU130" s="379"/>
      <c r="QV130" s="379"/>
      <c r="QW130" s="379"/>
      <c r="QX130" s="379"/>
      <c r="QY130" s="379"/>
      <c r="QZ130" s="379"/>
      <c r="RA130" s="379"/>
      <c r="RB130" s="379"/>
      <c r="RC130" s="379"/>
      <c r="RD130" s="379"/>
      <c r="RE130" s="379"/>
      <c r="RF130" s="379"/>
      <c r="RG130" s="379"/>
      <c r="RH130" s="379"/>
      <c r="RI130" s="379"/>
      <c r="RJ130" s="379"/>
      <c r="RK130" s="379"/>
      <c r="RL130" s="379"/>
      <c r="RM130" s="379"/>
      <c r="RN130" s="379"/>
      <c r="RO130" s="379"/>
      <c r="RP130" s="379"/>
      <c r="RQ130" s="379"/>
      <c r="RR130" s="379"/>
      <c r="RS130" s="379"/>
      <c r="RT130" s="379"/>
      <c r="RU130" s="379"/>
      <c r="RV130" s="379"/>
      <c r="RW130" s="379"/>
      <c r="RX130" s="379"/>
      <c r="RY130" s="379"/>
      <c r="RZ130" s="379"/>
      <c r="SA130" s="379"/>
      <c r="SB130" s="379"/>
      <c r="SC130" s="379"/>
      <c r="SD130" s="379"/>
      <c r="SE130" s="379"/>
      <c r="SF130" s="379"/>
      <c r="SG130" s="379"/>
      <c r="SH130" s="379"/>
      <c r="SI130" s="379"/>
      <c r="SJ130" s="379"/>
      <c r="SK130" s="379"/>
      <c r="SL130" s="379"/>
      <c r="SM130" s="379"/>
      <c r="SN130" s="379"/>
      <c r="SO130" s="379"/>
      <c r="SP130" s="379"/>
      <c r="SQ130" s="379"/>
      <c r="SR130" s="379"/>
      <c r="SS130" s="379"/>
      <c r="ST130" s="379"/>
      <c r="SU130" s="379"/>
      <c r="SV130" s="379"/>
      <c r="SW130" s="379"/>
      <c r="SX130" s="379"/>
      <c r="SY130" s="379"/>
      <c r="SZ130" s="379"/>
      <c r="TA130" s="379"/>
      <c r="TB130" s="379"/>
      <c r="TC130" s="379"/>
      <c r="TD130" s="379"/>
      <c r="TE130" s="379"/>
      <c r="TF130" s="379"/>
      <c r="TG130" s="379"/>
      <c r="TH130" s="379"/>
      <c r="TI130" s="379"/>
      <c r="TJ130" s="379"/>
      <c r="TK130" s="379"/>
      <c r="TL130" s="379"/>
      <c r="TM130" s="379"/>
      <c r="TN130" s="379"/>
      <c r="TO130" s="379"/>
      <c r="TP130" s="379"/>
      <c r="TQ130" s="379"/>
      <c r="TR130" s="379"/>
      <c r="TS130" s="379"/>
      <c r="TT130" s="379"/>
      <c r="TU130" s="379"/>
      <c r="TV130" s="379"/>
      <c r="TW130" s="379"/>
      <c r="TX130" s="379"/>
      <c r="TY130" s="379"/>
      <c r="TZ130" s="379"/>
      <c r="UA130" s="379"/>
      <c r="UB130" s="379"/>
      <c r="UC130" s="379"/>
      <c r="UD130" s="379"/>
      <c r="UE130" s="379"/>
      <c r="UF130" s="379"/>
      <c r="UG130" s="379"/>
      <c r="UH130" s="379"/>
      <c r="UI130" s="379"/>
      <c r="UJ130" s="379"/>
      <c r="UK130" s="379"/>
      <c r="UL130" s="379"/>
      <c r="UM130" s="379"/>
      <c r="UN130" s="379"/>
      <c r="UO130" s="379"/>
      <c r="UP130" s="379"/>
      <c r="UQ130" s="379"/>
      <c r="UR130" s="379"/>
      <c r="US130" s="379"/>
      <c r="UT130" s="379"/>
      <c r="UU130" s="379"/>
      <c r="UV130" s="379"/>
      <c r="UW130" s="379"/>
      <c r="UX130" s="379"/>
      <c r="UY130" s="379"/>
      <c r="UZ130" s="379"/>
      <c r="VA130" s="379"/>
      <c r="VB130" s="379"/>
      <c r="VC130" s="379"/>
      <c r="VD130" s="379"/>
      <c r="VE130" s="379"/>
      <c r="VF130" s="379"/>
      <c r="VG130" s="379"/>
      <c r="VH130" s="379"/>
      <c r="VI130" s="379"/>
      <c r="VJ130" s="379"/>
      <c r="VK130" s="379"/>
      <c r="VL130" s="379"/>
      <c r="VM130" s="379"/>
      <c r="VN130" s="379"/>
      <c r="VO130" s="379"/>
      <c r="VP130" s="379"/>
      <c r="VQ130" s="379"/>
      <c r="VR130" s="379"/>
      <c r="VS130" s="379"/>
      <c r="VT130" s="379"/>
      <c r="VU130" s="379"/>
      <c r="VV130" s="379"/>
      <c r="VW130" s="379"/>
      <c r="VX130" s="379"/>
      <c r="VY130" s="379"/>
      <c r="VZ130" s="379"/>
      <c r="WA130" s="379"/>
      <c r="WB130" s="379"/>
      <c r="WC130" s="379"/>
      <c r="WD130" s="379"/>
      <c r="WE130" s="379"/>
      <c r="WF130" s="379"/>
      <c r="WG130" s="379"/>
      <c r="WH130" s="379"/>
      <c r="WI130" s="379"/>
      <c r="WJ130" s="379"/>
      <c r="WK130" s="379"/>
      <c r="WL130" s="379"/>
      <c r="WM130" s="379"/>
      <c r="WN130" s="379"/>
      <c r="WO130" s="379"/>
      <c r="WP130" s="379"/>
      <c r="WQ130" s="379"/>
      <c r="WR130" s="379"/>
      <c r="WS130" s="379"/>
      <c r="WT130" s="379"/>
      <c r="WU130" s="379"/>
      <c r="WV130" s="379"/>
      <c r="WW130" s="379"/>
      <c r="WX130" s="379"/>
      <c r="WY130" s="379"/>
      <c r="WZ130" s="379"/>
      <c r="XA130" s="379"/>
      <c r="XB130" s="379"/>
      <c r="XC130" s="379"/>
      <c r="XD130" s="379"/>
      <c r="XE130" s="379"/>
      <c r="XF130" s="379"/>
      <c r="XG130" s="379"/>
      <c r="XH130" s="379"/>
      <c r="XI130" s="379"/>
      <c r="XJ130" s="379"/>
      <c r="XK130" s="379"/>
      <c r="XL130" s="379"/>
      <c r="XM130" s="379"/>
      <c r="XN130" s="379"/>
      <c r="XO130" s="379"/>
      <c r="XP130" s="379"/>
      <c r="XQ130" s="379"/>
      <c r="XR130" s="379"/>
      <c r="XS130" s="379"/>
      <c r="XT130" s="379"/>
      <c r="XU130" s="379"/>
      <c r="XV130" s="379"/>
      <c r="XW130" s="379"/>
      <c r="XX130" s="379"/>
      <c r="XY130" s="379"/>
      <c r="XZ130" s="379"/>
      <c r="YA130" s="379"/>
      <c r="YB130" s="379"/>
      <c r="YC130" s="379"/>
      <c r="YD130" s="379"/>
      <c r="YE130" s="379"/>
      <c r="YF130" s="379"/>
      <c r="YG130" s="379"/>
      <c r="YH130" s="379"/>
      <c r="YI130" s="379"/>
      <c r="YJ130" s="379"/>
      <c r="YK130" s="379"/>
      <c r="YL130" s="379"/>
      <c r="YM130" s="379"/>
      <c r="YN130" s="379"/>
      <c r="YO130" s="379"/>
      <c r="YP130" s="379"/>
      <c r="YQ130" s="379"/>
      <c r="YR130" s="379"/>
      <c r="YS130" s="379"/>
      <c r="YT130" s="379"/>
      <c r="YU130" s="379"/>
      <c r="YV130" s="379"/>
      <c r="YW130" s="379"/>
      <c r="YX130" s="379"/>
      <c r="YY130" s="379"/>
      <c r="YZ130" s="379"/>
      <c r="ZA130" s="379"/>
      <c r="ZB130" s="379"/>
      <c r="ZC130" s="379"/>
      <c r="ZD130" s="379"/>
      <c r="ZE130" s="379"/>
      <c r="ZF130" s="379"/>
      <c r="ZG130" s="379"/>
      <c r="ZH130" s="379"/>
      <c r="ZI130" s="379"/>
      <c r="ZJ130" s="379"/>
      <c r="ZK130" s="379"/>
      <c r="ZL130" s="379"/>
      <c r="ZM130" s="379"/>
      <c r="ZN130" s="379"/>
      <c r="ZO130" s="379"/>
      <c r="ZP130" s="379"/>
      <c r="ZQ130" s="379"/>
      <c r="ZR130" s="379"/>
      <c r="ZS130" s="379"/>
      <c r="ZT130" s="379"/>
      <c r="ZU130" s="379"/>
      <c r="ZV130" s="379"/>
      <c r="ZW130" s="379"/>
      <c r="ZX130" s="379"/>
      <c r="ZY130" s="379"/>
      <c r="ZZ130" s="379"/>
      <c r="AAA130" s="379"/>
      <c r="AAB130" s="379"/>
      <c r="AAC130" s="379"/>
      <c r="AAD130" s="379"/>
      <c r="AAE130" s="379"/>
      <c r="AAF130" s="379"/>
      <c r="AAG130" s="379"/>
      <c r="AAH130" s="379"/>
      <c r="AAI130" s="379"/>
      <c r="AAJ130" s="379"/>
      <c r="AAK130" s="379"/>
      <c r="AAL130" s="379"/>
      <c r="AAM130" s="379"/>
      <c r="AAN130" s="379"/>
      <c r="AAO130" s="379"/>
      <c r="AAP130" s="379"/>
      <c r="AAQ130" s="379"/>
      <c r="AAR130" s="379"/>
      <c r="AAS130" s="379"/>
      <c r="AAT130" s="379"/>
      <c r="AAU130" s="379"/>
      <c r="AAV130" s="379"/>
      <c r="AAW130" s="379"/>
      <c r="AAX130" s="379"/>
      <c r="AAY130" s="379"/>
      <c r="AAZ130" s="379"/>
      <c r="ABA130" s="379"/>
      <c r="ABB130" s="379"/>
      <c r="ABC130" s="379"/>
      <c r="ABD130" s="379"/>
      <c r="ABE130" s="379"/>
      <c r="ABF130" s="379"/>
      <c r="ABG130" s="379"/>
      <c r="ABH130" s="379"/>
      <c r="ABI130" s="379"/>
      <c r="ABJ130" s="379"/>
      <c r="ABK130" s="379"/>
      <c r="ABL130" s="379"/>
      <c r="ABM130" s="379"/>
      <c r="ABN130" s="379"/>
      <c r="ABO130" s="379"/>
      <c r="ABP130" s="379"/>
      <c r="ABQ130" s="379"/>
      <c r="ABR130" s="379"/>
      <c r="ABS130" s="379"/>
      <c r="ABT130" s="379"/>
      <c r="ABU130" s="379"/>
      <c r="ABV130" s="379"/>
      <c r="ABW130" s="379"/>
      <c r="ABX130" s="379"/>
      <c r="ABY130" s="379"/>
      <c r="ABZ130" s="379"/>
      <c r="ACA130" s="379"/>
      <c r="ACB130" s="379"/>
      <c r="ACC130" s="379"/>
      <c r="ACD130" s="379"/>
      <c r="ACE130" s="379"/>
      <c r="ACF130" s="379"/>
      <c r="ACG130" s="379"/>
      <c r="ACH130" s="379"/>
      <c r="ACI130" s="379"/>
      <c r="ACJ130" s="379"/>
      <c r="ACK130" s="379"/>
      <c r="ACL130" s="379"/>
      <c r="ACM130" s="379"/>
      <c r="ACN130" s="379"/>
      <c r="ACO130" s="379"/>
      <c r="ACP130" s="379"/>
      <c r="ACQ130" s="379"/>
      <c r="ACR130" s="379"/>
      <c r="ACS130" s="379"/>
      <c r="ACT130" s="379"/>
      <c r="ACU130" s="379"/>
      <c r="ACV130" s="379"/>
      <c r="ACW130" s="379"/>
      <c r="ACX130" s="379"/>
      <c r="ACY130" s="379"/>
      <c r="ACZ130" s="379"/>
      <c r="ADA130" s="379"/>
      <c r="ADB130" s="379"/>
      <c r="ADC130" s="379"/>
      <c r="ADD130" s="379"/>
      <c r="ADE130" s="379"/>
      <c r="ADF130" s="379"/>
      <c r="ADG130" s="379"/>
      <c r="ADH130" s="379"/>
      <c r="ADI130" s="379"/>
      <c r="ADJ130" s="379"/>
      <c r="ADK130" s="379"/>
      <c r="ADL130" s="379"/>
      <c r="ADM130" s="379"/>
      <c r="ADN130" s="379"/>
      <c r="ADO130" s="379"/>
      <c r="ADP130" s="379"/>
      <c r="ADQ130" s="379"/>
      <c r="ADR130" s="379"/>
      <c r="ADS130" s="379"/>
      <c r="ADT130" s="379"/>
      <c r="ADU130" s="379"/>
      <c r="ADV130" s="379"/>
      <c r="ADW130" s="379"/>
      <c r="ADX130" s="379"/>
      <c r="ADY130" s="379"/>
      <c r="ADZ130" s="379"/>
      <c r="AEA130" s="379"/>
      <c r="AEB130" s="379"/>
      <c r="AEC130" s="379"/>
      <c r="AED130" s="379"/>
      <c r="AEE130" s="379"/>
      <c r="AEF130" s="379"/>
      <c r="AEG130" s="379"/>
      <c r="AEH130" s="379"/>
      <c r="AEI130" s="379"/>
      <c r="AEJ130" s="379"/>
      <c r="AEK130" s="379"/>
      <c r="AEL130" s="379"/>
      <c r="AEM130" s="379"/>
      <c r="AEN130" s="379"/>
      <c r="AEO130" s="379"/>
      <c r="AEP130" s="379"/>
      <c r="AEQ130" s="379"/>
      <c r="AER130" s="379"/>
      <c r="AES130" s="379"/>
      <c r="AET130" s="379"/>
      <c r="AEU130" s="379"/>
      <c r="AEV130" s="379"/>
      <c r="AEW130" s="379"/>
      <c r="AEX130" s="379"/>
      <c r="AEY130" s="379"/>
      <c r="AEZ130" s="379"/>
      <c r="AFA130" s="379"/>
      <c r="AFB130" s="379"/>
      <c r="AFC130" s="379"/>
      <c r="AFD130" s="379"/>
      <c r="AFE130" s="379"/>
      <c r="AFF130" s="379"/>
      <c r="AFG130" s="379"/>
      <c r="AFH130" s="379"/>
      <c r="AFI130" s="379"/>
      <c r="AFJ130" s="379"/>
      <c r="AFK130" s="379"/>
      <c r="AFL130" s="379"/>
      <c r="AFM130" s="379"/>
      <c r="AFN130" s="379"/>
      <c r="AFO130" s="379"/>
      <c r="AFP130" s="379"/>
      <c r="AFQ130" s="379"/>
      <c r="AFR130" s="379"/>
      <c r="AFS130" s="379"/>
      <c r="AFT130" s="379"/>
      <c r="AFU130" s="379"/>
      <c r="AFV130" s="379"/>
      <c r="AFW130" s="379"/>
      <c r="AFX130" s="379"/>
      <c r="AFY130" s="379"/>
      <c r="AFZ130" s="379"/>
      <c r="AGA130" s="379"/>
      <c r="AGB130" s="379"/>
      <c r="AGC130" s="379"/>
      <c r="AGD130" s="379"/>
      <c r="AGE130" s="379"/>
      <c r="AGF130" s="379"/>
      <c r="AGG130" s="379"/>
      <c r="AGH130" s="379"/>
      <c r="AGI130" s="379"/>
      <c r="AGJ130" s="379"/>
      <c r="AGK130" s="379"/>
      <c r="AGL130" s="379"/>
      <c r="AGM130" s="379"/>
      <c r="AGN130" s="379"/>
      <c r="AGO130" s="379"/>
      <c r="AGP130" s="379"/>
      <c r="AGQ130" s="379"/>
      <c r="AGR130" s="379"/>
      <c r="AGS130" s="379"/>
      <c r="AGT130" s="379"/>
      <c r="AGU130" s="379"/>
      <c r="AGV130" s="379"/>
      <c r="AGW130" s="379"/>
      <c r="AGX130" s="379"/>
      <c r="AGY130" s="379"/>
      <c r="AGZ130" s="379"/>
      <c r="AHA130" s="379"/>
      <c r="AHB130" s="379"/>
      <c r="AHC130" s="379"/>
      <c r="AHD130" s="379"/>
      <c r="AHE130" s="379"/>
      <c r="AHF130" s="379"/>
      <c r="AHG130" s="379"/>
      <c r="AHH130" s="379"/>
      <c r="AHI130" s="379"/>
      <c r="AHJ130" s="379"/>
      <c r="AHK130" s="379"/>
      <c r="AHL130" s="379"/>
      <c r="AHM130" s="379"/>
      <c r="AHN130" s="379"/>
      <c r="AHO130" s="379"/>
      <c r="AHP130" s="379"/>
      <c r="AHQ130" s="379"/>
      <c r="AHR130" s="379"/>
      <c r="AHS130" s="379"/>
      <c r="AHT130" s="379"/>
      <c r="AHU130" s="379"/>
      <c r="AHV130" s="379"/>
      <c r="AHW130" s="379"/>
      <c r="AHX130" s="379"/>
      <c r="AHY130" s="379"/>
      <c r="AHZ130" s="379"/>
      <c r="AIA130" s="379"/>
      <c r="AIB130" s="379"/>
      <c r="AIC130" s="379"/>
      <c r="AID130" s="379"/>
      <c r="AIE130" s="379"/>
      <c r="AIF130" s="379"/>
      <c r="AIG130" s="379"/>
      <c r="AIH130" s="379"/>
      <c r="AII130" s="379"/>
      <c r="AIJ130" s="379"/>
      <c r="AIK130" s="379"/>
      <c r="AIL130" s="379"/>
      <c r="AIM130" s="379"/>
      <c r="AIN130" s="379"/>
      <c r="AIO130" s="379"/>
      <c r="AIP130" s="379"/>
      <c r="AIQ130" s="379"/>
      <c r="AIR130" s="379"/>
      <c r="AIS130" s="379"/>
      <c r="AIT130" s="379"/>
      <c r="AIU130" s="379"/>
      <c r="AIV130" s="379"/>
      <c r="AIW130" s="379"/>
      <c r="AIX130" s="379"/>
      <c r="AIY130" s="379"/>
      <c r="AIZ130" s="379"/>
      <c r="AJA130" s="379"/>
      <c r="AJB130" s="379"/>
      <c r="AJC130" s="379"/>
      <c r="AJD130" s="379"/>
      <c r="AJE130" s="379"/>
      <c r="AJF130" s="379"/>
      <c r="AJG130" s="379"/>
      <c r="AJH130" s="379"/>
      <c r="AJI130" s="379"/>
      <c r="AJJ130" s="379"/>
      <c r="AJK130" s="379"/>
      <c r="AJL130" s="379"/>
      <c r="AJM130" s="379"/>
      <c r="AJN130" s="379"/>
      <c r="AJO130" s="379"/>
      <c r="AJP130" s="379"/>
      <c r="AJQ130" s="379"/>
      <c r="AJR130" s="379"/>
      <c r="AJS130" s="379"/>
      <c r="AJT130" s="379"/>
      <c r="AJU130" s="379"/>
      <c r="AJV130" s="379"/>
      <c r="AJW130" s="379"/>
      <c r="AJX130" s="379"/>
      <c r="AJY130" s="379"/>
      <c r="AJZ130" s="379"/>
      <c r="AKA130" s="379"/>
      <c r="AKB130" s="379"/>
      <c r="AKC130" s="379"/>
      <c r="AKD130" s="379"/>
      <c r="AKE130" s="379"/>
      <c r="AKF130" s="379"/>
      <c r="AKG130" s="379"/>
      <c r="AKH130" s="379"/>
      <c r="AKI130" s="379"/>
      <c r="AKJ130" s="379"/>
      <c r="AKK130" s="379"/>
      <c r="AKL130" s="379"/>
      <c r="AKM130" s="379"/>
      <c r="AKN130" s="379"/>
      <c r="AKO130" s="379"/>
      <c r="AKP130" s="379"/>
      <c r="AKQ130" s="379"/>
      <c r="AKR130" s="379"/>
      <c r="AKS130" s="379"/>
      <c r="AKT130" s="379"/>
      <c r="AKU130" s="379"/>
      <c r="AKV130" s="379"/>
      <c r="AKW130" s="379"/>
      <c r="AKX130" s="379"/>
      <c r="AKY130" s="379"/>
      <c r="AKZ130" s="379"/>
      <c r="ALA130" s="379"/>
      <c r="ALB130" s="379"/>
      <c r="ALC130" s="379"/>
      <c r="ALD130" s="379"/>
      <c r="ALE130" s="379"/>
      <c r="ALF130" s="379"/>
      <c r="ALG130" s="379"/>
      <c r="ALH130" s="379"/>
      <c r="ALI130" s="379"/>
      <c r="ALJ130" s="379"/>
      <c r="ALK130" s="379"/>
      <c r="ALL130" s="379"/>
      <c r="ALM130" s="379"/>
      <c r="ALN130" s="379"/>
      <c r="ALO130" s="379"/>
      <c r="ALP130" s="379"/>
      <c r="ALQ130" s="379"/>
      <c r="ALR130" s="379"/>
      <c r="ALS130" s="379"/>
      <c r="ALT130" s="379"/>
      <c r="ALU130" s="379"/>
      <c r="ALV130" s="379"/>
      <c r="ALW130" s="379"/>
      <c r="ALX130" s="379"/>
      <c r="ALY130" s="379"/>
      <c r="ALZ130" s="379"/>
      <c r="AMA130" s="379"/>
      <c r="AMB130" s="379"/>
      <c r="AMC130" s="379"/>
      <c r="AMD130" s="379"/>
      <c r="AME130" s="379"/>
      <c r="AMF130" s="379"/>
      <c r="AMG130" s="379"/>
      <c r="AMH130" s="379"/>
      <c r="AMI130" s="379"/>
      <c r="AMJ130" s="379"/>
      <c r="AMK130" s="379"/>
    </row>
    <row r="131" spans="1:1025" s="297" customFormat="1" ht="30" customHeight="1" x14ac:dyDescent="0.25">
      <c r="A131" s="254">
        <v>11</v>
      </c>
      <c r="B131" s="255" t="s">
        <v>35</v>
      </c>
      <c r="C131" s="255" t="s">
        <v>62</v>
      </c>
      <c r="D131" s="254"/>
      <c r="E131" s="255" t="s">
        <v>461</v>
      </c>
      <c r="F131" s="254" t="s">
        <v>462</v>
      </c>
      <c r="G131" s="255" t="s">
        <v>142</v>
      </c>
      <c r="H131" s="258">
        <v>1</v>
      </c>
      <c r="I131" s="258">
        <v>0</v>
      </c>
      <c r="J131" s="258">
        <v>0</v>
      </c>
      <c r="K131" s="378">
        <v>0</v>
      </c>
      <c r="L131" s="378">
        <v>0</v>
      </c>
      <c r="M131" s="378">
        <v>0</v>
      </c>
      <c r="N131" s="258">
        <v>0</v>
      </c>
      <c r="O131" s="378">
        <v>0</v>
      </c>
      <c r="P131" s="378">
        <v>0</v>
      </c>
      <c r="Q131" s="378">
        <v>0</v>
      </c>
      <c r="R131" s="380"/>
      <c r="S131" s="380"/>
      <c r="T131" s="380"/>
      <c r="U131" s="380"/>
      <c r="V131" s="380"/>
      <c r="W131" s="380"/>
      <c r="X131" s="380"/>
      <c r="Y131" s="380"/>
      <c r="Z131" s="380"/>
      <c r="AA131" s="380"/>
      <c r="AB131" s="380"/>
      <c r="AC131" s="380"/>
      <c r="AD131" s="380"/>
      <c r="AE131" s="380"/>
      <c r="AF131" s="380"/>
      <c r="AG131" s="380"/>
      <c r="AH131" s="380"/>
      <c r="AI131" s="380"/>
      <c r="AJ131" s="380"/>
      <c r="AK131" s="380"/>
      <c r="AL131" s="380"/>
      <c r="AM131" s="380"/>
      <c r="AN131" s="380"/>
      <c r="AO131" s="380"/>
      <c r="AP131" s="380"/>
      <c r="AQ131" s="380"/>
      <c r="AR131" s="380"/>
      <c r="AS131" s="380"/>
      <c r="AT131" s="380"/>
      <c r="AU131" s="380"/>
      <c r="AV131" s="380"/>
      <c r="AW131" s="380"/>
      <c r="AX131" s="380"/>
      <c r="AY131" s="380"/>
      <c r="AZ131" s="380"/>
      <c r="BA131" s="380"/>
      <c r="BB131" s="380"/>
      <c r="BC131" s="380"/>
      <c r="BD131" s="380"/>
      <c r="BE131" s="380"/>
      <c r="BF131" s="380"/>
      <c r="BG131" s="380"/>
      <c r="BH131" s="380"/>
      <c r="BI131" s="380"/>
      <c r="BJ131" s="380"/>
      <c r="BK131" s="380"/>
      <c r="BL131" s="380"/>
      <c r="BM131" s="380"/>
      <c r="BN131" s="380"/>
      <c r="BO131" s="380"/>
      <c r="BP131" s="379"/>
      <c r="BQ131" s="379"/>
      <c r="BR131" s="379"/>
      <c r="BS131" s="379"/>
      <c r="BT131" s="379"/>
      <c r="BU131" s="379"/>
      <c r="BV131" s="379"/>
      <c r="BW131" s="379"/>
      <c r="BX131" s="379"/>
      <c r="BY131" s="379"/>
      <c r="BZ131" s="379"/>
      <c r="CA131" s="379"/>
      <c r="CB131" s="379"/>
      <c r="CC131" s="379"/>
      <c r="CD131" s="379"/>
      <c r="CE131" s="379"/>
      <c r="CF131" s="379"/>
      <c r="CG131" s="379"/>
      <c r="CH131" s="379"/>
      <c r="CI131" s="379"/>
      <c r="CJ131" s="379"/>
      <c r="CK131" s="379"/>
      <c r="CL131" s="379"/>
      <c r="CM131" s="379"/>
      <c r="CN131" s="379"/>
      <c r="CO131" s="379"/>
      <c r="CP131" s="379"/>
      <c r="CQ131" s="379"/>
      <c r="CR131" s="379"/>
      <c r="CS131" s="379"/>
      <c r="CT131" s="379"/>
      <c r="CU131" s="379"/>
      <c r="CV131" s="379"/>
      <c r="CW131" s="379"/>
      <c r="CX131" s="379"/>
      <c r="CY131" s="379"/>
      <c r="CZ131" s="379"/>
      <c r="DA131" s="379"/>
      <c r="DB131" s="379"/>
      <c r="DC131" s="379"/>
      <c r="DD131" s="379"/>
      <c r="DE131" s="379"/>
      <c r="DF131" s="379"/>
      <c r="DG131" s="379"/>
      <c r="DH131" s="379"/>
      <c r="DI131" s="379"/>
      <c r="DJ131" s="379"/>
      <c r="DK131" s="379"/>
      <c r="DL131" s="379"/>
      <c r="DM131" s="379"/>
      <c r="DN131" s="379"/>
      <c r="DO131" s="379"/>
      <c r="DP131" s="379"/>
      <c r="DQ131" s="379"/>
      <c r="DR131" s="379"/>
      <c r="DS131" s="379"/>
      <c r="DT131" s="379"/>
      <c r="DU131" s="379"/>
      <c r="DV131" s="379"/>
      <c r="DW131" s="379"/>
      <c r="DX131" s="379"/>
      <c r="DY131" s="379"/>
      <c r="DZ131" s="379"/>
      <c r="EA131" s="379"/>
      <c r="EB131" s="379"/>
      <c r="EC131" s="379"/>
      <c r="ED131" s="379"/>
      <c r="EE131" s="379"/>
      <c r="EF131" s="379"/>
      <c r="EG131" s="379"/>
      <c r="EH131" s="379"/>
      <c r="EI131" s="379"/>
      <c r="EJ131" s="379"/>
      <c r="EK131" s="379"/>
      <c r="EL131" s="379"/>
      <c r="EM131" s="379"/>
      <c r="EN131" s="379"/>
      <c r="EO131" s="379"/>
      <c r="EP131" s="379"/>
      <c r="EQ131" s="379"/>
      <c r="ER131" s="379"/>
      <c r="ES131" s="379"/>
      <c r="ET131" s="379"/>
      <c r="EU131" s="379"/>
      <c r="EV131" s="379"/>
      <c r="EW131" s="379"/>
      <c r="EX131" s="379"/>
      <c r="EY131" s="379"/>
      <c r="EZ131" s="379"/>
      <c r="FA131" s="379"/>
      <c r="FB131" s="379"/>
      <c r="FC131" s="379"/>
      <c r="FD131" s="379"/>
      <c r="FE131" s="379"/>
      <c r="FF131" s="379"/>
      <c r="FG131" s="379"/>
      <c r="FH131" s="379"/>
      <c r="FI131" s="379"/>
      <c r="FJ131" s="379"/>
      <c r="FK131" s="379"/>
      <c r="FL131" s="379"/>
      <c r="FM131" s="379"/>
      <c r="FN131" s="379"/>
      <c r="FO131" s="379"/>
      <c r="FP131" s="379"/>
      <c r="FQ131" s="379"/>
      <c r="FR131" s="379"/>
      <c r="FS131" s="379"/>
      <c r="FT131" s="379"/>
      <c r="FU131" s="379"/>
      <c r="FV131" s="379"/>
      <c r="FW131" s="379"/>
      <c r="FX131" s="379"/>
      <c r="FY131" s="379"/>
      <c r="FZ131" s="379"/>
      <c r="GA131" s="379"/>
      <c r="GB131" s="379"/>
      <c r="GC131" s="379"/>
      <c r="GD131" s="379"/>
      <c r="GE131" s="379"/>
      <c r="GF131" s="379"/>
      <c r="GG131" s="379"/>
      <c r="GH131" s="379"/>
      <c r="GI131" s="379"/>
      <c r="GJ131" s="379"/>
      <c r="GK131" s="379"/>
      <c r="GL131" s="379"/>
      <c r="GM131" s="379"/>
      <c r="GN131" s="379"/>
      <c r="GO131" s="379"/>
      <c r="GP131" s="379"/>
      <c r="GQ131" s="379"/>
      <c r="GR131" s="379"/>
      <c r="GS131" s="379"/>
      <c r="GT131" s="379"/>
      <c r="GU131" s="379"/>
      <c r="GV131" s="379"/>
      <c r="GW131" s="379"/>
      <c r="GX131" s="379"/>
      <c r="GY131" s="379"/>
      <c r="GZ131" s="379"/>
      <c r="HA131" s="379"/>
      <c r="HB131" s="379"/>
      <c r="HC131" s="379"/>
      <c r="HD131" s="379"/>
      <c r="HE131" s="379"/>
      <c r="HF131" s="379"/>
      <c r="HG131" s="379"/>
      <c r="HH131" s="379"/>
      <c r="HI131" s="379"/>
      <c r="HJ131" s="379"/>
      <c r="HK131" s="379"/>
      <c r="HL131" s="379"/>
      <c r="HM131" s="379"/>
      <c r="HN131" s="379"/>
      <c r="HO131" s="379"/>
      <c r="HP131" s="379"/>
      <c r="HQ131" s="379"/>
      <c r="HR131" s="379"/>
      <c r="HS131" s="379"/>
      <c r="HT131" s="379"/>
      <c r="HU131" s="379"/>
      <c r="HV131" s="379"/>
      <c r="HW131" s="379"/>
      <c r="HX131" s="379"/>
      <c r="HY131" s="379"/>
      <c r="HZ131" s="379"/>
      <c r="IA131" s="379"/>
      <c r="IB131" s="379"/>
      <c r="IC131" s="379"/>
      <c r="ID131" s="379"/>
      <c r="IE131" s="379"/>
      <c r="IF131" s="379"/>
      <c r="IG131" s="379"/>
      <c r="IH131" s="379"/>
      <c r="II131" s="379"/>
      <c r="IJ131" s="379"/>
      <c r="IK131" s="379"/>
      <c r="IL131" s="379"/>
      <c r="IM131" s="379"/>
      <c r="IN131" s="379"/>
      <c r="IO131" s="379"/>
      <c r="IP131" s="379"/>
      <c r="IQ131" s="379"/>
      <c r="IR131" s="379"/>
      <c r="IS131" s="379"/>
      <c r="IT131" s="379"/>
      <c r="IU131" s="379"/>
      <c r="IV131" s="379"/>
      <c r="IW131" s="379"/>
      <c r="IX131" s="379"/>
      <c r="IY131" s="379"/>
      <c r="IZ131" s="379"/>
      <c r="JA131" s="379"/>
      <c r="JB131" s="379"/>
      <c r="JC131" s="379"/>
      <c r="JD131" s="379"/>
      <c r="JE131" s="379"/>
      <c r="JF131" s="379"/>
      <c r="JG131" s="379"/>
      <c r="JH131" s="379"/>
      <c r="JI131" s="379"/>
      <c r="JJ131" s="379"/>
      <c r="JK131" s="379"/>
      <c r="JL131" s="379"/>
      <c r="JM131" s="379"/>
      <c r="JN131" s="379"/>
      <c r="JO131" s="379"/>
      <c r="JP131" s="379"/>
      <c r="JQ131" s="379"/>
      <c r="JR131" s="379"/>
      <c r="JS131" s="379"/>
      <c r="JT131" s="379"/>
      <c r="JU131" s="379"/>
      <c r="JV131" s="379"/>
      <c r="JW131" s="379"/>
      <c r="JX131" s="379"/>
      <c r="JY131" s="379"/>
      <c r="JZ131" s="379"/>
      <c r="KA131" s="379"/>
      <c r="KB131" s="379"/>
      <c r="KC131" s="379"/>
      <c r="KD131" s="379"/>
      <c r="KE131" s="379"/>
      <c r="KF131" s="379"/>
      <c r="KG131" s="379"/>
      <c r="KH131" s="379"/>
      <c r="KI131" s="379"/>
      <c r="KJ131" s="379"/>
      <c r="KK131" s="379"/>
      <c r="KL131" s="379"/>
      <c r="KM131" s="379"/>
      <c r="KN131" s="379"/>
      <c r="KO131" s="379"/>
      <c r="KP131" s="379"/>
      <c r="KQ131" s="379"/>
      <c r="KR131" s="379"/>
      <c r="KS131" s="379"/>
      <c r="KT131" s="379"/>
      <c r="KU131" s="379"/>
      <c r="KV131" s="379"/>
      <c r="KW131" s="379"/>
      <c r="KX131" s="379"/>
      <c r="KY131" s="379"/>
      <c r="KZ131" s="379"/>
      <c r="LA131" s="379"/>
      <c r="LB131" s="379"/>
      <c r="LC131" s="379"/>
      <c r="LD131" s="379"/>
      <c r="LE131" s="379"/>
      <c r="LF131" s="379"/>
      <c r="LG131" s="379"/>
      <c r="LH131" s="379"/>
      <c r="LI131" s="379"/>
      <c r="LJ131" s="379"/>
      <c r="LK131" s="379"/>
      <c r="LL131" s="379"/>
      <c r="LM131" s="379"/>
      <c r="LN131" s="379"/>
      <c r="LO131" s="379"/>
      <c r="LP131" s="379"/>
      <c r="LQ131" s="379"/>
      <c r="LR131" s="379"/>
      <c r="LS131" s="379"/>
      <c r="LT131" s="379"/>
      <c r="LU131" s="379"/>
      <c r="LV131" s="379"/>
      <c r="LW131" s="379"/>
      <c r="LX131" s="379"/>
      <c r="LY131" s="379"/>
      <c r="LZ131" s="379"/>
      <c r="MA131" s="379"/>
      <c r="MB131" s="379"/>
      <c r="MC131" s="379"/>
      <c r="MD131" s="379"/>
      <c r="ME131" s="379"/>
      <c r="MF131" s="379"/>
      <c r="MG131" s="379"/>
      <c r="MH131" s="379"/>
      <c r="MI131" s="379"/>
      <c r="MJ131" s="379"/>
      <c r="MK131" s="379"/>
      <c r="ML131" s="379"/>
      <c r="MM131" s="379"/>
      <c r="MN131" s="379"/>
      <c r="MO131" s="379"/>
      <c r="MP131" s="379"/>
      <c r="MQ131" s="379"/>
      <c r="MR131" s="379"/>
      <c r="MS131" s="379"/>
      <c r="MT131" s="379"/>
      <c r="MU131" s="379"/>
      <c r="MV131" s="379"/>
      <c r="MW131" s="379"/>
      <c r="MX131" s="379"/>
      <c r="MY131" s="379"/>
      <c r="MZ131" s="379"/>
      <c r="NA131" s="379"/>
      <c r="NB131" s="379"/>
      <c r="NC131" s="379"/>
      <c r="ND131" s="379"/>
      <c r="NE131" s="379"/>
      <c r="NF131" s="379"/>
      <c r="NG131" s="379"/>
      <c r="NH131" s="379"/>
      <c r="NI131" s="379"/>
      <c r="NJ131" s="379"/>
      <c r="NK131" s="379"/>
      <c r="NL131" s="379"/>
      <c r="NM131" s="379"/>
      <c r="NN131" s="379"/>
      <c r="NO131" s="379"/>
      <c r="NP131" s="379"/>
      <c r="NQ131" s="379"/>
      <c r="NR131" s="379"/>
      <c r="NS131" s="379"/>
      <c r="NT131" s="379"/>
      <c r="NU131" s="379"/>
      <c r="NV131" s="379"/>
      <c r="NW131" s="379"/>
      <c r="NX131" s="379"/>
      <c r="NY131" s="379"/>
      <c r="NZ131" s="379"/>
      <c r="OA131" s="379"/>
      <c r="OB131" s="379"/>
      <c r="OC131" s="379"/>
      <c r="OD131" s="379"/>
      <c r="OE131" s="379"/>
      <c r="OF131" s="379"/>
      <c r="OG131" s="379"/>
      <c r="OH131" s="379"/>
      <c r="OI131" s="379"/>
      <c r="OJ131" s="379"/>
      <c r="OK131" s="379"/>
      <c r="OL131" s="379"/>
      <c r="OM131" s="379"/>
      <c r="ON131" s="379"/>
      <c r="OO131" s="379"/>
      <c r="OP131" s="379"/>
      <c r="OQ131" s="379"/>
      <c r="OR131" s="379"/>
      <c r="OS131" s="379"/>
      <c r="OT131" s="379"/>
      <c r="OU131" s="379"/>
      <c r="OV131" s="379"/>
      <c r="OW131" s="379"/>
      <c r="OX131" s="379"/>
      <c r="OY131" s="379"/>
      <c r="OZ131" s="379"/>
      <c r="PA131" s="379"/>
      <c r="PB131" s="379"/>
      <c r="PC131" s="379"/>
      <c r="PD131" s="379"/>
      <c r="PE131" s="379"/>
      <c r="PF131" s="379"/>
      <c r="PG131" s="379"/>
      <c r="PH131" s="379"/>
      <c r="PI131" s="379"/>
      <c r="PJ131" s="379"/>
      <c r="PK131" s="379"/>
      <c r="PL131" s="379"/>
      <c r="PM131" s="379"/>
      <c r="PN131" s="379"/>
      <c r="PO131" s="379"/>
      <c r="PP131" s="379"/>
      <c r="PQ131" s="379"/>
      <c r="PR131" s="379"/>
      <c r="PS131" s="379"/>
      <c r="PT131" s="379"/>
      <c r="PU131" s="379"/>
      <c r="PV131" s="379"/>
      <c r="PW131" s="379"/>
      <c r="PX131" s="379"/>
      <c r="PY131" s="379"/>
      <c r="PZ131" s="379"/>
      <c r="QA131" s="379"/>
      <c r="QB131" s="379"/>
      <c r="QC131" s="379"/>
      <c r="QD131" s="379"/>
      <c r="QE131" s="379"/>
      <c r="QF131" s="379"/>
      <c r="QG131" s="379"/>
      <c r="QH131" s="379"/>
      <c r="QI131" s="379"/>
      <c r="QJ131" s="379"/>
      <c r="QK131" s="379"/>
      <c r="QL131" s="379"/>
      <c r="QM131" s="379"/>
      <c r="QN131" s="379"/>
      <c r="QO131" s="379"/>
      <c r="QP131" s="379"/>
      <c r="QQ131" s="379"/>
      <c r="QR131" s="379"/>
      <c r="QS131" s="379"/>
      <c r="QT131" s="379"/>
      <c r="QU131" s="379"/>
      <c r="QV131" s="379"/>
      <c r="QW131" s="379"/>
      <c r="QX131" s="379"/>
      <c r="QY131" s="379"/>
      <c r="QZ131" s="379"/>
      <c r="RA131" s="379"/>
      <c r="RB131" s="379"/>
      <c r="RC131" s="379"/>
      <c r="RD131" s="379"/>
      <c r="RE131" s="379"/>
      <c r="RF131" s="379"/>
      <c r="RG131" s="379"/>
      <c r="RH131" s="379"/>
      <c r="RI131" s="379"/>
      <c r="RJ131" s="379"/>
      <c r="RK131" s="379"/>
      <c r="RL131" s="379"/>
      <c r="RM131" s="379"/>
      <c r="RN131" s="379"/>
      <c r="RO131" s="379"/>
      <c r="RP131" s="379"/>
      <c r="RQ131" s="379"/>
      <c r="RR131" s="379"/>
      <c r="RS131" s="379"/>
      <c r="RT131" s="379"/>
      <c r="RU131" s="379"/>
      <c r="RV131" s="379"/>
      <c r="RW131" s="379"/>
      <c r="RX131" s="379"/>
      <c r="RY131" s="379"/>
      <c r="RZ131" s="379"/>
      <c r="SA131" s="379"/>
      <c r="SB131" s="379"/>
      <c r="SC131" s="379"/>
      <c r="SD131" s="379"/>
      <c r="SE131" s="379"/>
      <c r="SF131" s="379"/>
      <c r="SG131" s="379"/>
      <c r="SH131" s="379"/>
      <c r="SI131" s="379"/>
      <c r="SJ131" s="379"/>
      <c r="SK131" s="379"/>
      <c r="SL131" s="379"/>
      <c r="SM131" s="379"/>
      <c r="SN131" s="379"/>
      <c r="SO131" s="379"/>
      <c r="SP131" s="379"/>
      <c r="SQ131" s="379"/>
      <c r="SR131" s="379"/>
      <c r="SS131" s="379"/>
      <c r="ST131" s="379"/>
      <c r="SU131" s="379"/>
      <c r="SV131" s="379"/>
      <c r="SW131" s="379"/>
      <c r="SX131" s="379"/>
      <c r="SY131" s="379"/>
      <c r="SZ131" s="379"/>
      <c r="TA131" s="379"/>
      <c r="TB131" s="379"/>
      <c r="TC131" s="379"/>
      <c r="TD131" s="379"/>
      <c r="TE131" s="379"/>
      <c r="TF131" s="379"/>
      <c r="TG131" s="379"/>
      <c r="TH131" s="379"/>
      <c r="TI131" s="379"/>
      <c r="TJ131" s="379"/>
      <c r="TK131" s="379"/>
      <c r="TL131" s="379"/>
      <c r="TM131" s="379"/>
      <c r="TN131" s="379"/>
      <c r="TO131" s="379"/>
      <c r="TP131" s="379"/>
      <c r="TQ131" s="379"/>
      <c r="TR131" s="379"/>
      <c r="TS131" s="379"/>
      <c r="TT131" s="379"/>
      <c r="TU131" s="379"/>
      <c r="TV131" s="379"/>
      <c r="TW131" s="379"/>
      <c r="TX131" s="379"/>
      <c r="TY131" s="379"/>
      <c r="TZ131" s="379"/>
      <c r="UA131" s="379"/>
      <c r="UB131" s="379"/>
      <c r="UC131" s="379"/>
      <c r="UD131" s="379"/>
      <c r="UE131" s="379"/>
      <c r="UF131" s="379"/>
      <c r="UG131" s="379"/>
      <c r="UH131" s="379"/>
      <c r="UI131" s="379"/>
      <c r="UJ131" s="379"/>
      <c r="UK131" s="379"/>
      <c r="UL131" s="379"/>
      <c r="UM131" s="379"/>
      <c r="UN131" s="379"/>
      <c r="UO131" s="379"/>
      <c r="UP131" s="379"/>
      <c r="UQ131" s="379"/>
      <c r="UR131" s="379"/>
      <c r="US131" s="379"/>
      <c r="UT131" s="379"/>
      <c r="UU131" s="379"/>
      <c r="UV131" s="379"/>
      <c r="UW131" s="379"/>
      <c r="UX131" s="379"/>
      <c r="UY131" s="379"/>
      <c r="UZ131" s="379"/>
      <c r="VA131" s="379"/>
      <c r="VB131" s="379"/>
      <c r="VC131" s="379"/>
      <c r="VD131" s="379"/>
      <c r="VE131" s="379"/>
      <c r="VF131" s="379"/>
      <c r="VG131" s="379"/>
      <c r="VH131" s="379"/>
      <c r="VI131" s="379"/>
      <c r="VJ131" s="379"/>
      <c r="VK131" s="379"/>
      <c r="VL131" s="379"/>
      <c r="VM131" s="379"/>
      <c r="VN131" s="379"/>
      <c r="VO131" s="379"/>
      <c r="VP131" s="379"/>
      <c r="VQ131" s="379"/>
      <c r="VR131" s="379"/>
      <c r="VS131" s="379"/>
      <c r="VT131" s="379"/>
      <c r="VU131" s="379"/>
      <c r="VV131" s="379"/>
      <c r="VW131" s="379"/>
      <c r="VX131" s="379"/>
      <c r="VY131" s="379"/>
      <c r="VZ131" s="379"/>
      <c r="WA131" s="379"/>
      <c r="WB131" s="379"/>
      <c r="WC131" s="379"/>
      <c r="WD131" s="379"/>
      <c r="WE131" s="379"/>
      <c r="WF131" s="379"/>
      <c r="WG131" s="379"/>
      <c r="WH131" s="379"/>
      <c r="WI131" s="379"/>
      <c r="WJ131" s="379"/>
      <c r="WK131" s="379"/>
      <c r="WL131" s="379"/>
      <c r="WM131" s="379"/>
      <c r="WN131" s="379"/>
      <c r="WO131" s="379"/>
      <c r="WP131" s="379"/>
      <c r="WQ131" s="379"/>
      <c r="WR131" s="379"/>
      <c r="WS131" s="379"/>
      <c r="WT131" s="379"/>
      <c r="WU131" s="379"/>
      <c r="WV131" s="379"/>
      <c r="WW131" s="379"/>
      <c r="WX131" s="379"/>
      <c r="WY131" s="379"/>
      <c r="WZ131" s="379"/>
      <c r="XA131" s="379"/>
      <c r="XB131" s="379"/>
      <c r="XC131" s="379"/>
      <c r="XD131" s="379"/>
      <c r="XE131" s="379"/>
      <c r="XF131" s="379"/>
      <c r="XG131" s="379"/>
      <c r="XH131" s="379"/>
      <c r="XI131" s="379"/>
      <c r="XJ131" s="379"/>
      <c r="XK131" s="379"/>
      <c r="XL131" s="379"/>
      <c r="XM131" s="379"/>
      <c r="XN131" s="379"/>
      <c r="XO131" s="379"/>
      <c r="XP131" s="379"/>
      <c r="XQ131" s="379"/>
      <c r="XR131" s="379"/>
      <c r="XS131" s="379"/>
      <c r="XT131" s="379"/>
      <c r="XU131" s="379"/>
      <c r="XV131" s="379"/>
      <c r="XW131" s="379"/>
      <c r="XX131" s="379"/>
      <c r="XY131" s="379"/>
      <c r="XZ131" s="379"/>
      <c r="YA131" s="379"/>
      <c r="YB131" s="379"/>
      <c r="YC131" s="379"/>
      <c r="YD131" s="379"/>
      <c r="YE131" s="379"/>
      <c r="YF131" s="379"/>
      <c r="YG131" s="379"/>
      <c r="YH131" s="379"/>
      <c r="YI131" s="379"/>
      <c r="YJ131" s="379"/>
      <c r="YK131" s="379"/>
      <c r="YL131" s="379"/>
      <c r="YM131" s="379"/>
      <c r="YN131" s="379"/>
      <c r="YO131" s="379"/>
      <c r="YP131" s="379"/>
      <c r="YQ131" s="379"/>
      <c r="YR131" s="379"/>
      <c r="YS131" s="379"/>
      <c r="YT131" s="379"/>
      <c r="YU131" s="379"/>
      <c r="YV131" s="379"/>
      <c r="YW131" s="379"/>
      <c r="YX131" s="379"/>
      <c r="YY131" s="379"/>
      <c r="YZ131" s="379"/>
      <c r="ZA131" s="379"/>
      <c r="ZB131" s="379"/>
      <c r="ZC131" s="379"/>
      <c r="ZD131" s="379"/>
      <c r="ZE131" s="379"/>
      <c r="ZF131" s="379"/>
      <c r="ZG131" s="379"/>
      <c r="ZH131" s="379"/>
      <c r="ZI131" s="379"/>
      <c r="ZJ131" s="379"/>
      <c r="ZK131" s="379"/>
      <c r="ZL131" s="379"/>
      <c r="ZM131" s="379"/>
      <c r="ZN131" s="379"/>
      <c r="ZO131" s="379"/>
      <c r="ZP131" s="379"/>
      <c r="ZQ131" s="379"/>
      <c r="ZR131" s="379"/>
      <c r="ZS131" s="379"/>
      <c r="ZT131" s="379"/>
      <c r="ZU131" s="379"/>
      <c r="ZV131" s="379"/>
      <c r="ZW131" s="379"/>
      <c r="ZX131" s="379"/>
      <c r="ZY131" s="379"/>
      <c r="ZZ131" s="379"/>
      <c r="AAA131" s="379"/>
      <c r="AAB131" s="379"/>
      <c r="AAC131" s="379"/>
      <c r="AAD131" s="379"/>
      <c r="AAE131" s="379"/>
      <c r="AAF131" s="379"/>
      <c r="AAG131" s="379"/>
      <c r="AAH131" s="379"/>
      <c r="AAI131" s="379"/>
      <c r="AAJ131" s="379"/>
      <c r="AAK131" s="379"/>
      <c r="AAL131" s="379"/>
      <c r="AAM131" s="379"/>
      <c r="AAN131" s="379"/>
      <c r="AAO131" s="379"/>
      <c r="AAP131" s="379"/>
      <c r="AAQ131" s="379"/>
      <c r="AAR131" s="379"/>
      <c r="AAS131" s="379"/>
      <c r="AAT131" s="379"/>
      <c r="AAU131" s="379"/>
      <c r="AAV131" s="379"/>
      <c r="AAW131" s="379"/>
      <c r="AAX131" s="379"/>
      <c r="AAY131" s="379"/>
      <c r="AAZ131" s="379"/>
      <c r="ABA131" s="379"/>
      <c r="ABB131" s="379"/>
      <c r="ABC131" s="379"/>
      <c r="ABD131" s="379"/>
      <c r="ABE131" s="379"/>
      <c r="ABF131" s="379"/>
      <c r="ABG131" s="379"/>
      <c r="ABH131" s="379"/>
      <c r="ABI131" s="379"/>
      <c r="ABJ131" s="379"/>
      <c r="ABK131" s="379"/>
      <c r="ABL131" s="379"/>
      <c r="ABM131" s="379"/>
      <c r="ABN131" s="379"/>
      <c r="ABO131" s="379"/>
      <c r="ABP131" s="379"/>
      <c r="ABQ131" s="379"/>
      <c r="ABR131" s="379"/>
      <c r="ABS131" s="379"/>
      <c r="ABT131" s="379"/>
      <c r="ABU131" s="379"/>
      <c r="ABV131" s="379"/>
      <c r="ABW131" s="379"/>
      <c r="ABX131" s="379"/>
      <c r="ABY131" s="379"/>
      <c r="ABZ131" s="379"/>
      <c r="ACA131" s="379"/>
      <c r="ACB131" s="379"/>
      <c r="ACC131" s="379"/>
      <c r="ACD131" s="379"/>
      <c r="ACE131" s="379"/>
      <c r="ACF131" s="379"/>
      <c r="ACG131" s="379"/>
      <c r="ACH131" s="379"/>
      <c r="ACI131" s="379"/>
      <c r="ACJ131" s="379"/>
      <c r="ACK131" s="379"/>
      <c r="ACL131" s="379"/>
      <c r="ACM131" s="379"/>
      <c r="ACN131" s="379"/>
      <c r="ACO131" s="379"/>
      <c r="ACP131" s="379"/>
      <c r="ACQ131" s="379"/>
      <c r="ACR131" s="379"/>
      <c r="ACS131" s="379"/>
      <c r="ACT131" s="379"/>
      <c r="ACU131" s="379"/>
      <c r="ACV131" s="379"/>
      <c r="ACW131" s="379"/>
      <c r="ACX131" s="379"/>
      <c r="ACY131" s="379"/>
      <c r="ACZ131" s="379"/>
      <c r="ADA131" s="379"/>
      <c r="ADB131" s="379"/>
      <c r="ADC131" s="379"/>
      <c r="ADD131" s="379"/>
      <c r="ADE131" s="379"/>
      <c r="ADF131" s="379"/>
      <c r="ADG131" s="379"/>
      <c r="ADH131" s="379"/>
      <c r="ADI131" s="379"/>
      <c r="ADJ131" s="379"/>
      <c r="ADK131" s="379"/>
      <c r="ADL131" s="379"/>
      <c r="ADM131" s="379"/>
      <c r="ADN131" s="379"/>
      <c r="ADO131" s="379"/>
      <c r="ADP131" s="379"/>
      <c r="ADQ131" s="379"/>
      <c r="ADR131" s="379"/>
      <c r="ADS131" s="379"/>
      <c r="ADT131" s="379"/>
      <c r="ADU131" s="379"/>
      <c r="ADV131" s="379"/>
      <c r="ADW131" s="379"/>
      <c r="ADX131" s="379"/>
      <c r="ADY131" s="379"/>
      <c r="ADZ131" s="379"/>
      <c r="AEA131" s="379"/>
      <c r="AEB131" s="379"/>
      <c r="AEC131" s="379"/>
      <c r="AED131" s="379"/>
      <c r="AEE131" s="379"/>
      <c r="AEF131" s="379"/>
      <c r="AEG131" s="379"/>
      <c r="AEH131" s="379"/>
      <c r="AEI131" s="379"/>
      <c r="AEJ131" s="379"/>
      <c r="AEK131" s="379"/>
      <c r="AEL131" s="379"/>
      <c r="AEM131" s="379"/>
      <c r="AEN131" s="379"/>
      <c r="AEO131" s="379"/>
      <c r="AEP131" s="379"/>
      <c r="AEQ131" s="379"/>
      <c r="AER131" s="379"/>
      <c r="AES131" s="379"/>
      <c r="AET131" s="379"/>
      <c r="AEU131" s="379"/>
      <c r="AEV131" s="379"/>
      <c r="AEW131" s="379"/>
      <c r="AEX131" s="379"/>
      <c r="AEY131" s="379"/>
      <c r="AEZ131" s="379"/>
      <c r="AFA131" s="379"/>
      <c r="AFB131" s="379"/>
      <c r="AFC131" s="379"/>
      <c r="AFD131" s="379"/>
      <c r="AFE131" s="379"/>
      <c r="AFF131" s="379"/>
      <c r="AFG131" s="379"/>
      <c r="AFH131" s="379"/>
      <c r="AFI131" s="379"/>
      <c r="AFJ131" s="379"/>
      <c r="AFK131" s="379"/>
      <c r="AFL131" s="379"/>
      <c r="AFM131" s="379"/>
      <c r="AFN131" s="379"/>
      <c r="AFO131" s="379"/>
      <c r="AFP131" s="379"/>
      <c r="AFQ131" s="379"/>
      <c r="AFR131" s="379"/>
      <c r="AFS131" s="379"/>
      <c r="AFT131" s="379"/>
      <c r="AFU131" s="379"/>
      <c r="AFV131" s="379"/>
      <c r="AFW131" s="379"/>
      <c r="AFX131" s="379"/>
      <c r="AFY131" s="379"/>
      <c r="AFZ131" s="379"/>
      <c r="AGA131" s="379"/>
      <c r="AGB131" s="379"/>
      <c r="AGC131" s="379"/>
      <c r="AGD131" s="379"/>
      <c r="AGE131" s="379"/>
      <c r="AGF131" s="379"/>
      <c r="AGG131" s="379"/>
      <c r="AGH131" s="379"/>
      <c r="AGI131" s="379"/>
      <c r="AGJ131" s="379"/>
      <c r="AGK131" s="379"/>
      <c r="AGL131" s="379"/>
      <c r="AGM131" s="379"/>
      <c r="AGN131" s="379"/>
      <c r="AGO131" s="379"/>
      <c r="AGP131" s="379"/>
      <c r="AGQ131" s="379"/>
      <c r="AGR131" s="379"/>
      <c r="AGS131" s="379"/>
      <c r="AGT131" s="379"/>
      <c r="AGU131" s="379"/>
      <c r="AGV131" s="379"/>
      <c r="AGW131" s="379"/>
      <c r="AGX131" s="379"/>
      <c r="AGY131" s="379"/>
      <c r="AGZ131" s="379"/>
      <c r="AHA131" s="379"/>
      <c r="AHB131" s="379"/>
      <c r="AHC131" s="379"/>
      <c r="AHD131" s="379"/>
      <c r="AHE131" s="379"/>
      <c r="AHF131" s="379"/>
      <c r="AHG131" s="379"/>
      <c r="AHH131" s="379"/>
      <c r="AHI131" s="379"/>
      <c r="AHJ131" s="379"/>
      <c r="AHK131" s="379"/>
      <c r="AHL131" s="379"/>
      <c r="AHM131" s="379"/>
      <c r="AHN131" s="379"/>
      <c r="AHO131" s="379"/>
      <c r="AHP131" s="379"/>
      <c r="AHQ131" s="379"/>
      <c r="AHR131" s="379"/>
      <c r="AHS131" s="379"/>
      <c r="AHT131" s="379"/>
      <c r="AHU131" s="379"/>
      <c r="AHV131" s="379"/>
      <c r="AHW131" s="379"/>
      <c r="AHX131" s="379"/>
      <c r="AHY131" s="379"/>
      <c r="AHZ131" s="379"/>
      <c r="AIA131" s="379"/>
      <c r="AIB131" s="379"/>
      <c r="AIC131" s="379"/>
      <c r="AID131" s="379"/>
      <c r="AIE131" s="379"/>
      <c r="AIF131" s="379"/>
      <c r="AIG131" s="379"/>
      <c r="AIH131" s="379"/>
      <c r="AII131" s="379"/>
      <c r="AIJ131" s="379"/>
      <c r="AIK131" s="379"/>
      <c r="AIL131" s="379"/>
      <c r="AIM131" s="379"/>
      <c r="AIN131" s="379"/>
      <c r="AIO131" s="379"/>
      <c r="AIP131" s="379"/>
      <c r="AIQ131" s="379"/>
      <c r="AIR131" s="379"/>
      <c r="AIS131" s="379"/>
      <c r="AIT131" s="379"/>
      <c r="AIU131" s="379"/>
      <c r="AIV131" s="379"/>
      <c r="AIW131" s="379"/>
      <c r="AIX131" s="379"/>
      <c r="AIY131" s="379"/>
      <c r="AIZ131" s="379"/>
      <c r="AJA131" s="379"/>
      <c r="AJB131" s="379"/>
      <c r="AJC131" s="379"/>
      <c r="AJD131" s="379"/>
      <c r="AJE131" s="379"/>
      <c r="AJF131" s="379"/>
      <c r="AJG131" s="379"/>
      <c r="AJH131" s="379"/>
      <c r="AJI131" s="379"/>
      <c r="AJJ131" s="379"/>
      <c r="AJK131" s="379"/>
      <c r="AJL131" s="379"/>
      <c r="AJM131" s="379"/>
      <c r="AJN131" s="379"/>
      <c r="AJO131" s="379"/>
      <c r="AJP131" s="379"/>
      <c r="AJQ131" s="379"/>
      <c r="AJR131" s="379"/>
      <c r="AJS131" s="379"/>
      <c r="AJT131" s="379"/>
      <c r="AJU131" s="379"/>
      <c r="AJV131" s="379"/>
      <c r="AJW131" s="379"/>
      <c r="AJX131" s="379"/>
      <c r="AJY131" s="379"/>
      <c r="AJZ131" s="379"/>
      <c r="AKA131" s="379"/>
      <c r="AKB131" s="379"/>
      <c r="AKC131" s="379"/>
      <c r="AKD131" s="379"/>
      <c r="AKE131" s="379"/>
      <c r="AKF131" s="379"/>
      <c r="AKG131" s="379"/>
      <c r="AKH131" s="379"/>
      <c r="AKI131" s="379"/>
      <c r="AKJ131" s="379"/>
      <c r="AKK131" s="379"/>
      <c r="AKL131" s="379"/>
      <c r="AKM131" s="379"/>
      <c r="AKN131" s="379"/>
      <c r="AKO131" s="379"/>
      <c r="AKP131" s="379"/>
      <c r="AKQ131" s="379"/>
      <c r="AKR131" s="379"/>
      <c r="AKS131" s="379"/>
      <c r="AKT131" s="379"/>
      <c r="AKU131" s="379"/>
      <c r="AKV131" s="379"/>
      <c r="AKW131" s="379"/>
      <c r="AKX131" s="379"/>
      <c r="AKY131" s="379"/>
      <c r="AKZ131" s="379"/>
      <c r="ALA131" s="379"/>
      <c r="ALB131" s="379"/>
      <c r="ALC131" s="379"/>
      <c r="ALD131" s="379"/>
      <c r="ALE131" s="379"/>
      <c r="ALF131" s="379"/>
      <c r="ALG131" s="379"/>
      <c r="ALH131" s="379"/>
      <c r="ALI131" s="379"/>
      <c r="ALJ131" s="379"/>
      <c r="ALK131" s="379"/>
      <c r="ALL131" s="379"/>
      <c r="ALM131" s="379"/>
      <c r="ALN131" s="379"/>
      <c r="ALO131" s="379"/>
      <c r="ALP131" s="379"/>
      <c r="ALQ131" s="379"/>
      <c r="ALR131" s="379"/>
      <c r="ALS131" s="379"/>
      <c r="ALT131" s="379"/>
      <c r="ALU131" s="379"/>
      <c r="ALV131" s="379"/>
      <c r="ALW131" s="379"/>
      <c r="ALX131" s="379"/>
      <c r="ALY131" s="379"/>
      <c r="ALZ131" s="379"/>
      <c r="AMA131" s="379"/>
      <c r="AMB131" s="379"/>
      <c r="AMC131" s="379"/>
      <c r="AMD131" s="379"/>
      <c r="AME131" s="379"/>
      <c r="AMF131" s="379"/>
      <c r="AMG131" s="379"/>
      <c r="AMH131" s="379"/>
      <c r="AMI131" s="379"/>
      <c r="AMJ131" s="379"/>
      <c r="AMK131" s="379"/>
    </row>
    <row r="132" spans="1:1025" ht="15" customHeight="1" x14ac:dyDescent="0.25">
      <c r="A132" s="370">
        <v>1</v>
      </c>
      <c r="B132" s="1" t="s">
        <v>19</v>
      </c>
      <c r="C132" s="1" t="s">
        <v>62</v>
      </c>
      <c r="D132" s="48"/>
      <c r="E132" s="1" t="s">
        <v>71</v>
      </c>
      <c r="F132" s="1" t="s">
        <v>394</v>
      </c>
      <c r="G132" s="48" t="s">
        <v>395</v>
      </c>
      <c r="H132" s="48">
        <v>1</v>
      </c>
      <c r="I132" s="289">
        <v>0</v>
      </c>
      <c r="J132" s="290">
        <v>0</v>
      </c>
      <c r="K132" s="28">
        <v>0</v>
      </c>
      <c r="L132" s="28">
        <v>0</v>
      </c>
      <c r="M132" s="28">
        <v>0</v>
      </c>
      <c r="N132" s="291">
        <v>0</v>
      </c>
      <c r="O132" s="292">
        <v>0</v>
      </c>
      <c r="P132" s="292">
        <v>0</v>
      </c>
      <c r="Q132" s="337">
        <f t="shared" ref="Q132:Q142" si="7">O132-P132</f>
        <v>0</v>
      </c>
      <c r="R132" s="376"/>
    </row>
    <row r="133" spans="1:1025" ht="53.25" customHeight="1" x14ac:dyDescent="0.25">
      <c r="A133" s="56">
        <f>A132+1</f>
        <v>2</v>
      </c>
      <c r="B133" s="1" t="s">
        <v>90</v>
      </c>
      <c r="C133" s="1" t="s">
        <v>62</v>
      </c>
      <c r="D133" s="1" t="s">
        <v>63</v>
      </c>
      <c r="E133" s="1" t="s">
        <v>205</v>
      </c>
      <c r="F133" s="1" t="s">
        <v>396</v>
      </c>
      <c r="G133" s="27" t="s">
        <v>395</v>
      </c>
      <c r="H133" s="27">
        <v>9</v>
      </c>
      <c r="I133" s="27">
        <v>9</v>
      </c>
      <c r="J133" s="27">
        <v>9</v>
      </c>
      <c r="K133" s="28">
        <v>11276.8</v>
      </c>
      <c r="L133" s="28">
        <v>11276.8</v>
      </c>
      <c r="M133" s="28">
        <f t="shared" ref="M133:M142" si="8">K133-L133</f>
        <v>0</v>
      </c>
      <c r="N133" s="27">
        <v>20</v>
      </c>
      <c r="O133" s="28">
        <v>28791.88</v>
      </c>
      <c r="P133" s="28">
        <v>28791.88</v>
      </c>
      <c r="Q133" s="337">
        <f t="shared" si="7"/>
        <v>0</v>
      </c>
      <c r="R133" s="6"/>
    </row>
    <row r="134" spans="1:1025" x14ac:dyDescent="0.25">
      <c r="A134" s="56">
        <f>A133+1</f>
        <v>3</v>
      </c>
      <c r="B134" s="48" t="s">
        <v>133</v>
      </c>
      <c r="C134" s="48" t="s">
        <v>67</v>
      </c>
      <c r="D134" s="48" t="s">
        <v>397</v>
      </c>
      <c r="E134" s="48" t="s">
        <v>74</v>
      </c>
      <c r="F134" s="1" t="s">
        <v>398</v>
      </c>
      <c r="G134" s="27" t="s">
        <v>395</v>
      </c>
      <c r="H134" s="27">
        <v>11</v>
      </c>
      <c r="I134" s="27">
        <v>1</v>
      </c>
      <c r="J134" s="27">
        <v>1</v>
      </c>
      <c r="K134" s="28">
        <v>1057.2</v>
      </c>
      <c r="L134" s="28">
        <v>1057.2</v>
      </c>
      <c r="M134" s="28">
        <f t="shared" si="8"/>
        <v>0</v>
      </c>
      <c r="N134" s="27">
        <v>8</v>
      </c>
      <c r="O134" s="28">
        <v>11920.73</v>
      </c>
      <c r="P134" s="28">
        <v>11920.73</v>
      </c>
      <c r="Q134" s="337">
        <f t="shared" si="7"/>
        <v>0</v>
      </c>
      <c r="R134" s="6"/>
    </row>
    <row r="135" spans="1:1025" ht="25.5" x14ac:dyDescent="0.25">
      <c r="A135" s="56">
        <v>4</v>
      </c>
      <c r="B135" s="1" t="s">
        <v>399</v>
      </c>
      <c r="C135" s="1" t="s">
        <v>62</v>
      </c>
      <c r="D135" s="1"/>
      <c r="E135" s="1" t="s">
        <v>400</v>
      </c>
      <c r="F135" s="1" t="s">
        <v>401</v>
      </c>
      <c r="G135" s="27" t="s">
        <v>395</v>
      </c>
      <c r="H135" s="27">
        <v>29</v>
      </c>
      <c r="I135" s="27">
        <v>8</v>
      </c>
      <c r="J135" s="27">
        <v>8</v>
      </c>
      <c r="K135" s="28">
        <v>9441.2999999999993</v>
      </c>
      <c r="L135" s="28">
        <v>9441.2999999999993</v>
      </c>
      <c r="M135" s="28">
        <f t="shared" si="8"/>
        <v>0</v>
      </c>
      <c r="N135" s="27">
        <v>0</v>
      </c>
      <c r="O135" s="28">
        <v>0</v>
      </c>
      <c r="P135" s="28">
        <v>0</v>
      </c>
      <c r="Q135" s="337">
        <f t="shared" si="7"/>
        <v>0</v>
      </c>
      <c r="R135" s="6"/>
    </row>
    <row r="136" spans="1:1025" x14ac:dyDescent="0.25">
      <c r="A136" s="56">
        <v>5</v>
      </c>
      <c r="B136" s="1" t="s">
        <v>402</v>
      </c>
      <c r="C136" s="1" t="s">
        <v>62</v>
      </c>
      <c r="D136" s="1"/>
      <c r="E136" s="48" t="s">
        <v>74</v>
      </c>
      <c r="F136" s="1" t="s">
        <v>403</v>
      </c>
      <c r="G136" s="27" t="s">
        <v>395</v>
      </c>
      <c r="H136" s="27">
        <v>2</v>
      </c>
      <c r="I136" s="27">
        <v>2</v>
      </c>
      <c r="J136" s="27">
        <v>2</v>
      </c>
      <c r="K136" s="28">
        <v>3815.95</v>
      </c>
      <c r="L136" s="28">
        <v>3815.95</v>
      </c>
      <c r="M136" s="28">
        <f t="shared" si="8"/>
        <v>0</v>
      </c>
      <c r="N136" s="27">
        <v>0</v>
      </c>
      <c r="O136" s="28">
        <v>0</v>
      </c>
      <c r="P136" s="28">
        <v>0</v>
      </c>
      <c r="Q136" s="337">
        <f t="shared" si="7"/>
        <v>0</v>
      </c>
      <c r="R136" s="6"/>
    </row>
    <row r="137" spans="1:1025" ht="25.5" x14ac:dyDescent="0.25">
      <c r="A137" s="56">
        <v>6</v>
      </c>
      <c r="B137" s="1" t="s">
        <v>48</v>
      </c>
      <c r="C137" s="1" t="s">
        <v>62</v>
      </c>
      <c r="D137" s="1"/>
      <c r="E137" s="1" t="s">
        <v>81</v>
      </c>
      <c r="F137" s="1" t="s">
        <v>404</v>
      </c>
      <c r="G137" s="27" t="s">
        <v>395</v>
      </c>
      <c r="H137" s="27">
        <v>29</v>
      </c>
      <c r="I137" s="27">
        <v>4</v>
      </c>
      <c r="J137" s="27">
        <v>4</v>
      </c>
      <c r="K137" s="28">
        <v>4581.2</v>
      </c>
      <c r="L137" s="28">
        <v>4581.2</v>
      </c>
      <c r="M137" s="28">
        <f t="shared" si="8"/>
        <v>0</v>
      </c>
      <c r="N137" s="27">
        <v>17</v>
      </c>
      <c r="O137" s="28">
        <v>43761.64</v>
      </c>
      <c r="P137" s="28">
        <v>39997.040000000001</v>
      </c>
      <c r="Q137" s="337">
        <f t="shared" si="7"/>
        <v>3764.5999999999985</v>
      </c>
      <c r="R137" s="6"/>
    </row>
    <row r="138" spans="1:1025" x14ac:dyDescent="0.25">
      <c r="A138" s="56">
        <v>7</v>
      </c>
      <c r="B138" s="1" t="s">
        <v>39</v>
      </c>
      <c r="C138" s="1" t="s">
        <v>62</v>
      </c>
      <c r="D138" s="1"/>
      <c r="E138" s="1" t="s">
        <v>77</v>
      </c>
      <c r="F138" s="1" t="s">
        <v>405</v>
      </c>
      <c r="G138" s="27" t="s">
        <v>395</v>
      </c>
      <c r="H138" s="27">
        <v>32</v>
      </c>
      <c r="I138" s="27">
        <v>0</v>
      </c>
      <c r="J138" s="27">
        <v>0</v>
      </c>
      <c r="K138" s="28">
        <v>0</v>
      </c>
      <c r="L138" s="28">
        <v>0</v>
      </c>
      <c r="M138" s="28">
        <f t="shared" si="8"/>
        <v>0</v>
      </c>
      <c r="N138" s="27">
        <v>12</v>
      </c>
      <c r="O138" s="28">
        <v>19910.599999999999</v>
      </c>
      <c r="P138" s="28">
        <v>19910.599999999999</v>
      </c>
      <c r="Q138" s="337">
        <f t="shared" si="7"/>
        <v>0</v>
      </c>
      <c r="R138" s="6"/>
    </row>
    <row r="139" spans="1:1025" x14ac:dyDescent="0.25">
      <c r="A139" s="56">
        <v>8</v>
      </c>
      <c r="B139" s="1" t="s">
        <v>127</v>
      </c>
      <c r="C139" s="1" t="s">
        <v>62</v>
      </c>
      <c r="D139" s="1"/>
      <c r="E139" s="48" t="s">
        <v>74</v>
      </c>
      <c r="F139" s="1" t="s">
        <v>406</v>
      </c>
      <c r="G139" s="27" t="s">
        <v>395</v>
      </c>
      <c r="H139" s="27">
        <v>0</v>
      </c>
      <c r="I139" s="27">
        <v>0</v>
      </c>
      <c r="J139" s="27">
        <v>0</v>
      </c>
      <c r="K139" s="28">
        <v>0</v>
      </c>
      <c r="L139" s="28">
        <v>0</v>
      </c>
      <c r="M139" s="28">
        <f t="shared" si="8"/>
        <v>0</v>
      </c>
      <c r="N139" s="27">
        <v>1</v>
      </c>
      <c r="O139" s="28">
        <v>264.3</v>
      </c>
      <c r="P139" s="28">
        <v>264.3</v>
      </c>
      <c r="Q139" s="337">
        <f t="shared" si="7"/>
        <v>0</v>
      </c>
      <c r="R139" s="6"/>
    </row>
    <row r="140" spans="1:1025" ht="25.5" x14ac:dyDescent="0.25">
      <c r="A140" s="56">
        <v>9</v>
      </c>
      <c r="B140" s="1" t="s">
        <v>561</v>
      </c>
      <c r="C140" s="1" t="s">
        <v>62</v>
      </c>
      <c r="D140" s="1"/>
      <c r="E140" s="1" t="s">
        <v>81</v>
      </c>
      <c r="F140" s="1" t="s">
        <v>562</v>
      </c>
      <c r="G140" s="27" t="s">
        <v>395</v>
      </c>
      <c r="H140" s="27">
        <v>28</v>
      </c>
      <c r="I140" s="27">
        <v>0</v>
      </c>
      <c r="J140" s="27">
        <v>0</v>
      </c>
      <c r="K140" s="28">
        <v>0</v>
      </c>
      <c r="L140" s="28">
        <v>0</v>
      </c>
      <c r="M140" s="28">
        <f t="shared" si="8"/>
        <v>0</v>
      </c>
      <c r="N140" s="27">
        <v>0</v>
      </c>
      <c r="O140" s="28">
        <v>0</v>
      </c>
      <c r="P140" s="28">
        <v>0</v>
      </c>
      <c r="Q140" s="337">
        <f t="shared" si="7"/>
        <v>0</v>
      </c>
      <c r="R140" s="6"/>
    </row>
    <row r="141" spans="1:1025" ht="25.5" x14ac:dyDescent="0.25">
      <c r="A141" s="56">
        <v>10</v>
      </c>
      <c r="B141" s="1" t="s">
        <v>563</v>
      </c>
      <c r="C141" s="1" t="s">
        <v>62</v>
      </c>
      <c r="D141" s="1"/>
      <c r="E141" s="1" t="s">
        <v>81</v>
      </c>
      <c r="F141" s="1" t="s">
        <v>564</v>
      </c>
      <c r="G141" s="27" t="s">
        <v>395</v>
      </c>
      <c r="H141" s="27">
        <v>28</v>
      </c>
      <c r="I141" s="27">
        <v>0</v>
      </c>
      <c r="J141" s="27">
        <v>1</v>
      </c>
      <c r="K141" s="28">
        <v>2643</v>
      </c>
      <c r="L141" s="28">
        <v>2643</v>
      </c>
      <c r="M141" s="28">
        <f t="shared" si="8"/>
        <v>0</v>
      </c>
      <c r="N141" s="27">
        <v>0</v>
      </c>
      <c r="O141" s="28">
        <v>0</v>
      </c>
      <c r="P141" s="28">
        <v>0</v>
      </c>
      <c r="Q141" s="337">
        <f t="shared" si="7"/>
        <v>0</v>
      </c>
      <c r="R141" s="6"/>
    </row>
    <row r="142" spans="1:1025" ht="25.5" x14ac:dyDescent="0.25">
      <c r="A142" s="56">
        <v>11</v>
      </c>
      <c r="B142" s="1" t="s">
        <v>53</v>
      </c>
      <c r="C142" s="1" t="s">
        <v>62</v>
      </c>
      <c r="D142" s="1"/>
      <c r="E142" s="48" t="s">
        <v>74</v>
      </c>
      <c r="F142" s="1" t="s">
        <v>634</v>
      </c>
      <c r="G142" s="27" t="s">
        <v>395</v>
      </c>
      <c r="H142" s="27">
        <v>11</v>
      </c>
      <c r="I142" s="27">
        <v>0</v>
      </c>
      <c r="J142" s="27">
        <v>0</v>
      </c>
      <c r="K142" s="28">
        <v>0</v>
      </c>
      <c r="L142" s="28">
        <v>0</v>
      </c>
      <c r="M142" s="28">
        <f t="shared" si="8"/>
        <v>0</v>
      </c>
      <c r="N142" s="291">
        <v>0</v>
      </c>
      <c r="O142" s="292">
        <v>0</v>
      </c>
      <c r="P142" s="292">
        <v>0</v>
      </c>
      <c r="Q142" s="337">
        <f t="shared" si="7"/>
        <v>0</v>
      </c>
      <c r="R142" s="6"/>
    </row>
    <row r="143" spans="1:1025" ht="25.5" x14ac:dyDescent="0.25">
      <c r="A143" s="294">
        <v>1</v>
      </c>
      <c r="B143" s="3" t="s">
        <v>159</v>
      </c>
      <c r="C143" s="3" t="s">
        <v>62</v>
      </c>
      <c r="D143" s="3" t="s">
        <v>63</v>
      </c>
      <c r="E143" s="3" t="s">
        <v>121</v>
      </c>
      <c r="F143" s="3" t="s">
        <v>160</v>
      </c>
      <c r="G143" s="4" t="s">
        <v>85</v>
      </c>
      <c r="H143" s="4">
        <v>3</v>
      </c>
      <c r="I143" s="4">
        <v>3</v>
      </c>
      <c r="J143" s="4">
        <v>3</v>
      </c>
      <c r="K143" s="5">
        <f>L143+M143</f>
        <v>1493.3</v>
      </c>
      <c r="L143" s="5">
        <v>1493.3</v>
      </c>
      <c r="M143" s="5">
        <v>0</v>
      </c>
      <c r="N143" s="4">
        <v>8</v>
      </c>
      <c r="O143" s="5">
        <f>P143+Q143</f>
        <v>26421.62</v>
      </c>
      <c r="P143" s="5">
        <f>28053.94-1632.32</f>
        <v>26421.62</v>
      </c>
      <c r="Q143" s="5">
        <v>0</v>
      </c>
    </row>
    <row r="144" spans="1:1025" x14ac:dyDescent="0.25">
      <c r="A144" s="294">
        <f>A143+1</f>
        <v>2</v>
      </c>
      <c r="B144" s="3" t="s">
        <v>581</v>
      </c>
      <c r="C144" s="3" t="s">
        <v>62</v>
      </c>
      <c r="D144" s="3" t="s">
        <v>63</v>
      </c>
      <c r="E144" s="3" t="s">
        <v>74</v>
      </c>
      <c r="F144" s="3" t="s">
        <v>582</v>
      </c>
      <c r="G144" s="4" t="s">
        <v>85</v>
      </c>
      <c r="H144" s="4">
        <v>0</v>
      </c>
      <c r="I144" s="4">
        <v>0</v>
      </c>
      <c r="J144" s="4">
        <v>0</v>
      </c>
      <c r="K144" s="5">
        <f t="shared" ref="K144:K207" si="9">L144+M144</f>
        <v>0</v>
      </c>
      <c r="L144" s="5">
        <v>0</v>
      </c>
      <c r="M144" s="5">
        <v>0</v>
      </c>
      <c r="N144" s="4">
        <v>2</v>
      </c>
      <c r="O144" s="5">
        <f t="shared" ref="O144:O207" si="10">P144+Q144</f>
        <v>0</v>
      </c>
      <c r="P144" s="5">
        <v>0</v>
      </c>
      <c r="Q144" s="5">
        <v>0</v>
      </c>
    </row>
    <row r="145" spans="1:17" x14ac:dyDescent="0.25">
      <c r="A145" s="294">
        <f t="shared" ref="A145:A208" si="11">A144+1</f>
        <v>3</v>
      </c>
      <c r="B145" s="3" t="s">
        <v>95</v>
      </c>
      <c r="C145" s="3" t="s">
        <v>62</v>
      </c>
      <c r="D145" s="3" t="s">
        <v>63</v>
      </c>
      <c r="E145" s="3" t="s">
        <v>74</v>
      </c>
      <c r="F145" s="3" t="s">
        <v>161</v>
      </c>
      <c r="G145" s="4" t="s">
        <v>85</v>
      </c>
      <c r="H145" s="4">
        <v>45</v>
      </c>
      <c r="I145" s="4">
        <v>39</v>
      </c>
      <c r="J145" s="4">
        <v>52</v>
      </c>
      <c r="K145" s="5">
        <f t="shared" si="9"/>
        <v>70400.34</v>
      </c>
      <c r="L145" s="5">
        <v>57829.71</v>
      </c>
      <c r="M145" s="5">
        <v>12570.63</v>
      </c>
      <c r="N145" s="4">
        <v>29</v>
      </c>
      <c r="O145" s="5">
        <f t="shared" si="10"/>
        <v>90695.42</v>
      </c>
      <c r="P145" s="5">
        <v>82085.72</v>
      </c>
      <c r="Q145" s="5">
        <v>8609.7000000000007</v>
      </c>
    </row>
    <row r="146" spans="1:17" ht="25.5" x14ac:dyDescent="0.25">
      <c r="A146" s="294">
        <f t="shared" si="11"/>
        <v>4</v>
      </c>
      <c r="B146" s="3" t="s">
        <v>541</v>
      </c>
      <c r="C146" s="3" t="s">
        <v>62</v>
      </c>
      <c r="D146" s="3"/>
      <c r="E146" s="3" t="s">
        <v>177</v>
      </c>
      <c r="F146" s="3" t="s">
        <v>542</v>
      </c>
      <c r="G146" s="4" t="s">
        <v>85</v>
      </c>
      <c r="H146" s="4">
        <v>22</v>
      </c>
      <c r="I146" s="4">
        <v>12</v>
      </c>
      <c r="J146" s="4">
        <v>16</v>
      </c>
      <c r="K146" s="5">
        <f t="shared" si="9"/>
        <v>16190.579999999998</v>
      </c>
      <c r="L146" s="5">
        <v>7289.61</v>
      </c>
      <c r="M146" s="5">
        <v>8900.9699999999993</v>
      </c>
      <c r="N146" s="4">
        <v>0</v>
      </c>
      <c r="O146" s="5">
        <f t="shared" si="10"/>
        <v>0</v>
      </c>
      <c r="P146" s="5">
        <v>0</v>
      </c>
      <c r="Q146" s="5">
        <v>0</v>
      </c>
    </row>
    <row r="147" spans="1:17" ht="25.5" x14ac:dyDescent="0.25">
      <c r="A147" s="294">
        <f t="shared" si="11"/>
        <v>5</v>
      </c>
      <c r="B147" s="3" t="s">
        <v>18</v>
      </c>
      <c r="C147" s="3" t="s">
        <v>62</v>
      </c>
      <c r="D147" s="3" t="s">
        <v>63</v>
      </c>
      <c r="E147" s="3" t="s">
        <v>70</v>
      </c>
      <c r="F147" s="3" t="s">
        <v>565</v>
      </c>
      <c r="G147" s="4" t="s">
        <v>85</v>
      </c>
      <c r="H147" s="4">
        <v>5</v>
      </c>
      <c r="I147" s="4">
        <v>1</v>
      </c>
      <c r="J147" s="4">
        <v>1</v>
      </c>
      <c r="K147" s="5">
        <f t="shared" si="9"/>
        <v>3936.79</v>
      </c>
      <c r="L147" s="5">
        <v>0</v>
      </c>
      <c r="M147" s="5">
        <v>3936.79</v>
      </c>
      <c r="N147" s="4">
        <v>2</v>
      </c>
      <c r="O147" s="5">
        <f t="shared" si="10"/>
        <v>3205.88</v>
      </c>
      <c r="P147" s="5">
        <v>1585.8</v>
      </c>
      <c r="Q147" s="5">
        <v>1620.08</v>
      </c>
    </row>
    <row r="148" spans="1:17" x14ac:dyDescent="0.25">
      <c r="A148" s="294">
        <f t="shared" si="11"/>
        <v>6</v>
      </c>
      <c r="B148" s="3" t="s">
        <v>19</v>
      </c>
      <c r="C148" s="3" t="s">
        <v>62</v>
      </c>
      <c r="D148" s="3" t="s">
        <v>63</v>
      </c>
      <c r="E148" s="3" t="s">
        <v>71</v>
      </c>
      <c r="F148" s="3" t="s">
        <v>162</v>
      </c>
      <c r="G148" s="4" t="s">
        <v>85</v>
      </c>
      <c r="H148" s="4">
        <v>100</v>
      </c>
      <c r="I148" s="4">
        <v>82</v>
      </c>
      <c r="J148" s="4">
        <v>109</v>
      </c>
      <c r="K148" s="5">
        <f t="shared" si="9"/>
        <v>98370.9</v>
      </c>
      <c r="L148" s="5">
        <v>81168.42</v>
      </c>
      <c r="M148" s="5">
        <v>17202.48</v>
      </c>
      <c r="N148" s="4">
        <v>26</v>
      </c>
      <c r="O148" s="5">
        <f t="shared" si="10"/>
        <v>81565.89</v>
      </c>
      <c r="P148" s="5">
        <v>72074.95</v>
      </c>
      <c r="Q148" s="5">
        <v>9490.94</v>
      </c>
    </row>
    <row r="149" spans="1:17" ht="25.5" x14ac:dyDescent="0.25">
      <c r="A149" s="294">
        <f t="shared" si="11"/>
        <v>7</v>
      </c>
      <c r="B149" s="3" t="s">
        <v>20</v>
      </c>
      <c r="C149" s="3" t="s">
        <v>62</v>
      </c>
      <c r="D149" s="3" t="s">
        <v>63</v>
      </c>
      <c r="E149" s="3" t="s">
        <v>72</v>
      </c>
      <c r="F149" s="3" t="s">
        <v>163</v>
      </c>
      <c r="G149" s="4" t="s">
        <v>85</v>
      </c>
      <c r="H149" s="4">
        <v>0</v>
      </c>
      <c r="I149" s="4">
        <v>0</v>
      </c>
      <c r="J149" s="4">
        <v>0</v>
      </c>
      <c r="K149" s="5">
        <f t="shared" si="9"/>
        <v>0</v>
      </c>
      <c r="L149" s="5">
        <v>0</v>
      </c>
      <c r="M149" s="5">
        <v>0</v>
      </c>
      <c r="N149" s="4">
        <v>0</v>
      </c>
      <c r="O149" s="5">
        <f t="shared" si="10"/>
        <v>6138.73</v>
      </c>
      <c r="P149" s="5">
        <v>6138.73</v>
      </c>
      <c r="Q149" s="5">
        <v>0</v>
      </c>
    </row>
    <row r="150" spans="1:17" ht="25.5" x14ac:dyDescent="0.25">
      <c r="A150" s="294">
        <f t="shared" si="11"/>
        <v>8</v>
      </c>
      <c r="B150" s="3" t="s">
        <v>100</v>
      </c>
      <c r="C150" s="3" t="s">
        <v>62</v>
      </c>
      <c r="D150" s="3" t="s">
        <v>63</v>
      </c>
      <c r="E150" s="3" t="s">
        <v>101</v>
      </c>
      <c r="F150" s="3" t="s">
        <v>164</v>
      </c>
      <c r="G150" s="4" t="s">
        <v>85</v>
      </c>
      <c r="H150" s="4">
        <v>16</v>
      </c>
      <c r="I150" s="4">
        <v>14</v>
      </c>
      <c r="J150" s="4">
        <v>19</v>
      </c>
      <c r="K150" s="5">
        <f t="shared" si="9"/>
        <v>27154.720000000001</v>
      </c>
      <c r="L150" s="5">
        <v>20983.24</v>
      </c>
      <c r="M150" s="5">
        <v>6171.48</v>
      </c>
      <c r="N150" s="4">
        <v>12</v>
      </c>
      <c r="O150" s="5">
        <f t="shared" si="10"/>
        <v>40292.959999999999</v>
      </c>
      <c r="P150" s="5">
        <f>40299.47-6.51</f>
        <v>40292.959999999999</v>
      </c>
      <c r="Q150" s="5">
        <v>0</v>
      </c>
    </row>
    <row r="151" spans="1:17" x14ac:dyDescent="0.25">
      <c r="A151" s="294">
        <f t="shared" si="11"/>
        <v>9</v>
      </c>
      <c r="B151" s="3" t="s">
        <v>86</v>
      </c>
      <c r="C151" s="3" t="s">
        <v>62</v>
      </c>
      <c r="D151" s="3" t="s">
        <v>63</v>
      </c>
      <c r="E151" s="3" t="s">
        <v>74</v>
      </c>
      <c r="F151" s="3" t="s">
        <v>165</v>
      </c>
      <c r="G151" s="4" t="s">
        <v>85</v>
      </c>
      <c r="H151" s="4">
        <v>48</v>
      </c>
      <c r="I151" s="4">
        <v>31</v>
      </c>
      <c r="J151" s="4">
        <v>33</v>
      </c>
      <c r="K151" s="5">
        <f t="shared" si="9"/>
        <v>27505.82</v>
      </c>
      <c r="L151" s="5">
        <f>24521.22+607.89</f>
        <v>25129.11</v>
      </c>
      <c r="M151" s="5">
        <v>2376.71</v>
      </c>
      <c r="N151" s="4">
        <v>20</v>
      </c>
      <c r="O151" s="5">
        <f t="shared" si="10"/>
        <v>58106.78</v>
      </c>
      <c r="P151" s="5">
        <v>49473.84</v>
      </c>
      <c r="Q151" s="5">
        <v>8632.94</v>
      </c>
    </row>
    <row r="152" spans="1:17" x14ac:dyDescent="0.25">
      <c r="A152" s="294">
        <f t="shared" si="11"/>
        <v>10</v>
      </c>
      <c r="B152" s="3" t="s">
        <v>166</v>
      </c>
      <c r="C152" s="3" t="s">
        <v>62</v>
      </c>
      <c r="D152" s="3"/>
      <c r="E152" s="3" t="s">
        <v>63</v>
      </c>
      <c r="F152" s="3" t="s">
        <v>167</v>
      </c>
      <c r="G152" s="4" t="s">
        <v>85</v>
      </c>
      <c r="H152" s="4">
        <v>19</v>
      </c>
      <c r="I152" s="4">
        <v>11</v>
      </c>
      <c r="J152" s="4">
        <v>11</v>
      </c>
      <c r="K152" s="5">
        <f t="shared" si="9"/>
        <v>12377.17</v>
      </c>
      <c r="L152" s="5">
        <v>12377.17</v>
      </c>
      <c r="M152" s="5">
        <v>0</v>
      </c>
      <c r="N152" s="4">
        <v>0</v>
      </c>
      <c r="O152" s="5">
        <f t="shared" si="10"/>
        <v>0</v>
      </c>
      <c r="P152" s="5">
        <v>0</v>
      </c>
      <c r="Q152" s="5">
        <v>0</v>
      </c>
    </row>
    <row r="153" spans="1:17" x14ac:dyDescent="0.25">
      <c r="A153" s="294">
        <f t="shared" si="11"/>
        <v>11</v>
      </c>
      <c r="B153" s="3" t="s">
        <v>168</v>
      </c>
      <c r="C153" s="3" t="s">
        <v>62</v>
      </c>
      <c r="D153" s="3"/>
      <c r="E153" s="3" t="s">
        <v>63</v>
      </c>
      <c r="F153" s="3" t="s">
        <v>169</v>
      </c>
      <c r="G153" s="4" t="s">
        <v>85</v>
      </c>
      <c r="H153" s="4">
        <v>37</v>
      </c>
      <c r="I153" s="4">
        <v>30</v>
      </c>
      <c r="J153" s="4">
        <v>35</v>
      </c>
      <c r="K153" s="5">
        <f t="shared" si="9"/>
        <v>34087.32</v>
      </c>
      <c r="L153" s="5">
        <v>16491.64</v>
      </c>
      <c r="M153" s="5">
        <v>17595.68</v>
      </c>
      <c r="N153" s="4">
        <v>0</v>
      </c>
      <c r="O153" s="5">
        <f t="shared" si="10"/>
        <v>0</v>
      </c>
      <c r="P153" s="5">
        <v>0</v>
      </c>
      <c r="Q153" s="5">
        <v>0</v>
      </c>
    </row>
    <row r="154" spans="1:17" x14ac:dyDescent="0.25">
      <c r="A154" s="294">
        <f t="shared" si="11"/>
        <v>12</v>
      </c>
      <c r="B154" s="3" t="s">
        <v>21</v>
      </c>
      <c r="C154" s="3" t="s">
        <v>62</v>
      </c>
      <c r="D154" s="3" t="s">
        <v>63</v>
      </c>
      <c r="E154" s="3" t="s">
        <v>73</v>
      </c>
      <c r="F154" s="3" t="s">
        <v>170</v>
      </c>
      <c r="G154" s="4" t="s">
        <v>85</v>
      </c>
      <c r="H154" s="4">
        <v>51</v>
      </c>
      <c r="I154" s="4">
        <v>41</v>
      </c>
      <c r="J154" s="4">
        <v>50</v>
      </c>
      <c r="K154" s="5">
        <f t="shared" si="9"/>
        <v>58581.47</v>
      </c>
      <c r="L154" s="5">
        <v>58581.47</v>
      </c>
      <c r="M154" s="5">
        <v>0</v>
      </c>
      <c r="N154" s="4">
        <v>41</v>
      </c>
      <c r="O154" s="5">
        <f t="shared" si="10"/>
        <v>121861.54</v>
      </c>
      <c r="P154" s="5">
        <v>121861.54</v>
      </c>
      <c r="Q154" s="5">
        <v>0</v>
      </c>
    </row>
    <row r="155" spans="1:17" x14ac:dyDescent="0.25">
      <c r="A155" s="294">
        <f t="shared" si="11"/>
        <v>13</v>
      </c>
      <c r="B155" s="3" t="s">
        <v>22</v>
      </c>
      <c r="C155" s="3" t="s">
        <v>62</v>
      </c>
      <c r="D155" s="3" t="s">
        <v>63</v>
      </c>
      <c r="E155" s="3" t="s">
        <v>74</v>
      </c>
      <c r="F155" s="3" t="s">
        <v>171</v>
      </c>
      <c r="G155" s="4" t="s">
        <v>85</v>
      </c>
      <c r="H155" s="4">
        <v>36</v>
      </c>
      <c r="I155" s="4">
        <v>28</v>
      </c>
      <c r="J155" s="4">
        <v>36</v>
      </c>
      <c r="K155" s="5">
        <f t="shared" si="9"/>
        <v>51085.36</v>
      </c>
      <c r="L155" s="5">
        <v>38617.07</v>
      </c>
      <c r="M155" s="5">
        <v>12468.29</v>
      </c>
      <c r="N155" s="4">
        <v>42</v>
      </c>
      <c r="O155" s="5">
        <f t="shared" si="10"/>
        <v>101080.14</v>
      </c>
      <c r="P155" s="5">
        <v>92524.41</v>
      </c>
      <c r="Q155" s="5">
        <v>8555.73</v>
      </c>
    </row>
    <row r="156" spans="1:17" ht="25.5" x14ac:dyDescent="0.25">
      <c r="A156" s="294">
        <f t="shared" si="11"/>
        <v>14</v>
      </c>
      <c r="B156" s="3" t="s">
        <v>23</v>
      </c>
      <c r="C156" s="3" t="s">
        <v>62</v>
      </c>
      <c r="D156" s="3" t="s">
        <v>63</v>
      </c>
      <c r="E156" s="3" t="s">
        <v>75</v>
      </c>
      <c r="F156" s="3" t="s">
        <v>136</v>
      </c>
      <c r="G156" s="4" t="s">
        <v>85</v>
      </c>
      <c r="H156" s="4">
        <v>2</v>
      </c>
      <c r="I156" s="4">
        <v>0</v>
      </c>
      <c r="J156" s="4">
        <v>0</v>
      </c>
      <c r="K156" s="5">
        <f t="shared" si="9"/>
        <v>0</v>
      </c>
      <c r="L156" s="5">
        <v>0</v>
      </c>
      <c r="M156" s="5">
        <v>0</v>
      </c>
      <c r="N156" s="4">
        <v>0</v>
      </c>
      <c r="O156" s="5">
        <f t="shared" si="10"/>
        <v>0</v>
      </c>
      <c r="P156" s="5">
        <v>0</v>
      </c>
      <c r="Q156" s="5">
        <v>0</v>
      </c>
    </row>
    <row r="157" spans="1:17" x14ac:dyDescent="0.25">
      <c r="A157" s="294">
        <f t="shared" si="11"/>
        <v>15</v>
      </c>
      <c r="B157" s="3" t="s">
        <v>24</v>
      </c>
      <c r="C157" s="3" t="s">
        <v>62</v>
      </c>
      <c r="D157" s="3" t="s">
        <v>63</v>
      </c>
      <c r="E157" s="3" t="s">
        <v>74</v>
      </c>
      <c r="F157" s="3" t="s">
        <v>172</v>
      </c>
      <c r="G157" s="4" t="s">
        <v>85</v>
      </c>
      <c r="H157" s="4">
        <v>45</v>
      </c>
      <c r="I157" s="4">
        <v>33</v>
      </c>
      <c r="J157" s="4">
        <v>42</v>
      </c>
      <c r="K157" s="5">
        <f t="shared" si="9"/>
        <v>43142.82</v>
      </c>
      <c r="L157" s="5">
        <v>34717.26</v>
      </c>
      <c r="M157" s="5">
        <v>8425.56</v>
      </c>
      <c r="N157" s="4">
        <v>27</v>
      </c>
      <c r="O157" s="5">
        <f t="shared" si="10"/>
        <v>91426.099999999991</v>
      </c>
      <c r="P157" s="5">
        <v>89876.9</v>
      </c>
      <c r="Q157" s="5">
        <v>1549.2</v>
      </c>
    </row>
    <row r="158" spans="1:17" ht="25.5" x14ac:dyDescent="0.25">
      <c r="A158" s="294">
        <f t="shared" si="11"/>
        <v>16</v>
      </c>
      <c r="B158" s="3" t="s">
        <v>102</v>
      </c>
      <c r="C158" s="3" t="s">
        <v>67</v>
      </c>
      <c r="D158" s="3" t="s">
        <v>594</v>
      </c>
      <c r="E158" s="3" t="s">
        <v>74</v>
      </c>
      <c r="F158" s="3" t="s">
        <v>477</v>
      </c>
      <c r="G158" s="4" t="s">
        <v>85</v>
      </c>
      <c r="H158" s="4">
        <v>3</v>
      </c>
      <c r="I158" s="4">
        <v>1</v>
      </c>
      <c r="J158" s="4">
        <v>1</v>
      </c>
      <c r="K158" s="5">
        <f t="shared" si="9"/>
        <v>528.6</v>
      </c>
      <c r="L158" s="5">
        <v>528.6</v>
      </c>
      <c r="M158" s="5">
        <v>0</v>
      </c>
      <c r="N158" s="4">
        <v>4</v>
      </c>
      <c r="O158" s="5">
        <f t="shared" si="10"/>
        <v>9770.18</v>
      </c>
      <c r="P158" s="5">
        <v>9770.18</v>
      </c>
      <c r="Q158" s="5">
        <v>0</v>
      </c>
    </row>
    <row r="159" spans="1:17" ht="25.5" x14ac:dyDescent="0.25">
      <c r="A159" s="294">
        <f t="shared" si="11"/>
        <v>17</v>
      </c>
      <c r="B159" s="3" t="s">
        <v>173</v>
      </c>
      <c r="C159" s="3" t="s">
        <v>67</v>
      </c>
      <c r="D159" s="3" t="s">
        <v>478</v>
      </c>
      <c r="E159" s="3" t="s">
        <v>174</v>
      </c>
      <c r="F159" s="3" t="s">
        <v>175</v>
      </c>
      <c r="G159" s="4" t="s">
        <v>85</v>
      </c>
      <c r="H159" s="4">
        <v>27</v>
      </c>
      <c r="I159" s="4">
        <v>19</v>
      </c>
      <c r="J159" s="4">
        <v>21</v>
      </c>
      <c r="K159" s="5">
        <f t="shared" si="9"/>
        <v>13307.42</v>
      </c>
      <c r="L159" s="5">
        <v>13307.42</v>
      </c>
      <c r="M159" s="5">
        <v>0</v>
      </c>
      <c r="N159" s="4">
        <v>0</v>
      </c>
      <c r="O159" s="5">
        <f t="shared" si="10"/>
        <v>0</v>
      </c>
      <c r="P159" s="5">
        <v>0</v>
      </c>
      <c r="Q159" s="5">
        <v>0</v>
      </c>
    </row>
    <row r="160" spans="1:17" ht="25.5" x14ac:dyDescent="0.25">
      <c r="A160" s="294">
        <f t="shared" si="11"/>
        <v>18</v>
      </c>
      <c r="B160" s="3" t="s">
        <v>595</v>
      </c>
      <c r="C160" s="3" t="s">
        <v>64</v>
      </c>
      <c r="D160" s="3" t="s">
        <v>596</v>
      </c>
      <c r="E160" s="3" t="s">
        <v>597</v>
      </c>
      <c r="F160" s="3" t="s">
        <v>598</v>
      </c>
      <c r="G160" s="4" t="s">
        <v>85</v>
      </c>
      <c r="H160" s="4">
        <v>1</v>
      </c>
      <c r="I160" s="4">
        <v>1</v>
      </c>
      <c r="J160" s="4">
        <v>1</v>
      </c>
      <c r="K160" s="5">
        <f t="shared" si="9"/>
        <v>3600.4</v>
      </c>
      <c r="L160" s="5">
        <v>3600.4</v>
      </c>
      <c r="M160" s="5">
        <v>0</v>
      </c>
      <c r="N160" s="4">
        <v>0</v>
      </c>
      <c r="O160" s="5">
        <f t="shared" si="10"/>
        <v>0</v>
      </c>
      <c r="P160" s="5">
        <v>0</v>
      </c>
      <c r="Q160" s="5">
        <v>0</v>
      </c>
    </row>
    <row r="161" spans="1:17" ht="25.5" x14ac:dyDescent="0.25">
      <c r="A161" s="294">
        <f t="shared" si="11"/>
        <v>19</v>
      </c>
      <c r="B161" s="3" t="s">
        <v>25</v>
      </c>
      <c r="C161" s="3" t="s">
        <v>62</v>
      </c>
      <c r="D161" s="3" t="s">
        <v>63</v>
      </c>
      <c r="E161" s="3" t="s">
        <v>76</v>
      </c>
      <c r="F161" s="3" t="s">
        <v>543</v>
      </c>
      <c r="G161" s="4" t="s">
        <v>85</v>
      </c>
      <c r="H161" s="4">
        <v>48</v>
      </c>
      <c r="I161" s="4">
        <v>0</v>
      </c>
      <c r="J161" s="4">
        <v>0</v>
      </c>
      <c r="K161" s="5">
        <f t="shared" si="9"/>
        <v>0</v>
      </c>
      <c r="L161" s="5">
        <v>0</v>
      </c>
      <c r="M161" s="5">
        <v>0</v>
      </c>
      <c r="N161" s="4">
        <v>0</v>
      </c>
      <c r="O161" s="5">
        <f t="shared" si="10"/>
        <v>0</v>
      </c>
      <c r="P161" s="5">
        <v>0</v>
      </c>
      <c r="Q161" s="5">
        <v>0</v>
      </c>
    </row>
    <row r="162" spans="1:17" ht="25.5" x14ac:dyDescent="0.25">
      <c r="A162" s="294">
        <f t="shared" si="11"/>
        <v>20</v>
      </c>
      <c r="B162" s="3" t="s">
        <v>600</v>
      </c>
      <c r="C162" s="3" t="s">
        <v>62</v>
      </c>
      <c r="D162" s="3" t="s">
        <v>63</v>
      </c>
      <c r="E162" s="3" t="s">
        <v>75</v>
      </c>
      <c r="F162" s="3" t="s">
        <v>103</v>
      </c>
      <c r="G162" s="4" t="s">
        <v>85</v>
      </c>
      <c r="H162" s="4">
        <v>0</v>
      </c>
      <c r="I162" s="4">
        <v>0</v>
      </c>
      <c r="J162" s="4">
        <v>0</v>
      </c>
      <c r="K162" s="5">
        <f t="shared" si="9"/>
        <v>0</v>
      </c>
      <c r="L162" s="5">
        <v>0</v>
      </c>
      <c r="M162" s="5">
        <v>0</v>
      </c>
      <c r="N162" s="4">
        <v>15</v>
      </c>
      <c r="O162" s="5">
        <f t="shared" si="10"/>
        <v>62481.86</v>
      </c>
      <c r="P162" s="5">
        <v>62481.86</v>
      </c>
      <c r="Q162" s="5">
        <v>0</v>
      </c>
    </row>
    <row r="163" spans="1:17" ht="25.5" x14ac:dyDescent="0.25">
      <c r="A163" s="294">
        <f t="shared" si="11"/>
        <v>21</v>
      </c>
      <c r="B163" s="3" t="s">
        <v>479</v>
      </c>
      <c r="C163" s="3" t="s">
        <v>67</v>
      </c>
      <c r="D163" s="3" t="s">
        <v>480</v>
      </c>
      <c r="E163" s="3" t="s">
        <v>271</v>
      </c>
      <c r="F163" s="3" t="s">
        <v>481</v>
      </c>
      <c r="G163" s="4" t="s">
        <v>85</v>
      </c>
      <c r="H163" s="4">
        <v>13</v>
      </c>
      <c r="I163" s="4">
        <v>5</v>
      </c>
      <c r="J163" s="4">
        <v>5</v>
      </c>
      <c r="K163" s="5">
        <f t="shared" si="9"/>
        <v>1902.96</v>
      </c>
      <c r="L163" s="5">
        <v>1902.96</v>
      </c>
      <c r="M163" s="5">
        <v>0</v>
      </c>
      <c r="N163" s="4">
        <v>0</v>
      </c>
      <c r="O163" s="5">
        <f t="shared" si="10"/>
        <v>0</v>
      </c>
      <c r="P163" s="5">
        <v>0</v>
      </c>
      <c r="Q163" s="5">
        <v>0</v>
      </c>
    </row>
    <row r="164" spans="1:17" ht="25.5" x14ac:dyDescent="0.25">
      <c r="A164" s="294">
        <f t="shared" si="11"/>
        <v>22</v>
      </c>
      <c r="B164" s="3" t="s">
        <v>176</v>
      </c>
      <c r="C164" s="3" t="s">
        <v>62</v>
      </c>
      <c r="D164" s="3"/>
      <c r="E164" s="3" t="s">
        <v>177</v>
      </c>
      <c r="F164" s="3" t="s">
        <v>178</v>
      </c>
      <c r="G164" s="4" t="s">
        <v>85</v>
      </c>
      <c r="H164" s="4">
        <v>20</v>
      </c>
      <c r="I164" s="4">
        <v>13</v>
      </c>
      <c r="J164" s="4">
        <v>14</v>
      </c>
      <c r="K164" s="5">
        <f t="shared" si="9"/>
        <v>7259.44</v>
      </c>
      <c r="L164" s="5">
        <v>7259.44</v>
      </c>
      <c r="M164" s="5">
        <v>0</v>
      </c>
      <c r="N164" s="4">
        <v>0</v>
      </c>
      <c r="O164" s="5">
        <f t="shared" si="10"/>
        <v>0</v>
      </c>
      <c r="P164" s="5">
        <v>0</v>
      </c>
      <c r="Q164" s="5">
        <v>0</v>
      </c>
    </row>
    <row r="165" spans="1:17" x14ac:dyDescent="0.25">
      <c r="A165" s="294">
        <f t="shared" si="11"/>
        <v>23</v>
      </c>
      <c r="B165" s="3" t="s">
        <v>152</v>
      </c>
      <c r="C165" s="3" t="s">
        <v>62</v>
      </c>
      <c r="D165" s="3" t="s">
        <v>63</v>
      </c>
      <c r="E165" s="3" t="s">
        <v>63</v>
      </c>
      <c r="F165" s="3" t="s">
        <v>179</v>
      </c>
      <c r="G165" s="4" t="s">
        <v>85</v>
      </c>
      <c r="H165" s="4">
        <v>30</v>
      </c>
      <c r="I165" s="4">
        <v>13</v>
      </c>
      <c r="J165" s="4">
        <v>15</v>
      </c>
      <c r="K165" s="5">
        <f t="shared" si="9"/>
        <v>38119.06</v>
      </c>
      <c r="L165" s="5">
        <v>9467.91</v>
      </c>
      <c r="M165" s="5">
        <v>28651.15</v>
      </c>
      <c r="N165" s="4">
        <v>16</v>
      </c>
      <c r="O165" s="5">
        <f t="shared" si="10"/>
        <v>10875.99</v>
      </c>
      <c r="P165" s="5">
        <v>10875.99</v>
      </c>
      <c r="Q165" s="5">
        <v>0</v>
      </c>
    </row>
    <row r="166" spans="1:17" x14ac:dyDescent="0.25">
      <c r="A166" s="294">
        <f t="shared" si="11"/>
        <v>24</v>
      </c>
      <c r="B166" s="3" t="s">
        <v>88</v>
      </c>
      <c r="C166" s="3" t="s">
        <v>62</v>
      </c>
      <c r="D166" s="3" t="s">
        <v>63</v>
      </c>
      <c r="E166" s="3" t="s">
        <v>74</v>
      </c>
      <c r="F166" s="3" t="s">
        <v>180</v>
      </c>
      <c r="G166" s="4" t="s">
        <v>85</v>
      </c>
      <c r="H166" s="4">
        <v>9</v>
      </c>
      <c r="I166" s="4">
        <v>2</v>
      </c>
      <c r="J166" s="4">
        <v>2</v>
      </c>
      <c r="K166" s="5">
        <f t="shared" si="9"/>
        <v>2706.43</v>
      </c>
      <c r="L166" s="5">
        <v>2706.43</v>
      </c>
      <c r="M166" s="5">
        <v>0</v>
      </c>
      <c r="N166" s="4">
        <v>2</v>
      </c>
      <c r="O166" s="5">
        <f t="shared" si="10"/>
        <v>22884.99</v>
      </c>
      <c r="P166" s="5">
        <v>22884.99</v>
      </c>
      <c r="Q166" s="5">
        <v>0</v>
      </c>
    </row>
    <row r="167" spans="1:17" x14ac:dyDescent="0.25">
      <c r="A167" s="294">
        <f t="shared" si="11"/>
        <v>25</v>
      </c>
      <c r="B167" s="3" t="s">
        <v>26</v>
      </c>
      <c r="C167" s="3" t="s">
        <v>62</v>
      </c>
      <c r="D167" s="3" t="s">
        <v>63</v>
      </c>
      <c r="E167" s="3" t="s">
        <v>74</v>
      </c>
      <c r="F167" s="3" t="s">
        <v>181</v>
      </c>
      <c r="G167" s="4" t="s">
        <v>85</v>
      </c>
      <c r="H167" s="4">
        <v>28</v>
      </c>
      <c r="I167" s="4">
        <v>24</v>
      </c>
      <c r="J167" s="4">
        <v>34</v>
      </c>
      <c r="K167" s="5">
        <f t="shared" si="9"/>
        <v>54084.65</v>
      </c>
      <c r="L167" s="5">
        <v>54084.65</v>
      </c>
      <c r="M167" s="5">
        <v>0</v>
      </c>
      <c r="N167" s="4">
        <v>13</v>
      </c>
      <c r="O167" s="5">
        <f t="shared" si="10"/>
        <v>23585.53</v>
      </c>
      <c r="P167" s="5">
        <v>23585.53</v>
      </c>
      <c r="Q167" s="5">
        <v>0</v>
      </c>
    </row>
    <row r="168" spans="1:17" ht="25.5" x14ac:dyDescent="0.25">
      <c r="A168" s="294">
        <f t="shared" si="11"/>
        <v>26</v>
      </c>
      <c r="B168" s="3" t="s">
        <v>182</v>
      </c>
      <c r="C168" s="3" t="s">
        <v>62</v>
      </c>
      <c r="D168" s="3"/>
      <c r="E168" s="3" t="s">
        <v>174</v>
      </c>
      <c r="F168" s="3" t="s">
        <v>183</v>
      </c>
      <c r="G168" s="4" t="s">
        <v>85</v>
      </c>
      <c r="H168" s="4">
        <v>39</v>
      </c>
      <c r="I168" s="4">
        <v>23</v>
      </c>
      <c r="J168" s="4">
        <v>28</v>
      </c>
      <c r="K168" s="5">
        <f t="shared" si="9"/>
        <v>23283.040000000001</v>
      </c>
      <c r="L168" s="5">
        <v>23283.040000000001</v>
      </c>
      <c r="M168" s="5">
        <v>0</v>
      </c>
      <c r="N168" s="4">
        <v>0</v>
      </c>
      <c r="O168" s="5">
        <f t="shared" si="10"/>
        <v>0</v>
      </c>
      <c r="P168" s="5">
        <v>0</v>
      </c>
      <c r="Q168" s="5">
        <v>0</v>
      </c>
    </row>
    <row r="169" spans="1:17" x14ac:dyDescent="0.25">
      <c r="A169" s="294">
        <f t="shared" si="11"/>
        <v>27</v>
      </c>
      <c r="B169" s="3" t="s">
        <v>601</v>
      </c>
      <c r="C169" s="3" t="s">
        <v>62</v>
      </c>
      <c r="D169" s="3" t="s">
        <v>63</v>
      </c>
      <c r="E169" s="3" t="s">
        <v>366</v>
      </c>
      <c r="F169" s="3" t="s">
        <v>63</v>
      </c>
      <c r="G169" s="4" t="s">
        <v>85</v>
      </c>
      <c r="H169" s="4">
        <v>4</v>
      </c>
      <c r="I169" s="4">
        <v>0</v>
      </c>
      <c r="J169" s="4">
        <v>0</v>
      </c>
      <c r="K169" s="5">
        <f t="shared" si="9"/>
        <v>0</v>
      </c>
      <c r="L169" s="5">
        <v>0</v>
      </c>
      <c r="M169" s="5">
        <v>0</v>
      </c>
      <c r="N169" s="4">
        <v>0</v>
      </c>
      <c r="O169" s="5">
        <f t="shared" si="10"/>
        <v>0</v>
      </c>
      <c r="P169" s="5">
        <v>0</v>
      </c>
      <c r="Q169" s="5">
        <v>0</v>
      </c>
    </row>
    <row r="170" spans="1:17" ht="25.5" x14ac:dyDescent="0.25">
      <c r="A170" s="294">
        <f t="shared" si="11"/>
        <v>28</v>
      </c>
      <c r="B170" s="3" t="s">
        <v>137</v>
      </c>
      <c r="C170" s="3" t="s">
        <v>62</v>
      </c>
      <c r="D170" s="3" t="s">
        <v>63</v>
      </c>
      <c r="E170" s="3" t="s">
        <v>78</v>
      </c>
      <c r="F170" s="3" t="s">
        <v>184</v>
      </c>
      <c r="G170" s="4" t="s">
        <v>85</v>
      </c>
      <c r="H170" s="4">
        <v>9</v>
      </c>
      <c r="I170" s="4">
        <v>4</v>
      </c>
      <c r="J170" s="4">
        <v>4</v>
      </c>
      <c r="K170" s="5">
        <f t="shared" si="9"/>
        <v>8691.83</v>
      </c>
      <c r="L170" s="5">
        <v>2678.24</v>
      </c>
      <c r="M170" s="5">
        <v>6013.59</v>
      </c>
      <c r="N170" s="4">
        <v>5</v>
      </c>
      <c r="O170" s="5">
        <f t="shared" si="10"/>
        <v>9148.83</v>
      </c>
      <c r="P170" s="5">
        <v>9148.83</v>
      </c>
      <c r="Q170" s="5">
        <v>0</v>
      </c>
    </row>
    <row r="171" spans="1:17" ht="25.5" x14ac:dyDescent="0.25">
      <c r="A171" s="294">
        <f t="shared" si="11"/>
        <v>29</v>
      </c>
      <c r="B171" s="3" t="s">
        <v>185</v>
      </c>
      <c r="C171" s="3" t="s">
        <v>62</v>
      </c>
      <c r="D171" s="3"/>
      <c r="E171" s="3" t="s">
        <v>186</v>
      </c>
      <c r="F171" s="3" t="s">
        <v>463</v>
      </c>
      <c r="G171" s="4" t="s">
        <v>85</v>
      </c>
      <c r="H171" s="4">
        <v>11</v>
      </c>
      <c r="I171" s="4">
        <v>7</v>
      </c>
      <c r="J171" s="4">
        <v>8</v>
      </c>
      <c r="K171" s="5">
        <f t="shared" si="9"/>
        <v>1409.6</v>
      </c>
      <c r="L171" s="5">
        <v>1409.6</v>
      </c>
      <c r="M171" s="5">
        <v>0</v>
      </c>
      <c r="N171" s="4">
        <v>0</v>
      </c>
      <c r="O171" s="5">
        <f t="shared" si="10"/>
        <v>0</v>
      </c>
      <c r="P171" s="5">
        <v>0</v>
      </c>
      <c r="Q171" s="5">
        <v>0</v>
      </c>
    </row>
    <row r="172" spans="1:17" x14ac:dyDescent="0.25">
      <c r="A172" s="294">
        <f t="shared" si="11"/>
        <v>30</v>
      </c>
      <c r="B172" s="3" t="s">
        <v>27</v>
      </c>
      <c r="C172" s="3" t="s">
        <v>62</v>
      </c>
      <c r="D172" s="3" t="s">
        <v>63</v>
      </c>
      <c r="E172" s="3" t="s">
        <v>74</v>
      </c>
      <c r="F172" s="3" t="s">
        <v>187</v>
      </c>
      <c r="G172" s="4" t="s">
        <v>85</v>
      </c>
      <c r="H172" s="4">
        <v>16</v>
      </c>
      <c r="I172" s="4">
        <v>10</v>
      </c>
      <c r="J172" s="4">
        <v>11</v>
      </c>
      <c r="K172" s="5">
        <f t="shared" si="9"/>
        <v>10791.82</v>
      </c>
      <c r="L172" s="5">
        <v>10791.82</v>
      </c>
      <c r="M172" s="5">
        <v>0</v>
      </c>
      <c r="N172" s="4">
        <v>5</v>
      </c>
      <c r="O172" s="5">
        <f t="shared" si="10"/>
        <v>32217.82</v>
      </c>
      <c r="P172" s="5">
        <v>32217.82</v>
      </c>
      <c r="Q172" s="5">
        <v>0</v>
      </c>
    </row>
    <row r="173" spans="1:17" ht="25.5" x14ac:dyDescent="0.25">
      <c r="A173" s="294">
        <f t="shared" si="11"/>
        <v>31</v>
      </c>
      <c r="B173" s="3" t="s">
        <v>482</v>
      </c>
      <c r="C173" s="3" t="s">
        <v>64</v>
      </c>
      <c r="D173" s="3" t="s">
        <v>483</v>
      </c>
      <c r="E173" s="3" t="s">
        <v>313</v>
      </c>
      <c r="F173" s="3" t="s">
        <v>484</v>
      </c>
      <c r="G173" s="4" t="s">
        <v>85</v>
      </c>
      <c r="H173" s="4">
        <v>10</v>
      </c>
      <c r="I173" s="4">
        <v>0</v>
      </c>
      <c r="J173" s="4">
        <v>0</v>
      </c>
      <c r="K173" s="5">
        <f t="shared" si="9"/>
        <v>0</v>
      </c>
      <c r="L173" s="5">
        <v>0</v>
      </c>
      <c r="M173" s="5">
        <v>0</v>
      </c>
      <c r="N173" s="4">
        <v>0</v>
      </c>
      <c r="O173" s="5">
        <f t="shared" si="10"/>
        <v>0</v>
      </c>
      <c r="P173" s="5">
        <v>0</v>
      </c>
      <c r="Q173" s="5">
        <v>0</v>
      </c>
    </row>
    <row r="174" spans="1:17" ht="25.5" x14ac:dyDescent="0.25">
      <c r="A174" s="294">
        <f t="shared" si="11"/>
        <v>32</v>
      </c>
      <c r="B174" s="3" t="s">
        <v>104</v>
      </c>
      <c r="C174" s="3" t="s">
        <v>62</v>
      </c>
      <c r="D174" s="3" t="s">
        <v>63</v>
      </c>
      <c r="E174" s="3" t="s">
        <v>105</v>
      </c>
      <c r="F174" s="3" t="s">
        <v>188</v>
      </c>
      <c r="G174" s="4" t="s">
        <v>85</v>
      </c>
      <c r="H174" s="4">
        <v>9</v>
      </c>
      <c r="I174" s="4">
        <v>7</v>
      </c>
      <c r="J174" s="4">
        <v>9</v>
      </c>
      <c r="K174" s="5">
        <f t="shared" si="9"/>
        <v>19587.169999999998</v>
      </c>
      <c r="L174" s="5">
        <v>19587.169999999998</v>
      </c>
      <c r="M174" s="5">
        <v>0</v>
      </c>
      <c r="N174" s="4">
        <v>24</v>
      </c>
      <c r="O174" s="5">
        <f t="shared" si="10"/>
        <v>55175.61</v>
      </c>
      <c r="P174" s="5">
        <f>49255.29+5920.32</f>
        <v>55175.61</v>
      </c>
      <c r="Q174" s="5">
        <v>0</v>
      </c>
    </row>
    <row r="175" spans="1:17" ht="25.5" x14ac:dyDescent="0.25">
      <c r="A175" s="294">
        <f t="shared" si="11"/>
        <v>33</v>
      </c>
      <c r="B175" s="3" t="s">
        <v>517</v>
      </c>
      <c r="C175" s="3" t="s">
        <v>62</v>
      </c>
      <c r="D175" s="3"/>
      <c r="E175" s="3" t="s">
        <v>239</v>
      </c>
      <c r="F175" s="3" t="s">
        <v>63</v>
      </c>
      <c r="G175" s="4" t="s">
        <v>85</v>
      </c>
      <c r="H175" s="4">
        <v>18</v>
      </c>
      <c r="I175" s="4">
        <v>13</v>
      </c>
      <c r="J175" s="4">
        <v>14</v>
      </c>
      <c r="K175" s="5">
        <f t="shared" si="9"/>
        <v>8593.74</v>
      </c>
      <c r="L175" s="5">
        <v>5799.1</v>
      </c>
      <c r="M175" s="5">
        <v>2794.64</v>
      </c>
      <c r="N175" s="4">
        <v>0</v>
      </c>
      <c r="O175" s="5">
        <f t="shared" si="10"/>
        <v>0</v>
      </c>
      <c r="P175" s="5">
        <v>0</v>
      </c>
      <c r="Q175" s="5">
        <v>0</v>
      </c>
    </row>
    <row r="176" spans="1:17" x14ac:dyDescent="0.25">
      <c r="A176" s="294">
        <f t="shared" si="11"/>
        <v>34</v>
      </c>
      <c r="B176" s="3" t="s">
        <v>28</v>
      </c>
      <c r="C176" s="3" t="s">
        <v>62</v>
      </c>
      <c r="D176" s="3" t="s">
        <v>63</v>
      </c>
      <c r="E176" s="3" t="s">
        <v>74</v>
      </c>
      <c r="F176" s="3" t="s">
        <v>189</v>
      </c>
      <c r="G176" s="4" t="s">
        <v>85</v>
      </c>
      <c r="H176" s="4">
        <v>10</v>
      </c>
      <c r="I176" s="4">
        <v>8</v>
      </c>
      <c r="J176" s="4">
        <v>8</v>
      </c>
      <c r="K176" s="5">
        <f t="shared" si="9"/>
        <v>10155.84</v>
      </c>
      <c r="L176" s="5">
        <v>10155.84</v>
      </c>
      <c r="M176" s="5">
        <v>0</v>
      </c>
      <c r="N176" s="4">
        <v>7</v>
      </c>
      <c r="O176" s="5">
        <f t="shared" si="10"/>
        <v>18393.25</v>
      </c>
      <c r="P176" s="5">
        <v>18393.25</v>
      </c>
      <c r="Q176" s="5">
        <v>0</v>
      </c>
    </row>
    <row r="177" spans="1:17" x14ac:dyDescent="0.25">
      <c r="A177" s="294">
        <f t="shared" si="11"/>
        <v>35</v>
      </c>
      <c r="B177" s="3" t="s">
        <v>190</v>
      </c>
      <c r="C177" s="3" t="s">
        <v>62</v>
      </c>
      <c r="D177" s="3"/>
      <c r="E177" s="3" t="s">
        <v>63</v>
      </c>
      <c r="F177" s="3" t="s">
        <v>191</v>
      </c>
      <c r="G177" s="4" t="s">
        <v>85</v>
      </c>
      <c r="H177" s="4">
        <v>20</v>
      </c>
      <c r="I177" s="4">
        <v>13</v>
      </c>
      <c r="J177" s="4">
        <v>13</v>
      </c>
      <c r="K177" s="5">
        <f t="shared" si="9"/>
        <v>10947.63</v>
      </c>
      <c r="L177" s="5">
        <v>10947.63</v>
      </c>
      <c r="M177" s="5">
        <v>0</v>
      </c>
      <c r="N177" s="4">
        <v>0</v>
      </c>
      <c r="O177" s="5">
        <f t="shared" si="10"/>
        <v>0</v>
      </c>
      <c r="P177" s="5">
        <v>0</v>
      </c>
      <c r="Q177" s="5">
        <v>0</v>
      </c>
    </row>
    <row r="178" spans="1:17" ht="38.25" x14ac:dyDescent="0.25">
      <c r="A178" s="294">
        <f t="shared" si="11"/>
        <v>36</v>
      </c>
      <c r="B178" s="3" t="s">
        <v>192</v>
      </c>
      <c r="C178" s="3" t="s">
        <v>64</v>
      </c>
      <c r="D178" s="3" t="s">
        <v>193</v>
      </c>
      <c r="E178" s="3" t="s">
        <v>74</v>
      </c>
      <c r="F178" s="3" t="s">
        <v>194</v>
      </c>
      <c r="G178" s="4" t="s">
        <v>85</v>
      </c>
      <c r="H178" s="4">
        <v>1</v>
      </c>
      <c r="I178" s="4">
        <v>0</v>
      </c>
      <c r="J178" s="4">
        <v>0</v>
      </c>
      <c r="K178" s="5">
        <f t="shared" si="9"/>
        <v>0</v>
      </c>
      <c r="L178" s="5">
        <v>0</v>
      </c>
      <c r="M178" s="5">
        <v>0</v>
      </c>
      <c r="N178" s="4">
        <v>0</v>
      </c>
      <c r="O178" s="5">
        <f t="shared" si="10"/>
        <v>0</v>
      </c>
      <c r="P178" s="5">
        <v>0</v>
      </c>
      <c r="Q178" s="5">
        <v>0</v>
      </c>
    </row>
    <row r="179" spans="1:17" x14ac:dyDescent="0.25">
      <c r="A179" s="294">
        <f t="shared" si="11"/>
        <v>37</v>
      </c>
      <c r="B179" s="3" t="s">
        <v>89</v>
      </c>
      <c r="C179" s="3" t="s">
        <v>62</v>
      </c>
      <c r="D179" s="3" t="s">
        <v>63</v>
      </c>
      <c r="E179" s="3" t="s">
        <v>74</v>
      </c>
      <c r="F179" s="3" t="s">
        <v>195</v>
      </c>
      <c r="G179" s="4" t="s">
        <v>85</v>
      </c>
      <c r="H179" s="4">
        <v>35</v>
      </c>
      <c r="I179" s="4">
        <v>27</v>
      </c>
      <c r="J179" s="4">
        <v>29</v>
      </c>
      <c r="K179" s="5">
        <f t="shared" si="9"/>
        <v>17979.099999999999</v>
      </c>
      <c r="L179" s="5">
        <v>17979.099999999999</v>
      </c>
      <c r="M179" s="5">
        <v>0</v>
      </c>
      <c r="N179" s="4">
        <v>7</v>
      </c>
      <c r="O179" s="5">
        <f t="shared" si="10"/>
        <v>32869.550000000003</v>
      </c>
      <c r="P179" s="5">
        <v>32869.550000000003</v>
      </c>
      <c r="Q179" s="5">
        <v>0</v>
      </c>
    </row>
    <row r="180" spans="1:17" ht="25.5" x14ac:dyDescent="0.25">
      <c r="A180" s="294">
        <f t="shared" si="11"/>
        <v>38</v>
      </c>
      <c r="B180" s="3" t="s">
        <v>196</v>
      </c>
      <c r="C180" s="3" t="s">
        <v>62</v>
      </c>
      <c r="D180" s="3"/>
      <c r="E180" s="3" t="s">
        <v>197</v>
      </c>
      <c r="F180" s="3" t="s">
        <v>198</v>
      </c>
      <c r="G180" s="4" t="s">
        <v>85</v>
      </c>
      <c r="H180" s="4">
        <v>22</v>
      </c>
      <c r="I180" s="4">
        <v>16</v>
      </c>
      <c r="J180" s="4">
        <v>17</v>
      </c>
      <c r="K180" s="5">
        <f t="shared" si="9"/>
        <v>18951.14</v>
      </c>
      <c r="L180" s="5">
        <v>14928.06</v>
      </c>
      <c r="M180" s="5">
        <v>4023.08</v>
      </c>
      <c r="N180" s="4">
        <v>0</v>
      </c>
      <c r="O180" s="5">
        <f t="shared" si="10"/>
        <v>0</v>
      </c>
      <c r="P180" s="5">
        <v>0</v>
      </c>
      <c r="Q180" s="5">
        <v>0</v>
      </c>
    </row>
    <row r="181" spans="1:17" x14ac:dyDescent="0.25">
      <c r="A181" s="294">
        <f t="shared" si="11"/>
        <v>39</v>
      </c>
      <c r="B181" s="3" t="s">
        <v>106</v>
      </c>
      <c r="C181" s="3" t="s">
        <v>62</v>
      </c>
      <c r="D181" s="3" t="s">
        <v>63</v>
      </c>
      <c r="E181" s="3" t="s">
        <v>74</v>
      </c>
      <c r="F181" s="3" t="s">
        <v>199</v>
      </c>
      <c r="G181" s="4" t="s">
        <v>85</v>
      </c>
      <c r="H181" s="4">
        <v>51</v>
      </c>
      <c r="I181" s="4">
        <v>36</v>
      </c>
      <c r="J181" s="4">
        <v>45</v>
      </c>
      <c r="K181" s="5">
        <f t="shared" si="9"/>
        <v>66272.98</v>
      </c>
      <c r="L181" s="5">
        <v>66272.98</v>
      </c>
      <c r="M181" s="5">
        <v>0</v>
      </c>
      <c r="N181" s="4">
        <v>27</v>
      </c>
      <c r="O181" s="5">
        <f t="shared" si="10"/>
        <v>150774.94</v>
      </c>
      <c r="P181" s="5">
        <v>150774.94</v>
      </c>
      <c r="Q181" s="5">
        <v>0</v>
      </c>
    </row>
    <row r="182" spans="1:17" x14ac:dyDescent="0.25">
      <c r="A182" s="294">
        <f t="shared" si="11"/>
        <v>40</v>
      </c>
      <c r="B182" s="3" t="s">
        <v>107</v>
      </c>
      <c r="C182" s="3" t="s">
        <v>62</v>
      </c>
      <c r="D182" s="3" t="s">
        <v>63</v>
      </c>
      <c r="E182" s="3" t="s">
        <v>74</v>
      </c>
      <c r="F182" s="3" t="s">
        <v>138</v>
      </c>
      <c r="G182" s="4" t="s">
        <v>85</v>
      </c>
      <c r="H182" s="4">
        <v>2</v>
      </c>
      <c r="I182" s="4">
        <v>0</v>
      </c>
      <c r="J182" s="4">
        <v>0</v>
      </c>
      <c r="K182" s="5">
        <f t="shared" si="9"/>
        <v>0</v>
      </c>
      <c r="L182" s="5">
        <v>0</v>
      </c>
      <c r="M182" s="5">
        <v>0</v>
      </c>
      <c r="N182" s="4">
        <v>0</v>
      </c>
      <c r="O182" s="5">
        <f t="shared" si="10"/>
        <v>0</v>
      </c>
      <c r="P182" s="5">
        <v>0</v>
      </c>
      <c r="Q182" s="5">
        <v>0</v>
      </c>
    </row>
    <row r="183" spans="1:17" x14ac:dyDescent="0.25">
      <c r="A183" s="294">
        <f t="shared" si="11"/>
        <v>41</v>
      </c>
      <c r="B183" s="3" t="s">
        <v>29</v>
      </c>
      <c r="C183" s="3" t="s">
        <v>62</v>
      </c>
      <c r="D183" s="3" t="s">
        <v>63</v>
      </c>
      <c r="E183" s="3" t="s">
        <v>74</v>
      </c>
      <c r="F183" s="3" t="s">
        <v>200</v>
      </c>
      <c r="G183" s="4" t="s">
        <v>85</v>
      </c>
      <c r="H183" s="4">
        <v>26</v>
      </c>
      <c r="I183" s="4">
        <v>19</v>
      </c>
      <c r="J183" s="4">
        <v>29</v>
      </c>
      <c r="K183" s="5">
        <f t="shared" si="9"/>
        <v>38092.21</v>
      </c>
      <c r="L183" s="5">
        <v>38092.21</v>
      </c>
      <c r="M183" s="5">
        <v>0</v>
      </c>
      <c r="N183" s="4">
        <v>17</v>
      </c>
      <c r="O183" s="5">
        <f t="shared" si="10"/>
        <v>27388.87</v>
      </c>
      <c r="P183" s="5">
        <v>27388.87</v>
      </c>
      <c r="Q183" s="5">
        <v>0</v>
      </c>
    </row>
    <row r="184" spans="1:17" x14ac:dyDescent="0.25">
      <c r="A184" s="294">
        <f t="shared" si="11"/>
        <v>42</v>
      </c>
      <c r="B184" s="3" t="s">
        <v>201</v>
      </c>
      <c r="C184" s="3" t="s">
        <v>67</v>
      </c>
      <c r="D184" s="3" t="s">
        <v>485</v>
      </c>
      <c r="E184" s="3" t="s">
        <v>74</v>
      </c>
      <c r="F184" s="3" t="s">
        <v>202</v>
      </c>
      <c r="G184" s="4" t="s">
        <v>85</v>
      </c>
      <c r="H184" s="4">
        <v>25</v>
      </c>
      <c r="I184" s="4">
        <v>18</v>
      </c>
      <c r="J184" s="4">
        <v>19</v>
      </c>
      <c r="K184" s="5">
        <f t="shared" si="9"/>
        <v>35170.65</v>
      </c>
      <c r="L184" s="5">
        <v>35170.65</v>
      </c>
      <c r="M184" s="5">
        <v>0</v>
      </c>
      <c r="N184" s="4">
        <v>1</v>
      </c>
      <c r="O184" s="5">
        <f t="shared" si="10"/>
        <v>1717.95</v>
      </c>
      <c r="P184" s="5">
        <v>1717.95</v>
      </c>
      <c r="Q184" s="5">
        <v>0</v>
      </c>
    </row>
    <row r="185" spans="1:17" ht="25.5" x14ac:dyDescent="0.25">
      <c r="A185" s="294">
        <f t="shared" si="11"/>
        <v>43</v>
      </c>
      <c r="B185" s="3" t="s">
        <v>30</v>
      </c>
      <c r="C185" s="3" t="s">
        <v>62</v>
      </c>
      <c r="D185" s="3" t="s">
        <v>63</v>
      </c>
      <c r="E185" s="3" t="s">
        <v>203</v>
      </c>
      <c r="F185" s="3" t="s">
        <v>204</v>
      </c>
      <c r="G185" s="4" t="s">
        <v>85</v>
      </c>
      <c r="H185" s="4">
        <v>22</v>
      </c>
      <c r="I185" s="4">
        <v>15</v>
      </c>
      <c r="J185" s="4">
        <v>23</v>
      </c>
      <c r="K185" s="5">
        <f t="shared" si="9"/>
        <v>59887.420000000006</v>
      </c>
      <c r="L185" s="5">
        <f>61941.8-2054.38</f>
        <v>59887.420000000006</v>
      </c>
      <c r="M185" s="5">
        <v>0</v>
      </c>
      <c r="N185" s="4">
        <v>19</v>
      </c>
      <c r="O185" s="5">
        <f t="shared" si="10"/>
        <v>69063.23</v>
      </c>
      <c r="P185" s="5">
        <v>69063.23</v>
      </c>
      <c r="Q185" s="5">
        <v>0</v>
      </c>
    </row>
    <row r="186" spans="1:17" ht="51" x14ac:dyDescent="0.25">
      <c r="A186" s="294">
        <f t="shared" si="11"/>
        <v>44</v>
      </c>
      <c r="B186" s="3" t="s">
        <v>90</v>
      </c>
      <c r="C186" s="3" t="s">
        <v>62</v>
      </c>
      <c r="D186" s="3" t="s">
        <v>63</v>
      </c>
      <c r="E186" s="3" t="s">
        <v>205</v>
      </c>
      <c r="F186" s="3" t="s">
        <v>464</v>
      </c>
      <c r="G186" s="4" t="s">
        <v>85</v>
      </c>
      <c r="H186" s="4">
        <v>22</v>
      </c>
      <c r="I186" s="4">
        <v>15</v>
      </c>
      <c r="J186" s="4">
        <v>24</v>
      </c>
      <c r="K186" s="5">
        <f t="shared" si="9"/>
        <v>35238.51</v>
      </c>
      <c r="L186" s="5">
        <v>35238.51</v>
      </c>
      <c r="M186" s="5">
        <v>0</v>
      </c>
      <c r="N186" s="4">
        <v>17</v>
      </c>
      <c r="O186" s="5">
        <f t="shared" si="10"/>
        <v>23475.1</v>
      </c>
      <c r="P186" s="5">
        <v>23475.1</v>
      </c>
      <c r="Q186" s="5">
        <v>0</v>
      </c>
    </row>
    <row r="187" spans="1:17" x14ac:dyDescent="0.25">
      <c r="A187" s="294">
        <f t="shared" si="11"/>
        <v>45</v>
      </c>
      <c r="B187" s="3" t="s">
        <v>31</v>
      </c>
      <c r="C187" s="3" t="s">
        <v>62</v>
      </c>
      <c r="D187" s="3" t="s">
        <v>63</v>
      </c>
      <c r="E187" s="3" t="s">
        <v>74</v>
      </c>
      <c r="F187" s="3" t="s">
        <v>206</v>
      </c>
      <c r="G187" s="4" t="s">
        <v>85</v>
      </c>
      <c r="H187" s="4">
        <v>52</v>
      </c>
      <c r="I187" s="4">
        <v>46</v>
      </c>
      <c r="J187" s="4">
        <v>57</v>
      </c>
      <c r="K187" s="5">
        <f t="shared" si="9"/>
        <v>104800.98000000001</v>
      </c>
      <c r="L187" s="5">
        <v>87971.77</v>
      </c>
      <c r="M187" s="5">
        <v>16829.21</v>
      </c>
      <c r="N187" s="4">
        <v>23</v>
      </c>
      <c r="O187" s="5">
        <f t="shared" si="10"/>
        <v>86548.91</v>
      </c>
      <c r="P187" s="5">
        <v>85171.839999999997</v>
      </c>
      <c r="Q187" s="5">
        <v>1377.07</v>
      </c>
    </row>
    <row r="188" spans="1:17" x14ac:dyDescent="0.25">
      <c r="A188" s="294">
        <f t="shared" si="11"/>
        <v>46</v>
      </c>
      <c r="B188" s="3" t="s">
        <v>631</v>
      </c>
      <c r="C188" s="3" t="s">
        <v>62</v>
      </c>
      <c r="D188" s="3"/>
      <c r="E188" s="3" t="s">
        <v>63</v>
      </c>
      <c r="F188" s="3" t="s">
        <v>63</v>
      </c>
      <c r="G188" s="4" t="s">
        <v>85</v>
      </c>
      <c r="H188" s="4">
        <v>5</v>
      </c>
      <c r="I188" s="4">
        <v>1</v>
      </c>
      <c r="J188" s="4">
        <v>1</v>
      </c>
      <c r="K188" s="5">
        <f t="shared" si="9"/>
        <v>589.12</v>
      </c>
      <c r="L188" s="5">
        <v>0</v>
      </c>
      <c r="M188" s="5">
        <v>589.12</v>
      </c>
      <c r="N188" s="4">
        <v>0</v>
      </c>
      <c r="O188" s="5">
        <f t="shared" si="10"/>
        <v>0</v>
      </c>
      <c r="P188" s="5">
        <v>0</v>
      </c>
      <c r="Q188" s="5">
        <v>0</v>
      </c>
    </row>
    <row r="189" spans="1:17" ht="25.5" x14ac:dyDescent="0.25">
      <c r="A189" s="294">
        <f t="shared" si="11"/>
        <v>47</v>
      </c>
      <c r="B189" s="3" t="s">
        <v>605</v>
      </c>
      <c r="C189" s="3" t="s">
        <v>62</v>
      </c>
      <c r="D189" s="3" t="s">
        <v>63</v>
      </c>
      <c r="E189" s="3" t="s">
        <v>108</v>
      </c>
      <c r="F189" s="3" t="s">
        <v>619</v>
      </c>
      <c r="G189" s="4" t="s">
        <v>85</v>
      </c>
      <c r="H189" s="4">
        <v>3</v>
      </c>
      <c r="I189" s="4">
        <v>0</v>
      </c>
      <c r="J189" s="4">
        <v>0</v>
      </c>
      <c r="K189" s="5">
        <f t="shared" si="9"/>
        <v>0</v>
      </c>
      <c r="L189" s="5">
        <v>0</v>
      </c>
      <c r="M189" s="5">
        <v>0</v>
      </c>
      <c r="N189" s="4">
        <v>0</v>
      </c>
      <c r="O189" s="5">
        <f t="shared" si="10"/>
        <v>1200.69</v>
      </c>
      <c r="P189" s="5">
        <v>1200.69</v>
      </c>
      <c r="Q189" s="5">
        <v>0</v>
      </c>
    </row>
    <row r="190" spans="1:17" x14ac:dyDescent="0.25">
      <c r="A190" s="294">
        <f t="shared" si="11"/>
        <v>48</v>
      </c>
      <c r="B190" s="3" t="s">
        <v>32</v>
      </c>
      <c r="C190" s="3" t="s">
        <v>62</v>
      </c>
      <c r="D190" s="3" t="s">
        <v>63</v>
      </c>
      <c r="E190" s="3" t="s">
        <v>74</v>
      </c>
      <c r="F190" s="3" t="s">
        <v>207</v>
      </c>
      <c r="G190" s="4" t="s">
        <v>85</v>
      </c>
      <c r="H190" s="4">
        <v>51</v>
      </c>
      <c r="I190" s="4">
        <v>37</v>
      </c>
      <c r="J190" s="4">
        <v>40</v>
      </c>
      <c r="K190" s="5">
        <f t="shared" si="9"/>
        <v>29177.57</v>
      </c>
      <c r="L190" s="5">
        <v>21751.89</v>
      </c>
      <c r="M190" s="5">
        <v>7425.68</v>
      </c>
      <c r="N190" s="4">
        <v>33</v>
      </c>
      <c r="O190" s="5">
        <f t="shared" si="10"/>
        <v>98620.51</v>
      </c>
      <c r="P190" s="5">
        <v>98620.51</v>
      </c>
      <c r="Q190" s="5">
        <v>0</v>
      </c>
    </row>
    <row r="191" spans="1:17" x14ac:dyDescent="0.25">
      <c r="A191" s="294">
        <f t="shared" si="11"/>
        <v>49</v>
      </c>
      <c r="B191" s="3" t="s">
        <v>91</v>
      </c>
      <c r="C191" s="3" t="s">
        <v>62</v>
      </c>
      <c r="D191" s="3" t="s">
        <v>63</v>
      </c>
      <c r="E191" s="3" t="s">
        <v>63</v>
      </c>
      <c r="F191" s="3" t="s">
        <v>208</v>
      </c>
      <c r="G191" s="4" t="s">
        <v>85</v>
      </c>
      <c r="H191" s="4">
        <v>15</v>
      </c>
      <c r="I191" s="4">
        <v>11</v>
      </c>
      <c r="J191" s="4">
        <v>11</v>
      </c>
      <c r="K191" s="5">
        <f t="shared" si="9"/>
        <v>5992.57</v>
      </c>
      <c r="L191" s="5">
        <v>5992.57</v>
      </c>
      <c r="M191" s="5">
        <v>0</v>
      </c>
      <c r="N191" s="4">
        <v>2</v>
      </c>
      <c r="O191" s="5">
        <f t="shared" si="10"/>
        <v>17381.23</v>
      </c>
      <c r="P191" s="5">
        <v>17381.23</v>
      </c>
      <c r="Q191" s="5">
        <v>0</v>
      </c>
    </row>
    <row r="192" spans="1:17" x14ac:dyDescent="0.25">
      <c r="A192" s="294">
        <f t="shared" si="11"/>
        <v>50</v>
      </c>
      <c r="B192" s="3" t="s">
        <v>33</v>
      </c>
      <c r="C192" s="3" t="s">
        <v>62</v>
      </c>
      <c r="D192" s="3" t="s">
        <v>63</v>
      </c>
      <c r="E192" s="3" t="s">
        <v>74</v>
      </c>
      <c r="F192" s="3" t="s">
        <v>209</v>
      </c>
      <c r="G192" s="4" t="s">
        <v>85</v>
      </c>
      <c r="H192" s="4">
        <v>38</v>
      </c>
      <c r="I192" s="4">
        <v>29</v>
      </c>
      <c r="J192" s="4">
        <v>41</v>
      </c>
      <c r="K192" s="5">
        <f t="shared" si="9"/>
        <v>81525.72</v>
      </c>
      <c r="L192" s="5">
        <f>47036.6+16311.09</f>
        <v>63347.69</v>
      </c>
      <c r="M192" s="5">
        <v>18178.03</v>
      </c>
      <c r="N192" s="4">
        <v>38</v>
      </c>
      <c r="O192" s="5">
        <f t="shared" si="10"/>
        <v>99522.26</v>
      </c>
      <c r="P192" s="5">
        <v>99522.26</v>
      </c>
      <c r="Q192" s="5">
        <v>0</v>
      </c>
    </row>
    <row r="193" spans="1:17" x14ac:dyDescent="0.25">
      <c r="A193" s="294">
        <f t="shared" si="11"/>
        <v>51</v>
      </c>
      <c r="B193" s="3" t="s">
        <v>153</v>
      </c>
      <c r="C193" s="3" t="s">
        <v>62</v>
      </c>
      <c r="D193" s="3" t="s">
        <v>63</v>
      </c>
      <c r="E193" s="3" t="s">
        <v>74</v>
      </c>
      <c r="F193" s="3" t="s">
        <v>210</v>
      </c>
      <c r="G193" s="4" t="s">
        <v>85</v>
      </c>
      <c r="H193" s="4">
        <v>0</v>
      </c>
      <c r="I193" s="4">
        <v>0</v>
      </c>
      <c r="J193" s="4">
        <v>0</v>
      </c>
      <c r="K193" s="5">
        <f t="shared" si="9"/>
        <v>0</v>
      </c>
      <c r="L193" s="5">
        <v>0</v>
      </c>
      <c r="M193" s="5">
        <v>0</v>
      </c>
      <c r="N193" s="4">
        <v>3</v>
      </c>
      <c r="O193" s="5">
        <f t="shared" si="10"/>
        <v>27274.93</v>
      </c>
      <c r="P193" s="5">
        <f>17789.33+9485.6</f>
        <v>27274.93</v>
      </c>
      <c r="Q193" s="5">
        <v>0</v>
      </c>
    </row>
    <row r="194" spans="1:17" x14ac:dyDescent="0.25">
      <c r="A194" s="294">
        <f t="shared" si="11"/>
        <v>52</v>
      </c>
      <c r="B194" s="3" t="s">
        <v>34</v>
      </c>
      <c r="C194" s="3" t="s">
        <v>62</v>
      </c>
      <c r="D194" s="3" t="s">
        <v>63</v>
      </c>
      <c r="E194" s="3" t="s">
        <v>74</v>
      </c>
      <c r="F194" s="3" t="s">
        <v>211</v>
      </c>
      <c r="G194" s="4" t="s">
        <v>85</v>
      </c>
      <c r="H194" s="4">
        <v>19</v>
      </c>
      <c r="I194" s="4">
        <v>11</v>
      </c>
      <c r="J194" s="4">
        <v>11</v>
      </c>
      <c r="K194" s="5">
        <f t="shared" si="9"/>
        <v>7566.68</v>
      </c>
      <c r="L194" s="5">
        <v>4532.5200000000004</v>
      </c>
      <c r="M194" s="5">
        <v>3034.16</v>
      </c>
      <c r="N194" s="4">
        <v>26</v>
      </c>
      <c r="O194" s="5">
        <f t="shared" si="10"/>
        <v>106055.76000000001</v>
      </c>
      <c r="P194" s="5">
        <v>94507.1</v>
      </c>
      <c r="Q194" s="5">
        <v>11548.66</v>
      </c>
    </row>
    <row r="195" spans="1:17" ht="25.5" x14ac:dyDescent="0.25">
      <c r="A195" s="294">
        <f t="shared" si="11"/>
        <v>53</v>
      </c>
      <c r="B195" s="3" t="s">
        <v>154</v>
      </c>
      <c r="C195" s="3" t="s">
        <v>62</v>
      </c>
      <c r="D195" s="3" t="s">
        <v>63</v>
      </c>
      <c r="E195" s="3" t="s">
        <v>72</v>
      </c>
      <c r="F195" s="3" t="s">
        <v>212</v>
      </c>
      <c r="G195" s="4" t="s">
        <v>85</v>
      </c>
      <c r="H195" s="4">
        <v>6</v>
      </c>
      <c r="I195" s="4">
        <v>2</v>
      </c>
      <c r="J195" s="4">
        <v>2</v>
      </c>
      <c r="K195" s="5">
        <f t="shared" si="9"/>
        <v>2172.77</v>
      </c>
      <c r="L195" s="5">
        <v>0</v>
      </c>
      <c r="M195" s="5">
        <v>2172.77</v>
      </c>
      <c r="N195" s="4">
        <v>2</v>
      </c>
      <c r="O195" s="5">
        <f t="shared" si="10"/>
        <v>10016.970000000001</v>
      </c>
      <c r="P195" s="5">
        <f>4636.17+3171.6</f>
        <v>7807.77</v>
      </c>
      <c r="Q195" s="5">
        <v>2209.1999999999998</v>
      </c>
    </row>
    <row r="196" spans="1:17" x14ac:dyDescent="0.25">
      <c r="A196" s="294">
        <f t="shared" si="11"/>
        <v>54</v>
      </c>
      <c r="B196" s="3" t="s">
        <v>109</v>
      </c>
      <c r="C196" s="3" t="s">
        <v>62</v>
      </c>
      <c r="D196" s="3" t="s">
        <v>63</v>
      </c>
      <c r="E196" s="3" t="s">
        <v>74</v>
      </c>
      <c r="F196" s="3" t="s">
        <v>213</v>
      </c>
      <c r="G196" s="4" t="s">
        <v>85</v>
      </c>
      <c r="H196" s="4">
        <v>0</v>
      </c>
      <c r="I196" s="4">
        <v>0</v>
      </c>
      <c r="J196" s="4">
        <v>0</v>
      </c>
      <c r="K196" s="5">
        <f t="shared" si="9"/>
        <v>0</v>
      </c>
      <c r="L196" s="5">
        <v>0</v>
      </c>
      <c r="M196" s="5">
        <v>0</v>
      </c>
      <c r="N196" s="4">
        <v>2</v>
      </c>
      <c r="O196" s="5">
        <f t="shared" si="10"/>
        <v>3812.68</v>
      </c>
      <c r="P196" s="5">
        <v>3812.68</v>
      </c>
      <c r="Q196" s="5">
        <v>0</v>
      </c>
    </row>
    <row r="197" spans="1:17" x14ac:dyDescent="0.25">
      <c r="A197" s="294">
        <f t="shared" si="11"/>
        <v>55</v>
      </c>
      <c r="B197" s="3" t="s">
        <v>110</v>
      </c>
      <c r="C197" s="3" t="s">
        <v>62</v>
      </c>
      <c r="D197" s="3" t="s">
        <v>63</v>
      </c>
      <c r="E197" s="3" t="s">
        <v>74</v>
      </c>
      <c r="F197" s="3" t="s">
        <v>214</v>
      </c>
      <c r="G197" s="4" t="s">
        <v>85</v>
      </c>
      <c r="H197" s="4">
        <v>0</v>
      </c>
      <c r="I197" s="4">
        <v>0</v>
      </c>
      <c r="J197" s="4">
        <v>0</v>
      </c>
      <c r="K197" s="5">
        <f t="shared" si="9"/>
        <v>0</v>
      </c>
      <c r="L197" s="5">
        <v>0</v>
      </c>
      <c r="M197" s="5">
        <v>0</v>
      </c>
      <c r="N197" s="4">
        <v>0</v>
      </c>
      <c r="O197" s="5">
        <f t="shared" si="10"/>
        <v>12489.14</v>
      </c>
      <c r="P197" s="5">
        <v>12489.14</v>
      </c>
      <c r="Q197" s="5">
        <v>0</v>
      </c>
    </row>
    <row r="198" spans="1:17" x14ac:dyDescent="0.25">
      <c r="A198" s="294">
        <f t="shared" si="11"/>
        <v>56</v>
      </c>
      <c r="B198" s="3" t="s">
        <v>111</v>
      </c>
      <c r="C198" s="3" t="s">
        <v>112</v>
      </c>
      <c r="D198" s="3" t="s">
        <v>113</v>
      </c>
      <c r="E198" s="3" t="s">
        <v>63</v>
      </c>
      <c r="F198" s="3" t="s">
        <v>139</v>
      </c>
      <c r="G198" s="4" t="s">
        <v>85</v>
      </c>
      <c r="H198" s="4">
        <v>1</v>
      </c>
      <c r="I198" s="4">
        <v>0</v>
      </c>
      <c r="J198" s="4">
        <v>0</v>
      </c>
      <c r="K198" s="5">
        <f t="shared" si="9"/>
        <v>0</v>
      </c>
      <c r="L198" s="5">
        <v>0</v>
      </c>
      <c r="M198" s="5">
        <v>0</v>
      </c>
      <c r="N198" s="4">
        <v>0</v>
      </c>
      <c r="O198" s="5">
        <f t="shared" si="10"/>
        <v>0</v>
      </c>
      <c r="P198" s="5">
        <v>0</v>
      </c>
      <c r="Q198" s="5">
        <v>0</v>
      </c>
    </row>
    <row r="199" spans="1:17" x14ac:dyDescent="0.25">
      <c r="A199" s="294">
        <f t="shared" si="11"/>
        <v>57</v>
      </c>
      <c r="B199" s="3" t="s">
        <v>92</v>
      </c>
      <c r="C199" s="3" t="s">
        <v>62</v>
      </c>
      <c r="D199" s="3" t="s">
        <v>63</v>
      </c>
      <c r="E199" s="3" t="s">
        <v>74</v>
      </c>
      <c r="F199" s="3" t="s">
        <v>215</v>
      </c>
      <c r="G199" s="4" t="s">
        <v>85</v>
      </c>
      <c r="H199" s="4">
        <v>38</v>
      </c>
      <c r="I199" s="4">
        <v>33</v>
      </c>
      <c r="J199" s="4">
        <v>42</v>
      </c>
      <c r="K199" s="5">
        <f t="shared" si="9"/>
        <v>53998.6</v>
      </c>
      <c r="L199" s="5">
        <v>44523.09</v>
      </c>
      <c r="M199" s="5">
        <v>9475.51</v>
      </c>
      <c r="N199" s="4">
        <v>13</v>
      </c>
      <c r="O199" s="5">
        <f t="shared" si="10"/>
        <v>45686.47</v>
      </c>
      <c r="P199" s="5">
        <v>45686.47</v>
      </c>
      <c r="Q199" s="5">
        <v>0</v>
      </c>
    </row>
    <row r="200" spans="1:17" ht="25.5" x14ac:dyDescent="0.25">
      <c r="A200" s="294">
        <f t="shared" si="11"/>
        <v>58</v>
      </c>
      <c r="B200" s="3" t="s">
        <v>216</v>
      </c>
      <c r="C200" s="3" t="s">
        <v>67</v>
      </c>
      <c r="D200" s="3" t="s">
        <v>436</v>
      </c>
      <c r="E200" s="3" t="s">
        <v>217</v>
      </c>
      <c r="F200" s="3" t="s">
        <v>218</v>
      </c>
      <c r="G200" s="4" t="s">
        <v>85</v>
      </c>
      <c r="H200" s="4">
        <v>13</v>
      </c>
      <c r="I200" s="4">
        <v>8</v>
      </c>
      <c r="J200" s="4">
        <v>8</v>
      </c>
      <c r="K200" s="5">
        <f t="shared" si="9"/>
        <v>6838.87</v>
      </c>
      <c r="L200" s="5">
        <v>6838.87</v>
      </c>
      <c r="M200" s="5">
        <v>0</v>
      </c>
      <c r="N200" s="4">
        <v>0</v>
      </c>
      <c r="O200" s="5">
        <f t="shared" si="10"/>
        <v>0</v>
      </c>
      <c r="P200" s="5">
        <v>0</v>
      </c>
      <c r="Q200" s="5">
        <v>0</v>
      </c>
    </row>
    <row r="201" spans="1:17" ht="25.5" x14ac:dyDescent="0.25">
      <c r="A201" s="294">
        <f t="shared" si="11"/>
        <v>59</v>
      </c>
      <c r="B201" s="3" t="s">
        <v>35</v>
      </c>
      <c r="C201" s="3" t="s">
        <v>62</v>
      </c>
      <c r="D201" s="3" t="s">
        <v>63</v>
      </c>
      <c r="E201" s="3" t="s">
        <v>219</v>
      </c>
      <c r="F201" s="3" t="s">
        <v>220</v>
      </c>
      <c r="G201" s="4" t="s">
        <v>85</v>
      </c>
      <c r="H201" s="4">
        <v>54</v>
      </c>
      <c r="I201" s="4">
        <v>51</v>
      </c>
      <c r="J201" s="4">
        <v>58</v>
      </c>
      <c r="K201" s="5">
        <f t="shared" si="9"/>
        <v>78571.539999999994</v>
      </c>
      <c r="L201" s="5">
        <v>78571.539999999994</v>
      </c>
      <c r="M201" s="5">
        <v>0</v>
      </c>
      <c r="N201" s="4">
        <v>33</v>
      </c>
      <c r="O201" s="5">
        <f t="shared" si="10"/>
        <v>75066.61</v>
      </c>
      <c r="P201" s="5">
        <v>75066.61</v>
      </c>
      <c r="Q201" s="5">
        <v>0</v>
      </c>
    </row>
    <row r="202" spans="1:17" ht="25.5" x14ac:dyDescent="0.25">
      <c r="A202" s="294">
        <f t="shared" si="11"/>
        <v>60</v>
      </c>
      <c r="B202" s="3" t="s">
        <v>114</v>
      </c>
      <c r="C202" s="3" t="s">
        <v>62</v>
      </c>
      <c r="D202" s="3" t="s">
        <v>63</v>
      </c>
      <c r="E202" s="3" t="s">
        <v>115</v>
      </c>
      <c r="F202" s="3" t="s">
        <v>221</v>
      </c>
      <c r="G202" s="4" t="s">
        <v>85</v>
      </c>
      <c r="H202" s="4">
        <v>12</v>
      </c>
      <c r="I202" s="4">
        <v>4</v>
      </c>
      <c r="J202" s="4">
        <v>4</v>
      </c>
      <c r="K202" s="5">
        <f t="shared" si="9"/>
        <v>1887.36</v>
      </c>
      <c r="L202" s="5">
        <v>1887.36</v>
      </c>
      <c r="M202" s="5">
        <v>0</v>
      </c>
      <c r="N202" s="4">
        <v>1</v>
      </c>
      <c r="O202" s="5">
        <f t="shared" si="10"/>
        <v>1108.48</v>
      </c>
      <c r="P202" s="5">
        <v>1108.48</v>
      </c>
      <c r="Q202" s="5">
        <v>0</v>
      </c>
    </row>
    <row r="203" spans="1:17" ht="25.5" x14ac:dyDescent="0.25">
      <c r="A203" s="294">
        <f t="shared" si="11"/>
        <v>61</v>
      </c>
      <c r="B203" s="3" t="s">
        <v>222</v>
      </c>
      <c r="C203" s="3" t="s">
        <v>64</v>
      </c>
      <c r="D203" s="3" t="s">
        <v>486</v>
      </c>
      <c r="E203" s="3" t="s">
        <v>223</v>
      </c>
      <c r="F203" s="3" t="s">
        <v>224</v>
      </c>
      <c r="G203" s="4" t="s">
        <v>85</v>
      </c>
      <c r="H203" s="4">
        <v>19</v>
      </c>
      <c r="I203" s="4">
        <v>13</v>
      </c>
      <c r="J203" s="4">
        <v>17</v>
      </c>
      <c r="K203" s="5">
        <f t="shared" si="9"/>
        <v>21690.91</v>
      </c>
      <c r="L203" s="5">
        <v>21690.91</v>
      </c>
      <c r="M203" s="5">
        <v>0</v>
      </c>
      <c r="N203" s="4">
        <v>0</v>
      </c>
      <c r="O203" s="5">
        <f t="shared" si="10"/>
        <v>0</v>
      </c>
      <c r="P203" s="5">
        <v>0</v>
      </c>
      <c r="Q203" s="5">
        <v>0</v>
      </c>
    </row>
    <row r="204" spans="1:17" x14ac:dyDescent="0.25">
      <c r="A204" s="294">
        <f t="shared" si="11"/>
        <v>62</v>
      </c>
      <c r="B204" s="3" t="s">
        <v>93</v>
      </c>
      <c r="C204" s="3" t="s">
        <v>62</v>
      </c>
      <c r="D204" s="3" t="s">
        <v>63</v>
      </c>
      <c r="E204" s="3" t="s">
        <v>74</v>
      </c>
      <c r="F204" s="3" t="s">
        <v>225</v>
      </c>
      <c r="G204" s="4" t="s">
        <v>85</v>
      </c>
      <c r="H204" s="4">
        <v>14</v>
      </c>
      <c r="I204" s="4">
        <v>6</v>
      </c>
      <c r="J204" s="4">
        <v>7</v>
      </c>
      <c r="K204" s="5">
        <f t="shared" si="9"/>
        <v>11798.3</v>
      </c>
      <c r="L204" s="5">
        <v>11798.3</v>
      </c>
      <c r="M204" s="5">
        <v>0</v>
      </c>
      <c r="N204" s="4">
        <v>7</v>
      </c>
      <c r="O204" s="5">
        <f t="shared" si="10"/>
        <v>10672.71</v>
      </c>
      <c r="P204" s="5">
        <v>10672.71</v>
      </c>
      <c r="Q204" s="5">
        <v>0</v>
      </c>
    </row>
    <row r="205" spans="1:17" ht="25.5" x14ac:dyDescent="0.25">
      <c r="A205" s="294">
        <f t="shared" si="11"/>
        <v>63</v>
      </c>
      <c r="B205" s="3" t="s">
        <v>226</v>
      </c>
      <c r="C205" s="3" t="s">
        <v>62</v>
      </c>
      <c r="D205" s="3"/>
      <c r="E205" s="3" t="s">
        <v>174</v>
      </c>
      <c r="F205" s="3" t="s">
        <v>227</v>
      </c>
      <c r="G205" s="4" t="s">
        <v>85</v>
      </c>
      <c r="H205" s="4">
        <v>30</v>
      </c>
      <c r="I205" s="4">
        <v>16</v>
      </c>
      <c r="J205" s="4">
        <v>18</v>
      </c>
      <c r="K205" s="5">
        <f t="shared" si="9"/>
        <v>24991.78</v>
      </c>
      <c r="L205" s="5">
        <v>24991.78</v>
      </c>
      <c r="M205" s="5">
        <v>0</v>
      </c>
      <c r="N205" s="4">
        <v>0</v>
      </c>
      <c r="O205" s="5">
        <f t="shared" si="10"/>
        <v>0</v>
      </c>
      <c r="P205" s="5">
        <v>0</v>
      </c>
      <c r="Q205" s="5">
        <v>0</v>
      </c>
    </row>
    <row r="206" spans="1:17" ht="25.5" x14ac:dyDescent="0.25">
      <c r="A206" s="294">
        <f t="shared" si="11"/>
        <v>64</v>
      </c>
      <c r="B206" s="3" t="s">
        <v>228</v>
      </c>
      <c r="C206" s="3" t="s">
        <v>62</v>
      </c>
      <c r="D206" s="3"/>
      <c r="E206" s="3" t="s">
        <v>229</v>
      </c>
      <c r="F206" s="3" t="s">
        <v>230</v>
      </c>
      <c r="G206" s="4" t="s">
        <v>85</v>
      </c>
      <c r="H206" s="4">
        <v>34</v>
      </c>
      <c r="I206" s="4">
        <v>20</v>
      </c>
      <c r="J206" s="4">
        <v>22</v>
      </c>
      <c r="K206" s="5">
        <f t="shared" si="9"/>
        <v>34002.400000000001</v>
      </c>
      <c r="L206" s="5">
        <v>19255.28</v>
      </c>
      <c r="M206" s="5">
        <v>14747.12</v>
      </c>
      <c r="N206" s="4">
        <v>0</v>
      </c>
      <c r="O206" s="5">
        <f t="shared" si="10"/>
        <v>0</v>
      </c>
      <c r="P206" s="5">
        <v>0</v>
      </c>
      <c r="Q206" s="5">
        <v>0</v>
      </c>
    </row>
    <row r="207" spans="1:17" x14ac:dyDescent="0.25">
      <c r="A207" s="294">
        <f t="shared" si="11"/>
        <v>65</v>
      </c>
      <c r="B207" s="3" t="s">
        <v>116</v>
      </c>
      <c r="C207" s="3" t="s">
        <v>62</v>
      </c>
      <c r="D207" s="3" t="s">
        <v>63</v>
      </c>
      <c r="E207" s="3" t="s">
        <v>74</v>
      </c>
      <c r="F207" s="3" t="s">
        <v>231</v>
      </c>
      <c r="G207" s="4" t="s">
        <v>85</v>
      </c>
      <c r="H207" s="4">
        <v>34</v>
      </c>
      <c r="I207" s="4">
        <v>26</v>
      </c>
      <c r="J207" s="4">
        <v>28</v>
      </c>
      <c r="K207" s="5">
        <f t="shared" si="9"/>
        <v>36007.32</v>
      </c>
      <c r="L207" s="5">
        <v>36007.32</v>
      </c>
      <c r="M207" s="5">
        <v>0</v>
      </c>
      <c r="N207" s="4">
        <v>3</v>
      </c>
      <c r="O207" s="5">
        <f t="shared" si="10"/>
        <v>5058.49</v>
      </c>
      <c r="P207" s="5">
        <v>5058.49</v>
      </c>
      <c r="Q207" s="5">
        <v>0</v>
      </c>
    </row>
    <row r="208" spans="1:17" ht="25.5" x14ac:dyDescent="0.25">
      <c r="A208" s="294">
        <f t="shared" si="11"/>
        <v>66</v>
      </c>
      <c r="B208" s="3" t="s">
        <v>232</v>
      </c>
      <c r="C208" s="3" t="s">
        <v>62</v>
      </c>
      <c r="D208" s="3"/>
      <c r="E208" s="3" t="s">
        <v>174</v>
      </c>
      <c r="F208" s="3" t="s">
        <v>233</v>
      </c>
      <c r="G208" s="4" t="s">
        <v>85</v>
      </c>
      <c r="H208" s="4">
        <v>15</v>
      </c>
      <c r="I208" s="4">
        <v>9</v>
      </c>
      <c r="J208" s="4">
        <v>11</v>
      </c>
      <c r="K208" s="5">
        <f t="shared" ref="K208:K271" si="12">L208+M208</f>
        <v>9716.0300000000007</v>
      </c>
      <c r="L208" s="5">
        <v>6197.22</v>
      </c>
      <c r="M208" s="5">
        <v>3518.81</v>
      </c>
      <c r="N208" s="4">
        <v>0</v>
      </c>
      <c r="O208" s="5">
        <f t="shared" ref="O208:O271" si="13">P208+Q208</f>
        <v>0</v>
      </c>
      <c r="P208" s="5">
        <v>0</v>
      </c>
      <c r="Q208" s="5">
        <v>0</v>
      </c>
    </row>
    <row r="209" spans="1:17" ht="25.5" x14ac:dyDescent="0.25">
      <c r="A209" s="294">
        <f t="shared" ref="A209:A272" si="14">A208+1</f>
        <v>67</v>
      </c>
      <c r="B209" s="3" t="s">
        <v>487</v>
      </c>
      <c r="C209" s="3" t="s">
        <v>62</v>
      </c>
      <c r="D209" s="3"/>
      <c r="E209" s="3" t="s">
        <v>282</v>
      </c>
      <c r="F209" s="3" t="s">
        <v>488</v>
      </c>
      <c r="G209" s="4" t="s">
        <v>85</v>
      </c>
      <c r="H209" s="4">
        <v>8</v>
      </c>
      <c r="I209" s="4">
        <v>3</v>
      </c>
      <c r="J209" s="4">
        <v>3</v>
      </c>
      <c r="K209" s="5">
        <f t="shared" si="12"/>
        <v>1999.87</v>
      </c>
      <c r="L209" s="5">
        <v>1999.87</v>
      </c>
      <c r="M209" s="5">
        <v>0</v>
      </c>
      <c r="N209" s="4">
        <v>0</v>
      </c>
      <c r="O209" s="5">
        <f t="shared" si="13"/>
        <v>0</v>
      </c>
      <c r="P209" s="5">
        <v>0</v>
      </c>
      <c r="Q209" s="5">
        <v>0</v>
      </c>
    </row>
    <row r="210" spans="1:17" ht="25.5" x14ac:dyDescent="0.25">
      <c r="A210" s="294">
        <f t="shared" si="14"/>
        <v>68</v>
      </c>
      <c r="B210" s="3" t="s">
        <v>357</v>
      </c>
      <c r="C210" s="3" t="s">
        <v>64</v>
      </c>
      <c r="D210" s="3" t="s">
        <v>585</v>
      </c>
      <c r="E210" s="3" t="s">
        <v>74</v>
      </c>
      <c r="F210" s="3" t="s">
        <v>573</v>
      </c>
      <c r="G210" s="4" t="s">
        <v>85</v>
      </c>
      <c r="H210" s="4">
        <v>6</v>
      </c>
      <c r="I210" s="4">
        <v>0</v>
      </c>
      <c r="J210" s="4">
        <v>0</v>
      </c>
      <c r="K210" s="5">
        <f t="shared" si="12"/>
        <v>0</v>
      </c>
      <c r="L210" s="5">
        <v>0</v>
      </c>
      <c r="M210" s="5">
        <v>0</v>
      </c>
      <c r="N210" s="4">
        <v>1</v>
      </c>
      <c r="O210" s="5">
        <f t="shared" si="13"/>
        <v>6753.85</v>
      </c>
      <c r="P210" s="5">
        <v>6753.85</v>
      </c>
      <c r="Q210" s="5">
        <v>0</v>
      </c>
    </row>
    <row r="211" spans="1:17" x14ac:dyDescent="0.25">
      <c r="A211" s="294">
        <f t="shared" si="14"/>
        <v>69</v>
      </c>
      <c r="B211" s="3" t="s">
        <v>36</v>
      </c>
      <c r="C211" s="3" t="s">
        <v>62</v>
      </c>
      <c r="D211" s="3" t="s">
        <v>63</v>
      </c>
      <c r="E211" s="3" t="s">
        <v>74</v>
      </c>
      <c r="F211" s="3" t="s">
        <v>465</v>
      </c>
      <c r="G211" s="4" t="s">
        <v>85</v>
      </c>
      <c r="H211" s="4">
        <v>8</v>
      </c>
      <c r="I211" s="4">
        <v>1</v>
      </c>
      <c r="J211" s="4">
        <v>1</v>
      </c>
      <c r="K211" s="5">
        <f t="shared" si="12"/>
        <v>0</v>
      </c>
      <c r="L211" s="5">
        <v>0</v>
      </c>
      <c r="M211" s="5">
        <v>0</v>
      </c>
      <c r="N211" s="4">
        <v>4</v>
      </c>
      <c r="O211" s="5">
        <f t="shared" si="13"/>
        <v>18434.64</v>
      </c>
      <c r="P211" s="5">
        <f>17817.94+616.7</f>
        <v>18434.64</v>
      </c>
      <c r="Q211" s="5">
        <v>0</v>
      </c>
    </row>
    <row r="212" spans="1:17" ht="25.5" x14ac:dyDescent="0.25">
      <c r="A212" s="294">
        <f t="shared" si="14"/>
        <v>70</v>
      </c>
      <c r="B212" s="3" t="s">
        <v>37</v>
      </c>
      <c r="C212" s="3" t="s">
        <v>62</v>
      </c>
      <c r="D212" s="3" t="s">
        <v>63</v>
      </c>
      <c r="E212" s="3" t="s">
        <v>70</v>
      </c>
      <c r="F212" s="3" t="s">
        <v>234</v>
      </c>
      <c r="G212" s="4" t="s">
        <v>85</v>
      </c>
      <c r="H212" s="4">
        <v>15</v>
      </c>
      <c r="I212" s="4">
        <v>9</v>
      </c>
      <c r="J212" s="4">
        <v>9</v>
      </c>
      <c r="K212" s="5">
        <f t="shared" si="12"/>
        <v>11914.75</v>
      </c>
      <c r="L212" s="5">
        <v>11914.75</v>
      </c>
      <c r="M212" s="5">
        <v>0</v>
      </c>
      <c r="N212" s="4">
        <v>3</v>
      </c>
      <c r="O212" s="5">
        <f t="shared" si="13"/>
        <v>19390.900000000001</v>
      </c>
      <c r="P212" s="5">
        <v>19390.900000000001</v>
      </c>
      <c r="Q212" s="5">
        <v>0</v>
      </c>
    </row>
    <row r="213" spans="1:17" ht="38.25" x14ac:dyDescent="0.25">
      <c r="A213" s="294">
        <f t="shared" si="14"/>
        <v>71</v>
      </c>
      <c r="B213" s="3" t="s">
        <v>235</v>
      </c>
      <c r="C213" s="3" t="s">
        <v>62</v>
      </c>
      <c r="D213" s="3"/>
      <c r="E213" s="3" t="s">
        <v>236</v>
      </c>
      <c r="F213" s="3" t="s">
        <v>237</v>
      </c>
      <c r="G213" s="4" t="s">
        <v>85</v>
      </c>
      <c r="H213" s="4">
        <v>9</v>
      </c>
      <c r="I213" s="4">
        <v>6</v>
      </c>
      <c r="J213" s="4">
        <v>9</v>
      </c>
      <c r="K213" s="5">
        <f t="shared" si="12"/>
        <v>21167.350000000002</v>
      </c>
      <c r="L213" s="5">
        <v>18943.79</v>
      </c>
      <c r="M213" s="5">
        <v>2223.56</v>
      </c>
      <c r="N213" s="4">
        <v>0</v>
      </c>
      <c r="O213" s="5">
        <f t="shared" si="13"/>
        <v>0</v>
      </c>
      <c r="P213" s="5">
        <v>0</v>
      </c>
      <c r="Q213" s="5">
        <v>0</v>
      </c>
    </row>
    <row r="214" spans="1:17" ht="25.5" x14ac:dyDescent="0.25">
      <c r="A214" s="294">
        <f t="shared" si="14"/>
        <v>72</v>
      </c>
      <c r="B214" s="3" t="s">
        <v>238</v>
      </c>
      <c r="C214" s="3" t="s">
        <v>62</v>
      </c>
      <c r="D214" s="3"/>
      <c r="E214" s="3" t="s">
        <v>239</v>
      </c>
      <c r="F214" s="3" t="s">
        <v>240</v>
      </c>
      <c r="G214" s="4" t="s">
        <v>85</v>
      </c>
      <c r="H214" s="4">
        <v>14</v>
      </c>
      <c r="I214" s="4">
        <v>9</v>
      </c>
      <c r="J214" s="4">
        <v>10</v>
      </c>
      <c r="K214" s="5">
        <f t="shared" si="12"/>
        <v>9410.7699999999986</v>
      </c>
      <c r="L214" s="5">
        <v>8493.5499999999993</v>
      </c>
      <c r="M214" s="5">
        <v>917.22</v>
      </c>
      <c r="N214" s="4">
        <v>0</v>
      </c>
      <c r="O214" s="5">
        <f t="shared" si="13"/>
        <v>0</v>
      </c>
      <c r="P214" s="5">
        <v>0</v>
      </c>
      <c r="Q214" s="5">
        <v>0</v>
      </c>
    </row>
    <row r="215" spans="1:17" x14ac:dyDescent="0.25">
      <c r="A215" s="294">
        <f t="shared" si="14"/>
        <v>73</v>
      </c>
      <c r="B215" s="3" t="s">
        <v>587</v>
      </c>
      <c r="C215" s="3" t="s">
        <v>62</v>
      </c>
      <c r="D215" s="3" t="s">
        <v>63</v>
      </c>
      <c r="E215" s="3" t="s">
        <v>63</v>
      </c>
      <c r="F215" s="3" t="s">
        <v>609</v>
      </c>
      <c r="G215" s="4" t="s">
        <v>85</v>
      </c>
      <c r="H215" s="4">
        <v>0</v>
      </c>
      <c r="I215" s="4">
        <v>0</v>
      </c>
      <c r="J215" s="4">
        <v>0</v>
      </c>
      <c r="K215" s="5">
        <f t="shared" si="12"/>
        <v>0</v>
      </c>
      <c r="L215" s="5">
        <v>0</v>
      </c>
      <c r="M215" s="5">
        <v>0</v>
      </c>
      <c r="N215" s="4">
        <v>1</v>
      </c>
      <c r="O215" s="5">
        <f t="shared" si="13"/>
        <v>3658.79</v>
      </c>
      <c r="P215" s="5">
        <v>3658.79</v>
      </c>
      <c r="Q215" s="5">
        <v>0</v>
      </c>
    </row>
    <row r="216" spans="1:17" ht="25.5" x14ac:dyDescent="0.25">
      <c r="A216" s="294">
        <f t="shared" si="14"/>
        <v>74</v>
      </c>
      <c r="B216" s="3" t="s">
        <v>241</v>
      </c>
      <c r="C216" s="3" t="s">
        <v>62</v>
      </c>
      <c r="D216" s="3"/>
      <c r="E216" s="3" t="s">
        <v>242</v>
      </c>
      <c r="F216" s="3" t="s">
        <v>243</v>
      </c>
      <c r="G216" s="4" t="s">
        <v>85</v>
      </c>
      <c r="H216" s="4">
        <v>9</v>
      </c>
      <c r="I216" s="4">
        <v>9</v>
      </c>
      <c r="J216" s="4">
        <v>13</v>
      </c>
      <c r="K216" s="5">
        <f t="shared" si="12"/>
        <v>26884.58</v>
      </c>
      <c r="L216" s="5">
        <v>17138</v>
      </c>
      <c r="M216" s="5">
        <v>9746.58</v>
      </c>
      <c r="N216" s="4">
        <v>0</v>
      </c>
      <c r="O216" s="5">
        <f t="shared" si="13"/>
        <v>0</v>
      </c>
      <c r="P216" s="5">
        <v>0</v>
      </c>
      <c r="Q216" s="5">
        <v>0</v>
      </c>
    </row>
    <row r="217" spans="1:17" ht="38.25" x14ac:dyDescent="0.25">
      <c r="A217" s="294">
        <f t="shared" si="14"/>
        <v>75</v>
      </c>
      <c r="B217" s="3" t="s">
        <v>38</v>
      </c>
      <c r="C217" s="3" t="s">
        <v>62</v>
      </c>
      <c r="D217" s="3" t="s">
        <v>63</v>
      </c>
      <c r="E217" s="3" t="s">
        <v>244</v>
      </c>
      <c r="F217" s="3" t="s">
        <v>245</v>
      </c>
      <c r="G217" s="4" t="s">
        <v>85</v>
      </c>
      <c r="H217" s="4">
        <v>93</v>
      </c>
      <c r="I217" s="4">
        <v>78</v>
      </c>
      <c r="J217" s="4">
        <v>116</v>
      </c>
      <c r="K217" s="5">
        <f t="shared" si="12"/>
        <v>177826.79</v>
      </c>
      <c r="L217" s="5">
        <v>177826.79</v>
      </c>
      <c r="M217" s="5">
        <v>0</v>
      </c>
      <c r="N217" s="4">
        <v>90</v>
      </c>
      <c r="O217" s="5">
        <f t="shared" si="13"/>
        <v>272452.58999999997</v>
      </c>
      <c r="P217" s="5">
        <v>265243.15999999997</v>
      </c>
      <c r="Q217" s="5">
        <v>7209.43</v>
      </c>
    </row>
    <row r="218" spans="1:17" ht="25.5" x14ac:dyDescent="0.25">
      <c r="A218" s="294">
        <f t="shared" si="14"/>
        <v>76</v>
      </c>
      <c r="B218" s="3" t="s">
        <v>246</v>
      </c>
      <c r="C218" s="3" t="s">
        <v>62</v>
      </c>
      <c r="D218" s="3"/>
      <c r="E218" s="3" t="s">
        <v>247</v>
      </c>
      <c r="F218" s="3" t="s">
        <v>248</v>
      </c>
      <c r="G218" s="4" t="s">
        <v>85</v>
      </c>
      <c r="H218" s="4">
        <v>33</v>
      </c>
      <c r="I218" s="4">
        <v>21</v>
      </c>
      <c r="J218" s="4">
        <v>26</v>
      </c>
      <c r="K218" s="5">
        <f t="shared" si="12"/>
        <v>11281.81</v>
      </c>
      <c r="L218" s="5">
        <v>11281.81</v>
      </c>
      <c r="M218" s="5">
        <v>0</v>
      </c>
      <c r="N218" s="4">
        <v>0</v>
      </c>
      <c r="O218" s="5">
        <f t="shared" si="13"/>
        <v>0</v>
      </c>
      <c r="P218" s="5">
        <v>0</v>
      </c>
      <c r="Q218" s="5">
        <v>0</v>
      </c>
    </row>
    <row r="219" spans="1:17" x14ac:dyDescent="0.25">
      <c r="A219" s="294">
        <f t="shared" si="14"/>
        <v>77</v>
      </c>
      <c r="B219" s="3" t="s">
        <v>39</v>
      </c>
      <c r="C219" s="3" t="s">
        <v>62</v>
      </c>
      <c r="D219" s="3" t="s">
        <v>63</v>
      </c>
      <c r="E219" s="3" t="s">
        <v>77</v>
      </c>
      <c r="F219" s="3" t="s">
        <v>466</v>
      </c>
      <c r="G219" s="4" t="s">
        <v>85</v>
      </c>
      <c r="H219" s="4">
        <v>102</v>
      </c>
      <c r="I219" s="4">
        <v>86</v>
      </c>
      <c r="J219" s="4">
        <v>96</v>
      </c>
      <c r="K219" s="5">
        <f t="shared" si="12"/>
        <v>59812.600000000006</v>
      </c>
      <c r="L219" s="5">
        <v>50451.94</v>
      </c>
      <c r="M219" s="5">
        <v>9360.66</v>
      </c>
      <c r="N219" s="4">
        <v>11</v>
      </c>
      <c r="O219" s="5">
        <f t="shared" si="13"/>
        <v>18898.939999999999</v>
      </c>
      <c r="P219" s="5">
        <v>18898.939999999999</v>
      </c>
      <c r="Q219" s="5">
        <v>0</v>
      </c>
    </row>
    <row r="220" spans="1:17" ht="38.25" x14ac:dyDescent="0.25">
      <c r="A220" s="294">
        <f t="shared" si="14"/>
        <v>78</v>
      </c>
      <c r="B220" s="3" t="s">
        <v>40</v>
      </c>
      <c r="C220" s="3" t="s">
        <v>62</v>
      </c>
      <c r="D220" s="3" t="s">
        <v>63</v>
      </c>
      <c r="E220" s="3" t="s">
        <v>249</v>
      </c>
      <c r="F220" s="3" t="s">
        <v>250</v>
      </c>
      <c r="G220" s="4" t="s">
        <v>85</v>
      </c>
      <c r="H220" s="4">
        <v>30</v>
      </c>
      <c r="I220" s="4">
        <v>25</v>
      </c>
      <c r="J220" s="4">
        <v>38</v>
      </c>
      <c r="K220" s="5">
        <f t="shared" si="12"/>
        <v>72302.81</v>
      </c>
      <c r="L220" s="5">
        <v>72302.81</v>
      </c>
      <c r="M220" s="5">
        <v>0</v>
      </c>
      <c r="N220" s="4">
        <v>18</v>
      </c>
      <c r="O220" s="5">
        <f t="shared" si="13"/>
        <v>51901.91</v>
      </c>
      <c r="P220" s="5">
        <v>51901.91</v>
      </c>
      <c r="Q220" s="5">
        <v>0</v>
      </c>
    </row>
    <row r="221" spans="1:17" ht="25.5" x14ac:dyDescent="0.25">
      <c r="A221" s="294">
        <f t="shared" si="14"/>
        <v>79</v>
      </c>
      <c r="B221" s="3" t="s">
        <v>251</v>
      </c>
      <c r="C221" s="3" t="s">
        <v>62</v>
      </c>
      <c r="D221" s="3"/>
      <c r="E221" s="3" t="s">
        <v>177</v>
      </c>
      <c r="F221" s="3" t="s">
        <v>252</v>
      </c>
      <c r="G221" s="4" t="s">
        <v>85</v>
      </c>
      <c r="H221" s="4">
        <v>41</v>
      </c>
      <c r="I221" s="4">
        <v>30</v>
      </c>
      <c r="J221" s="4">
        <v>45</v>
      </c>
      <c r="K221" s="5">
        <f t="shared" si="12"/>
        <v>65719.149999999994</v>
      </c>
      <c r="L221" s="5">
        <v>48986.76</v>
      </c>
      <c r="M221" s="5">
        <v>16732.39</v>
      </c>
      <c r="N221" s="4">
        <v>0</v>
      </c>
      <c r="O221" s="5">
        <f t="shared" si="13"/>
        <v>0</v>
      </c>
      <c r="P221" s="5">
        <v>0</v>
      </c>
      <c r="Q221" s="5">
        <v>0</v>
      </c>
    </row>
    <row r="222" spans="1:17" x14ac:dyDescent="0.25">
      <c r="A222" s="294">
        <f t="shared" si="14"/>
        <v>80</v>
      </c>
      <c r="B222" s="3" t="s">
        <v>117</v>
      </c>
      <c r="C222" s="3" t="s">
        <v>62</v>
      </c>
      <c r="D222" s="3" t="s">
        <v>63</v>
      </c>
      <c r="E222" s="3" t="s">
        <v>74</v>
      </c>
      <c r="F222" s="3" t="s">
        <v>520</v>
      </c>
      <c r="G222" s="4" t="s">
        <v>85</v>
      </c>
      <c r="H222" s="4">
        <v>4</v>
      </c>
      <c r="I222" s="4">
        <v>2</v>
      </c>
      <c r="J222" s="4">
        <v>2</v>
      </c>
      <c r="K222" s="5">
        <f t="shared" si="12"/>
        <v>2616.5700000000002</v>
      </c>
      <c r="L222" s="5">
        <v>2616.5700000000002</v>
      </c>
      <c r="M222" s="5">
        <v>0</v>
      </c>
      <c r="N222" s="4">
        <v>3</v>
      </c>
      <c r="O222" s="5">
        <f t="shared" si="13"/>
        <v>9677.56</v>
      </c>
      <c r="P222" s="5">
        <v>9677.56</v>
      </c>
      <c r="Q222" s="5">
        <v>0</v>
      </c>
    </row>
    <row r="223" spans="1:17" ht="25.5" x14ac:dyDescent="0.25">
      <c r="A223" s="294">
        <f t="shared" si="14"/>
        <v>81</v>
      </c>
      <c r="B223" s="3" t="s">
        <v>41</v>
      </c>
      <c r="C223" s="3" t="s">
        <v>64</v>
      </c>
      <c r="D223" s="3" t="s">
        <v>65</v>
      </c>
      <c r="E223" s="3" t="s">
        <v>72</v>
      </c>
      <c r="F223" s="3" t="s">
        <v>253</v>
      </c>
      <c r="G223" s="4" t="s">
        <v>85</v>
      </c>
      <c r="H223" s="4">
        <v>2</v>
      </c>
      <c r="I223" s="4">
        <v>2</v>
      </c>
      <c r="J223" s="4">
        <v>2</v>
      </c>
      <c r="K223" s="5">
        <f t="shared" si="12"/>
        <v>1575.23</v>
      </c>
      <c r="L223" s="5">
        <v>1575.23</v>
      </c>
      <c r="M223" s="5">
        <v>0</v>
      </c>
      <c r="N223" s="4">
        <v>12</v>
      </c>
      <c r="O223" s="5">
        <f t="shared" si="13"/>
        <v>33315.620000000003</v>
      </c>
      <c r="P223" s="5">
        <v>33315.620000000003</v>
      </c>
      <c r="Q223" s="5">
        <v>0</v>
      </c>
    </row>
    <row r="224" spans="1:17" x14ac:dyDescent="0.25">
      <c r="A224" s="294">
        <f t="shared" si="14"/>
        <v>82</v>
      </c>
      <c r="B224" s="3" t="s">
        <v>118</v>
      </c>
      <c r="C224" s="3" t="s">
        <v>62</v>
      </c>
      <c r="D224" s="3" t="s">
        <v>63</v>
      </c>
      <c r="E224" s="3" t="s">
        <v>63</v>
      </c>
      <c r="F224" s="3" t="s">
        <v>467</v>
      </c>
      <c r="G224" s="4" t="s">
        <v>85</v>
      </c>
      <c r="H224" s="4">
        <v>6</v>
      </c>
      <c r="I224" s="4">
        <v>1</v>
      </c>
      <c r="J224" s="4">
        <v>1</v>
      </c>
      <c r="K224" s="5">
        <f t="shared" si="12"/>
        <v>0</v>
      </c>
      <c r="L224" s="5">
        <v>0</v>
      </c>
      <c r="M224" s="5">
        <v>0</v>
      </c>
      <c r="N224" s="4">
        <v>1</v>
      </c>
      <c r="O224" s="5">
        <f t="shared" si="13"/>
        <v>15601.16</v>
      </c>
      <c r="P224" s="5">
        <f>10491.36+5109.8</f>
        <v>15601.16</v>
      </c>
      <c r="Q224" s="5">
        <v>0</v>
      </c>
    </row>
    <row r="225" spans="1:17" ht="25.5" x14ac:dyDescent="0.25">
      <c r="A225" s="294">
        <f t="shared" si="14"/>
        <v>83</v>
      </c>
      <c r="B225" s="3" t="s">
        <v>548</v>
      </c>
      <c r="C225" s="3" t="s">
        <v>62</v>
      </c>
      <c r="D225" s="3"/>
      <c r="E225" s="3" t="s">
        <v>549</v>
      </c>
      <c r="F225" s="3" t="s">
        <v>550</v>
      </c>
      <c r="G225" s="4" t="s">
        <v>85</v>
      </c>
      <c r="H225" s="4">
        <v>3</v>
      </c>
      <c r="I225" s="4">
        <v>1</v>
      </c>
      <c r="J225" s="4">
        <v>1</v>
      </c>
      <c r="K225" s="5">
        <f t="shared" si="12"/>
        <v>0</v>
      </c>
      <c r="L225" s="5">
        <v>0</v>
      </c>
      <c r="M225" s="5">
        <v>0</v>
      </c>
      <c r="N225" s="4">
        <v>0</v>
      </c>
      <c r="O225" s="5">
        <f t="shared" si="13"/>
        <v>0</v>
      </c>
      <c r="P225" s="5">
        <v>0</v>
      </c>
      <c r="Q225" s="5">
        <v>0</v>
      </c>
    </row>
    <row r="226" spans="1:17" ht="25.5" x14ac:dyDescent="0.25">
      <c r="A226" s="294">
        <f t="shared" si="14"/>
        <v>84</v>
      </c>
      <c r="B226" s="3" t="s">
        <v>254</v>
      </c>
      <c r="C226" s="3" t="s">
        <v>62</v>
      </c>
      <c r="D226" s="3"/>
      <c r="E226" s="3" t="s">
        <v>239</v>
      </c>
      <c r="F226" s="3" t="s">
        <v>255</v>
      </c>
      <c r="G226" s="4" t="s">
        <v>85</v>
      </c>
      <c r="H226" s="4">
        <v>11</v>
      </c>
      <c r="I226" s="4">
        <v>8</v>
      </c>
      <c r="J226" s="4">
        <v>9</v>
      </c>
      <c r="K226" s="5">
        <f t="shared" si="12"/>
        <v>10146.51</v>
      </c>
      <c r="L226" s="5">
        <v>8361.66</v>
      </c>
      <c r="M226" s="5">
        <v>1784.85</v>
      </c>
      <c r="N226" s="4">
        <v>0</v>
      </c>
      <c r="O226" s="5">
        <f t="shared" si="13"/>
        <v>0</v>
      </c>
      <c r="P226" s="5">
        <v>0</v>
      </c>
      <c r="Q226" s="5">
        <v>0</v>
      </c>
    </row>
    <row r="227" spans="1:17" x14ac:dyDescent="0.25">
      <c r="A227" s="294">
        <f t="shared" si="14"/>
        <v>85</v>
      </c>
      <c r="B227" s="3" t="s">
        <v>256</v>
      </c>
      <c r="C227" s="3" t="s">
        <v>62</v>
      </c>
      <c r="D227" s="3"/>
      <c r="E227" s="3" t="s">
        <v>158</v>
      </c>
      <c r="F227" s="3" t="s">
        <v>257</v>
      </c>
      <c r="G227" s="4" t="s">
        <v>85</v>
      </c>
      <c r="H227" s="4">
        <v>11</v>
      </c>
      <c r="I227" s="4">
        <v>5</v>
      </c>
      <c r="J227" s="4">
        <v>5</v>
      </c>
      <c r="K227" s="5">
        <f t="shared" si="12"/>
        <v>6265.01</v>
      </c>
      <c r="L227" s="5">
        <v>3024.85</v>
      </c>
      <c r="M227" s="5">
        <v>3240.16</v>
      </c>
      <c r="N227" s="4">
        <v>0</v>
      </c>
      <c r="O227" s="5">
        <f t="shared" si="13"/>
        <v>0</v>
      </c>
      <c r="P227" s="5">
        <v>0</v>
      </c>
      <c r="Q227" s="5">
        <v>0</v>
      </c>
    </row>
    <row r="228" spans="1:17" ht="25.5" x14ac:dyDescent="0.25">
      <c r="A228" s="294">
        <f t="shared" si="14"/>
        <v>86</v>
      </c>
      <c r="B228" s="3" t="s">
        <v>258</v>
      </c>
      <c r="C228" s="3" t="s">
        <v>62</v>
      </c>
      <c r="D228" s="3"/>
      <c r="E228" s="3" t="s">
        <v>239</v>
      </c>
      <c r="F228" s="3" t="s">
        <v>259</v>
      </c>
      <c r="G228" s="4" t="s">
        <v>85</v>
      </c>
      <c r="H228" s="4">
        <v>32</v>
      </c>
      <c r="I228" s="4">
        <v>21</v>
      </c>
      <c r="J228" s="4">
        <v>22</v>
      </c>
      <c r="K228" s="5">
        <f t="shared" si="12"/>
        <v>39127.08</v>
      </c>
      <c r="L228" s="5">
        <v>39127.08</v>
      </c>
      <c r="M228" s="5">
        <v>0</v>
      </c>
      <c r="N228" s="4">
        <v>0</v>
      </c>
      <c r="O228" s="5">
        <f t="shared" si="13"/>
        <v>0</v>
      </c>
      <c r="P228" s="5">
        <v>0</v>
      </c>
      <c r="Q228" s="5">
        <v>0</v>
      </c>
    </row>
    <row r="229" spans="1:17" ht="25.5" x14ac:dyDescent="0.25">
      <c r="A229" s="294">
        <f t="shared" si="14"/>
        <v>87</v>
      </c>
      <c r="B229" s="3" t="s">
        <v>42</v>
      </c>
      <c r="C229" s="3" t="s">
        <v>62</v>
      </c>
      <c r="D229" s="3" t="s">
        <v>63</v>
      </c>
      <c r="E229" s="3" t="s">
        <v>78</v>
      </c>
      <c r="F229" s="3" t="s">
        <v>260</v>
      </c>
      <c r="G229" s="4" t="s">
        <v>85</v>
      </c>
      <c r="H229" s="4">
        <v>49</v>
      </c>
      <c r="I229" s="4">
        <v>35</v>
      </c>
      <c r="J229" s="4">
        <v>42</v>
      </c>
      <c r="K229" s="5">
        <f t="shared" si="12"/>
        <v>91702.68</v>
      </c>
      <c r="L229" s="5">
        <v>85103.98</v>
      </c>
      <c r="M229" s="5">
        <v>6598.7</v>
      </c>
      <c r="N229" s="4">
        <v>32</v>
      </c>
      <c r="O229" s="5">
        <f t="shared" si="13"/>
        <v>157669.38999999998</v>
      </c>
      <c r="P229" s="5">
        <v>149032.84</v>
      </c>
      <c r="Q229" s="5">
        <v>8636.5499999999993</v>
      </c>
    </row>
    <row r="230" spans="1:17" ht="25.5" x14ac:dyDescent="0.25">
      <c r="A230" s="294">
        <f t="shared" si="14"/>
        <v>88</v>
      </c>
      <c r="B230" s="3" t="s">
        <v>43</v>
      </c>
      <c r="C230" s="3" t="s">
        <v>62</v>
      </c>
      <c r="D230" s="3" t="s">
        <v>63</v>
      </c>
      <c r="E230" s="3" t="s">
        <v>72</v>
      </c>
      <c r="F230" s="3" t="s">
        <v>261</v>
      </c>
      <c r="G230" s="4" t="s">
        <v>85</v>
      </c>
      <c r="H230" s="4">
        <v>23</v>
      </c>
      <c r="I230" s="4">
        <v>18</v>
      </c>
      <c r="J230" s="4">
        <v>25</v>
      </c>
      <c r="K230" s="5">
        <f t="shared" si="12"/>
        <v>39852.75</v>
      </c>
      <c r="L230" s="5">
        <v>38941.269999999997</v>
      </c>
      <c r="M230" s="5">
        <v>911.48</v>
      </c>
      <c r="N230" s="4">
        <v>41</v>
      </c>
      <c r="O230" s="5">
        <f t="shared" si="13"/>
        <v>175198.46</v>
      </c>
      <c r="P230" s="5">
        <v>174165.66</v>
      </c>
      <c r="Q230" s="5">
        <v>1032.8</v>
      </c>
    </row>
    <row r="231" spans="1:17" x14ac:dyDescent="0.25">
      <c r="A231" s="294">
        <f t="shared" si="14"/>
        <v>89</v>
      </c>
      <c r="B231" s="3" t="s">
        <v>44</v>
      </c>
      <c r="C231" s="3" t="s">
        <v>62</v>
      </c>
      <c r="D231" s="3" t="s">
        <v>63</v>
      </c>
      <c r="E231" s="3" t="s">
        <v>74</v>
      </c>
      <c r="F231" s="3" t="s">
        <v>262</v>
      </c>
      <c r="G231" s="4" t="s">
        <v>85</v>
      </c>
      <c r="H231" s="4">
        <v>46</v>
      </c>
      <c r="I231" s="4">
        <v>32</v>
      </c>
      <c r="J231" s="4">
        <v>37</v>
      </c>
      <c r="K231" s="5">
        <f t="shared" si="12"/>
        <v>30894.230000000003</v>
      </c>
      <c r="L231" s="5">
        <v>22540.81</v>
      </c>
      <c r="M231" s="5">
        <v>8353.42</v>
      </c>
      <c r="N231" s="4">
        <v>38</v>
      </c>
      <c r="O231" s="5">
        <f t="shared" si="13"/>
        <v>147210.87000000002</v>
      </c>
      <c r="P231" s="5">
        <v>139624.70000000001</v>
      </c>
      <c r="Q231" s="5">
        <v>7586.17</v>
      </c>
    </row>
    <row r="232" spans="1:17" ht="25.5" x14ac:dyDescent="0.25">
      <c r="A232" s="294">
        <f t="shared" si="14"/>
        <v>90</v>
      </c>
      <c r="B232" s="3" t="s">
        <v>45</v>
      </c>
      <c r="C232" s="3" t="s">
        <v>62</v>
      </c>
      <c r="D232" s="3" t="s">
        <v>63</v>
      </c>
      <c r="E232" s="3" t="s">
        <v>79</v>
      </c>
      <c r="F232" s="3" t="s">
        <v>263</v>
      </c>
      <c r="G232" s="4" t="s">
        <v>85</v>
      </c>
      <c r="H232" s="4">
        <v>15</v>
      </c>
      <c r="I232" s="4">
        <v>11</v>
      </c>
      <c r="J232" s="4">
        <v>16</v>
      </c>
      <c r="K232" s="5">
        <f t="shared" si="12"/>
        <v>27996.89</v>
      </c>
      <c r="L232" s="5">
        <v>21822.1</v>
      </c>
      <c r="M232" s="5">
        <v>6174.79</v>
      </c>
      <c r="N232" s="4">
        <v>3</v>
      </c>
      <c r="O232" s="5">
        <f t="shared" si="13"/>
        <v>25980.780000000002</v>
      </c>
      <c r="P232" s="5">
        <v>18586.060000000001</v>
      </c>
      <c r="Q232" s="5">
        <v>7394.72</v>
      </c>
    </row>
    <row r="233" spans="1:17" x14ac:dyDescent="0.25">
      <c r="A233" s="294">
        <f t="shared" si="14"/>
        <v>91</v>
      </c>
      <c r="B233" s="3" t="s">
        <v>264</v>
      </c>
      <c r="C233" s="3" t="s">
        <v>62</v>
      </c>
      <c r="D233" s="3" t="s">
        <v>63</v>
      </c>
      <c r="E233" s="3" t="s">
        <v>74</v>
      </c>
      <c r="F233" s="3" t="s">
        <v>265</v>
      </c>
      <c r="G233" s="4" t="s">
        <v>85</v>
      </c>
      <c r="H233" s="4">
        <v>25</v>
      </c>
      <c r="I233" s="4">
        <v>20</v>
      </c>
      <c r="J233" s="4">
        <v>22</v>
      </c>
      <c r="K233" s="5">
        <f t="shared" si="12"/>
        <v>15861.81</v>
      </c>
      <c r="L233" s="5">
        <v>15861.81</v>
      </c>
      <c r="M233" s="5">
        <v>0</v>
      </c>
      <c r="N233" s="4">
        <v>0</v>
      </c>
      <c r="O233" s="5">
        <f t="shared" si="13"/>
        <v>0</v>
      </c>
      <c r="P233" s="5">
        <v>0</v>
      </c>
      <c r="Q233" s="5">
        <v>0</v>
      </c>
    </row>
    <row r="234" spans="1:17" ht="25.5" x14ac:dyDescent="0.25">
      <c r="A234" s="294">
        <f t="shared" si="14"/>
        <v>92</v>
      </c>
      <c r="B234" s="3" t="s">
        <v>119</v>
      </c>
      <c r="C234" s="3" t="s">
        <v>62</v>
      </c>
      <c r="D234" s="3" t="s">
        <v>63</v>
      </c>
      <c r="E234" s="3" t="s">
        <v>108</v>
      </c>
      <c r="F234" s="3" t="s">
        <v>266</v>
      </c>
      <c r="G234" s="4" t="s">
        <v>85</v>
      </c>
      <c r="H234" s="4">
        <v>17</v>
      </c>
      <c r="I234" s="4">
        <v>13</v>
      </c>
      <c r="J234" s="4">
        <v>15</v>
      </c>
      <c r="K234" s="5">
        <f t="shared" si="12"/>
        <v>18071.580000000002</v>
      </c>
      <c r="L234" s="5">
        <v>18071.580000000002</v>
      </c>
      <c r="M234" s="5">
        <v>0</v>
      </c>
      <c r="N234" s="4">
        <v>4</v>
      </c>
      <c r="O234" s="5">
        <f t="shared" si="13"/>
        <v>1881.62</v>
      </c>
      <c r="P234" s="5">
        <v>1881.62</v>
      </c>
      <c r="Q234" s="5">
        <v>0</v>
      </c>
    </row>
    <row r="235" spans="1:17" ht="38.25" x14ac:dyDescent="0.25">
      <c r="A235" s="294">
        <f t="shared" si="14"/>
        <v>93</v>
      </c>
      <c r="B235" s="3" t="s">
        <v>46</v>
      </c>
      <c r="C235" s="3" t="s">
        <v>62</v>
      </c>
      <c r="D235" s="3" t="s">
        <v>63</v>
      </c>
      <c r="E235" s="3" t="s">
        <v>267</v>
      </c>
      <c r="F235" s="3" t="s">
        <v>268</v>
      </c>
      <c r="G235" s="4" t="s">
        <v>85</v>
      </c>
      <c r="H235" s="4">
        <v>21</v>
      </c>
      <c r="I235" s="4">
        <v>16</v>
      </c>
      <c r="J235" s="4">
        <v>26</v>
      </c>
      <c r="K235" s="5">
        <f t="shared" si="12"/>
        <v>59873.64</v>
      </c>
      <c r="L235" s="5">
        <v>59873.64</v>
      </c>
      <c r="M235" s="5">
        <v>0</v>
      </c>
      <c r="N235" s="4">
        <v>24</v>
      </c>
      <c r="O235" s="5">
        <f t="shared" si="13"/>
        <v>125896.58</v>
      </c>
      <c r="P235" s="5">
        <v>125896.58</v>
      </c>
      <c r="Q235" s="5">
        <v>0</v>
      </c>
    </row>
    <row r="236" spans="1:17" ht="25.5" x14ac:dyDescent="0.25">
      <c r="A236" s="294">
        <f t="shared" si="14"/>
        <v>94</v>
      </c>
      <c r="B236" s="3" t="s">
        <v>47</v>
      </c>
      <c r="C236" s="3" t="s">
        <v>62</v>
      </c>
      <c r="D236" s="3" t="s">
        <v>63</v>
      </c>
      <c r="E236" s="3" t="s">
        <v>80</v>
      </c>
      <c r="F236" s="3" t="s">
        <v>269</v>
      </c>
      <c r="G236" s="4" t="s">
        <v>85</v>
      </c>
      <c r="H236" s="4">
        <v>76</v>
      </c>
      <c r="I236" s="4">
        <v>60</v>
      </c>
      <c r="J236" s="4">
        <v>93</v>
      </c>
      <c r="K236" s="5">
        <f t="shared" si="12"/>
        <v>130721.37</v>
      </c>
      <c r="L236" s="5">
        <v>120096.04</v>
      </c>
      <c r="M236" s="5">
        <v>10625.33</v>
      </c>
      <c r="N236" s="4">
        <v>121</v>
      </c>
      <c r="O236" s="5">
        <f t="shared" si="13"/>
        <v>439929.29000000004</v>
      </c>
      <c r="P236" s="5">
        <v>430221.45</v>
      </c>
      <c r="Q236" s="5">
        <v>9707.84</v>
      </c>
    </row>
    <row r="237" spans="1:17" ht="25.5" x14ac:dyDescent="0.25">
      <c r="A237" s="294">
        <f t="shared" si="14"/>
        <v>95</v>
      </c>
      <c r="B237" s="3" t="s">
        <v>270</v>
      </c>
      <c r="C237" s="3" t="s">
        <v>62</v>
      </c>
      <c r="D237" s="3"/>
      <c r="E237" s="3" t="s">
        <v>271</v>
      </c>
      <c r="F237" s="3" t="s">
        <v>272</v>
      </c>
      <c r="G237" s="4" t="s">
        <v>85</v>
      </c>
      <c r="H237" s="4">
        <v>14</v>
      </c>
      <c r="I237" s="4">
        <v>10</v>
      </c>
      <c r="J237" s="4">
        <v>15</v>
      </c>
      <c r="K237" s="5">
        <f t="shared" si="12"/>
        <v>23603.219999999998</v>
      </c>
      <c r="L237" s="5">
        <v>18201.259999999998</v>
      </c>
      <c r="M237" s="5">
        <v>5401.96</v>
      </c>
      <c r="N237" s="4">
        <v>0</v>
      </c>
      <c r="O237" s="5">
        <f t="shared" si="13"/>
        <v>0</v>
      </c>
      <c r="P237" s="5">
        <v>0</v>
      </c>
      <c r="Q237" s="5">
        <v>0</v>
      </c>
    </row>
    <row r="238" spans="1:17" ht="25.5" x14ac:dyDescent="0.25">
      <c r="A238" s="294">
        <f t="shared" si="14"/>
        <v>96</v>
      </c>
      <c r="B238" s="3" t="s">
        <v>273</v>
      </c>
      <c r="C238" s="3" t="s">
        <v>62</v>
      </c>
      <c r="D238" s="3"/>
      <c r="E238" s="3" t="s">
        <v>186</v>
      </c>
      <c r="F238" s="3" t="s">
        <v>511</v>
      </c>
      <c r="G238" s="4" t="s">
        <v>85</v>
      </c>
      <c r="H238" s="4">
        <v>9</v>
      </c>
      <c r="I238" s="4">
        <v>0</v>
      </c>
      <c r="J238" s="4">
        <v>0</v>
      </c>
      <c r="K238" s="5">
        <f t="shared" si="12"/>
        <v>0</v>
      </c>
      <c r="L238" s="5">
        <v>0</v>
      </c>
      <c r="M238" s="5">
        <v>0</v>
      </c>
      <c r="N238" s="4">
        <v>0</v>
      </c>
      <c r="O238" s="5">
        <f t="shared" si="13"/>
        <v>0</v>
      </c>
      <c r="P238" s="5">
        <v>0</v>
      </c>
      <c r="Q238" s="5">
        <v>0</v>
      </c>
    </row>
    <row r="239" spans="1:17" x14ac:dyDescent="0.25">
      <c r="A239" s="294">
        <f t="shared" si="14"/>
        <v>97</v>
      </c>
      <c r="B239" s="3" t="s">
        <v>490</v>
      </c>
      <c r="C239" s="3" t="s">
        <v>62</v>
      </c>
      <c r="D239" s="3"/>
      <c r="E239" s="3" t="s">
        <v>491</v>
      </c>
      <c r="F239" s="3" t="s">
        <v>492</v>
      </c>
      <c r="G239" s="4" t="s">
        <v>85</v>
      </c>
      <c r="H239" s="4">
        <v>12</v>
      </c>
      <c r="I239" s="4">
        <v>7</v>
      </c>
      <c r="J239" s="4">
        <v>9</v>
      </c>
      <c r="K239" s="5">
        <f t="shared" si="12"/>
        <v>10195.18</v>
      </c>
      <c r="L239" s="5">
        <v>10195.18</v>
      </c>
      <c r="M239" s="5">
        <v>0</v>
      </c>
      <c r="N239" s="4">
        <v>0</v>
      </c>
      <c r="O239" s="5">
        <f t="shared" si="13"/>
        <v>0</v>
      </c>
      <c r="P239" s="5">
        <v>0</v>
      </c>
      <c r="Q239" s="5">
        <v>0</v>
      </c>
    </row>
    <row r="240" spans="1:17" x14ac:dyDescent="0.25">
      <c r="A240" s="294">
        <f t="shared" si="14"/>
        <v>98</v>
      </c>
      <c r="B240" s="3" t="s">
        <v>94</v>
      </c>
      <c r="C240" s="3" t="s">
        <v>62</v>
      </c>
      <c r="D240" s="3" t="s">
        <v>63</v>
      </c>
      <c r="E240" s="3" t="s">
        <v>74</v>
      </c>
      <c r="F240" s="3" t="s">
        <v>274</v>
      </c>
      <c r="G240" s="4" t="s">
        <v>85</v>
      </c>
      <c r="H240" s="4">
        <v>16</v>
      </c>
      <c r="I240" s="4">
        <v>3</v>
      </c>
      <c r="J240" s="4">
        <v>3</v>
      </c>
      <c r="K240" s="5">
        <f t="shared" si="12"/>
        <v>2990.36</v>
      </c>
      <c r="L240" s="5">
        <v>2990.36</v>
      </c>
      <c r="M240" s="5">
        <v>0</v>
      </c>
      <c r="N240" s="4">
        <v>6</v>
      </c>
      <c r="O240" s="5">
        <f t="shared" si="13"/>
        <v>9361.67</v>
      </c>
      <c r="P240" s="5">
        <v>9361.67</v>
      </c>
      <c r="Q240" s="5">
        <v>0</v>
      </c>
    </row>
    <row r="241" spans="1:17" ht="25.5" x14ac:dyDescent="0.25">
      <c r="A241" s="294">
        <f t="shared" si="14"/>
        <v>99</v>
      </c>
      <c r="B241" s="3" t="s">
        <v>120</v>
      </c>
      <c r="C241" s="3" t="s">
        <v>67</v>
      </c>
      <c r="D241" s="3" t="s">
        <v>493</v>
      </c>
      <c r="E241" s="3" t="s">
        <v>121</v>
      </c>
      <c r="F241" s="3" t="s">
        <v>468</v>
      </c>
      <c r="G241" s="4" t="s">
        <v>85</v>
      </c>
      <c r="H241" s="4">
        <v>10</v>
      </c>
      <c r="I241" s="4">
        <v>8</v>
      </c>
      <c r="J241" s="4">
        <v>9</v>
      </c>
      <c r="K241" s="5">
        <f t="shared" si="12"/>
        <v>11996.240000000002</v>
      </c>
      <c r="L241" s="5">
        <f>8651.79+1632.32</f>
        <v>10284.11</v>
      </c>
      <c r="M241" s="5">
        <v>1712.13</v>
      </c>
      <c r="N241" s="4">
        <v>0</v>
      </c>
      <c r="O241" s="5">
        <f t="shared" si="13"/>
        <v>0</v>
      </c>
      <c r="P241" s="5">
        <v>0</v>
      </c>
      <c r="Q241" s="5">
        <v>0</v>
      </c>
    </row>
    <row r="242" spans="1:17" ht="25.5" x14ac:dyDescent="0.25">
      <c r="A242" s="294">
        <f t="shared" si="14"/>
        <v>100</v>
      </c>
      <c r="B242" s="3" t="s">
        <v>407</v>
      </c>
      <c r="C242" s="3" t="s">
        <v>62</v>
      </c>
      <c r="D242" s="3"/>
      <c r="E242" s="3" t="s">
        <v>186</v>
      </c>
      <c r="F242" s="3" t="s">
        <v>512</v>
      </c>
      <c r="G242" s="4" t="s">
        <v>85</v>
      </c>
      <c r="H242" s="4">
        <v>6</v>
      </c>
      <c r="I242" s="4">
        <v>2</v>
      </c>
      <c r="J242" s="4">
        <v>4</v>
      </c>
      <c r="K242" s="5">
        <f t="shared" si="12"/>
        <v>0</v>
      </c>
      <c r="L242" s="5">
        <v>0</v>
      </c>
      <c r="M242" s="5">
        <v>0</v>
      </c>
      <c r="N242" s="4">
        <v>0</v>
      </c>
      <c r="O242" s="5">
        <f t="shared" si="13"/>
        <v>0</v>
      </c>
      <c r="P242" s="5">
        <v>0</v>
      </c>
      <c r="Q242" s="5">
        <v>0</v>
      </c>
    </row>
    <row r="243" spans="1:17" ht="25.5" x14ac:dyDescent="0.25">
      <c r="A243" s="294">
        <f t="shared" si="14"/>
        <v>101</v>
      </c>
      <c r="B243" s="3" t="s">
        <v>122</v>
      </c>
      <c r="C243" s="3" t="s">
        <v>62</v>
      </c>
      <c r="D243" s="3" t="s">
        <v>63</v>
      </c>
      <c r="E243" s="3" t="s">
        <v>275</v>
      </c>
      <c r="F243" s="3" t="s">
        <v>276</v>
      </c>
      <c r="G243" s="4" t="s">
        <v>85</v>
      </c>
      <c r="H243" s="4">
        <v>12</v>
      </c>
      <c r="I243" s="4">
        <v>11</v>
      </c>
      <c r="J243" s="4">
        <v>17</v>
      </c>
      <c r="K243" s="5">
        <f t="shared" si="12"/>
        <v>18022.7</v>
      </c>
      <c r="L243" s="5">
        <v>14738.36</v>
      </c>
      <c r="M243" s="5">
        <v>3284.34</v>
      </c>
      <c r="N243" s="4">
        <v>5</v>
      </c>
      <c r="O243" s="5">
        <f t="shared" si="13"/>
        <v>9159.1299999999992</v>
      </c>
      <c r="P243" s="5">
        <v>9159.1299999999992</v>
      </c>
      <c r="Q243" s="5">
        <v>0</v>
      </c>
    </row>
    <row r="244" spans="1:17" x14ac:dyDescent="0.25">
      <c r="A244" s="294">
        <f t="shared" si="14"/>
        <v>102</v>
      </c>
      <c r="B244" s="3" t="s">
        <v>133</v>
      </c>
      <c r="C244" s="3" t="s">
        <v>67</v>
      </c>
      <c r="D244" s="3" t="s">
        <v>494</v>
      </c>
      <c r="E244" s="3" t="s">
        <v>74</v>
      </c>
      <c r="F244" s="3" t="s">
        <v>620</v>
      </c>
      <c r="G244" s="4" t="s">
        <v>85</v>
      </c>
      <c r="H244" s="4">
        <v>10</v>
      </c>
      <c r="I244" s="4">
        <v>7</v>
      </c>
      <c r="J244" s="4">
        <v>10</v>
      </c>
      <c r="K244" s="5">
        <f t="shared" si="12"/>
        <v>18470.009999999998</v>
      </c>
      <c r="L244" s="5">
        <v>18470.009999999998</v>
      </c>
      <c r="M244" s="5">
        <v>0</v>
      </c>
      <c r="N244" s="4">
        <v>0</v>
      </c>
      <c r="O244" s="5">
        <f t="shared" si="13"/>
        <v>0</v>
      </c>
      <c r="P244" s="5">
        <v>0</v>
      </c>
      <c r="Q244" s="5">
        <v>0</v>
      </c>
    </row>
    <row r="245" spans="1:17" x14ac:dyDescent="0.25">
      <c r="A245" s="294">
        <f t="shared" si="14"/>
        <v>103</v>
      </c>
      <c r="B245" s="3" t="s">
        <v>96</v>
      </c>
      <c r="C245" s="3" t="s">
        <v>62</v>
      </c>
      <c r="D245" s="3" t="s">
        <v>63</v>
      </c>
      <c r="E245" s="3" t="s">
        <v>98</v>
      </c>
      <c r="F245" s="3" t="s">
        <v>277</v>
      </c>
      <c r="G245" s="4" t="s">
        <v>85</v>
      </c>
      <c r="H245" s="4">
        <v>39</v>
      </c>
      <c r="I245" s="4">
        <v>10</v>
      </c>
      <c r="J245" s="4">
        <v>13</v>
      </c>
      <c r="K245" s="5">
        <f t="shared" si="12"/>
        <v>22080.639999999999</v>
      </c>
      <c r="L245" s="5">
        <v>18150.8</v>
      </c>
      <c r="M245" s="5">
        <v>3929.84</v>
      </c>
      <c r="N245" s="4">
        <v>11</v>
      </c>
      <c r="O245" s="5">
        <f t="shared" si="13"/>
        <v>47171.47</v>
      </c>
      <c r="P245" s="5">
        <v>47171.47</v>
      </c>
      <c r="Q245" s="5">
        <v>0</v>
      </c>
    </row>
    <row r="246" spans="1:17" ht="25.5" x14ac:dyDescent="0.25">
      <c r="A246" s="294">
        <f t="shared" si="14"/>
        <v>104</v>
      </c>
      <c r="B246" s="3" t="s">
        <v>48</v>
      </c>
      <c r="C246" s="3" t="s">
        <v>62</v>
      </c>
      <c r="D246" s="3" t="s">
        <v>63</v>
      </c>
      <c r="E246" s="3" t="s">
        <v>81</v>
      </c>
      <c r="F246" s="3" t="s">
        <v>278</v>
      </c>
      <c r="G246" s="4" t="s">
        <v>85</v>
      </c>
      <c r="H246" s="4">
        <v>47</v>
      </c>
      <c r="I246" s="4">
        <v>37</v>
      </c>
      <c r="J246" s="4">
        <v>52</v>
      </c>
      <c r="K246" s="5">
        <f t="shared" si="12"/>
        <v>79346.02</v>
      </c>
      <c r="L246" s="5">
        <v>79346.02</v>
      </c>
      <c r="M246" s="5">
        <v>0</v>
      </c>
      <c r="N246" s="4">
        <v>14</v>
      </c>
      <c r="O246" s="5">
        <f t="shared" si="13"/>
        <v>56668.88</v>
      </c>
      <c r="P246" s="5">
        <v>56668.88</v>
      </c>
      <c r="Q246" s="5">
        <v>0</v>
      </c>
    </row>
    <row r="247" spans="1:17" x14ac:dyDescent="0.25">
      <c r="A247" s="294">
        <f t="shared" si="14"/>
        <v>105</v>
      </c>
      <c r="B247" s="3" t="s">
        <v>49</v>
      </c>
      <c r="C247" s="3" t="s">
        <v>62</v>
      </c>
      <c r="D247" s="3" t="s">
        <v>63</v>
      </c>
      <c r="E247" s="3" t="s">
        <v>74</v>
      </c>
      <c r="F247" s="3" t="s">
        <v>279</v>
      </c>
      <c r="G247" s="4" t="s">
        <v>85</v>
      </c>
      <c r="H247" s="4">
        <v>23</v>
      </c>
      <c r="I247" s="4">
        <v>20</v>
      </c>
      <c r="J247" s="4">
        <v>22</v>
      </c>
      <c r="K247" s="5">
        <f t="shared" si="12"/>
        <v>33016.22</v>
      </c>
      <c r="L247" s="5">
        <f>30407.52+2608.7</f>
        <v>33016.22</v>
      </c>
      <c r="M247" s="5">
        <v>0</v>
      </c>
      <c r="N247" s="4">
        <v>6</v>
      </c>
      <c r="O247" s="5">
        <f t="shared" si="13"/>
        <v>37590.26</v>
      </c>
      <c r="P247" s="5">
        <v>37590.26</v>
      </c>
      <c r="Q247" s="5">
        <v>0</v>
      </c>
    </row>
    <row r="248" spans="1:17" ht="25.5" x14ac:dyDescent="0.25">
      <c r="A248" s="294">
        <f t="shared" si="14"/>
        <v>106</v>
      </c>
      <c r="B248" s="3" t="s">
        <v>50</v>
      </c>
      <c r="C248" s="3" t="s">
        <v>67</v>
      </c>
      <c r="D248" s="3" t="s">
        <v>123</v>
      </c>
      <c r="E248" s="3" t="s">
        <v>82</v>
      </c>
      <c r="F248" s="3" t="s">
        <v>280</v>
      </c>
      <c r="G248" s="4" t="s">
        <v>85</v>
      </c>
      <c r="H248" s="4">
        <v>7</v>
      </c>
      <c r="I248" s="4">
        <v>2</v>
      </c>
      <c r="J248" s="4">
        <v>2</v>
      </c>
      <c r="K248" s="5">
        <f t="shared" si="12"/>
        <v>3726.29</v>
      </c>
      <c r="L248" s="5">
        <v>1860.67</v>
      </c>
      <c r="M248" s="5">
        <v>1865.62</v>
      </c>
      <c r="N248" s="4">
        <v>5</v>
      </c>
      <c r="O248" s="5">
        <f t="shared" si="13"/>
        <v>21689.57</v>
      </c>
      <c r="P248" s="5">
        <v>19968.23</v>
      </c>
      <c r="Q248" s="5">
        <v>1721.34</v>
      </c>
    </row>
    <row r="249" spans="1:17" ht="25.5" x14ac:dyDescent="0.25">
      <c r="A249" s="294">
        <f t="shared" si="14"/>
        <v>107</v>
      </c>
      <c r="B249" s="3" t="s">
        <v>281</v>
      </c>
      <c r="C249" s="3" t="s">
        <v>62</v>
      </c>
      <c r="D249" s="3"/>
      <c r="E249" s="3" t="s">
        <v>282</v>
      </c>
      <c r="F249" s="3" t="s">
        <v>283</v>
      </c>
      <c r="G249" s="4" t="s">
        <v>85</v>
      </c>
      <c r="H249" s="4">
        <v>26</v>
      </c>
      <c r="I249" s="4">
        <v>5</v>
      </c>
      <c r="J249" s="4">
        <v>5</v>
      </c>
      <c r="K249" s="5">
        <f t="shared" si="12"/>
        <v>2685.29</v>
      </c>
      <c r="L249" s="5">
        <v>2685.29</v>
      </c>
      <c r="M249" s="5">
        <v>0</v>
      </c>
      <c r="N249" s="4">
        <v>0</v>
      </c>
      <c r="O249" s="5">
        <f t="shared" si="13"/>
        <v>0</v>
      </c>
      <c r="P249" s="5">
        <v>0</v>
      </c>
      <c r="Q249" s="5">
        <v>0</v>
      </c>
    </row>
    <row r="250" spans="1:17" x14ac:dyDescent="0.25">
      <c r="A250" s="294">
        <f t="shared" si="14"/>
        <v>108</v>
      </c>
      <c r="B250" s="3" t="s">
        <v>124</v>
      </c>
      <c r="C250" s="3" t="s">
        <v>62</v>
      </c>
      <c r="D250" s="3" t="s">
        <v>63</v>
      </c>
      <c r="E250" s="3" t="s">
        <v>63</v>
      </c>
      <c r="F250" s="3" t="s">
        <v>284</v>
      </c>
      <c r="G250" s="4" t="s">
        <v>85</v>
      </c>
      <c r="H250" s="4">
        <v>33</v>
      </c>
      <c r="I250" s="4">
        <v>30</v>
      </c>
      <c r="J250" s="4">
        <v>40</v>
      </c>
      <c r="K250" s="5">
        <f t="shared" si="12"/>
        <v>58265.41</v>
      </c>
      <c r="L250" s="5">
        <f>40357.72+528.6</f>
        <v>40886.32</v>
      </c>
      <c r="M250" s="5">
        <f>18004.6-625.51</f>
        <v>17379.09</v>
      </c>
      <c r="N250" s="4">
        <v>18</v>
      </c>
      <c r="O250" s="5">
        <f t="shared" si="13"/>
        <v>21019.74</v>
      </c>
      <c r="P250" s="5">
        <v>21019.74</v>
      </c>
      <c r="Q250" s="5">
        <v>0</v>
      </c>
    </row>
    <row r="251" spans="1:17" x14ac:dyDescent="0.25">
      <c r="A251" s="294">
        <f t="shared" si="14"/>
        <v>109</v>
      </c>
      <c r="B251" s="3" t="s">
        <v>51</v>
      </c>
      <c r="C251" s="3" t="s">
        <v>62</v>
      </c>
      <c r="D251" s="3" t="s">
        <v>63</v>
      </c>
      <c r="E251" s="3" t="s">
        <v>74</v>
      </c>
      <c r="F251" s="3" t="s">
        <v>285</v>
      </c>
      <c r="G251" s="4" t="s">
        <v>85</v>
      </c>
      <c r="H251" s="4">
        <v>18</v>
      </c>
      <c r="I251" s="4">
        <v>15</v>
      </c>
      <c r="J251" s="4">
        <v>16</v>
      </c>
      <c r="K251" s="5">
        <f t="shared" si="12"/>
        <v>5873.82</v>
      </c>
      <c r="L251" s="5">
        <v>5873.82</v>
      </c>
      <c r="M251" s="5">
        <v>0</v>
      </c>
      <c r="N251" s="4">
        <v>10</v>
      </c>
      <c r="O251" s="5">
        <f t="shared" si="13"/>
        <v>1797.24</v>
      </c>
      <c r="P251" s="5">
        <v>1797.24</v>
      </c>
      <c r="Q251" s="5">
        <v>0</v>
      </c>
    </row>
    <row r="252" spans="1:17" ht="25.5" x14ac:dyDescent="0.25">
      <c r="A252" s="294">
        <f t="shared" si="14"/>
        <v>110</v>
      </c>
      <c r="B252" s="3" t="s">
        <v>286</v>
      </c>
      <c r="C252" s="3" t="s">
        <v>62</v>
      </c>
      <c r="D252" s="3"/>
      <c r="E252" s="3" t="s">
        <v>174</v>
      </c>
      <c r="F252" s="3" t="s">
        <v>287</v>
      </c>
      <c r="G252" s="4" t="s">
        <v>85</v>
      </c>
      <c r="H252" s="4">
        <v>15</v>
      </c>
      <c r="I252" s="4">
        <v>11</v>
      </c>
      <c r="J252" s="4">
        <v>13</v>
      </c>
      <c r="K252" s="5">
        <f t="shared" si="12"/>
        <v>11071.01</v>
      </c>
      <c r="L252" s="5">
        <v>11071.01</v>
      </c>
      <c r="M252" s="5">
        <v>0</v>
      </c>
      <c r="N252" s="4">
        <v>0</v>
      </c>
      <c r="O252" s="5">
        <f t="shared" si="13"/>
        <v>0</v>
      </c>
      <c r="P252" s="5">
        <v>0</v>
      </c>
      <c r="Q252" s="5">
        <v>0</v>
      </c>
    </row>
    <row r="253" spans="1:17" x14ac:dyDescent="0.25">
      <c r="A253" s="294">
        <f t="shared" si="14"/>
        <v>111</v>
      </c>
      <c r="B253" s="3" t="s">
        <v>52</v>
      </c>
      <c r="C253" s="3" t="s">
        <v>62</v>
      </c>
      <c r="D253" s="3" t="s">
        <v>63</v>
      </c>
      <c r="E253" s="3" t="s">
        <v>74</v>
      </c>
      <c r="F253" s="3" t="s">
        <v>125</v>
      </c>
      <c r="G253" s="4" t="s">
        <v>85</v>
      </c>
      <c r="H253" s="4">
        <v>3</v>
      </c>
      <c r="I253" s="4">
        <v>0</v>
      </c>
      <c r="J253" s="4">
        <v>0</v>
      </c>
      <c r="K253" s="5">
        <f t="shared" si="12"/>
        <v>0</v>
      </c>
      <c r="L253" s="5">
        <v>0</v>
      </c>
      <c r="M253" s="5">
        <v>0</v>
      </c>
      <c r="N253" s="4">
        <v>0</v>
      </c>
      <c r="O253" s="5">
        <f t="shared" si="13"/>
        <v>0</v>
      </c>
      <c r="P253" s="5">
        <v>0</v>
      </c>
      <c r="Q253" s="5">
        <v>0</v>
      </c>
    </row>
    <row r="254" spans="1:17" x14ac:dyDescent="0.25">
      <c r="A254" s="294">
        <f t="shared" si="14"/>
        <v>112</v>
      </c>
      <c r="B254" s="3" t="s">
        <v>469</v>
      </c>
      <c r="C254" s="3" t="s">
        <v>62</v>
      </c>
      <c r="D254" s="3" t="s">
        <v>63</v>
      </c>
      <c r="E254" s="3" t="s">
        <v>74</v>
      </c>
      <c r="F254" s="3" t="s">
        <v>470</v>
      </c>
      <c r="G254" s="4" t="s">
        <v>85</v>
      </c>
      <c r="H254" s="4">
        <v>1</v>
      </c>
      <c r="I254" s="4">
        <v>0</v>
      </c>
      <c r="J254" s="4">
        <v>0</v>
      </c>
      <c r="K254" s="5">
        <f t="shared" si="12"/>
        <v>0</v>
      </c>
      <c r="L254" s="5">
        <v>0</v>
      </c>
      <c r="M254" s="5">
        <v>0</v>
      </c>
      <c r="N254" s="4">
        <v>0</v>
      </c>
      <c r="O254" s="5">
        <f t="shared" si="13"/>
        <v>0</v>
      </c>
      <c r="P254" s="5">
        <v>0</v>
      </c>
      <c r="Q254" s="5">
        <v>0</v>
      </c>
    </row>
    <row r="255" spans="1:17" x14ac:dyDescent="0.25">
      <c r="A255" s="294">
        <f t="shared" si="14"/>
        <v>113</v>
      </c>
      <c r="B255" s="3" t="s">
        <v>53</v>
      </c>
      <c r="C255" s="3" t="s">
        <v>62</v>
      </c>
      <c r="D255" s="3" t="s">
        <v>63</v>
      </c>
      <c r="E255" s="3" t="s">
        <v>74</v>
      </c>
      <c r="F255" s="3" t="s">
        <v>126</v>
      </c>
      <c r="G255" s="4" t="s">
        <v>85</v>
      </c>
      <c r="H255" s="4">
        <v>8</v>
      </c>
      <c r="I255" s="4">
        <v>0</v>
      </c>
      <c r="J255" s="4">
        <v>0</v>
      </c>
      <c r="K255" s="5">
        <f t="shared" si="12"/>
        <v>0</v>
      </c>
      <c r="L255" s="5">
        <v>0</v>
      </c>
      <c r="M255" s="5">
        <v>0</v>
      </c>
      <c r="N255" s="4">
        <v>0</v>
      </c>
      <c r="O255" s="5">
        <f t="shared" si="13"/>
        <v>0</v>
      </c>
      <c r="P255" s="5">
        <v>0</v>
      </c>
      <c r="Q255" s="5">
        <v>0</v>
      </c>
    </row>
    <row r="256" spans="1:17" x14ac:dyDescent="0.25">
      <c r="A256" s="294">
        <f t="shared" si="14"/>
        <v>114</v>
      </c>
      <c r="B256" s="3" t="s">
        <v>151</v>
      </c>
      <c r="C256" s="3" t="s">
        <v>62</v>
      </c>
      <c r="D256" s="3" t="s">
        <v>63</v>
      </c>
      <c r="E256" s="3" t="s">
        <v>74</v>
      </c>
      <c r="F256" s="3" t="s">
        <v>288</v>
      </c>
      <c r="G256" s="4" t="s">
        <v>85</v>
      </c>
      <c r="H256" s="4">
        <v>10</v>
      </c>
      <c r="I256" s="4">
        <v>8</v>
      </c>
      <c r="J256" s="4">
        <v>10</v>
      </c>
      <c r="K256" s="5">
        <f t="shared" si="12"/>
        <v>15560.060000000001</v>
      </c>
      <c r="L256" s="5">
        <v>7299.97</v>
      </c>
      <c r="M256" s="5">
        <v>8260.09</v>
      </c>
      <c r="N256" s="4">
        <v>6</v>
      </c>
      <c r="O256" s="5">
        <f t="shared" si="13"/>
        <v>14253.5</v>
      </c>
      <c r="P256" s="5">
        <v>14253.5</v>
      </c>
      <c r="Q256" s="5">
        <v>0</v>
      </c>
    </row>
    <row r="257" spans="1:17" x14ac:dyDescent="0.25">
      <c r="A257" s="294">
        <f t="shared" si="14"/>
        <v>115</v>
      </c>
      <c r="B257" s="3" t="s">
        <v>155</v>
      </c>
      <c r="C257" s="3" t="s">
        <v>62</v>
      </c>
      <c r="D257" s="3" t="s">
        <v>63</v>
      </c>
      <c r="E257" s="3" t="s">
        <v>74</v>
      </c>
      <c r="F257" s="3" t="s">
        <v>289</v>
      </c>
      <c r="G257" s="4" t="s">
        <v>85</v>
      </c>
      <c r="H257" s="4">
        <v>14</v>
      </c>
      <c r="I257" s="4">
        <v>10</v>
      </c>
      <c r="J257" s="4">
        <v>15</v>
      </c>
      <c r="K257" s="5">
        <f t="shared" si="12"/>
        <v>38355.85</v>
      </c>
      <c r="L257" s="5">
        <v>38355.85</v>
      </c>
      <c r="M257" s="5">
        <v>0</v>
      </c>
      <c r="N257" s="4">
        <v>3</v>
      </c>
      <c r="O257" s="5">
        <f t="shared" si="13"/>
        <v>28262.06</v>
      </c>
      <c r="P257" s="5">
        <v>28262.06</v>
      </c>
      <c r="Q257" s="5">
        <v>0</v>
      </c>
    </row>
    <row r="258" spans="1:17" x14ac:dyDescent="0.25">
      <c r="A258" s="294">
        <f t="shared" si="14"/>
        <v>116</v>
      </c>
      <c r="B258" s="3" t="s">
        <v>290</v>
      </c>
      <c r="C258" s="3" t="s">
        <v>62</v>
      </c>
      <c r="D258" s="3"/>
      <c r="E258" s="3" t="s">
        <v>291</v>
      </c>
      <c r="F258" s="3" t="s">
        <v>292</v>
      </c>
      <c r="G258" s="4" t="s">
        <v>85</v>
      </c>
      <c r="H258" s="4">
        <v>34</v>
      </c>
      <c r="I258" s="4">
        <v>23</v>
      </c>
      <c r="J258" s="4">
        <v>29</v>
      </c>
      <c r="K258" s="5">
        <f t="shared" si="12"/>
        <v>34384.86</v>
      </c>
      <c r="L258" s="5">
        <v>29706.46</v>
      </c>
      <c r="M258" s="5">
        <v>4678.3999999999996</v>
      </c>
      <c r="N258" s="4">
        <v>0</v>
      </c>
      <c r="O258" s="5">
        <f t="shared" si="13"/>
        <v>0</v>
      </c>
      <c r="P258" s="5">
        <v>0</v>
      </c>
      <c r="Q258" s="5">
        <v>0</v>
      </c>
    </row>
    <row r="259" spans="1:17" ht="25.5" x14ac:dyDescent="0.25">
      <c r="A259" s="294">
        <f t="shared" si="14"/>
        <v>117</v>
      </c>
      <c r="B259" s="3" t="s">
        <v>495</v>
      </c>
      <c r="C259" s="3" t="s">
        <v>62</v>
      </c>
      <c r="D259" s="3"/>
      <c r="E259" s="3" t="s">
        <v>313</v>
      </c>
      <c r="F259" s="3" t="s">
        <v>496</v>
      </c>
      <c r="G259" s="4" t="s">
        <v>85</v>
      </c>
      <c r="H259" s="4">
        <v>21</v>
      </c>
      <c r="I259" s="4">
        <v>5</v>
      </c>
      <c r="J259" s="4">
        <v>5</v>
      </c>
      <c r="K259" s="5">
        <f t="shared" si="12"/>
        <v>9234.7099999999991</v>
      </c>
      <c r="L259" s="5">
        <v>9234.7099999999991</v>
      </c>
      <c r="M259" s="5">
        <v>0</v>
      </c>
      <c r="N259" s="4">
        <v>0</v>
      </c>
      <c r="O259" s="5">
        <f t="shared" si="13"/>
        <v>0</v>
      </c>
      <c r="P259" s="5">
        <v>0</v>
      </c>
      <c r="Q259" s="5">
        <v>0</v>
      </c>
    </row>
    <row r="260" spans="1:17" x14ac:dyDescent="0.25">
      <c r="A260" s="294">
        <f t="shared" si="14"/>
        <v>118</v>
      </c>
      <c r="B260" s="3" t="s">
        <v>134</v>
      </c>
      <c r="C260" s="3" t="s">
        <v>62</v>
      </c>
      <c r="D260" s="3" t="s">
        <v>63</v>
      </c>
      <c r="E260" s="3" t="s">
        <v>74</v>
      </c>
      <c r="F260" s="3" t="s">
        <v>293</v>
      </c>
      <c r="G260" s="4" t="s">
        <v>85</v>
      </c>
      <c r="H260" s="4">
        <v>8</v>
      </c>
      <c r="I260" s="4">
        <v>3</v>
      </c>
      <c r="J260" s="4">
        <v>3</v>
      </c>
      <c r="K260" s="5">
        <f t="shared" si="12"/>
        <v>7119.1</v>
      </c>
      <c r="L260" s="5">
        <f>1656.9+5462.2</f>
        <v>7119.1</v>
      </c>
      <c r="M260" s="5">
        <v>0</v>
      </c>
      <c r="N260" s="4">
        <v>1</v>
      </c>
      <c r="O260" s="5">
        <f t="shared" si="13"/>
        <v>10990.78</v>
      </c>
      <c r="P260" s="5">
        <v>10990.78</v>
      </c>
      <c r="Q260" s="5">
        <v>0</v>
      </c>
    </row>
    <row r="261" spans="1:17" x14ac:dyDescent="0.25">
      <c r="A261" s="294">
        <f t="shared" si="14"/>
        <v>119</v>
      </c>
      <c r="B261" s="3" t="s">
        <v>127</v>
      </c>
      <c r="C261" s="3" t="s">
        <v>62</v>
      </c>
      <c r="D261" s="3" t="s">
        <v>63</v>
      </c>
      <c r="E261" s="3" t="s">
        <v>74</v>
      </c>
      <c r="F261" s="3" t="s">
        <v>294</v>
      </c>
      <c r="G261" s="4" t="s">
        <v>85</v>
      </c>
      <c r="H261" s="4">
        <v>9</v>
      </c>
      <c r="I261" s="4">
        <v>6</v>
      </c>
      <c r="J261" s="4">
        <v>7</v>
      </c>
      <c r="K261" s="5">
        <f t="shared" si="12"/>
        <v>5794.74</v>
      </c>
      <c r="L261" s="5">
        <v>2445.89</v>
      </c>
      <c r="M261" s="5">
        <v>3348.85</v>
      </c>
      <c r="N261" s="4">
        <v>2</v>
      </c>
      <c r="O261" s="5">
        <f t="shared" si="13"/>
        <v>3267.6</v>
      </c>
      <c r="P261" s="5">
        <v>3267.6</v>
      </c>
      <c r="Q261" s="5">
        <v>0</v>
      </c>
    </row>
    <row r="262" spans="1:17" ht="25.5" x14ac:dyDescent="0.25">
      <c r="A262" s="294">
        <f t="shared" si="14"/>
        <v>120</v>
      </c>
      <c r="B262" s="3" t="s">
        <v>55</v>
      </c>
      <c r="C262" s="3" t="s">
        <v>64</v>
      </c>
      <c r="D262" s="3" t="s">
        <v>66</v>
      </c>
      <c r="E262" s="3" t="s">
        <v>80</v>
      </c>
      <c r="F262" s="3" t="s">
        <v>295</v>
      </c>
      <c r="G262" s="4" t="s">
        <v>85</v>
      </c>
      <c r="H262" s="4">
        <v>6</v>
      </c>
      <c r="I262" s="4">
        <v>4</v>
      </c>
      <c r="J262" s="4">
        <v>4</v>
      </c>
      <c r="K262" s="5">
        <f t="shared" si="12"/>
        <v>1989.43</v>
      </c>
      <c r="L262" s="5">
        <v>1989.43</v>
      </c>
      <c r="M262" s="5">
        <v>0</v>
      </c>
      <c r="N262" s="4">
        <v>3</v>
      </c>
      <c r="O262" s="5">
        <f t="shared" si="13"/>
        <v>17287.61</v>
      </c>
      <c r="P262" s="5">
        <v>7376.06</v>
      </c>
      <c r="Q262" s="5">
        <v>9911.5499999999993</v>
      </c>
    </row>
    <row r="263" spans="1:17" x14ac:dyDescent="0.25">
      <c r="A263" s="294">
        <f t="shared" si="14"/>
        <v>121</v>
      </c>
      <c r="B263" s="3" t="s">
        <v>135</v>
      </c>
      <c r="C263" s="3" t="s">
        <v>62</v>
      </c>
      <c r="D263" s="3" t="s">
        <v>63</v>
      </c>
      <c r="E263" s="3" t="s">
        <v>63</v>
      </c>
      <c r="F263" s="3" t="s">
        <v>296</v>
      </c>
      <c r="G263" s="4" t="s">
        <v>85</v>
      </c>
      <c r="H263" s="4">
        <v>6</v>
      </c>
      <c r="I263" s="4">
        <v>2</v>
      </c>
      <c r="J263" s="4">
        <v>2</v>
      </c>
      <c r="K263" s="5">
        <f t="shared" si="12"/>
        <v>552.6</v>
      </c>
      <c r="L263" s="5">
        <v>552.6</v>
      </c>
      <c r="M263" s="5">
        <v>0</v>
      </c>
      <c r="N263" s="4">
        <v>10</v>
      </c>
      <c r="O263" s="5">
        <f t="shared" si="13"/>
        <v>18103.64</v>
      </c>
      <c r="P263" s="5">
        <v>18103.64</v>
      </c>
      <c r="Q263" s="5">
        <v>0</v>
      </c>
    </row>
    <row r="264" spans="1:17" x14ac:dyDescent="0.25">
      <c r="A264" s="294">
        <f t="shared" si="14"/>
        <v>122</v>
      </c>
      <c r="B264" s="3" t="s">
        <v>128</v>
      </c>
      <c r="C264" s="3" t="s">
        <v>62</v>
      </c>
      <c r="D264" s="3" t="s">
        <v>63</v>
      </c>
      <c r="E264" s="3" t="s">
        <v>74</v>
      </c>
      <c r="F264" s="3" t="s">
        <v>297</v>
      </c>
      <c r="G264" s="4" t="s">
        <v>85</v>
      </c>
      <c r="H264" s="4">
        <v>2</v>
      </c>
      <c r="I264" s="4">
        <v>2</v>
      </c>
      <c r="J264" s="4">
        <v>2</v>
      </c>
      <c r="K264" s="5">
        <f t="shared" si="12"/>
        <v>1303.8499999999999</v>
      </c>
      <c r="L264" s="5">
        <v>1303.8499999999999</v>
      </c>
      <c r="M264" s="5">
        <v>0</v>
      </c>
      <c r="N264" s="4">
        <v>1</v>
      </c>
      <c r="O264" s="5">
        <f t="shared" si="13"/>
        <v>264.3</v>
      </c>
      <c r="P264" s="5">
        <v>264.3</v>
      </c>
      <c r="Q264" s="5">
        <v>0</v>
      </c>
    </row>
    <row r="265" spans="1:17" ht="25.5" x14ac:dyDescent="0.25">
      <c r="A265" s="294">
        <f t="shared" si="14"/>
        <v>123</v>
      </c>
      <c r="B265" s="3" t="s">
        <v>508</v>
      </c>
      <c r="C265" s="3" t="s">
        <v>64</v>
      </c>
      <c r="D265" s="3" t="s">
        <v>551</v>
      </c>
      <c r="E265" s="3" t="s">
        <v>313</v>
      </c>
      <c r="F265" s="3" t="s">
        <v>552</v>
      </c>
      <c r="G265" s="4" t="s">
        <v>85</v>
      </c>
      <c r="H265" s="4">
        <v>21</v>
      </c>
      <c r="I265" s="4">
        <v>12</v>
      </c>
      <c r="J265" s="4">
        <v>13</v>
      </c>
      <c r="K265" s="5">
        <f t="shared" si="12"/>
        <v>3880.8500000000004</v>
      </c>
      <c r="L265" s="5">
        <v>2408.0500000000002</v>
      </c>
      <c r="M265" s="5">
        <v>1472.8</v>
      </c>
      <c r="N265" s="4">
        <v>0</v>
      </c>
      <c r="O265" s="5">
        <f t="shared" si="13"/>
        <v>0</v>
      </c>
      <c r="P265" s="5">
        <v>0</v>
      </c>
      <c r="Q265" s="5">
        <v>0</v>
      </c>
    </row>
    <row r="266" spans="1:17" ht="25.5" x14ac:dyDescent="0.25">
      <c r="A266" s="294">
        <f t="shared" si="14"/>
        <v>124</v>
      </c>
      <c r="B266" s="3" t="s">
        <v>497</v>
      </c>
      <c r="C266" s="3" t="s">
        <v>62</v>
      </c>
      <c r="D266" s="3"/>
      <c r="E266" s="3" t="s">
        <v>313</v>
      </c>
      <c r="F266" s="3" t="s">
        <v>498</v>
      </c>
      <c r="G266" s="4" t="s">
        <v>85</v>
      </c>
      <c r="H266" s="4">
        <v>54</v>
      </c>
      <c r="I266" s="4">
        <v>34</v>
      </c>
      <c r="J266" s="4">
        <v>35</v>
      </c>
      <c r="K266" s="5">
        <f t="shared" si="12"/>
        <v>29545.75</v>
      </c>
      <c r="L266" s="5">
        <v>27803.24</v>
      </c>
      <c r="M266" s="5">
        <v>1742.51</v>
      </c>
      <c r="N266" s="4">
        <v>0</v>
      </c>
      <c r="O266" s="5">
        <f t="shared" si="13"/>
        <v>0</v>
      </c>
      <c r="P266" s="5">
        <v>0</v>
      </c>
      <c r="Q266" s="5">
        <v>0</v>
      </c>
    </row>
    <row r="267" spans="1:17" x14ac:dyDescent="0.25">
      <c r="A267" s="294">
        <f t="shared" si="14"/>
        <v>125</v>
      </c>
      <c r="B267" s="3" t="s">
        <v>646</v>
      </c>
      <c r="C267" s="3" t="s">
        <v>62</v>
      </c>
      <c r="D267" s="3" t="s">
        <v>63</v>
      </c>
      <c r="E267" s="3" t="s">
        <v>74</v>
      </c>
      <c r="F267" s="3" t="s">
        <v>647</v>
      </c>
      <c r="G267" s="4" t="s">
        <v>85</v>
      </c>
      <c r="H267" s="4">
        <v>1</v>
      </c>
      <c r="I267" s="4">
        <v>0</v>
      </c>
      <c r="J267" s="4">
        <v>0</v>
      </c>
      <c r="K267" s="5">
        <f t="shared" si="12"/>
        <v>0</v>
      </c>
      <c r="L267" s="5">
        <v>0</v>
      </c>
      <c r="M267" s="5">
        <v>0</v>
      </c>
      <c r="N267" s="4">
        <v>0</v>
      </c>
      <c r="O267" s="5">
        <f t="shared" si="13"/>
        <v>0</v>
      </c>
      <c r="P267" s="5">
        <v>0</v>
      </c>
      <c r="Q267" s="5">
        <v>0</v>
      </c>
    </row>
    <row r="268" spans="1:17" x14ac:dyDescent="0.25">
      <c r="A268" s="294">
        <f t="shared" si="14"/>
        <v>126</v>
      </c>
      <c r="B268" s="3" t="s">
        <v>56</v>
      </c>
      <c r="C268" s="3" t="s">
        <v>62</v>
      </c>
      <c r="D268" s="3" t="s">
        <v>63</v>
      </c>
      <c r="E268" s="3" t="s">
        <v>83</v>
      </c>
      <c r="F268" s="3" t="s">
        <v>298</v>
      </c>
      <c r="G268" s="4" t="s">
        <v>85</v>
      </c>
      <c r="H268" s="4">
        <v>80</v>
      </c>
      <c r="I268" s="4">
        <v>74</v>
      </c>
      <c r="J268" s="4">
        <v>107</v>
      </c>
      <c r="K268" s="5">
        <f t="shared" si="12"/>
        <v>99429.35</v>
      </c>
      <c r="L268" s="5">
        <v>99429.35</v>
      </c>
      <c r="M268" s="5">
        <v>0</v>
      </c>
      <c r="N268" s="4">
        <v>34</v>
      </c>
      <c r="O268" s="5">
        <f t="shared" si="13"/>
        <v>95408.48</v>
      </c>
      <c r="P268" s="5">
        <v>95408.48</v>
      </c>
      <c r="Q268" s="5">
        <v>0</v>
      </c>
    </row>
    <row r="269" spans="1:17" ht="38.25" x14ac:dyDescent="0.25">
      <c r="A269" s="294">
        <f t="shared" si="14"/>
        <v>127</v>
      </c>
      <c r="B269" s="3" t="s">
        <v>638</v>
      </c>
      <c r="C269" s="3" t="s">
        <v>67</v>
      </c>
      <c r="D269" s="3" t="s">
        <v>639</v>
      </c>
      <c r="E269" s="3" t="s">
        <v>640</v>
      </c>
      <c r="F269" s="3" t="s">
        <v>641</v>
      </c>
      <c r="G269" s="4" t="s">
        <v>85</v>
      </c>
      <c r="H269" s="4">
        <v>4</v>
      </c>
      <c r="I269" s="4">
        <v>0</v>
      </c>
      <c r="J269" s="4">
        <v>0</v>
      </c>
      <c r="K269" s="5">
        <f t="shared" si="12"/>
        <v>0</v>
      </c>
      <c r="L269" s="5">
        <v>0</v>
      </c>
      <c r="M269" s="5">
        <v>0</v>
      </c>
      <c r="N269" s="4">
        <v>0</v>
      </c>
      <c r="O269" s="5">
        <f t="shared" si="13"/>
        <v>0</v>
      </c>
      <c r="P269" s="5">
        <v>0</v>
      </c>
      <c r="Q269" s="5">
        <v>0</v>
      </c>
    </row>
    <row r="270" spans="1:17" ht="25.5" x14ac:dyDescent="0.25">
      <c r="A270" s="294">
        <f t="shared" si="14"/>
        <v>128</v>
      </c>
      <c r="B270" s="3" t="s">
        <v>299</v>
      </c>
      <c r="C270" s="3" t="s">
        <v>62</v>
      </c>
      <c r="D270" s="3"/>
      <c r="E270" s="3" t="s">
        <v>174</v>
      </c>
      <c r="F270" s="3" t="s">
        <v>300</v>
      </c>
      <c r="G270" s="4" t="s">
        <v>85</v>
      </c>
      <c r="H270" s="4">
        <v>22</v>
      </c>
      <c r="I270" s="4">
        <v>17</v>
      </c>
      <c r="J270" s="4">
        <v>20</v>
      </c>
      <c r="K270" s="5">
        <f t="shared" si="12"/>
        <v>17652.310000000001</v>
      </c>
      <c r="L270" s="5">
        <v>17652.310000000001</v>
      </c>
      <c r="M270" s="5">
        <v>0</v>
      </c>
      <c r="N270" s="4">
        <v>0</v>
      </c>
      <c r="O270" s="5">
        <f t="shared" si="13"/>
        <v>0</v>
      </c>
      <c r="P270" s="5">
        <v>0</v>
      </c>
      <c r="Q270" s="5">
        <v>0</v>
      </c>
    </row>
    <row r="271" spans="1:17" x14ac:dyDescent="0.25">
      <c r="A271" s="294">
        <f t="shared" si="14"/>
        <v>129</v>
      </c>
      <c r="B271" s="3" t="s">
        <v>156</v>
      </c>
      <c r="C271" s="3" t="s">
        <v>67</v>
      </c>
      <c r="D271" s="3" t="s">
        <v>499</v>
      </c>
      <c r="E271" s="3" t="s">
        <v>74</v>
      </c>
      <c r="F271" s="3" t="s">
        <v>301</v>
      </c>
      <c r="G271" s="4" t="s">
        <v>85</v>
      </c>
      <c r="H271" s="4">
        <v>34</v>
      </c>
      <c r="I271" s="4">
        <v>27</v>
      </c>
      <c r="J271" s="4">
        <v>31</v>
      </c>
      <c r="K271" s="5">
        <f t="shared" si="12"/>
        <v>34539.370000000003</v>
      </c>
      <c r="L271" s="5">
        <v>34539.370000000003</v>
      </c>
      <c r="M271" s="5">
        <v>0</v>
      </c>
      <c r="N271" s="4">
        <v>34</v>
      </c>
      <c r="O271" s="5">
        <f t="shared" si="13"/>
        <v>58828.76</v>
      </c>
      <c r="P271" s="5">
        <v>58828.76</v>
      </c>
      <c r="Q271" s="5">
        <v>0</v>
      </c>
    </row>
    <row r="272" spans="1:17" x14ac:dyDescent="0.25">
      <c r="A272" s="294">
        <f t="shared" si="14"/>
        <v>130</v>
      </c>
      <c r="B272" s="3" t="s">
        <v>302</v>
      </c>
      <c r="C272" s="3" t="s">
        <v>62</v>
      </c>
      <c r="D272" s="3"/>
      <c r="E272" s="3" t="s">
        <v>63</v>
      </c>
      <c r="F272" s="3" t="s">
        <v>303</v>
      </c>
      <c r="G272" s="4" t="s">
        <v>85</v>
      </c>
      <c r="H272" s="4">
        <v>14</v>
      </c>
      <c r="I272" s="4">
        <v>8</v>
      </c>
      <c r="J272" s="4">
        <v>10</v>
      </c>
      <c r="K272" s="5">
        <f t="shared" ref="K272:K292" si="15">L272+M272</f>
        <v>6468.1</v>
      </c>
      <c r="L272" s="5">
        <v>6468.1</v>
      </c>
      <c r="M272" s="5">
        <v>0</v>
      </c>
      <c r="N272" s="4">
        <v>0</v>
      </c>
      <c r="O272" s="5">
        <f t="shared" ref="O272:O292" si="16">P272+Q272</f>
        <v>0</v>
      </c>
      <c r="P272" s="5">
        <v>0</v>
      </c>
      <c r="Q272" s="5">
        <v>0</v>
      </c>
    </row>
    <row r="273" spans="1:17" x14ac:dyDescent="0.25">
      <c r="A273" s="294">
        <f t="shared" ref="A273:A292" si="17">A272+1</f>
        <v>131</v>
      </c>
      <c r="B273" s="3" t="s">
        <v>140</v>
      </c>
      <c r="C273" s="3" t="s">
        <v>62</v>
      </c>
      <c r="D273" s="3" t="s">
        <v>63</v>
      </c>
      <c r="E273" s="3" t="s">
        <v>74</v>
      </c>
      <c r="F273" s="3" t="s">
        <v>304</v>
      </c>
      <c r="G273" s="4" t="s">
        <v>85</v>
      </c>
      <c r="H273" s="4">
        <v>60</v>
      </c>
      <c r="I273" s="4">
        <v>45</v>
      </c>
      <c r="J273" s="4">
        <v>48</v>
      </c>
      <c r="K273" s="5">
        <f t="shared" si="15"/>
        <v>49113.380000000005</v>
      </c>
      <c r="L273" s="5">
        <v>47342.8</v>
      </c>
      <c r="M273" s="5">
        <v>1770.58</v>
      </c>
      <c r="N273" s="4">
        <v>19</v>
      </c>
      <c r="O273" s="5">
        <f t="shared" si="16"/>
        <v>43411.7</v>
      </c>
      <c r="P273" s="5">
        <v>43411.7</v>
      </c>
      <c r="Q273" s="5">
        <v>0</v>
      </c>
    </row>
    <row r="274" spans="1:17" ht="25.5" x14ac:dyDescent="0.25">
      <c r="A274" s="294">
        <f t="shared" si="17"/>
        <v>132</v>
      </c>
      <c r="B274" s="3" t="s">
        <v>305</v>
      </c>
      <c r="C274" s="3" t="s">
        <v>62</v>
      </c>
      <c r="D274" s="3"/>
      <c r="E274" s="3" t="s">
        <v>186</v>
      </c>
      <c r="F274" s="3" t="s">
        <v>513</v>
      </c>
      <c r="G274" s="4" t="s">
        <v>85</v>
      </c>
      <c r="H274" s="4">
        <v>14</v>
      </c>
      <c r="I274" s="4">
        <v>9</v>
      </c>
      <c r="J274" s="4">
        <v>11</v>
      </c>
      <c r="K274" s="5">
        <f t="shared" si="15"/>
        <v>6542.9</v>
      </c>
      <c r="L274" s="5">
        <v>6542.9</v>
      </c>
      <c r="M274" s="5">
        <v>0</v>
      </c>
      <c r="N274" s="4">
        <v>0</v>
      </c>
      <c r="O274" s="5">
        <f t="shared" si="16"/>
        <v>0</v>
      </c>
      <c r="P274" s="5">
        <v>0</v>
      </c>
      <c r="Q274" s="5">
        <v>0</v>
      </c>
    </row>
    <row r="275" spans="1:17" x14ac:dyDescent="0.25">
      <c r="A275" s="294">
        <f t="shared" si="17"/>
        <v>133</v>
      </c>
      <c r="B275" s="3" t="s">
        <v>471</v>
      </c>
      <c r="C275" s="3" t="s">
        <v>64</v>
      </c>
      <c r="D275" s="3" t="s">
        <v>65</v>
      </c>
      <c r="E275" s="3" t="s">
        <v>74</v>
      </c>
      <c r="F275" s="3" t="s">
        <v>472</v>
      </c>
      <c r="G275" s="4" t="s">
        <v>85</v>
      </c>
      <c r="H275" s="4">
        <v>0</v>
      </c>
      <c r="I275" s="4">
        <v>0</v>
      </c>
      <c r="J275" s="4">
        <v>0</v>
      </c>
      <c r="K275" s="5">
        <f t="shared" si="15"/>
        <v>0</v>
      </c>
      <c r="L275" s="5">
        <v>0</v>
      </c>
      <c r="M275" s="5">
        <v>0</v>
      </c>
      <c r="N275" s="4">
        <v>1</v>
      </c>
      <c r="O275" s="5">
        <f t="shared" si="16"/>
        <v>0</v>
      </c>
      <c r="P275" s="5">
        <v>0</v>
      </c>
      <c r="Q275" s="5">
        <v>0</v>
      </c>
    </row>
    <row r="276" spans="1:17" ht="38.25" x14ac:dyDescent="0.25">
      <c r="A276" s="294">
        <f t="shared" si="17"/>
        <v>134</v>
      </c>
      <c r="B276" s="3" t="s">
        <v>57</v>
      </c>
      <c r="C276" s="3" t="s">
        <v>62</v>
      </c>
      <c r="D276" s="3" t="s">
        <v>63</v>
      </c>
      <c r="E276" s="3" t="s">
        <v>244</v>
      </c>
      <c r="F276" s="3" t="s">
        <v>306</v>
      </c>
      <c r="G276" s="4" t="s">
        <v>85</v>
      </c>
      <c r="H276" s="4">
        <v>32</v>
      </c>
      <c r="I276" s="4">
        <v>14</v>
      </c>
      <c r="J276" s="4">
        <v>15</v>
      </c>
      <c r="K276" s="5">
        <f t="shared" si="15"/>
        <v>19342.23</v>
      </c>
      <c r="L276" s="5">
        <v>19342.23</v>
      </c>
      <c r="M276" s="5">
        <v>0</v>
      </c>
      <c r="N276" s="4">
        <v>21</v>
      </c>
      <c r="O276" s="5">
        <f t="shared" si="16"/>
        <v>92362.92</v>
      </c>
      <c r="P276" s="5">
        <v>92362.92</v>
      </c>
      <c r="Q276" s="5">
        <v>0</v>
      </c>
    </row>
    <row r="277" spans="1:17" ht="25.5" x14ac:dyDescent="0.25">
      <c r="A277" s="294">
        <f t="shared" si="17"/>
        <v>135</v>
      </c>
      <c r="B277" s="3" t="s">
        <v>648</v>
      </c>
      <c r="C277" s="3" t="s">
        <v>62</v>
      </c>
      <c r="D277" s="3" t="s">
        <v>649</v>
      </c>
      <c r="E277" s="3" t="s">
        <v>313</v>
      </c>
      <c r="F277" s="3" t="s">
        <v>650</v>
      </c>
      <c r="G277" s="4" t="s">
        <v>85</v>
      </c>
      <c r="H277" s="4">
        <v>3</v>
      </c>
      <c r="I277" s="4">
        <v>0</v>
      </c>
      <c r="J277" s="4">
        <v>0</v>
      </c>
      <c r="K277" s="5">
        <f t="shared" si="15"/>
        <v>0</v>
      </c>
      <c r="L277" s="5">
        <v>0</v>
      </c>
      <c r="M277" s="5">
        <v>0</v>
      </c>
      <c r="N277" s="4">
        <v>0</v>
      </c>
      <c r="O277" s="5">
        <f t="shared" si="16"/>
        <v>0</v>
      </c>
      <c r="P277" s="5">
        <v>0</v>
      </c>
      <c r="Q277" s="5">
        <v>0</v>
      </c>
    </row>
    <row r="278" spans="1:17" x14ac:dyDescent="0.25">
      <c r="A278" s="294">
        <f t="shared" si="17"/>
        <v>136</v>
      </c>
      <c r="B278" s="3" t="s">
        <v>473</v>
      </c>
      <c r="C278" s="3" t="s">
        <v>651</v>
      </c>
      <c r="D278" s="3" t="s">
        <v>632</v>
      </c>
      <c r="E278" s="3" t="s">
        <v>63</v>
      </c>
      <c r="F278" s="3" t="s">
        <v>500</v>
      </c>
      <c r="G278" s="4" t="s">
        <v>85</v>
      </c>
      <c r="H278" s="4">
        <v>17</v>
      </c>
      <c r="I278" s="4">
        <v>5</v>
      </c>
      <c r="J278" s="4">
        <v>6</v>
      </c>
      <c r="K278" s="5">
        <f t="shared" si="15"/>
        <v>9948.68</v>
      </c>
      <c r="L278" s="5">
        <v>9948.68</v>
      </c>
      <c r="M278" s="5">
        <v>0</v>
      </c>
      <c r="N278" s="4">
        <v>4</v>
      </c>
      <c r="O278" s="5">
        <f t="shared" si="16"/>
        <v>20865.919999999998</v>
      </c>
      <c r="P278" s="5">
        <v>20865.919999999998</v>
      </c>
      <c r="Q278" s="5">
        <v>0</v>
      </c>
    </row>
    <row r="279" spans="1:17" x14ac:dyDescent="0.25">
      <c r="A279" s="294">
        <f t="shared" si="17"/>
        <v>137</v>
      </c>
      <c r="B279" s="3" t="s">
        <v>129</v>
      </c>
      <c r="C279" s="3" t="s">
        <v>62</v>
      </c>
      <c r="D279" s="3" t="s">
        <v>63</v>
      </c>
      <c r="E279" s="3" t="s">
        <v>74</v>
      </c>
      <c r="F279" s="3" t="s">
        <v>307</v>
      </c>
      <c r="G279" s="4" t="s">
        <v>85</v>
      </c>
      <c r="H279" s="4">
        <v>0</v>
      </c>
      <c r="I279" s="4">
        <v>0</v>
      </c>
      <c r="J279" s="4">
        <v>0</v>
      </c>
      <c r="K279" s="5">
        <f t="shared" si="15"/>
        <v>0</v>
      </c>
      <c r="L279" s="5">
        <v>0</v>
      </c>
      <c r="M279" s="5">
        <v>0</v>
      </c>
      <c r="N279" s="4">
        <v>2</v>
      </c>
      <c r="O279" s="5">
        <f t="shared" si="16"/>
        <v>12997.88</v>
      </c>
      <c r="P279" s="5">
        <f>2390.47+10607.41</f>
        <v>12997.88</v>
      </c>
      <c r="Q279" s="5">
        <v>0</v>
      </c>
    </row>
    <row r="280" spans="1:17" ht="25.5" x14ac:dyDescent="0.25">
      <c r="A280" s="294">
        <f t="shared" si="17"/>
        <v>138</v>
      </c>
      <c r="B280" s="3" t="s">
        <v>58</v>
      </c>
      <c r="C280" s="3" t="s">
        <v>62</v>
      </c>
      <c r="D280" s="3" t="s">
        <v>63</v>
      </c>
      <c r="E280" s="3" t="s">
        <v>84</v>
      </c>
      <c r="F280" s="3" t="s">
        <v>308</v>
      </c>
      <c r="G280" s="4" t="s">
        <v>85</v>
      </c>
      <c r="H280" s="4">
        <v>200</v>
      </c>
      <c r="I280" s="4">
        <v>187</v>
      </c>
      <c r="J280" s="4">
        <v>208</v>
      </c>
      <c r="K280" s="5">
        <f t="shared" si="15"/>
        <v>219265.57</v>
      </c>
      <c r="L280" s="5">
        <v>174860.32</v>
      </c>
      <c r="M280" s="5">
        <v>44405.25</v>
      </c>
      <c r="N280" s="4">
        <v>60</v>
      </c>
      <c r="O280" s="5">
        <f t="shared" si="16"/>
        <v>216301.06999999998</v>
      </c>
      <c r="P280" s="5">
        <v>187084.08</v>
      </c>
      <c r="Q280" s="5">
        <v>29216.99</v>
      </c>
    </row>
    <row r="281" spans="1:17" ht="25.5" x14ac:dyDescent="0.25">
      <c r="A281" s="294">
        <f t="shared" si="17"/>
        <v>139</v>
      </c>
      <c r="B281" s="3" t="s">
        <v>59</v>
      </c>
      <c r="C281" s="3" t="s">
        <v>64</v>
      </c>
      <c r="D281" s="3" t="s">
        <v>66</v>
      </c>
      <c r="E281" s="3" t="s">
        <v>80</v>
      </c>
      <c r="F281" s="3" t="s">
        <v>309</v>
      </c>
      <c r="G281" s="4" t="s">
        <v>85</v>
      </c>
      <c r="H281" s="4">
        <v>40</v>
      </c>
      <c r="I281" s="4">
        <v>32</v>
      </c>
      <c r="J281" s="4">
        <v>49</v>
      </c>
      <c r="K281" s="5">
        <f t="shared" si="15"/>
        <v>83144.350000000006</v>
      </c>
      <c r="L281" s="5">
        <v>51534.89</v>
      </c>
      <c r="M281" s="5">
        <v>31609.46</v>
      </c>
      <c r="N281" s="4">
        <v>30</v>
      </c>
      <c r="O281" s="5">
        <f t="shared" si="16"/>
        <v>108860.27</v>
      </c>
      <c r="P281" s="5">
        <v>84860.21</v>
      </c>
      <c r="Q281" s="5">
        <v>24000.06</v>
      </c>
    </row>
    <row r="282" spans="1:17" x14ac:dyDescent="0.25">
      <c r="A282" s="294">
        <f t="shared" si="17"/>
        <v>140</v>
      </c>
      <c r="B282" s="3" t="s">
        <v>130</v>
      </c>
      <c r="C282" s="3" t="s">
        <v>62</v>
      </c>
      <c r="D282" s="3" t="s">
        <v>63</v>
      </c>
      <c r="E282" s="3" t="s">
        <v>74</v>
      </c>
      <c r="F282" s="3" t="s">
        <v>553</v>
      </c>
      <c r="G282" s="4" t="s">
        <v>85</v>
      </c>
      <c r="H282" s="4">
        <v>4</v>
      </c>
      <c r="I282" s="4">
        <v>1</v>
      </c>
      <c r="J282" s="4">
        <v>1</v>
      </c>
      <c r="K282" s="5">
        <f t="shared" si="15"/>
        <v>299.54000000000002</v>
      </c>
      <c r="L282" s="5">
        <v>299.54000000000002</v>
      </c>
      <c r="M282" s="5">
        <v>0</v>
      </c>
      <c r="N282" s="4">
        <v>3</v>
      </c>
      <c r="O282" s="5">
        <f t="shared" si="16"/>
        <v>20018.759999999998</v>
      </c>
      <c r="P282" s="5">
        <f>14754.22+5264.54</f>
        <v>20018.759999999998</v>
      </c>
      <c r="Q282" s="5">
        <v>0</v>
      </c>
    </row>
    <row r="283" spans="1:17" x14ac:dyDescent="0.25">
      <c r="A283" s="294">
        <f t="shared" si="17"/>
        <v>141</v>
      </c>
      <c r="B283" s="3" t="s">
        <v>97</v>
      </c>
      <c r="C283" s="3" t="s">
        <v>62</v>
      </c>
      <c r="D283" s="3" t="s">
        <v>63</v>
      </c>
      <c r="E283" s="3" t="s">
        <v>74</v>
      </c>
      <c r="F283" s="3" t="s">
        <v>310</v>
      </c>
      <c r="G283" s="4" t="s">
        <v>85</v>
      </c>
      <c r="H283" s="4">
        <v>6</v>
      </c>
      <c r="I283" s="4">
        <v>4</v>
      </c>
      <c r="J283" s="4">
        <v>4</v>
      </c>
      <c r="K283" s="5">
        <f t="shared" si="15"/>
        <v>8498.34</v>
      </c>
      <c r="L283" s="5">
        <f>687.18+2973.38</f>
        <v>3660.56</v>
      </c>
      <c r="M283" s="5">
        <v>4837.78</v>
      </c>
      <c r="N283" s="4">
        <v>1</v>
      </c>
      <c r="O283" s="5">
        <f t="shared" si="16"/>
        <v>808.76</v>
      </c>
      <c r="P283" s="5">
        <v>808.76</v>
      </c>
      <c r="Q283" s="5">
        <v>0</v>
      </c>
    </row>
    <row r="284" spans="1:17" ht="25.5" x14ac:dyDescent="0.25">
      <c r="A284" s="294">
        <f t="shared" si="17"/>
        <v>142</v>
      </c>
      <c r="B284" s="3" t="s">
        <v>514</v>
      </c>
      <c r="C284" s="3" t="s">
        <v>62</v>
      </c>
      <c r="D284" s="3" t="s">
        <v>652</v>
      </c>
      <c r="E284" s="3" t="s">
        <v>223</v>
      </c>
      <c r="F284" s="3" t="s">
        <v>515</v>
      </c>
      <c r="G284" s="4" t="s">
        <v>85</v>
      </c>
      <c r="H284" s="4">
        <v>18</v>
      </c>
      <c r="I284" s="4">
        <v>11</v>
      </c>
      <c r="J284" s="4">
        <v>16</v>
      </c>
      <c r="K284" s="5">
        <f t="shared" si="15"/>
        <v>21122.21</v>
      </c>
      <c r="L284" s="5">
        <v>21122.21</v>
      </c>
      <c r="M284" s="5">
        <v>0</v>
      </c>
      <c r="N284" s="4">
        <v>0</v>
      </c>
      <c r="O284" s="5">
        <f t="shared" si="16"/>
        <v>0</v>
      </c>
      <c r="P284" s="5">
        <v>0</v>
      </c>
      <c r="Q284" s="5">
        <v>0</v>
      </c>
    </row>
    <row r="285" spans="1:17" x14ac:dyDescent="0.25">
      <c r="A285" s="294">
        <f t="shared" si="17"/>
        <v>143</v>
      </c>
      <c r="B285" s="3" t="s">
        <v>132</v>
      </c>
      <c r="C285" s="3" t="s">
        <v>62</v>
      </c>
      <c r="D285" s="3" t="s">
        <v>63</v>
      </c>
      <c r="E285" s="3" t="s">
        <v>74</v>
      </c>
      <c r="F285" s="3" t="s">
        <v>311</v>
      </c>
      <c r="G285" s="4" t="s">
        <v>85</v>
      </c>
      <c r="H285" s="4">
        <v>18</v>
      </c>
      <c r="I285" s="4">
        <v>7</v>
      </c>
      <c r="J285" s="4">
        <v>8</v>
      </c>
      <c r="K285" s="5">
        <f t="shared" si="15"/>
        <v>7071.18</v>
      </c>
      <c r="L285" s="5">
        <v>7071.18</v>
      </c>
      <c r="M285" s="5">
        <v>0</v>
      </c>
      <c r="N285" s="4">
        <v>11</v>
      </c>
      <c r="O285" s="5">
        <f t="shared" si="16"/>
        <v>7200.7199999999993</v>
      </c>
      <c r="P285" s="5">
        <v>6240.07</v>
      </c>
      <c r="Q285" s="5">
        <v>960.65</v>
      </c>
    </row>
    <row r="286" spans="1:17" ht="25.5" x14ac:dyDescent="0.25">
      <c r="A286" s="294">
        <f t="shared" si="17"/>
        <v>144</v>
      </c>
      <c r="B286" s="3" t="s">
        <v>312</v>
      </c>
      <c r="C286" s="3" t="s">
        <v>62</v>
      </c>
      <c r="D286" s="3"/>
      <c r="E286" s="3" t="s">
        <v>313</v>
      </c>
      <c r="F286" s="3" t="s">
        <v>314</v>
      </c>
      <c r="G286" s="4" t="s">
        <v>85</v>
      </c>
      <c r="H286" s="4">
        <v>43</v>
      </c>
      <c r="I286" s="4">
        <v>1</v>
      </c>
      <c r="J286" s="4">
        <v>1</v>
      </c>
      <c r="K286" s="5">
        <f t="shared" si="15"/>
        <v>0</v>
      </c>
      <c r="L286" s="5">
        <v>0</v>
      </c>
      <c r="M286" s="5">
        <v>0</v>
      </c>
      <c r="N286" s="4">
        <v>0</v>
      </c>
      <c r="O286" s="5">
        <f t="shared" si="16"/>
        <v>0</v>
      </c>
      <c r="P286" s="5">
        <v>0</v>
      </c>
      <c r="Q286" s="5">
        <v>0</v>
      </c>
    </row>
    <row r="287" spans="1:17" x14ac:dyDescent="0.25">
      <c r="A287" s="294">
        <f t="shared" si="17"/>
        <v>145</v>
      </c>
      <c r="B287" s="3" t="s">
        <v>315</v>
      </c>
      <c r="C287" s="3" t="s">
        <v>62</v>
      </c>
      <c r="D287" s="3" t="s">
        <v>63</v>
      </c>
      <c r="E287" s="3" t="s">
        <v>74</v>
      </c>
      <c r="F287" s="3" t="s">
        <v>316</v>
      </c>
      <c r="G287" s="4" t="s">
        <v>85</v>
      </c>
      <c r="H287" s="4">
        <v>16</v>
      </c>
      <c r="I287" s="4">
        <v>9</v>
      </c>
      <c r="J287" s="4">
        <v>11</v>
      </c>
      <c r="K287" s="5">
        <f t="shared" si="15"/>
        <v>11020.91</v>
      </c>
      <c r="L287" s="5">
        <v>11020.91</v>
      </c>
      <c r="M287" s="5">
        <v>0</v>
      </c>
      <c r="N287" s="4">
        <v>3</v>
      </c>
      <c r="O287" s="5">
        <f t="shared" si="16"/>
        <v>3889.02</v>
      </c>
      <c r="P287" s="5">
        <v>3889.02</v>
      </c>
      <c r="Q287" s="5">
        <v>0</v>
      </c>
    </row>
    <row r="288" spans="1:17" x14ac:dyDescent="0.25">
      <c r="A288" s="294">
        <f t="shared" si="17"/>
        <v>146</v>
      </c>
      <c r="B288" s="3" t="s">
        <v>317</v>
      </c>
      <c r="C288" s="3" t="s">
        <v>62</v>
      </c>
      <c r="D288" s="3"/>
      <c r="E288" s="3" t="s">
        <v>158</v>
      </c>
      <c r="F288" s="3" t="s">
        <v>474</v>
      </c>
      <c r="G288" s="4" t="s">
        <v>85</v>
      </c>
      <c r="H288" s="4">
        <v>10</v>
      </c>
      <c r="I288" s="4">
        <v>6</v>
      </c>
      <c r="J288" s="4">
        <v>7</v>
      </c>
      <c r="K288" s="5">
        <f t="shared" si="15"/>
        <v>4210.97</v>
      </c>
      <c r="L288" s="5">
        <v>2271.02</v>
      </c>
      <c r="M288" s="5">
        <v>1939.95</v>
      </c>
      <c r="N288" s="4">
        <v>0</v>
      </c>
      <c r="O288" s="5">
        <f t="shared" si="16"/>
        <v>0</v>
      </c>
      <c r="P288" s="5">
        <v>0</v>
      </c>
      <c r="Q288" s="5">
        <v>0</v>
      </c>
    </row>
    <row r="289" spans="1:17" ht="25.5" x14ac:dyDescent="0.25">
      <c r="A289" s="294">
        <f t="shared" si="17"/>
        <v>147</v>
      </c>
      <c r="B289" s="3" t="s">
        <v>318</v>
      </c>
      <c r="C289" s="3" t="s">
        <v>62</v>
      </c>
      <c r="D289" s="3"/>
      <c r="E289" s="3" t="s">
        <v>174</v>
      </c>
      <c r="F289" s="3" t="s">
        <v>319</v>
      </c>
      <c r="G289" s="4" t="s">
        <v>85</v>
      </c>
      <c r="H289" s="4">
        <v>28</v>
      </c>
      <c r="I289" s="4">
        <v>17</v>
      </c>
      <c r="J289" s="4">
        <v>20</v>
      </c>
      <c r="K289" s="5">
        <f t="shared" si="15"/>
        <v>23365.279999999999</v>
      </c>
      <c r="L289" s="5">
        <v>23365.279999999999</v>
      </c>
      <c r="M289" s="5">
        <v>0</v>
      </c>
      <c r="N289" s="4">
        <v>0</v>
      </c>
      <c r="O289" s="5">
        <f t="shared" si="16"/>
        <v>0</v>
      </c>
      <c r="P289" s="5">
        <v>0</v>
      </c>
      <c r="Q289" s="5">
        <v>0</v>
      </c>
    </row>
    <row r="290" spans="1:17" x14ac:dyDescent="0.25">
      <c r="A290" s="294">
        <f t="shared" si="17"/>
        <v>148</v>
      </c>
      <c r="B290" s="3" t="s">
        <v>60</v>
      </c>
      <c r="C290" s="3" t="s">
        <v>67</v>
      </c>
      <c r="D290" s="3" t="s">
        <v>68</v>
      </c>
      <c r="E290" s="3" t="s">
        <v>74</v>
      </c>
      <c r="F290" s="3" t="s">
        <v>320</v>
      </c>
      <c r="G290" s="4" t="s">
        <v>85</v>
      </c>
      <c r="H290" s="4">
        <v>63</v>
      </c>
      <c r="I290" s="4">
        <v>56</v>
      </c>
      <c r="J290" s="4">
        <v>84</v>
      </c>
      <c r="K290" s="5">
        <f t="shared" si="15"/>
        <v>159674.60999999999</v>
      </c>
      <c r="L290" s="5">
        <v>137178.44</v>
      </c>
      <c r="M290" s="5">
        <v>22496.17</v>
      </c>
      <c r="N290" s="4">
        <v>44</v>
      </c>
      <c r="O290" s="5">
        <f t="shared" si="16"/>
        <v>110859.9</v>
      </c>
      <c r="P290" s="5">
        <v>91294.68</v>
      </c>
      <c r="Q290" s="5">
        <v>19565.22</v>
      </c>
    </row>
    <row r="291" spans="1:17" x14ac:dyDescent="0.25">
      <c r="A291" s="294">
        <f t="shared" si="17"/>
        <v>149</v>
      </c>
      <c r="B291" s="3" t="s">
        <v>61</v>
      </c>
      <c r="C291" s="3" t="s">
        <v>67</v>
      </c>
      <c r="D291" s="3" t="s">
        <v>69</v>
      </c>
      <c r="E291" s="3" t="s">
        <v>74</v>
      </c>
      <c r="F291" s="3" t="s">
        <v>543</v>
      </c>
      <c r="G291" s="4" t="s">
        <v>85</v>
      </c>
      <c r="H291" s="4">
        <v>9</v>
      </c>
      <c r="I291" s="4">
        <v>5</v>
      </c>
      <c r="J291" s="4">
        <v>6</v>
      </c>
      <c r="K291" s="5">
        <f t="shared" si="15"/>
        <v>12993.1</v>
      </c>
      <c r="L291" s="5">
        <v>12993.1</v>
      </c>
      <c r="M291" s="5">
        <v>0</v>
      </c>
      <c r="N291" s="4">
        <v>7</v>
      </c>
      <c r="O291" s="5">
        <f t="shared" si="16"/>
        <v>7602.26</v>
      </c>
      <c r="P291" s="5">
        <v>7602.26</v>
      </c>
      <c r="Q291" s="5">
        <v>0</v>
      </c>
    </row>
    <row r="292" spans="1:17" x14ac:dyDescent="0.25">
      <c r="A292" s="294">
        <f t="shared" si="17"/>
        <v>150</v>
      </c>
      <c r="B292" s="3" t="s">
        <v>61</v>
      </c>
      <c r="C292" s="3" t="s">
        <v>67</v>
      </c>
      <c r="D292" s="3" t="s">
        <v>69</v>
      </c>
      <c r="E292" s="3" t="s">
        <v>74</v>
      </c>
      <c r="F292" s="3" t="s">
        <v>321</v>
      </c>
      <c r="G292" s="4" t="s">
        <v>85</v>
      </c>
      <c r="H292" s="4">
        <v>9</v>
      </c>
      <c r="I292" s="4">
        <v>5</v>
      </c>
      <c r="J292" s="4">
        <v>6</v>
      </c>
      <c r="K292" s="5">
        <f t="shared" si="15"/>
        <v>12993.1</v>
      </c>
      <c r="L292" s="5">
        <v>12993.1</v>
      </c>
      <c r="M292" s="5">
        <v>0</v>
      </c>
      <c r="N292" s="4">
        <v>7</v>
      </c>
      <c r="O292" s="5">
        <f t="shared" si="16"/>
        <v>7602.26</v>
      </c>
      <c r="P292" s="5">
        <v>7602.26</v>
      </c>
      <c r="Q292" s="5">
        <v>0</v>
      </c>
    </row>
  </sheetData>
  <autoFilter ref="A8:Q8"/>
  <mergeCells count="8">
    <mergeCell ref="B7:G7"/>
    <mergeCell ref="H7:M7"/>
    <mergeCell ref="N7:Q7"/>
    <mergeCell ref="O1:Q1"/>
    <mergeCell ref="A3:Q3"/>
    <mergeCell ref="A4:Q4"/>
    <mergeCell ref="A5:Q5"/>
    <mergeCell ref="A6:Q6"/>
  </mergeCells>
  <pageMargins left="0.31496062992125984" right="0.31496062992125984" top="0.55118110236220474" bottom="0.55118110236220474" header="0" footer="0"/>
  <pageSetup paperSize="9" scale="18" fitToWidth="2" orientation="landscape" horizontalDpi="300" verticalDpi="300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287"/>
  <sheetViews>
    <sheetView topLeftCell="A146" zoomScale="95" zoomScaleNormal="95" workbookViewId="0">
      <selection activeCell="P169" sqref="P169"/>
    </sheetView>
  </sheetViews>
  <sheetFormatPr defaultRowHeight="15" customHeight="1" x14ac:dyDescent="0.25"/>
  <cols>
    <col min="1" max="1" width="4" customWidth="1"/>
    <col min="2" max="2" width="36.28515625" customWidth="1"/>
    <col min="3" max="3" width="11.28515625" customWidth="1"/>
    <col min="4" max="4" width="26.28515625" customWidth="1"/>
    <col min="5" max="5" width="15.7109375" customWidth="1"/>
    <col min="6" max="8" width="19.28515625" customWidth="1"/>
    <col min="9" max="9" width="11.85546875" customWidth="1"/>
    <col min="10" max="10" width="13.140625" customWidth="1"/>
    <col min="11" max="11" width="14.5703125" customWidth="1"/>
    <col min="12" max="12" width="13.42578125" customWidth="1"/>
    <col min="13" max="13" width="13.5703125" customWidth="1"/>
    <col min="14" max="14" width="13.28515625" customWidth="1"/>
    <col min="15" max="15" width="14.42578125" customWidth="1"/>
    <col min="16" max="17" width="13.42578125" customWidth="1"/>
  </cols>
  <sheetData>
    <row r="1" spans="1:18" x14ac:dyDescent="0.25">
      <c r="A1" s="372"/>
      <c r="B1" s="372"/>
      <c r="C1" s="372"/>
      <c r="D1" s="372"/>
      <c r="E1" s="372"/>
      <c r="F1" s="372"/>
      <c r="G1" s="372"/>
      <c r="H1" s="372"/>
      <c r="I1" s="372"/>
      <c r="J1" s="372"/>
      <c r="K1" s="7"/>
      <c r="L1" s="7"/>
      <c r="M1" s="7"/>
      <c r="N1" s="372"/>
      <c r="O1" s="620" t="s">
        <v>15</v>
      </c>
      <c r="P1" s="620"/>
      <c r="Q1" s="620"/>
      <c r="R1" s="6"/>
    </row>
    <row r="2" spans="1:18" x14ac:dyDescent="0.25">
      <c r="A2" s="372"/>
      <c r="B2" s="372"/>
      <c r="C2" s="372"/>
      <c r="D2" s="372"/>
      <c r="E2" s="372"/>
      <c r="F2" s="372"/>
      <c r="G2" s="372"/>
      <c r="H2" s="372"/>
      <c r="I2" s="372"/>
      <c r="J2" s="372"/>
      <c r="K2" s="7"/>
      <c r="L2" s="7"/>
      <c r="M2" s="7"/>
      <c r="N2" s="372"/>
      <c r="O2" s="7"/>
      <c r="P2" s="7"/>
      <c r="Q2" s="7"/>
      <c r="R2" s="6"/>
    </row>
    <row r="3" spans="1:18" x14ac:dyDescent="0.25">
      <c r="A3" s="621" t="s">
        <v>323</v>
      </c>
      <c r="B3" s="621"/>
      <c r="C3" s="621"/>
      <c r="D3" s="621"/>
      <c r="E3" s="621"/>
      <c r="F3" s="621"/>
      <c r="G3" s="621"/>
      <c r="H3" s="621"/>
      <c r="I3" s="621"/>
      <c r="J3" s="621"/>
      <c r="K3" s="621"/>
      <c r="L3" s="621"/>
      <c r="M3" s="621"/>
      <c r="N3" s="621"/>
      <c r="O3" s="621"/>
      <c r="P3" s="621"/>
      <c r="Q3" s="621"/>
      <c r="R3" s="6"/>
    </row>
    <row r="4" spans="1:18" ht="18.75" x14ac:dyDescent="0.25">
      <c r="A4" s="622" t="s">
        <v>16</v>
      </c>
      <c r="B4" s="622"/>
      <c r="C4" s="622"/>
      <c r="D4" s="622"/>
      <c r="E4" s="622"/>
      <c r="F4" s="622"/>
      <c r="G4" s="622"/>
      <c r="H4" s="622"/>
      <c r="I4" s="622"/>
      <c r="J4" s="622"/>
      <c r="K4" s="622"/>
      <c r="L4" s="622"/>
      <c r="M4" s="622"/>
      <c r="N4" s="622"/>
      <c r="O4" s="622"/>
      <c r="P4" s="622"/>
      <c r="Q4" s="622"/>
      <c r="R4" s="6"/>
    </row>
    <row r="5" spans="1:18" x14ac:dyDescent="0.25">
      <c r="A5" s="623" t="s">
        <v>14</v>
      </c>
      <c r="B5" s="623"/>
      <c r="C5" s="623"/>
      <c r="D5" s="623"/>
      <c r="E5" s="623"/>
      <c r="F5" s="623"/>
      <c r="G5" s="623"/>
      <c r="H5" s="623"/>
      <c r="I5" s="623"/>
      <c r="J5" s="623"/>
      <c r="K5" s="623"/>
      <c r="L5" s="623"/>
      <c r="M5" s="623"/>
      <c r="N5" s="623"/>
      <c r="O5" s="623"/>
      <c r="P5" s="623"/>
      <c r="Q5" s="623"/>
      <c r="R5" s="6"/>
    </row>
    <row r="6" spans="1:18" ht="21" x14ac:dyDescent="0.25">
      <c r="A6" s="624" t="s">
        <v>17</v>
      </c>
      <c r="B6" s="624"/>
      <c r="C6" s="624"/>
      <c r="D6" s="624"/>
      <c r="E6" s="624"/>
      <c r="F6" s="624"/>
      <c r="G6" s="624"/>
      <c r="H6" s="624"/>
      <c r="I6" s="624"/>
      <c r="J6" s="624"/>
      <c r="K6" s="624"/>
      <c r="L6" s="624"/>
      <c r="M6" s="624"/>
      <c r="N6" s="624"/>
      <c r="O6" s="624"/>
      <c r="P6" s="624"/>
      <c r="Q6" s="624"/>
      <c r="R6" s="6"/>
    </row>
    <row r="7" spans="1:18" x14ac:dyDescent="0.25">
      <c r="A7" s="9" t="s">
        <v>0</v>
      </c>
      <c r="B7" s="617" t="s">
        <v>10</v>
      </c>
      <c r="C7" s="618"/>
      <c r="D7" s="618"/>
      <c r="E7" s="618"/>
      <c r="F7" s="618"/>
      <c r="G7" s="619"/>
      <c r="H7" s="617" t="s">
        <v>322</v>
      </c>
      <c r="I7" s="618"/>
      <c r="J7" s="618"/>
      <c r="K7" s="618"/>
      <c r="L7" s="618"/>
      <c r="M7" s="618"/>
      <c r="N7" s="617" t="s">
        <v>324</v>
      </c>
      <c r="O7" s="618"/>
      <c r="P7" s="618"/>
      <c r="Q7" s="619"/>
      <c r="R7" s="6"/>
    </row>
    <row r="8" spans="1:18" ht="102" x14ac:dyDescent="0.25">
      <c r="A8" s="10"/>
      <c r="B8" s="11" t="s">
        <v>4</v>
      </c>
      <c r="C8" s="11" t="s">
        <v>1</v>
      </c>
      <c r="D8" s="11" t="s">
        <v>3</v>
      </c>
      <c r="E8" s="11" t="s">
        <v>2</v>
      </c>
      <c r="F8" s="11" t="s">
        <v>6</v>
      </c>
      <c r="G8" s="11" t="s">
        <v>5</v>
      </c>
      <c r="H8" s="12" t="s">
        <v>7</v>
      </c>
      <c r="I8" s="13" t="s">
        <v>8</v>
      </c>
      <c r="J8" s="13" t="s">
        <v>9</v>
      </c>
      <c r="K8" s="14" t="s">
        <v>11</v>
      </c>
      <c r="L8" s="14" t="s">
        <v>12</v>
      </c>
      <c r="M8" s="14" t="s">
        <v>13</v>
      </c>
      <c r="N8" s="13" t="s">
        <v>9</v>
      </c>
      <c r="O8" s="14" t="s">
        <v>11</v>
      </c>
      <c r="P8" s="14" t="s">
        <v>12</v>
      </c>
      <c r="Q8" s="15" t="s">
        <v>13</v>
      </c>
      <c r="R8" s="6"/>
    </row>
    <row r="9" spans="1:18" ht="25.5" x14ac:dyDescent="0.25">
      <c r="A9" s="190">
        <v>1</v>
      </c>
      <c r="B9" s="136" t="s">
        <v>134</v>
      </c>
      <c r="C9" s="134" t="s">
        <v>62</v>
      </c>
      <c r="D9" s="136"/>
      <c r="E9" s="134" t="s">
        <v>74</v>
      </c>
      <c r="F9" s="134" t="s">
        <v>408</v>
      </c>
      <c r="G9" s="136" t="s">
        <v>409</v>
      </c>
      <c r="H9" s="191">
        <v>25</v>
      </c>
      <c r="I9" s="191">
        <v>9</v>
      </c>
      <c r="J9" s="191">
        <v>9</v>
      </c>
      <c r="K9" s="192">
        <v>9901.2000000000007</v>
      </c>
      <c r="L9" s="192">
        <v>9901.2000000000007</v>
      </c>
      <c r="M9" s="193">
        <f t="shared" ref="M9:M57" si="0">K9-L9</f>
        <v>0</v>
      </c>
      <c r="N9" s="191">
        <v>7</v>
      </c>
      <c r="O9" s="192">
        <v>16876.099999999999</v>
      </c>
      <c r="P9" s="192">
        <v>16876.099999999999</v>
      </c>
      <c r="Q9" s="192">
        <f t="shared" ref="Q9:Q57" si="1">O9-P9</f>
        <v>0</v>
      </c>
      <c r="R9" s="297"/>
    </row>
    <row r="10" spans="1:18" ht="25.5" x14ac:dyDescent="0.25">
      <c r="A10" s="190">
        <v>2</v>
      </c>
      <c r="B10" s="136" t="s">
        <v>335</v>
      </c>
      <c r="C10" s="134" t="s">
        <v>62</v>
      </c>
      <c r="D10" s="136"/>
      <c r="E10" s="134" t="s">
        <v>74</v>
      </c>
      <c r="F10" s="134" t="s">
        <v>410</v>
      </c>
      <c r="G10" s="136" t="s">
        <v>409</v>
      </c>
      <c r="H10" s="191">
        <v>12</v>
      </c>
      <c r="I10" s="191">
        <v>4</v>
      </c>
      <c r="J10" s="191">
        <v>4</v>
      </c>
      <c r="K10" s="192">
        <v>5675.4</v>
      </c>
      <c r="L10" s="192">
        <v>5675.4</v>
      </c>
      <c r="M10" s="193">
        <f t="shared" si="0"/>
        <v>0</v>
      </c>
      <c r="N10" s="191">
        <v>11</v>
      </c>
      <c r="O10" s="192">
        <v>16642.8</v>
      </c>
      <c r="P10" s="192">
        <v>16642.8</v>
      </c>
      <c r="Q10" s="192">
        <f t="shared" si="1"/>
        <v>0</v>
      </c>
      <c r="R10" s="297"/>
    </row>
    <row r="11" spans="1:18" ht="38.25" x14ac:dyDescent="0.25">
      <c r="A11" s="190">
        <v>3</v>
      </c>
      <c r="B11" s="136" t="s">
        <v>46</v>
      </c>
      <c r="C11" s="134" t="s">
        <v>62</v>
      </c>
      <c r="D11" s="136"/>
      <c r="E11" s="134" t="s">
        <v>267</v>
      </c>
      <c r="F11" s="134" t="s">
        <v>411</v>
      </c>
      <c r="G11" s="136" t="s">
        <v>409</v>
      </c>
      <c r="H11" s="191">
        <v>33</v>
      </c>
      <c r="I11" s="191">
        <v>20</v>
      </c>
      <c r="J11" s="191">
        <v>20</v>
      </c>
      <c r="K11" s="192">
        <v>33507.9</v>
      </c>
      <c r="L11" s="192">
        <v>33507.9</v>
      </c>
      <c r="M11" s="193">
        <f t="shared" si="0"/>
        <v>0</v>
      </c>
      <c r="N11" s="191">
        <v>19</v>
      </c>
      <c r="O11" s="192">
        <v>28461.05</v>
      </c>
      <c r="P11" s="192">
        <v>28461.05</v>
      </c>
      <c r="Q11" s="192">
        <f t="shared" si="1"/>
        <v>0</v>
      </c>
      <c r="R11" s="297"/>
    </row>
    <row r="12" spans="1:18" ht="25.5" x14ac:dyDescent="0.25">
      <c r="A12" s="190">
        <v>4</v>
      </c>
      <c r="B12" s="136" t="s">
        <v>36</v>
      </c>
      <c r="C12" s="134" t="s">
        <v>62</v>
      </c>
      <c r="D12" s="136"/>
      <c r="E12" s="134" t="s">
        <v>74</v>
      </c>
      <c r="F12" s="134" t="s">
        <v>412</v>
      </c>
      <c r="G12" s="136" t="s">
        <v>409</v>
      </c>
      <c r="H12" s="191">
        <v>25</v>
      </c>
      <c r="I12" s="191">
        <v>15</v>
      </c>
      <c r="J12" s="191">
        <v>15</v>
      </c>
      <c r="K12" s="192">
        <v>24127.25</v>
      </c>
      <c r="L12" s="192">
        <v>24127.25</v>
      </c>
      <c r="M12" s="193">
        <f t="shared" si="0"/>
        <v>0</v>
      </c>
      <c r="N12" s="191">
        <v>21</v>
      </c>
      <c r="O12" s="192">
        <v>60084.82</v>
      </c>
      <c r="P12" s="192">
        <v>60084.82</v>
      </c>
      <c r="Q12" s="192">
        <f t="shared" si="1"/>
        <v>0</v>
      </c>
      <c r="R12" s="297"/>
    </row>
    <row r="13" spans="1:18" ht="25.5" x14ac:dyDescent="0.25">
      <c r="A13" s="190">
        <v>5</v>
      </c>
      <c r="B13" s="136" t="s">
        <v>27</v>
      </c>
      <c r="C13" s="134" t="s">
        <v>62</v>
      </c>
      <c r="D13" s="136"/>
      <c r="E13" s="134" t="s">
        <v>74</v>
      </c>
      <c r="F13" s="134" t="s">
        <v>413</v>
      </c>
      <c r="G13" s="136" t="s">
        <v>409</v>
      </c>
      <c r="H13" s="191">
        <v>10</v>
      </c>
      <c r="I13" s="191">
        <v>6</v>
      </c>
      <c r="J13" s="191">
        <v>6</v>
      </c>
      <c r="K13" s="192">
        <v>11514.02</v>
      </c>
      <c r="L13" s="192">
        <v>11514.02</v>
      </c>
      <c r="M13" s="193">
        <f t="shared" si="0"/>
        <v>0</v>
      </c>
      <c r="N13" s="191">
        <v>10</v>
      </c>
      <c r="O13" s="192">
        <v>19563.2</v>
      </c>
      <c r="P13" s="192">
        <v>19563.2</v>
      </c>
      <c r="Q13" s="192">
        <f t="shared" si="1"/>
        <v>0</v>
      </c>
      <c r="R13" s="297"/>
    </row>
    <row r="14" spans="1:18" ht="25.5" x14ac:dyDescent="0.25">
      <c r="A14" s="190">
        <v>6</v>
      </c>
      <c r="B14" s="136" t="s">
        <v>28</v>
      </c>
      <c r="C14" s="134" t="s">
        <v>62</v>
      </c>
      <c r="D14" s="136"/>
      <c r="E14" s="134" t="s">
        <v>74</v>
      </c>
      <c r="F14" s="134" t="s">
        <v>414</v>
      </c>
      <c r="G14" s="136" t="s">
        <v>409</v>
      </c>
      <c r="H14" s="191">
        <v>27</v>
      </c>
      <c r="I14" s="191">
        <v>16</v>
      </c>
      <c r="J14" s="191">
        <v>16</v>
      </c>
      <c r="K14" s="192">
        <v>24310.37</v>
      </c>
      <c r="L14" s="192">
        <v>24310.37</v>
      </c>
      <c r="M14" s="193">
        <f t="shared" si="0"/>
        <v>0</v>
      </c>
      <c r="N14" s="191">
        <v>11</v>
      </c>
      <c r="O14" s="192">
        <v>18572.099999999999</v>
      </c>
      <c r="P14" s="192">
        <v>18572.099999999999</v>
      </c>
      <c r="Q14" s="192">
        <f t="shared" si="1"/>
        <v>0</v>
      </c>
      <c r="R14" s="297"/>
    </row>
    <row r="15" spans="1:18" ht="25.5" x14ac:dyDescent="0.25">
      <c r="A15" s="190">
        <v>7</v>
      </c>
      <c r="B15" s="298" t="s">
        <v>246</v>
      </c>
      <c r="C15" s="190" t="s">
        <v>62</v>
      </c>
      <c r="D15" s="298"/>
      <c r="E15" s="134" t="s">
        <v>74</v>
      </c>
      <c r="F15" s="190" t="s">
        <v>415</v>
      </c>
      <c r="G15" s="136" t="s">
        <v>409</v>
      </c>
      <c r="H15" s="191">
        <v>26</v>
      </c>
      <c r="I15" s="191">
        <v>5</v>
      </c>
      <c r="J15" s="191">
        <v>5</v>
      </c>
      <c r="K15" s="192">
        <v>5673.64</v>
      </c>
      <c r="L15" s="192">
        <v>5673.64</v>
      </c>
      <c r="M15" s="193">
        <f t="shared" si="0"/>
        <v>0</v>
      </c>
      <c r="N15" s="191">
        <v>0</v>
      </c>
      <c r="O15" s="192">
        <v>0</v>
      </c>
      <c r="P15" s="192">
        <v>0</v>
      </c>
      <c r="Q15" s="192">
        <f t="shared" si="1"/>
        <v>0</v>
      </c>
      <c r="R15" s="297"/>
    </row>
    <row r="16" spans="1:18" ht="25.5" x14ac:dyDescent="0.25">
      <c r="A16" s="203">
        <v>8</v>
      </c>
      <c r="B16" s="195" t="s">
        <v>330</v>
      </c>
      <c r="C16" s="190" t="s">
        <v>62</v>
      </c>
      <c r="D16" s="298"/>
      <c r="E16" s="134" t="s">
        <v>74</v>
      </c>
      <c r="F16" s="190" t="s">
        <v>416</v>
      </c>
      <c r="G16" s="136" t="s">
        <v>409</v>
      </c>
      <c r="H16" s="191">
        <v>6</v>
      </c>
      <c r="I16" s="191">
        <v>0</v>
      </c>
      <c r="J16" s="191">
        <v>0</v>
      </c>
      <c r="K16" s="192">
        <v>0</v>
      </c>
      <c r="L16" s="192">
        <v>0</v>
      </c>
      <c r="M16" s="193">
        <f t="shared" si="0"/>
        <v>0</v>
      </c>
      <c r="N16" s="191">
        <v>0</v>
      </c>
      <c r="O16" s="192">
        <v>0</v>
      </c>
      <c r="P16" s="192">
        <v>0</v>
      </c>
      <c r="Q16" s="192">
        <f t="shared" si="1"/>
        <v>0</v>
      </c>
      <c r="R16" s="297"/>
    </row>
    <row r="17" spans="1:18" ht="25.5" x14ac:dyDescent="0.25">
      <c r="A17" s="203">
        <v>9</v>
      </c>
      <c r="B17" s="195" t="s">
        <v>402</v>
      </c>
      <c r="C17" s="190" t="s">
        <v>62</v>
      </c>
      <c r="D17" s="298"/>
      <c r="E17" s="134" t="s">
        <v>74</v>
      </c>
      <c r="F17" s="190" t="s">
        <v>417</v>
      </c>
      <c r="G17" s="136" t="s">
        <v>409</v>
      </c>
      <c r="H17" s="191">
        <v>19</v>
      </c>
      <c r="I17" s="191">
        <v>8</v>
      </c>
      <c r="J17" s="191">
        <v>8</v>
      </c>
      <c r="K17" s="192">
        <v>10254.82</v>
      </c>
      <c r="L17" s="192">
        <v>10254.82</v>
      </c>
      <c r="M17" s="193">
        <f t="shared" si="0"/>
        <v>0</v>
      </c>
      <c r="N17" s="191">
        <v>0</v>
      </c>
      <c r="O17" s="192">
        <v>0</v>
      </c>
      <c r="P17" s="192">
        <v>0</v>
      </c>
      <c r="Q17" s="192">
        <f t="shared" si="1"/>
        <v>0</v>
      </c>
      <c r="R17" s="297"/>
    </row>
    <row r="18" spans="1:18" ht="25.5" x14ac:dyDescent="0.25">
      <c r="A18" s="203">
        <v>10</v>
      </c>
      <c r="B18" s="195" t="s">
        <v>154</v>
      </c>
      <c r="C18" s="190" t="s">
        <v>62</v>
      </c>
      <c r="D18" s="298"/>
      <c r="E18" s="134" t="s">
        <v>72</v>
      </c>
      <c r="F18" s="190" t="s">
        <v>418</v>
      </c>
      <c r="G18" s="136" t="s">
        <v>409</v>
      </c>
      <c r="H18" s="191">
        <v>8</v>
      </c>
      <c r="I18" s="191">
        <v>1</v>
      </c>
      <c r="J18" s="191">
        <v>1</v>
      </c>
      <c r="K18" s="192">
        <v>925.05</v>
      </c>
      <c r="L18" s="192">
        <v>925.05</v>
      </c>
      <c r="M18" s="193">
        <f t="shared" si="0"/>
        <v>0</v>
      </c>
      <c r="N18" s="191">
        <v>8</v>
      </c>
      <c r="O18" s="192">
        <v>13569.2</v>
      </c>
      <c r="P18" s="192">
        <v>13569.2</v>
      </c>
      <c r="Q18" s="192">
        <f t="shared" si="1"/>
        <v>0</v>
      </c>
      <c r="R18" s="297"/>
    </row>
    <row r="19" spans="1:18" ht="25.5" x14ac:dyDescent="0.25">
      <c r="A19" s="203">
        <v>11</v>
      </c>
      <c r="B19" s="195" t="s">
        <v>153</v>
      </c>
      <c r="C19" s="190" t="s">
        <v>62</v>
      </c>
      <c r="D19" s="298"/>
      <c r="E19" s="134" t="s">
        <v>74</v>
      </c>
      <c r="F19" s="190" t="s">
        <v>419</v>
      </c>
      <c r="G19" s="136" t="s">
        <v>409</v>
      </c>
      <c r="H19" s="191">
        <v>4</v>
      </c>
      <c r="I19" s="191">
        <v>1</v>
      </c>
      <c r="J19" s="191">
        <v>1</v>
      </c>
      <c r="K19" s="192">
        <v>1635.8</v>
      </c>
      <c r="L19" s="192">
        <v>1635.8</v>
      </c>
      <c r="M19" s="193">
        <f t="shared" si="0"/>
        <v>0</v>
      </c>
      <c r="N19" s="191">
        <v>16</v>
      </c>
      <c r="O19" s="192">
        <v>54035.01</v>
      </c>
      <c r="P19" s="192">
        <v>54035.01</v>
      </c>
      <c r="Q19" s="192">
        <f t="shared" si="1"/>
        <v>0</v>
      </c>
      <c r="R19" s="297"/>
    </row>
    <row r="20" spans="1:18" ht="25.5" x14ac:dyDescent="0.25">
      <c r="A20" s="203">
        <v>12</v>
      </c>
      <c r="B20" s="195" t="s">
        <v>89</v>
      </c>
      <c r="C20" s="190" t="s">
        <v>62</v>
      </c>
      <c r="D20" s="298"/>
      <c r="E20" s="134" t="s">
        <v>74</v>
      </c>
      <c r="F20" s="190" t="s">
        <v>420</v>
      </c>
      <c r="G20" s="136" t="s">
        <v>409</v>
      </c>
      <c r="H20" s="191">
        <v>12</v>
      </c>
      <c r="I20" s="191">
        <v>6</v>
      </c>
      <c r="J20" s="191">
        <v>6</v>
      </c>
      <c r="K20" s="192">
        <v>9804.5499999999993</v>
      </c>
      <c r="L20" s="192">
        <v>9804.5499999999993</v>
      </c>
      <c r="M20" s="193">
        <f t="shared" si="0"/>
        <v>0</v>
      </c>
      <c r="N20" s="191">
        <v>4</v>
      </c>
      <c r="O20" s="192">
        <v>12828.6</v>
      </c>
      <c r="P20" s="192">
        <v>12828.6</v>
      </c>
      <c r="Q20" s="192">
        <f t="shared" si="1"/>
        <v>0</v>
      </c>
      <c r="R20" s="297"/>
    </row>
    <row r="21" spans="1:18" ht="25.5" x14ac:dyDescent="0.25">
      <c r="A21" s="203">
        <v>13</v>
      </c>
      <c r="B21" s="195" t="s">
        <v>379</v>
      </c>
      <c r="C21" s="190" t="s">
        <v>62</v>
      </c>
      <c r="D21" s="298"/>
      <c r="E21" s="134" t="s">
        <v>74</v>
      </c>
      <c r="F21" s="190" t="s">
        <v>421</v>
      </c>
      <c r="G21" s="136" t="s">
        <v>409</v>
      </c>
      <c r="H21" s="191">
        <v>7</v>
      </c>
      <c r="I21" s="191">
        <v>4</v>
      </c>
      <c r="J21" s="191">
        <v>4</v>
      </c>
      <c r="K21" s="192">
        <v>4831.45</v>
      </c>
      <c r="L21" s="192">
        <v>4831.45</v>
      </c>
      <c r="M21" s="193">
        <f t="shared" si="0"/>
        <v>0</v>
      </c>
      <c r="N21" s="191">
        <v>0</v>
      </c>
      <c r="O21" s="192">
        <v>0</v>
      </c>
      <c r="P21" s="192">
        <v>0</v>
      </c>
      <c r="Q21" s="192">
        <f t="shared" si="1"/>
        <v>0</v>
      </c>
      <c r="R21" s="297"/>
    </row>
    <row r="22" spans="1:18" ht="25.5" x14ac:dyDescent="0.25">
      <c r="A22" s="203">
        <v>14</v>
      </c>
      <c r="B22" s="195" t="s">
        <v>264</v>
      </c>
      <c r="C22" s="190" t="s">
        <v>62</v>
      </c>
      <c r="D22" s="298"/>
      <c r="E22" s="134" t="s">
        <v>74</v>
      </c>
      <c r="F22" s="190" t="s">
        <v>422</v>
      </c>
      <c r="G22" s="136" t="s">
        <v>409</v>
      </c>
      <c r="H22" s="191">
        <v>3</v>
      </c>
      <c r="I22" s="191">
        <v>0</v>
      </c>
      <c r="J22" s="191">
        <v>0</v>
      </c>
      <c r="K22" s="192">
        <v>0</v>
      </c>
      <c r="L22" s="192">
        <v>0</v>
      </c>
      <c r="M22" s="193">
        <f t="shared" si="0"/>
        <v>0</v>
      </c>
      <c r="N22" s="191">
        <v>0</v>
      </c>
      <c r="O22" s="192">
        <v>0</v>
      </c>
      <c r="P22" s="192">
        <v>0</v>
      </c>
      <c r="Q22" s="192">
        <f t="shared" si="1"/>
        <v>0</v>
      </c>
      <c r="R22" s="297"/>
    </row>
    <row r="23" spans="1:18" ht="25.5" x14ac:dyDescent="0.25">
      <c r="A23" s="203">
        <v>15</v>
      </c>
      <c r="B23" s="195" t="s">
        <v>475</v>
      </c>
      <c r="C23" s="190" t="s">
        <v>67</v>
      </c>
      <c r="D23" s="136" t="s">
        <v>123</v>
      </c>
      <c r="E23" s="134" t="s">
        <v>82</v>
      </c>
      <c r="F23" s="190" t="s">
        <v>423</v>
      </c>
      <c r="G23" s="136" t="s">
        <v>409</v>
      </c>
      <c r="H23" s="191">
        <v>3</v>
      </c>
      <c r="I23" s="191">
        <v>0</v>
      </c>
      <c r="J23" s="191">
        <v>0</v>
      </c>
      <c r="K23" s="192">
        <v>0</v>
      </c>
      <c r="L23" s="192">
        <v>0</v>
      </c>
      <c r="M23" s="193">
        <f t="shared" si="0"/>
        <v>0</v>
      </c>
      <c r="N23" s="191">
        <v>0</v>
      </c>
      <c r="O23" s="192">
        <v>0</v>
      </c>
      <c r="P23" s="192">
        <v>0</v>
      </c>
      <c r="Q23" s="192">
        <f t="shared" si="1"/>
        <v>0</v>
      </c>
      <c r="R23" s="297"/>
    </row>
    <row r="24" spans="1:18" ht="25.5" x14ac:dyDescent="0.25">
      <c r="A24" s="203">
        <v>16</v>
      </c>
      <c r="B24" s="195" t="s">
        <v>137</v>
      </c>
      <c r="C24" s="190" t="s">
        <v>62</v>
      </c>
      <c r="D24" s="298"/>
      <c r="E24" s="134" t="s">
        <v>78</v>
      </c>
      <c r="F24" s="190" t="s">
        <v>424</v>
      </c>
      <c r="G24" s="136" t="s">
        <v>409</v>
      </c>
      <c r="H24" s="191">
        <v>4</v>
      </c>
      <c r="I24" s="191">
        <v>1</v>
      </c>
      <c r="J24" s="191">
        <v>1</v>
      </c>
      <c r="K24" s="192">
        <v>1691.52</v>
      </c>
      <c r="L24" s="192">
        <v>1691.52</v>
      </c>
      <c r="M24" s="193">
        <f t="shared" si="0"/>
        <v>0</v>
      </c>
      <c r="N24" s="191">
        <v>0</v>
      </c>
      <c r="O24" s="192">
        <v>0</v>
      </c>
      <c r="P24" s="192">
        <v>0</v>
      </c>
      <c r="Q24" s="192">
        <f t="shared" si="1"/>
        <v>0</v>
      </c>
      <c r="R24" s="297"/>
    </row>
    <row r="25" spans="1:18" ht="25.5" x14ac:dyDescent="0.25">
      <c r="A25" s="203">
        <v>17</v>
      </c>
      <c r="B25" s="195" t="s">
        <v>173</v>
      </c>
      <c r="C25" s="190" t="s">
        <v>67</v>
      </c>
      <c r="D25" s="298" t="s">
        <v>425</v>
      </c>
      <c r="E25" s="134" t="s">
        <v>74</v>
      </c>
      <c r="F25" s="190" t="s">
        <v>426</v>
      </c>
      <c r="G25" s="136" t="s">
        <v>409</v>
      </c>
      <c r="H25" s="191">
        <v>13</v>
      </c>
      <c r="I25" s="191">
        <v>5</v>
      </c>
      <c r="J25" s="191">
        <v>5</v>
      </c>
      <c r="K25" s="192">
        <v>7429.36</v>
      </c>
      <c r="L25" s="192">
        <v>7429.36</v>
      </c>
      <c r="M25" s="193">
        <f t="shared" si="0"/>
        <v>0</v>
      </c>
      <c r="N25" s="191">
        <v>0</v>
      </c>
      <c r="O25" s="192">
        <v>0</v>
      </c>
      <c r="P25" s="192">
        <v>0</v>
      </c>
      <c r="Q25" s="192">
        <f t="shared" si="1"/>
        <v>0</v>
      </c>
      <c r="R25" s="297"/>
    </row>
    <row r="26" spans="1:18" ht="25.5" x14ac:dyDescent="0.25">
      <c r="A26" s="203">
        <v>18</v>
      </c>
      <c r="B26" s="195" t="s">
        <v>135</v>
      </c>
      <c r="C26" s="190" t="s">
        <v>62</v>
      </c>
      <c r="D26" s="298"/>
      <c r="E26" s="134" t="s">
        <v>74</v>
      </c>
      <c r="F26" s="190" t="s">
        <v>427</v>
      </c>
      <c r="G26" s="136" t="s">
        <v>409</v>
      </c>
      <c r="H26" s="191">
        <v>4</v>
      </c>
      <c r="I26" s="191">
        <v>2</v>
      </c>
      <c r="J26" s="191">
        <v>2</v>
      </c>
      <c r="K26" s="192">
        <v>2396.3200000000002</v>
      </c>
      <c r="L26" s="192">
        <v>2396.3200000000002</v>
      </c>
      <c r="M26" s="193">
        <f t="shared" si="0"/>
        <v>0</v>
      </c>
      <c r="N26" s="191">
        <v>7</v>
      </c>
      <c r="O26" s="192">
        <v>16256.42</v>
      </c>
      <c r="P26" s="192">
        <v>16256.42</v>
      </c>
      <c r="Q26" s="192">
        <f t="shared" si="1"/>
        <v>0</v>
      </c>
      <c r="R26" s="297"/>
    </row>
    <row r="27" spans="1:18" ht="25.5" x14ac:dyDescent="0.25">
      <c r="A27" s="203">
        <v>19</v>
      </c>
      <c r="B27" s="195" t="s">
        <v>148</v>
      </c>
      <c r="C27" s="190" t="s">
        <v>62</v>
      </c>
      <c r="D27" s="298"/>
      <c r="E27" s="134" t="s">
        <v>149</v>
      </c>
      <c r="F27" s="190" t="s">
        <v>375</v>
      </c>
      <c r="G27" s="136" t="s">
        <v>409</v>
      </c>
      <c r="H27" s="191">
        <v>22</v>
      </c>
      <c r="I27" s="191">
        <v>11</v>
      </c>
      <c r="J27" s="191">
        <v>11</v>
      </c>
      <c r="K27" s="192">
        <v>30782.5</v>
      </c>
      <c r="L27" s="192">
        <v>30782.5</v>
      </c>
      <c r="M27" s="193">
        <f t="shared" si="0"/>
        <v>0</v>
      </c>
      <c r="N27" s="191">
        <v>28</v>
      </c>
      <c r="O27" s="192">
        <v>90393.49</v>
      </c>
      <c r="P27" s="192">
        <v>77423.789999999994</v>
      </c>
      <c r="Q27" s="192">
        <f t="shared" si="1"/>
        <v>12969.700000000012</v>
      </c>
      <c r="R27" s="297"/>
    </row>
    <row r="28" spans="1:18" ht="25.5" x14ac:dyDescent="0.25">
      <c r="A28" s="203">
        <v>20</v>
      </c>
      <c r="B28" s="195" t="s">
        <v>147</v>
      </c>
      <c r="C28" s="190" t="s">
        <v>62</v>
      </c>
      <c r="D28" s="298"/>
      <c r="E28" s="134" t="s">
        <v>74</v>
      </c>
      <c r="F28" s="190" t="s">
        <v>331</v>
      </c>
      <c r="G28" s="136" t="s">
        <v>409</v>
      </c>
      <c r="H28" s="191">
        <v>6</v>
      </c>
      <c r="I28" s="191">
        <v>2</v>
      </c>
      <c r="J28" s="191">
        <v>2</v>
      </c>
      <c r="K28" s="192">
        <v>4915.3999999999996</v>
      </c>
      <c r="L28" s="192">
        <v>4915.3999999999996</v>
      </c>
      <c r="M28" s="193">
        <f t="shared" si="0"/>
        <v>0</v>
      </c>
      <c r="N28" s="191">
        <v>10</v>
      </c>
      <c r="O28" s="192">
        <v>22395.4</v>
      </c>
      <c r="P28" s="192">
        <v>22395.4</v>
      </c>
      <c r="Q28" s="192">
        <f t="shared" si="1"/>
        <v>0</v>
      </c>
      <c r="R28" s="297"/>
    </row>
    <row r="29" spans="1:18" ht="25.5" x14ac:dyDescent="0.25">
      <c r="A29" s="203">
        <v>21</v>
      </c>
      <c r="B29" s="195" t="s">
        <v>124</v>
      </c>
      <c r="C29" s="190" t="s">
        <v>62</v>
      </c>
      <c r="D29" s="298"/>
      <c r="E29" s="134" t="s">
        <v>428</v>
      </c>
      <c r="F29" s="190" t="s">
        <v>329</v>
      </c>
      <c r="G29" s="136" t="s">
        <v>409</v>
      </c>
      <c r="H29" s="191">
        <v>17</v>
      </c>
      <c r="I29" s="191">
        <v>9</v>
      </c>
      <c r="J29" s="191">
        <v>9</v>
      </c>
      <c r="K29" s="192">
        <v>10997.84</v>
      </c>
      <c r="L29" s="192">
        <v>10997.84</v>
      </c>
      <c r="M29" s="193">
        <f t="shared" si="0"/>
        <v>0</v>
      </c>
      <c r="N29" s="191">
        <v>24</v>
      </c>
      <c r="O29" s="192">
        <v>34496.1</v>
      </c>
      <c r="P29" s="192">
        <v>34496.1</v>
      </c>
      <c r="Q29" s="192">
        <f t="shared" si="1"/>
        <v>0</v>
      </c>
      <c r="R29" s="297"/>
    </row>
    <row r="30" spans="1:18" ht="25.5" x14ac:dyDescent="0.25">
      <c r="A30" s="203">
        <v>22</v>
      </c>
      <c r="B30" s="195" t="s">
        <v>168</v>
      </c>
      <c r="C30" s="190" t="s">
        <v>62</v>
      </c>
      <c r="D30" s="298"/>
      <c r="E30" s="190" t="s">
        <v>371</v>
      </c>
      <c r="F30" s="190" t="s">
        <v>353</v>
      </c>
      <c r="G30" s="136" t="s">
        <v>409</v>
      </c>
      <c r="H30" s="191">
        <v>6</v>
      </c>
      <c r="I30" s="191">
        <v>1</v>
      </c>
      <c r="J30" s="191">
        <v>1</v>
      </c>
      <c r="K30" s="192">
        <v>1409.6</v>
      </c>
      <c r="L30" s="192">
        <v>1409.6</v>
      </c>
      <c r="M30" s="193">
        <f t="shared" si="0"/>
        <v>0</v>
      </c>
      <c r="N30" s="191">
        <v>0</v>
      </c>
      <c r="O30" s="192">
        <v>0</v>
      </c>
      <c r="P30" s="192">
        <v>0</v>
      </c>
      <c r="Q30" s="192">
        <f t="shared" si="1"/>
        <v>0</v>
      </c>
      <c r="R30" s="297"/>
    </row>
    <row r="31" spans="1:18" ht="25.5" x14ac:dyDescent="0.25">
      <c r="A31" s="203">
        <v>23</v>
      </c>
      <c r="B31" s="195" t="s">
        <v>429</v>
      </c>
      <c r="C31" s="190" t="s">
        <v>62</v>
      </c>
      <c r="D31" s="298"/>
      <c r="E31" s="134" t="s">
        <v>74</v>
      </c>
      <c r="F31" s="190" t="s">
        <v>430</v>
      </c>
      <c r="G31" s="136" t="s">
        <v>409</v>
      </c>
      <c r="H31" s="191">
        <v>7</v>
      </c>
      <c r="I31" s="191">
        <v>3</v>
      </c>
      <c r="J31" s="191">
        <v>3</v>
      </c>
      <c r="K31" s="192">
        <v>5178.84</v>
      </c>
      <c r="L31" s="192">
        <v>5178.84</v>
      </c>
      <c r="M31" s="193">
        <f t="shared" si="0"/>
        <v>0</v>
      </c>
      <c r="N31" s="191">
        <v>7</v>
      </c>
      <c r="O31" s="192">
        <v>6995.76</v>
      </c>
      <c r="P31" s="192">
        <v>6995.76</v>
      </c>
      <c r="Q31" s="192">
        <f t="shared" si="1"/>
        <v>0</v>
      </c>
      <c r="R31" s="297"/>
    </row>
    <row r="32" spans="1:18" ht="25.5" x14ac:dyDescent="0.25">
      <c r="A32" s="203">
        <v>24</v>
      </c>
      <c r="B32" s="195" t="s">
        <v>130</v>
      </c>
      <c r="C32" s="190" t="s">
        <v>62</v>
      </c>
      <c r="D32" s="298"/>
      <c r="E32" s="134" t="s">
        <v>74</v>
      </c>
      <c r="F32" s="190" t="s">
        <v>431</v>
      </c>
      <c r="G32" s="136" t="s">
        <v>409</v>
      </c>
      <c r="H32" s="191">
        <v>4</v>
      </c>
      <c r="I32" s="191">
        <v>4</v>
      </c>
      <c r="J32" s="191">
        <v>4</v>
      </c>
      <c r="K32" s="192">
        <v>5204.28</v>
      </c>
      <c r="L32" s="192">
        <v>5204.2</v>
      </c>
      <c r="M32" s="193">
        <f t="shared" si="0"/>
        <v>7.999999999992724E-2</v>
      </c>
      <c r="N32" s="191">
        <v>5</v>
      </c>
      <c r="O32" s="192">
        <v>10391.459999999999</v>
      </c>
      <c r="P32" s="192">
        <v>10391.459999999999</v>
      </c>
      <c r="Q32" s="192">
        <f t="shared" si="1"/>
        <v>0</v>
      </c>
      <c r="R32" s="297"/>
    </row>
    <row r="33" spans="1:18" ht="25.5" x14ac:dyDescent="0.25">
      <c r="A33" s="203">
        <v>25</v>
      </c>
      <c r="B33" s="195" t="s">
        <v>32</v>
      </c>
      <c r="C33" s="190" t="s">
        <v>62</v>
      </c>
      <c r="D33" s="298"/>
      <c r="E33" s="134" t="s">
        <v>74</v>
      </c>
      <c r="F33" s="190" t="s">
        <v>432</v>
      </c>
      <c r="G33" s="136" t="s">
        <v>409</v>
      </c>
      <c r="H33" s="191">
        <v>14</v>
      </c>
      <c r="I33" s="191">
        <v>5</v>
      </c>
      <c r="J33" s="191">
        <v>5</v>
      </c>
      <c r="K33" s="192">
        <v>7823.28</v>
      </c>
      <c r="L33" s="192">
        <v>7823.28</v>
      </c>
      <c r="M33" s="193">
        <f t="shared" si="0"/>
        <v>0</v>
      </c>
      <c r="N33" s="191">
        <v>8</v>
      </c>
      <c r="O33" s="192">
        <v>17086.599999999999</v>
      </c>
      <c r="P33" s="192">
        <v>17086.599999999999</v>
      </c>
      <c r="Q33" s="192">
        <f t="shared" si="1"/>
        <v>0</v>
      </c>
      <c r="R33" s="297"/>
    </row>
    <row r="34" spans="1:18" ht="25.5" x14ac:dyDescent="0.25">
      <c r="A34" s="203">
        <v>26</v>
      </c>
      <c r="B34" s="195" t="s">
        <v>343</v>
      </c>
      <c r="C34" s="190" t="s">
        <v>62</v>
      </c>
      <c r="D34" s="298"/>
      <c r="E34" s="134" t="s">
        <v>74</v>
      </c>
      <c r="F34" s="190" t="s">
        <v>433</v>
      </c>
      <c r="G34" s="136" t="s">
        <v>409</v>
      </c>
      <c r="H34" s="191">
        <v>13</v>
      </c>
      <c r="I34" s="191">
        <v>10</v>
      </c>
      <c r="J34" s="191">
        <v>10</v>
      </c>
      <c r="K34" s="192">
        <v>18037.599999999999</v>
      </c>
      <c r="L34" s="192">
        <v>18037.599999999999</v>
      </c>
      <c r="M34" s="193">
        <f t="shared" si="0"/>
        <v>0</v>
      </c>
      <c r="N34" s="191">
        <v>0</v>
      </c>
      <c r="O34" s="192">
        <v>0</v>
      </c>
      <c r="P34" s="192">
        <v>0</v>
      </c>
      <c r="Q34" s="192">
        <f t="shared" si="1"/>
        <v>0</v>
      </c>
      <c r="R34" s="297"/>
    </row>
    <row r="35" spans="1:18" ht="25.5" x14ac:dyDescent="0.25">
      <c r="A35" s="203">
        <v>27</v>
      </c>
      <c r="B35" s="195" t="s">
        <v>290</v>
      </c>
      <c r="C35" s="190" t="s">
        <v>62</v>
      </c>
      <c r="D35" s="298"/>
      <c r="E35" s="190" t="s">
        <v>371</v>
      </c>
      <c r="F35" s="190" t="s">
        <v>434</v>
      </c>
      <c r="G35" s="136" t="s">
        <v>409</v>
      </c>
      <c r="H35" s="191">
        <v>4</v>
      </c>
      <c r="I35" s="191">
        <v>1</v>
      </c>
      <c r="J35" s="191">
        <v>1</v>
      </c>
      <c r="K35" s="192">
        <v>1585.8</v>
      </c>
      <c r="L35" s="192">
        <v>1585.8</v>
      </c>
      <c r="M35" s="193">
        <f t="shared" si="0"/>
        <v>0</v>
      </c>
      <c r="N35" s="191">
        <v>0</v>
      </c>
      <c r="O35" s="192">
        <v>0</v>
      </c>
      <c r="P35" s="192">
        <v>0</v>
      </c>
      <c r="Q35" s="192">
        <f t="shared" si="1"/>
        <v>0</v>
      </c>
      <c r="R35" s="297"/>
    </row>
    <row r="36" spans="1:18" ht="25.5" x14ac:dyDescent="0.25">
      <c r="A36" s="203">
        <v>28</v>
      </c>
      <c r="B36" s="195" t="s">
        <v>315</v>
      </c>
      <c r="C36" s="190" t="s">
        <v>62</v>
      </c>
      <c r="D36" s="298"/>
      <c r="E36" s="134" t="s">
        <v>74</v>
      </c>
      <c r="F36" s="190" t="s">
        <v>435</v>
      </c>
      <c r="G36" s="136" t="s">
        <v>409</v>
      </c>
      <c r="H36" s="191">
        <v>13</v>
      </c>
      <c r="I36" s="191">
        <v>3</v>
      </c>
      <c r="J36" s="191">
        <v>3</v>
      </c>
      <c r="K36" s="192">
        <v>4741</v>
      </c>
      <c r="L36" s="192">
        <v>4741</v>
      </c>
      <c r="M36" s="193">
        <f t="shared" si="0"/>
        <v>0</v>
      </c>
      <c r="N36" s="191">
        <v>5</v>
      </c>
      <c r="O36" s="192">
        <v>7208.02</v>
      </c>
      <c r="P36" s="192">
        <v>7208.02</v>
      </c>
      <c r="Q36" s="192">
        <f t="shared" si="1"/>
        <v>0</v>
      </c>
      <c r="R36" s="297"/>
    </row>
    <row r="37" spans="1:18" ht="25.5" x14ac:dyDescent="0.25">
      <c r="A37" s="203">
        <v>29</v>
      </c>
      <c r="B37" s="195" t="s">
        <v>216</v>
      </c>
      <c r="C37" s="190" t="s">
        <v>67</v>
      </c>
      <c r="D37" s="298" t="s">
        <v>436</v>
      </c>
      <c r="E37" s="134" t="s">
        <v>74</v>
      </c>
      <c r="F37" s="190" t="s">
        <v>437</v>
      </c>
      <c r="G37" s="136" t="s">
        <v>409</v>
      </c>
      <c r="H37" s="191">
        <v>18</v>
      </c>
      <c r="I37" s="191">
        <v>6</v>
      </c>
      <c r="J37" s="191">
        <v>6</v>
      </c>
      <c r="K37" s="192">
        <v>12747.36</v>
      </c>
      <c r="L37" s="192">
        <v>12747.36</v>
      </c>
      <c r="M37" s="193">
        <f t="shared" si="0"/>
        <v>0</v>
      </c>
      <c r="N37" s="191">
        <v>0</v>
      </c>
      <c r="O37" s="192">
        <v>0</v>
      </c>
      <c r="P37" s="192">
        <v>0</v>
      </c>
      <c r="Q37" s="192">
        <f t="shared" si="1"/>
        <v>0</v>
      </c>
      <c r="R37" s="297"/>
    </row>
    <row r="38" spans="1:18" ht="25.5" x14ac:dyDescent="0.25">
      <c r="A38" s="203">
        <v>30</v>
      </c>
      <c r="B38" s="195" t="s">
        <v>438</v>
      </c>
      <c r="C38" s="190" t="s">
        <v>62</v>
      </c>
      <c r="D38" s="298"/>
      <c r="E38" s="134" t="s">
        <v>74</v>
      </c>
      <c r="F38" s="190" t="s">
        <v>439</v>
      </c>
      <c r="G38" s="136" t="s">
        <v>409</v>
      </c>
      <c r="H38" s="191">
        <v>7</v>
      </c>
      <c r="I38" s="191">
        <v>0</v>
      </c>
      <c r="J38" s="191">
        <v>0</v>
      </c>
      <c r="K38" s="192">
        <v>0</v>
      </c>
      <c r="L38" s="192">
        <v>0</v>
      </c>
      <c r="M38" s="193">
        <f t="shared" si="0"/>
        <v>0</v>
      </c>
      <c r="N38" s="191">
        <v>0</v>
      </c>
      <c r="O38" s="192">
        <v>0</v>
      </c>
      <c r="P38" s="192">
        <v>0</v>
      </c>
      <c r="Q38" s="192">
        <f t="shared" si="1"/>
        <v>0</v>
      </c>
      <c r="R38" s="297"/>
    </row>
    <row r="39" spans="1:18" ht="25.5" x14ac:dyDescent="0.25">
      <c r="A39" s="203">
        <v>31</v>
      </c>
      <c r="B39" s="195" t="s">
        <v>440</v>
      </c>
      <c r="C39" s="190" t="s">
        <v>62</v>
      </c>
      <c r="D39" s="298"/>
      <c r="E39" s="134" t="s">
        <v>74</v>
      </c>
      <c r="F39" s="190" t="s">
        <v>441</v>
      </c>
      <c r="G39" s="136" t="s">
        <v>409</v>
      </c>
      <c r="H39" s="191">
        <v>7</v>
      </c>
      <c r="I39" s="191">
        <v>3</v>
      </c>
      <c r="J39" s="191">
        <v>3</v>
      </c>
      <c r="K39" s="192">
        <v>3171.6</v>
      </c>
      <c r="L39" s="192">
        <v>3171.6</v>
      </c>
      <c r="M39" s="193">
        <f t="shared" si="0"/>
        <v>0</v>
      </c>
      <c r="N39" s="191">
        <v>0</v>
      </c>
      <c r="O39" s="192">
        <v>0</v>
      </c>
      <c r="P39" s="192">
        <v>0</v>
      </c>
      <c r="Q39" s="192">
        <f t="shared" si="1"/>
        <v>0</v>
      </c>
      <c r="R39" s="297"/>
    </row>
    <row r="40" spans="1:18" ht="28.35" customHeight="1" x14ac:dyDescent="0.25">
      <c r="A40" s="203">
        <v>32</v>
      </c>
      <c r="B40" s="195" t="s">
        <v>222</v>
      </c>
      <c r="C40" s="190" t="s">
        <v>64</v>
      </c>
      <c r="D40" s="136" t="s">
        <v>442</v>
      </c>
      <c r="E40" s="134" t="s">
        <v>74</v>
      </c>
      <c r="F40" s="190" t="s">
        <v>443</v>
      </c>
      <c r="G40" s="136" t="s">
        <v>409</v>
      </c>
      <c r="H40" s="191">
        <v>1</v>
      </c>
      <c r="I40" s="191">
        <v>0</v>
      </c>
      <c r="J40" s="191">
        <v>0</v>
      </c>
      <c r="K40" s="192">
        <v>0</v>
      </c>
      <c r="L40" s="192">
        <v>0</v>
      </c>
      <c r="M40" s="193">
        <f t="shared" si="0"/>
        <v>0</v>
      </c>
      <c r="N40" s="191">
        <v>0</v>
      </c>
      <c r="O40" s="192">
        <v>0</v>
      </c>
      <c r="P40" s="192">
        <v>0</v>
      </c>
      <c r="Q40" s="192">
        <f t="shared" si="1"/>
        <v>0</v>
      </c>
      <c r="R40" s="297"/>
    </row>
    <row r="41" spans="1:18" ht="25.5" x14ac:dyDescent="0.25">
      <c r="A41" s="203">
        <v>33</v>
      </c>
      <c r="B41" s="195" t="s">
        <v>444</v>
      </c>
      <c r="C41" s="190" t="s">
        <v>62</v>
      </c>
      <c r="D41" s="298"/>
      <c r="E41" s="134" t="s">
        <v>74</v>
      </c>
      <c r="F41" s="190" t="s">
        <v>445</v>
      </c>
      <c r="G41" s="136" t="s">
        <v>409</v>
      </c>
      <c r="H41" s="191">
        <v>5</v>
      </c>
      <c r="I41" s="191">
        <v>2</v>
      </c>
      <c r="J41" s="191">
        <v>2</v>
      </c>
      <c r="K41" s="192">
        <v>1409.6</v>
      </c>
      <c r="L41" s="192">
        <v>1409.6</v>
      </c>
      <c r="M41" s="193">
        <f t="shared" si="0"/>
        <v>0</v>
      </c>
      <c r="N41" s="191">
        <v>0</v>
      </c>
      <c r="O41" s="192">
        <v>0</v>
      </c>
      <c r="P41" s="192">
        <v>0</v>
      </c>
      <c r="Q41" s="192">
        <f t="shared" si="1"/>
        <v>0</v>
      </c>
      <c r="R41" s="297"/>
    </row>
    <row r="42" spans="1:18" ht="25.5" x14ac:dyDescent="0.25">
      <c r="A42" s="203">
        <v>34</v>
      </c>
      <c r="B42" s="195" t="s">
        <v>129</v>
      </c>
      <c r="C42" s="190" t="s">
        <v>62</v>
      </c>
      <c r="D42" s="298"/>
      <c r="E42" s="134" t="s">
        <v>74</v>
      </c>
      <c r="F42" s="190" t="s">
        <v>446</v>
      </c>
      <c r="G42" s="136" t="s">
        <v>409</v>
      </c>
      <c r="H42" s="191">
        <v>7</v>
      </c>
      <c r="I42" s="191">
        <v>3</v>
      </c>
      <c r="J42" s="191">
        <v>3</v>
      </c>
      <c r="K42" s="192">
        <v>3015.4</v>
      </c>
      <c r="L42" s="192">
        <v>3015.4</v>
      </c>
      <c r="M42" s="193">
        <f t="shared" si="0"/>
        <v>0</v>
      </c>
      <c r="N42" s="191">
        <v>10</v>
      </c>
      <c r="O42" s="192">
        <v>16183.86</v>
      </c>
      <c r="P42" s="192">
        <v>16183.86</v>
      </c>
      <c r="Q42" s="192">
        <f t="shared" si="1"/>
        <v>0</v>
      </c>
      <c r="R42" s="297"/>
    </row>
    <row r="43" spans="1:18" ht="25.5" x14ac:dyDescent="0.25">
      <c r="A43" s="203">
        <v>35</v>
      </c>
      <c r="B43" s="299" t="s">
        <v>104</v>
      </c>
      <c r="C43" s="190" t="s">
        <v>62</v>
      </c>
      <c r="D43" s="298"/>
      <c r="E43" s="134" t="s">
        <v>105</v>
      </c>
      <c r="F43" s="190" t="s">
        <v>447</v>
      </c>
      <c r="G43" s="136" t="s">
        <v>409</v>
      </c>
      <c r="H43" s="191">
        <v>0</v>
      </c>
      <c r="I43" s="191">
        <v>0</v>
      </c>
      <c r="J43" s="191">
        <v>0</v>
      </c>
      <c r="K43" s="192">
        <v>0</v>
      </c>
      <c r="L43" s="192">
        <v>0</v>
      </c>
      <c r="M43" s="193">
        <f t="shared" si="0"/>
        <v>0</v>
      </c>
      <c r="N43" s="191">
        <v>7</v>
      </c>
      <c r="O43" s="192">
        <v>5726.5</v>
      </c>
      <c r="P43" s="192">
        <v>5726.5</v>
      </c>
      <c r="Q43" s="192">
        <f t="shared" si="1"/>
        <v>0</v>
      </c>
      <c r="R43" s="297"/>
    </row>
    <row r="44" spans="1:18" ht="25.5" x14ac:dyDescent="0.25">
      <c r="A44" s="190">
        <v>36</v>
      </c>
      <c r="B44" s="298" t="s">
        <v>156</v>
      </c>
      <c r="C44" s="190" t="s">
        <v>67</v>
      </c>
      <c r="D44" s="298" t="s">
        <v>501</v>
      </c>
      <c r="E44" s="134" t="s">
        <v>74</v>
      </c>
      <c r="F44" s="190" t="s">
        <v>502</v>
      </c>
      <c r="G44" s="136" t="s">
        <v>409</v>
      </c>
      <c r="H44" s="191">
        <v>3</v>
      </c>
      <c r="I44" s="191">
        <v>0</v>
      </c>
      <c r="J44" s="191">
        <v>0</v>
      </c>
      <c r="K44" s="192">
        <v>0</v>
      </c>
      <c r="L44" s="192">
        <v>0</v>
      </c>
      <c r="M44" s="193">
        <f t="shared" si="0"/>
        <v>0</v>
      </c>
      <c r="N44" s="191">
        <v>5</v>
      </c>
      <c r="O44" s="192">
        <v>8865.2999999999993</v>
      </c>
      <c r="P44" s="192">
        <v>8865.2999999999993</v>
      </c>
      <c r="Q44" s="192">
        <f t="shared" si="1"/>
        <v>0</v>
      </c>
      <c r="R44" s="297"/>
    </row>
    <row r="45" spans="1:18" ht="25.5" x14ac:dyDescent="0.25">
      <c r="A45" s="190">
        <v>37</v>
      </c>
      <c r="B45" s="298" t="s">
        <v>133</v>
      </c>
      <c r="C45" s="190" t="s">
        <v>67</v>
      </c>
      <c r="D45" s="298" t="s">
        <v>397</v>
      </c>
      <c r="E45" s="134" t="s">
        <v>74</v>
      </c>
      <c r="F45" s="190" t="s">
        <v>503</v>
      </c>
      <c r="G45" s="136" t="s">
        <v>409</v>
      </c>
      <c r="H45" s="191">
        <v>11</v>
      </c>
      <c r="I45" s="191">
        <v>2</v>
      </c>
      <c r="J45" s="191">
        <v>2</v>
      </c>
      <c r="K45" s="192">
        <v>3080.5</v>
      </c>
      <c r="L45" s="192">
        <v>3080.5</v>
      </c>
      <c r="M45" s="193">
        <f t="shared" si="0"/>
        <v>0</v>
      </c>
      <c r="N45" s="191">
        <v>16</v>
      </c>
      <c r="O45" s="192">
        <v>40414.080000000002</v>
      </c>
      <c r="P45" s="192">
        <v>40414.080000000002</v>
      </c>
      <c r="Q45" s="192">
        <f t="shared" si="1"/>
        <v>0</v>
      </c>
      <c r="R45" s="297"/>
    </row>
    <row r="46" spans="1:18" ht="25.5" x14ac:dyDescent="0.25">
      <c r="A46" s="190">
        <v>38</v>
      </c>
      <c r="B46" s="298" t="s">
        <v>114</v>
      </c>
      <c r="C46" s="190" t="s">
        <v>62</v>
      </c>
      <c r="D46" s="298"/>
      <c r="E46" s="134" t="s">
        <v>115</v>
      </c>
      <c r="F46" s="190" t="s">
        <v>504</v>
      </c>
      <c r="G46" s="136" t="s">
        <v>409</v>
      </c>
      <c r="H46" s="191">
        <v>0</v>
      </c>
      <c r="I46" s="191">
        <v>0</v>
      </c>
      <c r="J46" s="191">
        <v>0</v>
      </c>
      <c r="K46" s="192">
        <v>0</v>
      </c>
      <c r="L46" s="192">
        <v>0</v>
      </c>
      <c r="M46" s="193">
        <f t="shared" si="0"/>
        <v>0</v>
      </c>
      <c r="N46" s="191">
        <v>4</v>
      </c>
      <c r="O46" s="192">
        <v>3524</v>
      </c>
      <c r="P46" s="192">
        <v>3524</v>
      </c>
      <c r="Q46" s="192">
        <f t="shared" si="1"/>
        <v>0</v>
      </c>
      <c r="R46" s="297"/>
    </row>
    <row r="47" spans="1:18" ht="25.5" x14ac:dyDescent="0.25">
      <c r="A47" s="190">
        <v>39</v>
      </c>
      <c r="B47" s="298" t="s">
        <v>505</v>
      </c>
      <c r="C47" s="190" t="s">
        <v>62</v>
      </c>
      <c r="D47" s="298"/>
      <c r="E47" s="134" t="s">
        <v>74</v>
      </c>
      <c r="F47" s="190" t="s">
        <v>506</v>
      </c>
      <c r="G47" s="136" t="s">
        <v>409</v>
      </c>
      <c r="H47" s="191">
        <v>1</v>
      </c>
      <c r="I47" s="191">
        <v>0</v>
      </c>
      <c r="J47" s="191">
        <v>0</v>
      </c>
      <c r="K47" s="192">
        <v>0</v>
      </c>
      <c r="L47" s="192">
        <v>0</v>
      </c>
      <c r="M47" s="193">
        <f t="shared" si="0"/>
        <v>0</v>
      </c>
      <c r="N47" s="191">
        <v>0</v>
      </c>
      <c r="O47" s="192">
        <v>0</v>
      </c>
      <c r="P47" s="192">
        <v>0</v>
      </c>
      <c r="Q47" s="192">
        <f t="shared" si="1"/>
        <v>0</v>
      </c>
      <c r="R47" s="297"/>
    </row>
    <row r="48" spans="1:18" ht="25.5" x14ac:dyDescent="0.25">
      <c r="A48" s="190">
        <v>40</v>
      </c>
      <c r="B48" s="298" t="s">
        <v>473</v>
      </c>
      <c r="C48" s="190" t="s">
        <v>62</v>
      </c>
      <c r="D48" s="298"/>
      <c r="E48" s="190" t="s">
        <v>74</v>
      </c>
      <c r="F48" s="190" t="s">
        <v>558</v>
      </c>
      <c r="G48" s="136" t="s">
        <v>409</v>
      </c>
      <c r="H48" s="191">
        <v>0</v>
      </c>
      <c r="I48" s="191">
        <v>0</v>
      </c>
      <c r="J48" s="191">
        <v>0</v>
      </c>
      <c r="K48" s="192">
        <v>0</v>
      </c>
      <c r="L48" s="192">
        <v>0</v>
      </c>
      <c r="M48" s="193">
        <f t="shared" si="0"/>
        <v>0</v>
      </c>
      <c r="N48" s="191">
        <v>0</v>
      </c>
      <c r="O48" s="192">
        <v>0</v>
      </c>
      <c r="P48" s="192">
        <v>0</v>
      </c>
      <c r="Q48" s="192">
        <f t="shared" si="1"/>
        <v>0</v>
      </c>
      <c r="R48" s="297"/>
    </row>
    <row r="49" spans="1:18" ht="25.5" x14ac:dyDescent="0.25">
      <c r="A49" s="190">
        <v>41</v>
      </c>
      <c r="B49" s="298" t="s">
        <v>376</v>
      </c>
      <c r="C49" s="190" t="s">
        <v>62</v>
      </c>
      <c r="D49" s="298"/>
      <c r="E49" s="190" t="s">
        <v>74</v>
      </c>
      <c r="F49" s="190" t="s">
        <v>559</v>
      </c>
      <c r="G49" s="136" t="s">
        <v>409</v>
      </c>
      <c r="H49" s="191">
        <v>0</v>
      </c>
      <c r="I49" s="191">
        <v>0</v>
      </c>
      <c r="J49" s="191">
        <v>0</v>
      </c>
      <c r="K49" s="192">
        <v>0</v>
      </c>
      <c r="L49" s="192">
        <v>0</v>
      </c>
      <c r="M49" s="193">
        <f t="shared" si="0"/>
        <v>0</v>
      </c>
      <c r="N49" s="191">
        <v>0</v>
      </c>
      <c r="O49" s="192">
        <v>0</v>
      </c>
      <c r="P49" s="192">
        <v>0</v>
      </c>
      <c r="Q49" s="192">
        <f t="shared" si="1"/>
        <v>0</v>
      </c>
      <c r="R49" s="297"/>
    </row>
    <row r="50" spans="1:18" ht="25.5" x14ac:dyDescent="0.25">
      <c r="A50" s="190">
        <v>42</v>
      </c>
      <c r="B50" s="298" t="s">
        <v>119</v>
      </c>
      <c r="C50" s="190" t="s">
        <v>62</v>
      </c>
      <c r="D50" s="298"/>
      <c r="E50" s="190" t="s">
        <v>74</v>
      </c>
      <c r="F50" s="190" t="s">
        <v>560</v>
      </c>
      <c r="G50" s="136" t="s">
        <v>409</v>
      </c>
      <c r="H50" s="191">
        <v>7</v>
      </c>
      <c r="I50" s="191">
        <v>1</v>
      </c>
      <c r="J50" s="191">
        <v>1</v>
      </c>
      <c r="K50" s="192">
        <v>1691.52</v>
      </c>
      <c r="L50" s="192">
        <v>1691.52</v>
      </c>
      <c r="M50" s="193">
        <f t="shared" si="0"/>
        <v>0</v>
      </c>
      <c r="N50" s="191">
        <v>14</v>
      </c>
      <c r="O50" s="192">
        <v>20900.5</v>
      </c>
      <c r="P50" s="192">
        <v>20900.5</v>
      </c>
      <c r="Q50" s="192">
        <f t="shared" si="1"/>
        <v>0</v>
      </c>
      <c r="R50" s="297"/>
    </row>
    <row r="51" spans="1:18" ht="25.5" x14ac:dyDescent="0.25">
      <c r="A51" s="190">
        <v>43</v>
      </c>
      <c r="B51" s="298" t="s">
        <v>47</v>
      </c>
      <c r="C51" s="190" t="s">
        <v>62</v>
      </c>
      <c r="D51" s="298"/>
      <c r="E51" s="190" t="s">
        <v>141</v>
      </c>
      <c r="F51" s="190" t="s">
        <v>589</v>
      </c>
      <c r="G51" s="136" t="s">
        <v>409</v>
      </c>
      <c r="H51" s="191">
        <v>0</v>
      </c>
      <c r="I51" s="191">
        <v>0</v>
      </c>
      <c r="J51" s="191">
        <v>0</v>
      </c>
      <c r="K51" s="192">
        <v>0</v>
      </c>
      <c r="L51" s="192">
        <v>0</v>
      </c>
      <c r="M51" s="193">
        <f t="shared" si="0"/>
        <v>0</v>
      </c>
      <c r="N51" s="191">
        <v>1</v>
      </c>
      <c r="O51" s="192">
        <v>6554.64</v>
      </c>
      <c r="P51" s="192">
        <v>6554.64</v>
      </c>
      <c r="Q51" s="192">
        <f t="shared" si="1"/>
        <v>0</v>
      </c>
      <c r="R51" s="297"/>
    </row>
    <row r="52" spans="1:18" ht="25.5" x14ac:dyDescent="0.25">
      <c r="A52" s="190">
        <v>44</v>
      </c>
      <c r="B52" s="298" t="s">
        <v>37</v>
      </c>
      <c r="C52" s="190" t="s">
        <v>62</v>
      </c>
      <c r="D52" s="190"/>
      <c r="E52" s="190" t="s">
        <v>74</v>
      </c>
      <c r="F52" s="190" t="s">
        <v>590</v>
      </c>
      <c r="G52" s="136" t="s">
        <v>409</v>
      </c>
      <c r="H52" s="191">
        <v>1</v>
      </c>
      <c r="I52" s="191">
        <v>0</v>
      </c>
      <c r="J52" s="191">
        <v>0</v>
      </c>
      <c r="K52" s="192">
        <v>0</v>
      </c>
      <c r="L52" s="192">
        <v>0</v>
      </c>
      <c r="M52" s="193">
        <f t="shared" si="0"/>
        <v>0</v>
      </c>
      <c r="N52" s="191">
        <v>0</v>
      </c>
      <c r="O52" s="192">
        <v>0</v>
      </c>
      <c r="P52" s="192">
        <v>0</v>
      </c>
      <c r="Q52" s="192">
        <f t="shared" si="1"/>
        <v>0</v>
      </c>
      <c r="R52" s="297"/>
    </row>
    <row r="53" spans="1:18" ht="25.5" x14ac:dyDescent="0.25">
      <c r="A53" s="190">
        <v>45</v>
      </c>
      <c r="B53" s="298" t="s">
        <v>97</v>
      </c>
      <c r="C53" s="190" t="s">
        <v>62</v>
      </c>
      <c r="D53" s="190"/>
      <c r="E53" s="190" t="s">
        <v>74</v>
      </c>
      <c r="F53" s="190" t="s">
        <v>591</v>
      </c>
      <c r="G53" s="136" t="s">
        <v>409</v>
      </c>
      <c r="H53" s="191">
        <v>4</v>
      </c>
      <c r="I53" s="191">
        <v>2</v>
      </c>
      <c r="J53" s="191">
        <v>2</v>
      </c>
      <c r="K53" s="192">
        <v>3626.7</v>
      </c>
      <c r="L53" s="192">
        <v>3626.7</v>
      </c>
      <c r="M53" s="193">
        <f t="shared" si="0"/>
        <v>0</v>
      </c>
      <c r="N53" s="191">
        <v>2</v>
      </c>
      <c r="O53" s="192">
        <v>704.8</v>
      </c>
      <c r="P53" s="192">
        <v>704.8</v>
      </c>
      <c r="Q53" s="192">
        <f t="shared" si="1"/>
        <v>0</v>
      </c>
      <c r="R53" s="297"/>
    </row>
    <row r="54" spans="1:18" ht="25.5" x14ac:dyDescent="0.25">
      <c r="A54" s="190">
        <v>46</v>
      </c>
      <c r="B54" s="298" t="s">
        <v>613</v>
      </c>
      <c r="C54" s="190" t="s">
        <v>62</v>
      </c>
      <c r="D54" s="190"/>
      <c r="E54" s="190" t="s">
        <v>74</v>
      </c>
      <c r="F54" s="190" t="s">
        <v>614</v>
      </c>
      <c r="G54" s="136" t="s">
        <v>409</v>
      </c>
      <c r="H54" s="191">
        <v>4</v>
      </c>
      <c r="I54" s="191">
        <v>2</v>
      </c>
      <c r="J54" s="191">
        <v>2</v>
      </c>
      <c r="K54" s="192">
        <v>1585.8</v>
      </c>
      <c r="L54" s="192">
        <v>1585.8</v>
      </c>
      <c r="M54" s="193">
        <f t="shared" si="0"/>
        <v>0</v>
      </c>
      <c r="N54" s="191">
        <v>3</v>
      </c>
      <c r="O54" s="192">
        <v>616.70000000000005</v>
      </c>
      <c r="P54" s="192">
        <v>616.70000000000005</v>
      </c>
      <c r="Q54" s="192">
        <f t="shared" si="1"/>
        <v>0</v>
      </c>
      <c r="R54" s="297"/>
    </row>
    <row r="55" spans="1:18" ht="25.5" x14ac:dyDescent="0.25">
      <c r="A55" s="190">
        <v>47</v>
      </c>
      <c r="B55" s="298" t="s">
        <v>615</v>
      </c>
      <c r="C55" s="190" t="s">
        <v>62</v>
      </c>
      <c r="D55" s="190"/>
      <c r="E55" s="190" t="s">
        <v>74</v>
      </c>
      <c r="F55" s="190" t="s">
        <v>616</v>
      </c>
      <c r="G55" s="136" t="s">
        <v>409</v>
      </c>
      <c r="H55" s="191">
        <v>5</v>
      </c>
      <c r="I55" s="191">
        <v>0</v>
      </c>
      <c r="J55" s="191">
        <v>0</v>
      </c>
      <c r="K55" s="192">
        <v>0</v>
      </c>
      <c r="L55" s="192">
        <v>0</v>
      </c>
      <c r="M55" s="193">
        <f t="shared" si="0"/>
        <v>0</v>
      </c>
      <c r="N55" s="191">
        <v>0</v>
      </c>
      <c r="O55" s="192">
        <v>0</v>
      </c>
      <c r="P55" s="192">
        <v>0</v>
      </c>
      <c r="Q55" s="192">
        <f t="shared" si="1"/>
        <v>0</v>
      </c>
      <c r="R55" s="297"/>
    </row>
    <row r="56" spans="1:18" ht="25.5" x14ac:dyDescent="0.25">
      <c r="A56" s="190">
        <v>48</v>
      </c>
      <c r="B56" s="298" t="s">
        <v>357</v>
      </c>
      <c r="C56" s="300" t="s">
        <v>64</v>
      </c>
      <c r="D56" s="134" t="s">
        <v>617</v>
      </c>
      <c r="E56" s="190" t="s">
        <v>74</v>
      </c>
      <c r="F56" s="190" t="s">
        <v>618</v>
      </c>
      <c r="G56" s="136" t="s">
        <v>409</v>
      </c>
      <c r="H56" s="191">
        <v>2</v>
      </c>
      <c r="I56" s="191">
        <v>0</v>
      </c>
      <c r="J56" s="191">
        <v>0</v>
      </c>
      <c r="K56" s="192">
        <v>0</v>
      </c>
      <c r="L56" s="192">
        <v>0</v>
      </c>
      <c r="M56" s="193">
        <f t="shared" si="0"/>
        <v>0</v>
      </c>
      <c r="N56" s="191">
        <v>1</v>
      </c>
      <c r="O56" s="192">
        <v>0</v>
      </c>
      <c r="P56" s="192">
        <v>0</v>
      </c>
      <c r="Q56" s="192">
        <f t="shared" si="1"/>
        <v>0</v>
      </c>
      <c r="R56" s="297"/>
    </row>
    <row r="57" spans="1:18" ht="25.5" x14ac:dyDescent="0.25">
      <c r="A57" s="190">
        <v>49</v>
      </c>
      <c r="B57" s="298" t="s">
        <v>621</v>
      </c>
      <c r="C57" s="190" t="s">
        <v>62</v>
      </c>
      <c r="D57" s="190"/>
      <c r="E57" s="190" t="s">
        <v>74</v>
      </c>
      <c r="F57" s="190" t="s">
        <v>625</v>
      </c>
      <c r="G57" s="136" t="s">
        <v>409</v>
      </c>
      <c r="H57" s="191">
        <v>8</v>
      </c>
      <c r="I57" s="191">
        <v>0</v>
      </c>
      <c r="J57" s="191">
        <v>0</v>
      </c>
      <c r="K57" s="192">
        <v>0</v>
      </c>
      <c r="L57" s="192">
        <v>0</v>
      </c>
      <c r="M57" s="193">
        <f t="shared" si="0"/>
        <v>0</v>
      </c>
      <c r="N57" s="191">
        <v>0</v>
      </c>
      <c r="O57" s="192">
        <v>0</v>
      </c>
      <c r="P57" s="192">
        <v>0</v>
      </c>
      <c r="Q57" s="192">
        <f t="shared" si="1"/>
        <v>0</v>
      </c>
      <c r="R57" s="297"/>
    </row>
    <row r="58" spans="1:18" x14ac:dyDescent="0.25">
      <c r="A58" s="349">
        <v>1</v>
      </c>
      <c r="B58" s="350" t="s">
        <v>146</v>
      </c>
      <c r="C58" s="351" t="s">
        <v>62</v>
      </c>
      <c r="D58" s="351"/>
      <c r="E58" s="351" t="s">
        <v>74</v>
      </c>
      <c r="F58" s="350" t="s">
        <v>325</v>
      </c>
      <c r="G58" s="352" t="s">
        <v>326</v>
      </c>
      <c r="H58" s="352">
        <v>15</v>
      </c>
      <c r="I58" s="352">
        <v>6</v>
      </c>
      <c r="J58" s="352">
        <v>6</v>
      </c>
      <c r="K58" s="353">
        <f>2643+2466.8+2554.9</f>
        <v>7664.7000000000007</v>
      </c>
      <c r="L58" s="353">
        <f>5109.8+2554.9</f>
        <v>7664.7000000000007</v>
      </c>
      <c r="M58" s="353">
        <f>K58-L58</f>
        <v>0</v>
      </c>
      <c r="N58" s="354">
        <v>6</v>
      </c>
      <c r="O58" s="353">
        <v>5374.1</v>
      </c>
      <c r="P58" s="355">
        <f>2378.7+2995.4</f>
        <v>5374.1</v>
      </c>
      <c r="Q58" s="355">
        <f>O58-P58</f>
        <v>0</v>
      </c>
      <c r="R58" s="6"/>
    </row>
    <row r="59" spans="1:18" x14ac:dyDescent="0.25">
      <c r="A59" s="349">
        <v>2</v>
      </c>
      <c r="B59" s="350" t="s">
        <v>166</v>
      </c>
      <c r="C59" s="351" t="s">
        <v>62</v>
      </c>
      <c r="D59" s="351"/>
      <c r="E59" s="351" t="s">
        <v>158</v>
      </c>
      <c r="F59" s="350" t="s">
        <v>327</v>
      </c>
      <c r="G59" s="350" t="s">
        <v>326</v>
      </c>
      <c r="H59" s="352">
        <v>4</v>
      </c>
      <c r="I59" s="352">
        <v>2</v>
      </c>
      <c r="J59" s="352">
        <v>2</v>
      </c>
      <c r="K59" s="353">
        <f>1233.4+4228.8</f>
        <v>5462.2000000000007</v>
      </c>
      <c r="L59" s="353">
        <f>73.95+1159.45+4228.8</f>
        <v>5462.2000000000007</v>
      </c>
      <c r="M59" s="353">
        <f>K59-L59</f>
        <v>0</v>
      </c>
      <c r="N59" s="354">
        <v>0</v>
      </c>
      <c r="O59" s="353">
        <v>0</v>
      </c>
      <c r="P59" s="355">
        <v>0</v>
      </c>
      <c r="Q59" s="355">
        <f>O59-P59</f>
        <v>0</v>
      </c>
      <c r="R59" s="6"/>
    </row>
    <row r="60" spans="1:18" x14ac:dyDescent="0.25">
      <c r="A60" s="349">
        <v>3</v>
      </c>
      <c r="B60" s="350" t="s">
        <v>173</v>
      </c>
      <c r="C60" s="351" t="s">
        <v>67</v>
      </c>
      <c r="D60" s="351" t="s">
        <v>328</v>
      </c>
      <c r="E60" s="351" t="s">
        <v>158</v>
      </c>
      <c r="F60" s="350" t="s">
        <v>329</v>
      </c>
      <c r="G60" s="350" t="s">
        <v>326</v>
      </c>
      <c r="H60" s="352">
        <v>8</v>
      </c>
      <c r="I60" s="352">
        <v>3</v>
      </c>
      <c r="J60" s="352">
        <v>3</v>
      </c>
      <c r="K60" s="353">
        <f>704.8+2945.6</f>
        <v>3650.3999999999996</v>
      </c>
      <c r="L60" s="353">
        <f>704.8+2945.6</f>
        <v>3650.3999999999996</v>
      </c>
      <c r="M60" s="353">
        <f>K60-L60</f>
        <v>0</v>
      </c>
      <c r="N60" s="354">
        <v>0</v>
      </c>
      <c r="O60" s="353">
        <v>0</v>
      </c>
      <c r="P60" s="355">
        <v>0</v>
      </c>
      <c r="Q60" s="355">
        <f>O60-P60</f>
        <v>0</v>
      </c>
      <c r="R60" s="6"/>
    </row>
    <row r="61" spans="1:18" x14ac:dyDescent="0.25">
      <c r="A61" s="349">
        <v>4</v>
      </c>
      <c r="B61" s="350" t="s">
        <v>330</v>
      </c>
      <c r="C61" s="351" t="s">
        <v>62</v>
      </c>
      <c r="D61" s="351"/>
      <c r="E61" s="351" t="s">
        <v>158</v>
      </c>
      <c r="F61" s="350" t="s">
        <v>331</v>
      </c>
      <c r="G61" s="350" t="s">
        <v>326</v>
      </c>
      <c r="H61" s="352">
        <v>15</v>
      </c>
      <c r="I61" s="352">
        <v>9</v>
      </c>
      <c r="J61" s="352">
        <v>9</v>
      </c>
      <c r="K61" s="353">
        <f>704.8+11276.8</f>
        <v>11981.599999999999</v>
      </c>
      <c r="L61" s="353">
        <f>704.8+11276.8</f>
        <v>11981.599999999999</v>
      </c>
      <c r="M61" s="353">
        <f>K61-L61</f>
        <v>0</v>
      </c>
      <c r="N61" s="354">
        <v>0</v>
      </c>
      <c r="O61" s="353">
        <v>0</v>
      </c>
      <c r="P61" s="355">
        <v>0</v>
      </c>
      <c r="Q61" s="355">
        <f>O61-P61</f>
        <v>0</v>
      </c>
      <c r="R61" s="6"/>
    </row>
    <row r="62" spans="1:18" x14ac:dyDescent="0.25">
      <c r="A62" s="349">
        <v>5</v>
      </c>
      <c r="B62" s="350" t="s">
        <v>147</v>
      </c>
      <c r="C62" s="351" t="s">
        <v>62</v>
      </c>
      <c r="D62" s="362"/>
      <c r="E62" s="351" t="s">
        <v>74</v>
      </c>
      <c r="F62" s="350" t="s">
        <v>332</v>
      </c>
      <c r="G62" s="350" t="s">
        <v>326</v>
      </c>
      <c r="H62" s="356">
        <v>15</v>
      </c>
      <c r="I62" s="356">
        <v>5</v>
      </c>
      <c r="J62" s="356">
        <v>5</v>
      </c>
      <c r="K62" s="357">
        <f>1409.6+1762+3347.8+2209.2</f>
        <v>8728.5999999999985</v>
      </c>
      <c r="L62" s="353">
        <f>1409.6+1762+3347.8+2209.2</f>
        <v>8728.5999999999985</v>
      </c>
      <c r="M62" s="353">
        <f>K62-L62</f>
        <v>0</v>
      </c>
      <c r="N62" s="354">
        <v>4</v>
      </c>
      <c r="O62" s="358">
        <f>4757.4+5523</f>
        <v>10280.4</v>
      </c>
      <c r="P62" s="359">
        <f>4052.6+704.8+5523</f>
        <v>10280.4</v>
      </c>
      <c r="Q62" s="355">
        <f>O62-P62</f>
        <v>0</v>
      </c>
      <c r="R62" s="6"/>
    </row>
    <row r="63" spans="1:18" ht="25.5" x14ac:dyDescent="0.25">
      <c r="A63" s="349">
        <v>6</v>
      </c>
      <c r="B63" s="350" t="s">
        <v>554</v>
      </c>
      <c r="C63" s="351" t="s">
        <v>67</v>
      </c>
      <c r="D63" s="363" t="s">
        <v>555</v>
      </c>
      <c r="E63" s="351" t="s">
        <v>74</v>
      </c>
      <c r="F63" s="350" t="s">
        <v>556</v>
      </c>
      <c r="G63" s="350" t="s">
        <v>326</v>
      </c>
      <c r="H63" s="356">
        <v>2</v>
      </c>
      <c r="I63" s="356">
        <v>0</v>
      </c>
      <c r="J63" s="356">
        <v>0</v>
      </c>
      <c r="K63" s="357">
        <v>0</v>
      </c>
      <c r="L63" s="353">
        <v>0</v>
      </c>
      <c r="M63" s="353">
        <v>0</v>
      </c>
      <c r="N63" s="354">
        <v>0</v>
      </c>
      <c r="O63" s="353">
        <v>0</v>
      </c>
      <c r="P63" s="355">
        <v>0</v>
      </c>
      <c r="Q63" s="355">
        <v>0</v>
      </c>
      <c r="R63" s="6"/>
    </row>
    <row r="64" spans="1:18" x14ac:dyDescent="0.25">
      <c r="A64" s="349">
        <v>7</v>
      </c>
      <c r="B64" s="350" t="s">
        <v>88</v>
      </c>
      <c r="C64" s="351" t="s">
        <v>62</v>
      </c>
      <c r="D64" s="362"/>
      <c r="E64" s="351" t="s">
        <v>74</v>
      </c>
      <c r="F64" s="350" t="s">
        <v>333</v>
      </c>
      <c r="G64" s="350" t="s">
        <v>326</v>
      </c>
      <c r="H64" s="356">
        <v>2</v>
      </c>
      <c r="I64" s="356">
        <v>2</v>
      </c>
      <c r="J64" s="356">
        <v>2</v>
      </c>
      <c r="K64" s="357">
        <f>704.8+1585.8</f>
        <v>2290.6</v>
      </c>
      <c r="L64" s="353">
        <f>704.8+1585.8</f>
        <v>2290.6</v>
      </c>
      <c r="M64" s="353">
        <f t="shared" ref="M64:M104" si="2">K64-L64</f>
        <v>0</v>
      </c>
      <c r="N64" s="354">
        <v>1</v>
      </c>
      <c r="O64" s="358">
        <v>1145.3</v>
      </c>
      <c r="P64" s="355">
        <v>1145.3</v>
      </c>
      <c r="Q64" s="355">
        <f t="shared" ref="Q64:Q87" si="3">O64-P64</f>
        <v>0</v>
      </c>
      <c r="R64" s="6"/>
    </row>
    <row r="65" spans="1:18" x14ac:dyDescent="0.25">
      <c r="A65" s="349">
        <v>8</v>
      </c>
      <c r="B65" s="350" t="s">
        <v>182</v>
      </c>
      <c r="C65" s="351" t="s">
        <v>62</v>
      </c>
      <c r="D65" s="362"/>
      <c r="E65" s="351" t="s">
        <v>158</v>
      </c>
      <c r="F65" s="350" t="s">
        <v>334</v>
      </c>
      <c r="G65" s="350" t="s">
        <v>326</v>
      </c>
      <c r="H65" s="356">
        <v>5</v>
      </c>
      <c r="I65" s="356">
        <v>1</v>
      </c>
      <c r="J65" s="356">
        <v>1</v>
      </c>
      <c r="K65" s="357">
        <f>1233.4</f>
        <v>1233.4000000000001</v>
      </c>
      <c r="L65" s="353">
        <f>1233.4</f>
        <v>1233.4000000000001</v>
      </c>
      <c r="M65" s="353">
        <f t="shared" si="2"/>
        <v>0</v>
      </c>
      <c r="N65" s="354">
        <v>0</v>
      </c>
      <c r="O65" s="358">
        <v>0</v>
      </c>
      <c r="P65" s="355">
        <v>0</v>
      </c>
      <c r="Q65" s="355">
        <f t="shared" si="3"/>
        <v>0</v>
      </c>
      <c r="R65" s="6"/>
    </row>
    <row r="66" spans="1:18" x14ac:dyDescent="0.25">
      <c r="A66" s="349">
        <v>9</v>
      </c>
      <c r="B66" s="350" t="s">
        <v>335</v>
      </c>
      <c r="C66" s="351" t="s">
        <v>62</v>
      </c>
      <c r="D66" s="364"/>
      <c r="E66" s="351" t="s">
        <v>74</v>
      </c>
      <c r="F66" s="350" t="s">
        <v>336</v>
      </c>
      <c r="G66" s="350" t="s">
        <v>326</v>
      </c>
      <c r="H66" s="356">
        <v>15</v>
      </c>
      <c r="I66" s="356">
        <v>7</v>
      </c>
      <c r="J66" s="356">
        <v>7</v>
      </c>
      <c r="K66" s="357">
        <f>3700.2+704.8+2114.4+2819.2</f>
        <v>9338.5999999999985</v>
      </c>
      <c r="L66" s="353">
        <f>3700.2+704.8+2114.4+2819.2</f>
        <v>9338.5999999999985</v>
      </c>
      <c r="M66" s="353">
        <f t="shared" si="2"/>
        <v>0</v>
      </c>
      <c r="N66" s="354">
        <v>8</v>
      </c>
      <c r="O66" s="353">
        <f>3435.9+3171.6+132.15</f>
        <v>6739.65</v>
      </c>
      <c r="P66" s="355">
        <f>3435.9+3171.6+132.15</f>
        <v>6739.65</v>
      </c>
      <c r="Q66" s="355">
        <f t="shared" si="3"/>
        <v>0</v>
      </c>
      <c r="R66" s="6"/>
    </row>
    <row r="67" spans="1:18" x14ac:dyDescent="0.25">
      <c r="A67" s="349">
        <v>10</v>
      </c>
      <c r="B67" s="350" t="s">
        <v>27</v>
      </c>
      <c r="C67" s="351" t="s">
        <v>62</v>
      </c>
      <c r="D67" s="362"/>
      <c r="E67" s="351" t="s">
        <v>158</v>
      </c>
      <c r="F67" s="350" t="s">
        <v>337</v>
      </c>
      <c r="G67" s="350" t="s">
        <v>326</v>
      </c>
      <c r="H67" s="356">
        <v>13</v>
      </c>
      <c r="I67" s="356">
        <v>11</v>
      </c>
      <c r="J67" s="356">
        <v>11</v>
      </c>
      <c r="K67" s="357">
        <f>5638.4+2819.2+528.6+1964.2</f>
        <v>10950.4</v>
      </c>
      <c r="L67" s="353">
        <f>1233.4+4405+2819.2+528.6+1964.2</f>
        <v>10950.4</v>
      </c>
      <c r="M67" s="353">
        <f t="shared" si="2"/>
        <v>0</v>
      </c>
      <c r="N67" s="354">
        <v>0</v>
      </c>
      <c r="O67" s="358">
        <v>0</v>
      </c>
      <c r="P67" s="359">
        <v>0</v>
      </c>
      <c r="Q67" s="355">
        <f t="shared" si="3"/>
        <v>0</v>
      </c>
      <c r="R67" s="6"/>
    </row>
    <row r="68" spans="1:18" x14ac:dyDescent="0.25">
      <c r="A68" s="365">
        <v>11</v>
      </c>
      <c r="B68" s="350" t="s">
        <v>190</v>
      </c>
      <c r="C68" s="351" t="s">
        <v>62</v>
      </c>
      <c r="D68" s="362"/>
      <c r="E68" s="351" t="s">
        <v>338</v>
      </c>
      <c r="F68" s="350" t="s">
        <v>339</v>
      </c>
      <c r="G68" s="350" t="s">
        <v>326</v>
      </c>
      <c r="H68" s="356">
        <v>20</v>
      </c>
      <c r="I68" s="356">
        <v>10</v>
      </c>
      <c r="J68" s="356">
        <v>10</v>
      </c>
      <c r="K68" s="357">
        <f>1938.2+2819.2+2819.2+2290.6+1862+2543.3+552.3</f>
        <v>14824.8</v>
      </c>
      <c r="L68" s="353">
        <f>704.8+704.8+528.6+2819.2+2819.2+2290.6+1592.92+3364.68</f>
        <v>14824.8</v>
      </c>
      <c r="M68" s="353">
        <f t="shared" si="2"/>
        <v>0</v>
      </c>
      <c r="N68" s="354">
        <v>0</v>
      </c>
      <c r="O68" s="358">
        <v>0</v>
      </c>
      <c r="P68" s="355">
        <v>0</v>
      </c>
      <c r="Q68" s="355">
        <f t="shared" si="3"/>
        <v>0</v>
      </c>
      <c r="R68" s="6"/>
    </row>
    <row r="69" spans="1:18" x14ac:dyDescent="0.25">
      <c r="A69" s="365">
        <v>12</v>
      </c>
      <c r="B69" s="350" t="s">
        <v>89</v>
      </c>
      <c r="C69" s="351" t="s">
        <v>62</v>
      </c>
      <c r="D69" s="362"/>
      <c r="E69" s="351" t="s">
        <v>74</v>
      </c>
      <c r="F69" s="350" t="s">
        <v>340</v>
      </c>
      <c r="G69" s="350" t="s">
        <v>326</v>
      </c>
      <c r="H69" s="356">
        <v>6</v>
      </c>
      <c r="I69" s="356">
        <v>6</v>
      </c>
      <c r="J69" s="356">
        <v>6</v>
      </c>
      <c r="K69" s="357">
        <f>1762+3876.4+2995.4</f>
        <v>8633.7999999999993</v>
      </c>
      <c r="L69" s="353">
        <f>1762+3876.4+2995.4</f>
        <v>8633.7999999999993</v>
      </c>
      <c r="M69" s="353">
        <f t="shared" si="2"/>
        <v>0</v>
      </c>
      <c r="N69" s="354">
        <v>4</v>
      </c>
      <c r="O69" s="358">
        <f>440.5+5990.8+2819.2</f>
        <v>9250.5</v>
      </c>
      <c r="P69" s="355">
        <f>440.5+5990.8+2819.2</f>
        <v>9250.5</v>
      </c>
      <c r="Q69" s="355">
        <f t="shared" si="3"/>
        <v>0</v>
      </c>
      <c r="R69" s="6"/>
    </row>
    <row r="70" spans="1:18" x14ac:dyDescent="0.25">
      <c r="A70" s="365">
        <v>13</v>
      </c>
      <c r="B70" s="350" t="s">
        <v>196</v>
      </c>
      <c r="C70" s="351" t="s">
        <v>62</v>
      </c>
      <c r="D70" s="362"/>
      <c r="E70" s="351" t="s">
        <v>341</v>
      </c>
      <c r="F70" s="350" t="s">
        <v>342</v>
      </c>
      <c r="G70" s="350" t="s">
        <v>326</v>
      </c>
      <c r="H70" s="356">
        <v>7</v>
      </c>
      <c r="I70" s="356">
        <v>5</v>
      </c>
      <c r="J70" s="356">
        <v>5</v>
      </c>
      <c r="K70" s="357">
        <v>4933.6000000000004</v>
      </c>
      <c r="L70" s="353">
        <f>4933.6</f>
        <v>4933.6000000000004</v>
      </c>
      <c r="M70" s="353">
        <f t="shared" si="2"/>
        <v>0</v>
      </c>
      <c r="N70" s="354">
        <v>0</v>
      </c>
      <c r="O70" s="358">
        <v>0</v>
      </c>
      <c r="P70" s="355">
        <v>0</v>
      </c>
      <c r="Q70" s="355">
        <f t="shared" si="3"/>
        <v>0</v>
      </c>
      <c r="R70" s="6"/>
    </row>
    <row r="71" spans="1:18" x14ac:dyDescent="0.25">
      <c r="A71" s="365">
        <v>14</v>
      </c>
      <c r="B71" s="350" t="s">
        <v>628</v>
      </c>
      <c r="C71" s="351" t="s">
        <v>62</v>
      </c>
      <c r="D71" s="362"/>
      <c r="E71" s="351" t="s">
        <v>74</v>
      </c>
      <c r="F71" s="350" t="s">
        <v>629</v>
      </c>
      <c r="G71" s="350" t="s">
        <v>326</v>
      </c>
      <c r="H71" s="356">
        <v>0</v>
      </c>
      <c r="I71" s="356">
        <v>0</v>
      </c>
      <c r="J71" s="356">
        <v>0</v>
      </c>
      <c r="K71" s="357">
        <v>0</v>
      </c>
      <c r="L71" s="353">
        <v>0</v>
      </c>
      <c r="M71" s="353">
        <v>0</v>
      </c>
      <c r="N71" s="354">
        <v>0</v>
      </c>
      <c r="O71" s="358">
        <v>0</v>
      </c>
      <c r="P71" s="355">
        <v>0</v>
      </c>
      <c r="Q71" s="355">
        <f t="shared" si="3"/>
        <v>0</v>
      </c>
      <c r="R71" s="6"/>
    </row>
    <row r="72" spans="1:18" x14ac:dyDescent="0.25">
      <c r="A72" s="365">
        <v>15</v>
      </c>
      <c r="B72" s="350" t="s">
        <v>343</v>
      </c>
      <c r="C72" s="351" t="s">
        <v>62</v>
      </c>
      <c r="D72" s="362"/>
      <c r="E72" s="351" t="s">
        <v>74</v>
      </c>
      <c r="F72" s="350" t="s">
        <v>344</v>
      </c>
      <c r="G72" s="350" t="s">
        <v>326</v>
      </c>
      <c r="H72" s="356">
        <v>9</v>
      </c>
      <c r="I72" s="356">
        <v>2</v>
      </c>
      <c r="J72" s="356">
        <v>2</v>
      </c>
      <c r="K72" s="357">
        <f>2466.8</f>
        <v>2466.8000000000002</v>
      </c>
      <c r="L72" s="353">
        <f>2466.8</f>
        <v>2466.8000000000002</v>
      </c>
      <c r="M72" s="353">
        <f t="shared" si="2"/>
        <v>0</v>
      </c>
      <c r="N72" s="354">
        <v>0</v>
      </c>
      <c r="O72" s="358">
        <v>0</v>
      </c>
      <c r="P72" s="355">
        <v>0</v>
      </c>
      <c r="Q72" s="355">
        <f t="shared" si="3"/>
        <v>0</v>
      </c>
      <c r="R72" s="6"/>
    </row>
    <row r="73" spans="1:18" x14ac:dyDescent="0.25">
      <c r="A73" s="365">
        <v>16</v>
      </c>
      <c r="B73" s="350" t="s">
        <v>154</v>
      </c>
      <c r="C73" s="351" t="s">
        <v>62</v>
      </c>
      <c r="D73" s="362"/>
      <c r="E73" s="351" t="s">
        <v>74</v>
      </c>
      <c r="F73" s="350" t="s">
        <v>345</v>
      </c>
      <c r="G73" s="350" t="s">
        <v>326</v>
      </c>
      <c r="H73" s="356">
        <v>6</v>
      </c>
      <c r="I73" s="356">
        <v>3</v>
      </c>
      <c r="J73" s="356">
        <v>3</v>
      </c>
      <c r="K73" s="357">
        <f>1497.7+1288.7</f>
        <v>2786.4</v>
      </c>
      <c r="L73" s="353">
        <f>1497.7+1288.7</f>
        <v>2786.4</v>
      </c>
      <c r="M73" s="353">
        <f t="shared" si="2"/>
        <v>0</v>
      </c>
      <c r="N73" s="354">
        <v>6</v>
      </c>
      <c r="O73" s="358">
        <f>4228.8+3700.2+552.3</f>
        <v>8481.2999999999993</v>
      </c>
      <c r="P73" s="359">
        <f>4228.8+3700.2+552.3</f>
        <v>8481.2999999999993</v>
      </c>
      <c r="Q73" s="355">
        <f t="shared" si="3"/>
        <v>0</v>
      </c>
      <c r="R73" s="6"/>
    </row>
    <row r="74" spans="1:18" x14ac:dyDescent="0.25">
      <c r="A74" s="365">
        <v>17</v>
      </c>
      <c r="B74" s="350" t="s">
        <v>346</v>
      </c>
      <c r="C74" s="351" t="s">
        <v>62</v>
      </c>
      <c r="D74" s="362"/>
      <c r="E74" s="351" t="s">
        <v>158</v>
      </c>
      <c r="F74" s="350" t="s">
        <v>347</v>
      </c>
      <c r="G74" s="350" t="s">
        <v>326</v>
      </c>
      <c r="H74" s="356">
        <v>2</v>
      </c>
      <c r="I74" s="356">
        <v>0</v>
      </c>
      <c r="J74" s="356">
        <v>0</v>
      </c>
      <c r="K74" s="357">
        <v>0</v>
      </c>
      <c r="L74" s="353">
        <v>0</v>
      </c>
      <c r="M74" s="353">
        <f t="shared" si="2"/>
        <v>0</v>
      </c>
      <c r="N74" s="354">
        <v>0</v>
      </c>
      <c r="O74" s="358">
        <v>0</v>
      </c>
      <c r="P74" s="355">
        <v>0</v>
      </c>
      <c r="Q74" s="355">
        <f t="shared" si="3"/>
        <v>0</v>
      </c>
      <c r="R74" s="6"/>
    </row>
    <row r="75" spans="1:18" x14ac:dyDescent="0.25">
      <c r="A75" s="365">
        <v>18</v>
      </c>
      <c r="B75" s="350" t="s">
        <v>348</v>
      </c>
      <c r="C75" s="351" t="s">
        <v>62</v>
      </c>
      <c r="D75" s="362"/>
      <c r="E75" s="351" t="s">
        <v>158</v>
      </c>
      <c r="F75" s="350" t="s">
        <v>349</v>
      </c>
      <c r="G75" s="350" t="s">
        <v>326</v>
      </c>
      <c r="H75" s="356">
        <v>6</v>
      </c>
      <c r="I75" s="356">
        <v>0</v>
      </c>
      <c r="J75" s="356">
        <v>0</v>
      </c>
      <c r="K75" s="357">
        <v>0</v>
      </c>
      <c r="L75" s="353">
        <v>0</v>
      </c>
      <c r="M75" s="353">
        <f t="shared" si="2"/>
        <v>0</v>
      </c>
      <c r="N75" s="354">
        <v>0</v>
      </c>
      <c r="O75" s="358">
        <v>0</v>
      </c>
      <c r="P75" s="355">
        <v>0</v>
      </c>
      <c r="Q75" s="355">
        <f t="shared" si="3"/>
        <v>0</v>
      </c>
      <c r="R75" s="6"/>
    </row>
    <row r="76" spans="1:18" x14ac:dyDescent="0.25">
      <c r="A76" s="365">
        <v>19</v>
      </c>
      <c r="B76" s="350" t="s">
        <v>350</v>
      </c>
      <c r="C76" s="351" t="s">
        <v>62</v>
      </c>
      <c r="D76" s="362"/>
      <c r="E76" s="351" t="s">
        <v>74</v>
      </c>
      <c r="F76" s="350" t="s">
        <v>351</v>
      </c>
      <c r="G76" s="350" t="s">
        <v>326</v>
      </c>
      <c r="H76" s="356">
        <v>1</v>
      </c>
      <c r="I76" s="356">
        <v>1</v>
      </c>
      <c r="J76" s="356">
        <v>1</v>
      </c>
      <c r="K76" s="357">
        <f>528.6</f>
        <v>528.6</v>
      </c>
      <c r="L76" s="353">
        <f>528.6</f>
        <v>528.6</v>
      </c>
      <c r="M76" s="353">
        <f t="shared" si="2"/>
        <v>0</v>
      </c>
      <c r="N76" s="354">
        <v>4</v>
      </c>
      <c r="O76" s="358">
        <v>5065.75</v>
      </c>
      <c r="P76" s="355">
        <f>1894.15+3171.6</f>
        <v>5065.75</v>
      </c>
      <c r="Q76" s="355">
        <f t="shared" si="3"/>
        <v>0</v>
      </c>
      <c r="R76" s="6"/>
    </row>
    <row r="77" spans="1:18" ht="39" x14ac:dyDescent="0.25">
      <c r="A77" s="366">
        <v>20</v>
      </c>
      <c r="B77" s="350" t="s">
        <v>222</v>
      </c>
      <c r="C77" s="351" t="s">
        <v>64</v>
      </c>
      <c r="D77" s="367" t="s">
        <v>352</v>
      </c>
      <c r="E77" s="351" t="s">
        <v>158</v>
      </c>
      <c r="F77" s="350" t="s">
        <v>353</v>
      </c>
      <c r="G77" s="350" t="s">
        <v>326</v>
      </c>
      <c r="H77" s="356">
        <v>6</v>
      </c>
      <c r="I77" s="356">
        <v>2</v>
      </c>
      <c r="J77" s="356">
        <v>2</v>
      </c>
      <c r="K77" s="357">
        <f>1233.4+2290.6</f>
        <v>3524</v>
      </c>
      <c r="L77" s="353">
        <f>1233.4+2290.6</f>
        <v>3524</v>
      </c>
      <c r="M77" s="353">
        <f t="shared" si="2"/>
        <v>0</v>
      </c>
      <c r="N77" s="354">
        <v>0</v>
      </c>
      <c r="O77" s="353">
        <v>0</v>
      </c>
      <c r="P77" s="355">
        <v>0</v>
      </c>
      <c r="Q77" s="355">
        <f t="shared" si="3"/>
        <v>0</v>
      </c>
      <c r="R77" s="6"/>
    </row>
    <row r="78" spans="1:18" x14ac:dyDescent="0.25">
      <c r="A78" s="365">
        <v>21</v>
      </c>
      <c r="B78" s="350" t="s">
        <v>238</v>
      </c>
      <c r="C78" s="351" t="s">
        <v>62</v>
      </c>
      <c r="D78" s="362"/>
      <c r="E78" s="351" t="s">
        <v>158</v>
      </c>
      <c r="F78" s="350" t="s">
        <v>354</v>
      </c>
      <c r="G78" s="350" t="s">
        <v>326</v>
      </c>
      <c r="H78" s="356">
        <v>8</v>
      </c>
      <c r="I78" s="356">
        <v>6</v>
      </c>
      <c r="J78" s="356">
        <v>6</v>
      </c>
      <c r="K78" s="357">
        <f>2466.8+4581.2+1012.55</f>
        <v>8060.55</v>
      </c>
      <c r="L78" s="353">
        <f>1233.4+1233.4+4581.2+1012.55</f>
        <v>8060.55</v>
      </c>
      <c r="M78" s="353">
        <f t="shared" si="2"/>
        <v>0</v>
      </c>
      <c r="N78" s="354">
        <v>0</v>
      </c>
      <c r="O78" s="358">
        <v>0</v>
      </c>
      <c r="P78" s="355">
        <v>0</v>
      </c>
      <c r="Q78" s="355">
        <f t="shared" si="3"/>
        <v>0</v>
      </c>
      <c r="R78" s="6"/>
    </row>
    <row r="79" spans="1:18" x14ac:dyDescent="0.25">
      <c r="A79" s="365">
        <v>22</v>
      </c>
      <c r="B79" s="350" t="s">
        <v>355</v>
      </c>
      <c r="C79" s="351" t="s">
        <v>62</v>
      </c>
      <c r="D79" s="362"/>
      <c r="E79" s="351" t="s">
        <v>158</v>
      </c>
      <c r="F79" s="350" t="s">
        <v>356</v>
      </c>
      <c r="G79" s="350" t="s">
        <v>326</v>
      </c>
      <c r="H79" s="356">
        <v>7</v>
      </c>
      <c r="I79" s="356">
        <v>2</v>
      </c>
      <c r="J79" s="356">
        <v>2</v>
      </c>
      <c r="K79" s="357">
        <v>1762</v>
      </c>
      <c r="L79" s="353">
        <f>1233.4+528.6</f>
        <v>1762</v>
      </c>
      <c r="M79" s="353">
        <f t="shared" si="2"/>
        <v>0</v>
      </c>
      <c r="N79" s="354">
        <v>0</v>
      </c>
      <c r="O79" s="358">
        <v>0</v>
      </c>
      <c r="P79" s="355">
        <v>0</v>
      </c>
      <c r="Q79" s="355">
        <f t="shared" si="3"/>
        <v>0</v>
      </c>
      <c r="R79" s="6"/>
    </row>
    <row r="80" spans="1:18" ht="38.25" x14ac:dyDescent="0.25">
      <c r="A80" s="366">
        <v>23</v>
      </c>
      <c r="B80" s="350" t="s">
        <v>357</v>
      </c>
      <c r="C80" s="351" t="s">
        <v>64</v>
      </c>
      <c r="D80" s="349" t="s">
        <v>358</v>
      </c>
      <c r="E80" s="351" t="s">
        <v>158</v>
      </c>
      <c r="F80" s="351" t="s">
        <v>507</v>
      </c>
      <c r="G80" s="350" t="s">
        <v>326</v>
      </c>
      <c r="H80" s="356">
        <v>3</v>
      </c>
      <c r="I80" s="364">
        <v>1</v>
      </c>
      <c r="J80" s="364">
        <v>1</v>
      </c>
      <c r="K80" s="357">
        <f>1288.7</f>
        <v>1288.7</v>
      </c>
      <c r="L80" s="353">
        <f>1288.7</f>
        <v>1288.7</v>
      </c>
      <c r="M80" s="353">
        <f t="shared" si="2"/>
        <v>0</v>
      </c>
      <c r="N80" s="354">
        <v>0</v>
      </c>
      <c r="O80" s="353">
        <v>0</v>
      </c>
      <c r="P80" s="355">
        <v>0</v>
      </c>
      <c r="Q80" s="355">
        <f t="shared" si="3"/>
        <v>0</v>
      </c>
      <c r="R80" s="6"/>
    </row>
    <row r="81" spans="1:18" x14ac:dyDescent="0.25">
      <c r="A81" s="366">
        <v>24</v>
      </c>
      <c r="B81" s="350" t="s">
        <v>36</v>
      </c>
      <c r="C81" s="351" t="s">
        <v>62</v>
      </c>
      <c r="D81" s="349"/>
      <c r="E81" s="351" t="s">
        <v>74</v>
      </c>
      <c r="F81" s="360" t="s">
        <v>630</v>
      </c>
      <c r="G81" s="350" t="s">
        <v>326</v>
      </c>
      <c r="H81" s="356">
        <v>0</v>
      </c>
      <c r="I81" s="364">
        <v>0</v>
      </c>
      <c r="J81" s="364">
        <v>0</v>
      </c>
      <c r="K81" s="357">
        <v>0</v>
      </c>
      <c r="L81" s="353">
        <v>0</v>
      </c>
      <c r="M81" s="353">
        <v>0</v>
      </c>
      <c r="N81" s="354">
        <v>0</v>
      </c>
      <c r="O81" s="353">
        <v>0</v>
      </c>
      <c r="P81" s="355">
        <v>0</v>
      </c>
      <c r="Q81" s="355">
        <f t="shared" si="3"/>
        <v>0</v>
      </c>
      <c r="R81" s="6"/>
    </row>
    <row r="82" spans="1:18" x14ac:dyDescent="0.25">
      <c r="A82" s="365">
        <v>25</v>
      </c>
      <c r="B82" s="350" t="s">
        <v>359</v>
      </c>
      <c r="C82" s="351" t="s">
        <v>62</v>
      </c>
      <c r="D82" s="349"/>
      <c r="E82" s="351" t="s">
        <v>158</v>
      </c>
      <c r="F82" s="351" t="s">
        <v>360</v>
      </c>
      <c r="G82" s="350" t="s">
        <v>326</v>
      </c>
      <c r="H82" s="356">
        <v>5</v>
      </c>
      <c r="I82" s="356">
        <v>5</v>
      </c>
      <c r="J82" s="356">
        <v>5</v>
      </c>
      <c r="K82" s="357">
        <f>1409.6+704.8+528.6+2290.6</f>
        <v>4933.5999999999995</v>
      </c>
      <c r="L82" s="353">
        <f>704.8+704.8+704.8+9.97+518.63+2290.6</f>
        <v>4933.5999999999995</v>
      </c>
      <c r="M82" s="353">
        <f t="shared" si="2"/>
        <v>0</v>
      </c>
      <c r="N82" s="354">
        <v>0</v>
      </c>
      <c r="O82" s="358">
        <v>0</v>
      </c>
      <c r="P82" s="359">
        <v>0</v>
      </c>
      <c r="Q82" s="355">
        <f t="shared" si="3"/>
        <v>0</v>
      </c>
      <c r="R82" s="6"/>
    </row>
    <row r="83" spans="1:18" x14ac:dyDescent="0.25">
      <c r="A83" s="365">
        <v>26</v>
      </c>
      <c r="B83" s="350" t="s">
        <v>118</v>
      </c>
      <c r="C83" s="351" t="s">
        <v>62</v>
      </c>
      <c r="D83" s="362"/>
      <c r="E83" s="351" t="s">
        <v>338</v>
      </c>
      <c r="F83" s="350" t="s">
        <v>361</v>
      </c>
      <c r="G83" s="350" t="s">
        <v>326</v>
      </c>
      <c r="H83" s="356">
        <v>1</v>
      </c>
      <c r="I83" s="356">
        <v>1</v>
      </c>
      <c r="J83" s="356">
        <v>1</v>
      </c>
      <c r="K83" s="357">
        <f>1012.55</f>
        <v>1012.55</v>
      </c>
      <c r="L83" s="353">
        <f>1012.55</f>
        <v>1012.55</v>
      </c>
      <c r="M83" s="353">
        <f t="shared" si="2"/>
        <v>0</v>
      </c>
      <c r="N83" s="354">
        <v>0</v>
      </c>
      <c r="O83" s="358">
        <v>0</v>
      </c>
      <c r="P83" s="355">
        <v>0</v>
      </c>
      <c r="Q83" s="355">
        <f t="shared" si="3"/>
        <v>0</v>
      </c>
      <c r="R83" s="6"/>
    </row>
    <row r="84" spans="1:18" x14ac:dyDescent="0.25">
      <c r="A84" s="365">
        <v>27</v>
      </c>
      <c r="B84" s="350" t="s">
        <v>246</v>
      </c>
      <c r="C84" s="351" t="s">
        <v>62</v>
      </c>
      <c r="D84" s="362"/>
      <c r="E84" s="351" t="s">
        <v>158</v>
      </c>
      <c r="F84" s="350" t="s">
        <v>362</v>
      </c>
      <c r="G84" s="350" t="s">
        <v>326</v>
      </c>
      <c r="H84" s="356">
        <v>5</v>
      </c>
      <c r="I84" s="356">
        <v>3</v>
      </c>
      <c r="J84" s="356">
        <v>3</v>
      </c>
      <c r="K84" s="357">
        <f>1233.4</f>
        <v>1233.4000000000001</v>
      </c>
      <c r="L84" s="353">
        <f>1233.4</f>
        <v>1233.4000000000001</v>
      </c>
      <c r="M84" s="353">
        <f t="shared" si="2"/>
        <v>0</v>
      </c>
      <c r="N84" s="354">
        <v>0</v>
      </c>
      <c r="O84" s="358">
        <v>0</v>
      </c>
      <c r="P84" s="355">
        <v>0</v>
      </c>
      <c r="Q84" s="355">
        <f t="shared" si="3"/>
        <v>0</v>
      </c>
      <c r="R84" s="6"/>
    </row>
    <row r="85" spans="1:18" x14ac:dyDescent="0.25">
      <c r="A85" s="365">
        <v>28</v>
      </c>
      <c r="B85" s="350" t="s">
        <v>43</v>
      </c>
      <c r="C85" s="351" t="s">
        <v>62</v>
      </c>
      <c r="D85" s="362"/>
      <c r="E85" s="351" t="s">
        <v>74</v>
      </c>
      <c r="F85" s="350" t="s">
        <v>363</v>
      </c>
      <c r="G85" s="350" t="s">
        <v>326</v>
      </c>
      <c r="H85" s="356">
        <v>4</v>
      </c>
      <c r="I85" s="356">
        <v>1</v>
      </c>
      <c r="J85" s="356">
        <v>1</v>
      </c>
      <c r="K85" s="357">
        <v>660.75</v>
      </c>
      <c r="L85" s="353">
        <f>660.75</f>
        <v>660.75</v>
      </c>
      <c r="M85" s="353">
        <f t="shared" si="2"/>
        <v>0</v>
      </c>
      <c r="N85" s="354">
        <v>0</v>
      </c>
      <c r="O85" s="358">
        <v>0</v>
      </c>
      <c r="P85" s="355">
        <v>0</v>
      </c>
      <c r="Q85" s="355">
        <f t="shared" si="3"/>
        <v>0</v>
      </c>
      <c r="R85" s="6"/>
    </row>
    <row r="86" spans="1:18" x14ac:dyDescent="0.25">
      <c r="A86" s="365">
        <v>29</v>
      </c>
      <c r="B86" s="350" t="s">
        <v>364</v>
      </c>
      <c r="C86" s="351" t="s">
        <v>62</v>
      </c>
      <c r="D86" s="362"/>
      <c r="E86" s="351" t="s">
        <v>74</v>
      </c>
      <c r="F86" s="350" t="s">
        <v>365</v>
      </c>
      <c r="G86" s="350" t="s">
        <v>326</v>
      </c>
      <c r="H86" s="356">
        <v>8</v>
      </c>
      <c r="I86" s="356">
        <v>2</v>
      </c>
      <c r="J86" s="356">
        <v>2</v>
      </c>
      <c r="K86" s="357">
        <v>2466.8000000000002</v>
      </c>
      <c r="L86" s="353">
        <v>2466.8000000000002</v>
      </c>
      <c r="M86" s="353">
        <f t="shared" si="2"/>
        <v>0</v>
      </c>
      <c r="N86" s="354">
        <v>3</v>
      </c>
      <c r="O86" s="358">
        <f>3524+2671.06+3497.9</f>
        <v>9692.9599999999991</v>
      </c>
      <c r="P86" s="355">
        <f>3524+6168.96</f>
        <v>9692.9599999999991</v>
      </c>
      <c r="Q86" s="355">
        <f t="shared" si="3"/>
        <v>0</v>
      </c>
      <c r="R86" s="6"/>
    </row>
    <row r="87" spans="1:18" x14ac:dyDescent="0.25">
      <c r="A87" s="365">
        <v>30</v>
      </c>
      <c r="B87" s="350" t="s">
        <v>46</v>
      </c>
      <c r="C87" s="351" t="s">
        <v>62</v>
      </c>
      <c r="D87" s="362"/>
      <c r="E87" s="351" t="s">
        <v>366</v>
      </c>
      <c r="F87" s="350" t="s">
        <v>367</v>
      </c>
      <c r="G87" s="350" t="s">
        <v>326</v>
      </c>
      <c r="H87" s="356">
        <v>0</v>
      </c>
      <c r="I87" s="356">
        <v>0</v>
      </c>
      <c r="J87" s="356">
        <v>0</v>
      </c>
      <c r="K87" s="357">
        <v>0</v>
      </c>
      <c r="L87" s="353">
        <v>0</v>
      </c>
      <c r="M87" s="353">
        <f t="shared" si="2"/>
        <v>0</v>
      </c>
      <c r="N87" s="354">
        <v>2</v>
      </c>
      <c r="O87" s="358">
        <f>4140.7+528.6</f>
        <v>4669.3</v>
      </c>
      <c r="P87" s="359">
        <f>4140.7+528.6</f>
        <v>4669.3</v>
      </c>
      <c r="Q87" s="355">
        <f t="shared" si="3"/>
        <v>0</v>
      </c>
      <c r="R87" s="6"/>
    </row>
    <row r="88" spans="1:18" x14ac:dyDescent="0.25">
      <c r="A88" s="365">
        <v>31</v>
      </c>
      <c r="B88" s="350" t="s">
        <v>270</v>
      </c>
      <c r="C88" s="351" t="s">
        <v>62</v>
      </c>
      <c r="D88" s="362"/>
      <c r="E88" s="351" t="s">
        <v>74</v>
      </c>
      <c r="F88" s="350" t="s">
        <v>539</v>
      </c>
      <c r="G88" s="350" t="s">
        <v>326</v>
      </c>
      <c r="H88" s="356">
        <v>2</v>
      </c>
      <c r="I88" s="356">
        <v>0</v>
      </c>
      <c r="J88" s="356">
        <v>0</v>
      </c>
      <c r="K88" s="357">
        <v>0</v>
      </c>
      <c r="L88" s="353">
        <v>0</v>
      </c>
      <c r="M88" s="353">
        <f t="shared" si="2"/>
        <v>0</v>
      </c>
      <c r="N88" s="354">
        <v>0</v>
      </c>
      <c r="O88" s="358">
        <v>0</v>
      </c>
      <c r="P88" s="359">
        <v>0</v>
      </c>
      <c r="Q88" s="355">
        <v>0</v>
      </c>
      <c r="R88" s="6"/>
    </row>
    <row r="89" spans="1:18" x14ac:dyDescent="0.25">
      <c r="A89" s="365">
        <v>32</v>
      </c>
      <c r="B89" s="350" t="s">
        <v>621</v>
      </c>
      <c r="C89" s="351" t="s">
        <v>62</v>
      </c>
      <c r="D89" s="362"/>
      <c r="E89" s="351" t="s">
        <v>74</v>
      </c>
      <c r="F89" s="350" t="s">
        <v>622</v>
      </c>
      <c r="G89" s="350" t="s">
        <v>326</v>
      </c>
      <c r="H89" s="356">
        <v>2</v>
      </c>
      <c r="I89" s="356">
        <v>0</v>
      </c>
      <c r="J89" s="356">
        <v>0</v>
      </c>
      <c r="K89" s="357">
        <v>0</v>
      </c>
      <c r="L89" s="353">
        <v>0</v>
      </c>
      <c r="M89" s="353">
        <f t="shared" si="2"/>
        <v>0</v>
      </c>
      <c r="N89" s="354">
        <v>0</v>
      </c>
      <c r="O89" s="358">
        <v>0</v>
      </c>
      <c r="P89" s="359">
        <v>0</v>
      </c>
      <c r="Q89" s="355">
        <v>0</v>
      </c>
      <c r="R89" s="6"/>
    </row>
    <row r="90" spans="1:18" x14ac:dyDescent="0.25">
      <c r="A90" s="365">
        <v>33</v>
      </c>
      <c r="B90" s="350" t="s">
        <v>96</v>
      </c>
      <c r="C90" s="351" t="s">
        <v>62</v>
      </c>
      <c r="D90" s="362"/>
      <c r="E90" s="351" t="s">
        <v>98</v>
      </c>
      <c r="F90" s="350" t="s">
        <v>540</v>
      </c>
      <c r="G90" s="350" t="s">
        <v>326</v>
      </c>
      <c r="H90" s="356">
        <v>1</v>
      </c>
      <c r="I90" s="356">
        <v>0</v>
      </c>
      <c r="J90" s="356">
        <v>0</v>
      </c>
      <c r="K90" s="357">
        <v>0</v>
      </c>
      <c r="L90" s="353">
        <v>0</v>
      </c>
      <c r="M90" s="353">
        <f t="shared" si="2"/>
        <v>0</v>
      </c>
      <c r="N90" s="354">
        <v>1</v>
      </c>
      <c r="O90" s="358">
        <v>0</v>
      </c>
      <c r="P90" s="359">
        <v>0</v>
      </c>
      <c r="Q90" s="355">
        <v>0</v>
      </c>
      <c r="R90" s="6"/>
    </row>
    <row r="91" spans="1:18" x14ac:dyDescent="0.25">
      <c r="A91" s="365">
        <v>34</v>
      </c>
      <c r="B91" s="350" t="s">
        <v>124</v>
      </c>
      <c r="C91" s="351" t="s">
        <v>62</v>
      </c>
      <c r="D91" s="362"/>
      <c r="E91" s="351" t="s">
        <v>74</v>
      </c>
      <c r="F91" s="350" t="s">
        <v>368</v>
      </c>
      <c r="G91" s="350" t="s">
        <v>326</v>
      </c>
      <c r="H91" s="356">
        <v>27</v>
      </c>
      <c r="I91" s="356">
        <v>15</v>
      </c>
      <c r="J91" s="356">
        <v>15</v>
      </c>
      <c r="K91" s="357">
        <f>6343.2+3700.2+4326.35</f>
        <v>14369.75</v>
      </c>
      <c r="L91" s="353">
        <f>1762+1762+2819.2+3700.2+4326.35</f>
        <v>14369.75</v>
      </c>
      <c r="M91" s="353">
        <f t="shared" si="2"/>
        <v>0</v>
      </c>
      <c r="N91" s="354">
        <v>8</v>
      </c>
      <c r="O91" s="358">
        <f>3171.6+88+1493.8-704.8+704.8</f>
        <v>4753.3999999999996</v>
      </c>
      <c r="P91" s="355">
        <f>1765.8+1493.8+789+704.8</f>
        <v>4753.3999999999996</v>
      </c>
      <c r="Q91" s="353">
        <f>O91-P91</f>
        <v>0</v>
      </c>
      <c r="R91" s="6"/>
    </row>
    <row r="92" spans="1:18" x14ac:dyDescent="0.25">
      <c r="A92" s="365">
        <v>35</v>
      </c>
      <c r="B92" s="350" t="s">
        <v>51</v>
      </c>
      <c r="C92" s="351" t="s">
        <v>62</v>
      </c>
      <c r="D92" s="362"/>
      <c r="E92" s="351" t="s">
        <v>74</v>
      </c>
      <c r="F92" s="350" t="s">
        <v>369</v>
      </c>
      <c r="G92" s="350" t="s">
        <v>326</v>
      </c>
      <c r="H92" s="356">
        <v>0</v>
      </c>
      <c r="I92" s="356">
        <v>0</v>
      </c>
      <c r="J92" s="356">
        <v>0</v>
      </c>
      <c r="K92" s="357">
        <v>0</v>
      </c>
      <c r="L92" s="353">
        <v>0</v>
      </c>
      <c r="M92" s="353">
        <f t="shared" si="2"/>
        <v>0</v>
      </c>
      <c r="N92" s="354">
        <v>1</v>
      </c>
      <c r="O92" s="358">
        <v>2290.6</v>
      </c>
      <c r="P92" s="355">
        <v>2290.6</v>
      </c>
      <c r="Q92" s="355">
        <f>O92-P92</f>
        <v>0</v>
      </c>
      <c r="R92" s="6"/>
    </row>
    <row r="93" spans="1:18" x14ac:dyDescent="0.25">
      <c r="A93" s="365">
        <v>36</v>
      </c>
      <c r="B93" s="350" t="s">
        <v>286</v>
      </c>
      <c r="C93" s="351" t="s">
        <v>62</v>
      </c>
      <c r="D93" s="362"/>
      <c r="E93" s="351" t="s">
        <v>74</v>
      </c>
      <c r="F93" s="350" t="s">
        <v>476</v>
      </c>
      <c r="G93" s="350" t="s">
        <v>326</v>
      </c>
      <c r="H93" s="356">
        <v>8</v>
      </c>
      <c r="I93" s="356">
        <v>4</v>
      </c>
      <c r="J93" s="356">
        <v>4</v>
      </c>
      <c r="K93" s="357">
        <f>1233.4+1409.6</f>
        <v>2643</v>
      </c>
      <c r="L93" s="353">
        <f>1233.4+1409.6</f>
        <v>2643</v>
      </c>
      <c r="M93" s="353">
        <f t="shared" si="2"/>
        <v>0</v>
      </c>
      <c r="N93" s="354">
        <v>0</v>
      </c>
      <c r="O93" s="358">
        <v>0</v>
      </c>
      <c r="P93" s="355">
        <v>0</v>
      </c>
      <c r="Q93" s="355">
        <v>0</v>
      </c>
      <c r="R93" s="6"/>
    </row>
    <row r="94" spans="1:18" x14ac:dyDescent="0.25">
      <c r="A94" s="365">
        <v>37</v>
      </c>
      <c r="B94" s="350" t="s">
        <v>290</v>
      </c>
      <c r="C94" s="351" t="s">
        <v>62</v>
      </c>
      <c r="D94" s="362"/>
      <c r="E94" s="351" t="s">
        <v>371</v>
      </c>
      <c r="F94" s="350" t="s">
        <v>372</v>
      </c>
      <c r="G94" s="350" t="s">
        <v>326</v>
      </c>
      <c r="H94" s="356">
        <v>9</v>
      </c>
      <c r="I94" s="356">
        <v>6</v>
      </c>
      <c r="J94" s="356">
        <v>6</v>
      </c>
      <c r="K94" s="357">
        <f>1409.6+704.8</f>
        <v>2114.3999999999996</v>
      </c>
      <c r="L94" s="353">
        <f>1409.6+704.8</f>
        <v>2114.3999999999996</v>
      </c>
      <c r="M94" s="353">
        <f t="shared" si="2"/>
        <v>0</v>
      </c>
      <c r="N94" s="354">
        <v>0</v>
      </c>
      <c r="O94" s="358">
        <v>0</v>
      </c>
      <c r="P94" s="359">
        <v>0</v>
      </c>
      <c r="Q94" s="355">
        <f>O94-P94</f>
        <v>0</v>
      </c>
      <c r="R94" s="6"/>
    </row>
    <row r="95" spans="1:18" x14ac:dyDescent="0.25">
      <c r="A95" s="365">
        <v>38</v>
      </c>
      <c r="B95" s="350" t="s">
        <v>134</v>
      </c>
      <c r="C95" s="351" t="s">
        <v>62</v>
      </c>
      <c r="D95" s="362"/>
      <c r="E95" s="351" t="s">
        <v>74</v>
      </c>
      <c r="F95" s="350" t="s">
        <v>373</v>
      </c>
      <c r="G95" s="350" t="s">
        <v>326</v>
      </c>
      <c r="H95" s="356">
        <v>3</v>
      </c>
      <c r="I95" s="356">
        <v>1</v>
      </c>
      <c r="J95" s="356">
        <v>1</v>
      </c>
      <c r="K95" s="357">
        <f>1938.2</f>
        <v>1938.2</v>
      </c>
      <c r="L95" s="353">
        <v>1938.2</v>
      </c>
      <c r="M95" s="353">
        <f t="shared" si="2"/>
        <v>0</v>
      </c>
      <c r="N95" s="354">
        <v>2</v>
      </c>
      <c r="O95" s="358">
        <v>2643</v>
      </c>
      <c r="P95" s="355">
        <f>881+1762</f>
        <v>2643</v>
      </c>
      <c r="Q95" s="355">
        <f>O95-P95</f>
        <v>0</v>
      </c>
      <c r="R95" s="6"/>
    </row>
    <row r="96" spans="1:18" x14ac:dyDescent="0.25">
      <c r="A96" s="365">
        <v>39</v>
      </c>
      <c r="B96" s="350" t="s">
        <v>135</v>
      </c>
      <c r="C96" s="351" t="s">
        <v>62</v>
      </c>
      <c r="D96" s="362"/>
      <c r="E96" s="351" t="s">
        <v>74</v>
      </c>
      <c r="F96" s="350" t="s">
        <v>374</v>
      </c>
      <c r="G96" s="350" t="s">
        <v>326</v>
      </c>
      <c r="H96" s="356">
        <v>19</v>
      </c>
      <c r="I96" s="356">
        <v>4</v>
      </c>
      <c r="J96" s="356">
        <v>4</v>
      </c>
      <c r="K96" s="357">
        <f>5109.8+881</f>
        <v>5990.8</v>
      </c>
      <c r="L96" s="353">
        <f>2290.6+2819.2+881</f>
        <v>5990.7999999999993</v>
      </c>
      <c r="M96" s="353">
        <f t="shared" si="2"/>
        <v>0</v>
      </c>
      <c r="N96" s="354">
        <v>38</v>
      </c>
      <c r="O96" s="358">
        <f>15109.16+9717+2845.2+3774.05</f>
        <v>31445.41</v>
      </c>
      <c r="P96" s="355">
        <f>14228.16+881+9717+2845.2+3774.05</f>
        <v>31445.41</v>
      </c>
      <c r="Q96" s="353">
        <f>O96-P96</f>
        <v>0</v>
      </c>
      <c r="R96" s="6"/>
    </row>
    <row r="97" spans="1:18" ht="25.5" x14ac:dyDescent="0.25">
      <c r="A97" s="366">
        <v>40</v>
      </c>
      <c r="B97" s="350" t="s">
        <v>508</v>
      </c>
      <c r="C97" s="351" t="s">
        <v>64</v>
      </c>
      <c r="D97" s="349" t="s">
        <v>509</v>
      </c>
      <c r="E97" s="351" t="s">
        <v>74</v>
      </c>
      <c r="F97" s="350" t="s">
        <v>510</v>
      </c>
      <c r="G97" s="350" t="s">
        <v>326</v>
      </c>
      <c r="H97" s="356">
        <v>3</v>
      </c>
      <c r="I97" s="356">
        <v>2</v>
      </c>
      <c r="J97" s="356">
        <v>2</v>
      </c>
      <c r="K97" s="357">
        <f>4418.4</f>
        <v>4418.3999999999996</v>
      </c>
      <c r="L97" s="353">
        <f>4418.4</f>
        <v>4418.3999999999996</v>
      </c>
      <c r="M97" s="353">
        <f t="shared" si="2"/>
        <v>0</v>
      </c>
      <c r="N97" s="354">
        <v>0</v>
      </c>
      <c r="O97" s="353">
        <v>0</v>
      </c>
      <c r="P97" s="355">
        <v>0</v>
      </c>
      <c r="Q97" s="355">
        <v>0</v>
      </c>
      <c r="R97" s="6"/>
    </row>
    <row r="98" spans="1:18" x14ac:dyDescent="0.25">
      <c r="A98" s="365">
        <v>41</v>
      </c>
      <c r="B98" s="350" t="s">
        <v>299</v>
      </c>
      <c r="C98" s="351" t="s">
        <v>62</v>
      </c>
      <c r="D98" s="362"/>
      <c r="E98" s="351" t="s">
        <v>158</v>
      </c>
      <c r="F98" s="350" t="s">
        <v>375</v>
      </c>
      <c r="G98" s="350" t="s">
        <v>326</v>
      </c>
      <c r="H98" s="356">
        <v>3</v>
      </c>
      <c r="I98" s="356">
        <v>1</v>
      </c>
      <c r="J98" s="356">
        <v>1</v>
      </c>
      <c r="K98" s="357">
        <f>704.8</f>
        <v>704.8</v>
      </c>
      <c r="L98" s="353">
        <f>704.8</f>
        <v>704.8</v>
      </c>
      <c r="M98" s="353">
        <f t="shared" si="2"/>
        <v>0</v>
      </c>
      <c r="N98" s="354">
        <v>0</v>
      </c>
      <c r="O98" s="358">
        <v>0</v>
      </c>
      <c r="P98" s="355">
        <v>0</v>
      </c>
      <c r="Q98" s="355">
        <f t="shared" ref="Q98:Q104" si="4">O98-P98</f>
        <v>0</v>
      </c>
      <c r="R98" s="6"/>
    </row>
    <row r="99" spans="1:18" x14ac:dyDescent="0.25">
      <c r="A99" s="365">
        <v>42</v>
      </c>
      <c r="B99" s="350" t="s">
        <v>376</v>
      </c>
      <c r="C99" s="351" t="s">
        <v>62</v>
      </c>
      <c r="D99" s="362"/>
      <c r="E99" s="351" t="s">
        <v>74</v>
      </c>
      <c r="F99" s="350" t="s">
        <v>377</v>
      </c>
      <c r="G99" s="350" t="s">
        <v>326</v>
      </c>
      <c r="H99" s="356">
        <v>6</v>
      </c>
      <c r="I99" s="356">
        <v>3</v>
      </c>
      <c r="J99" s="356">
        <v>3</v>
      </c>
      <c r="K99" s="357">
        <f>1409.6+2643</f>
        <v>4052.6</v>
      </c>
      <c r="L99" s="353">
        <f>1409.6+2339.82+303.18</f>
        <v>4052.6</v>
      </c>
      <c r="M99" s="353">
        <f t="shared" si="2"/>
        <v>0</v>
      </c>
      <c r="N99" s="354">
        <v>0</v>
      </c>
      <c r="O99" s="358">
        <v>0</v>
      </c>
      <c r="P99" s="355">
        <v>0</v>
      </c>
      <c r="Q99" s="355">
        <f t="shared" si="4"/>
        <v>0</v>
      </c>
      <c r="R99" s="6"/>
    </row>
    <row r="100" spans="1:18" x14ac:dyDescent="0.25">
      <c r="A100" s="365">
        <v>43</v>
      </c>
      <c r="B100" s="350" t="s">
        <v>129</v>
      </c>
      <c r="C100" s="351" t="s">
        <v>62</v>
      </c>
      <c r="D100" s="362"/>
      <c r="E100" s="351" t="s">
        <v>74</v>
      </c>
      <c r="F100" s="350" t="s">
        <v>378</v>
      </c>
      <c r="G100" s="350" t="s">
        <v>326</v>
      </c>
      <c r="H100" s="356">
        <v>43</v>
      </c>
      <c r="I100" s="356">
        <v>29</v>
      </c>
      <c r="J100" s="356">
        <v>29</v>
      </c>
      <c r="K100" s="357">
        <f>7355.96+1306.55+4415.93+5710.35+1310.55+10196.79+4488.25</f>
        <v>34784.380000000005</v>
      </c>
      <c r="L100" s="353">
        <f>3615.96+5046.55+4415.93+2821.97+2888.38+15995.59</f>
        <v>34784.380000000005</v>
      </c>
      <c r="M100" s="353">
        <f t="shared" si="2"/>
        <v>0</v>
      </c>
      <c r="N100" s="354">
        <v>37</v>
      </c>
      <c r="O100" s="358">
        <f>28417.04+2923.96+3402.23+528.6+3259.4+1369.4+10104.55+4063.86+3819.85</f>
        <v>57888.890000000007</v>
      </c>
      <c r="P100" s="359">
        <f>22002.43+5101.53+1313.08+2923.96+3402.23+528.6+3259.4+19357.66</f>
        <v>57888.89</v>
      </c>
      <c r="Q100" s="355">
        <f t="shared" si="4"/>
        <v>0</v>
      </c>
      <c r="R100" s="6"/>
    </row>
    <row r="101" spans="1:18" x14ac:dyDescent="0.25">
      <c r="A101" s="365">
        <v>44</v>
      </c>
      <c r="B101" s="350" t="s">
        <v>379</v>
      </c>
      <c r="C101" s="351" t="s">
        <v>62</v>
      </c>
      <c r="D101" s="362"/>
      <c r="E101" s="351" t="s">
        <v>158</v>
      </c>
      <c r="F101" s="350" t="s">
        <v>380</v>
      </c>
      <c r="G101" s="350" t="s">
        <v>326</v>
      </c>
      <c r="H101" s="356">
        <v>3</v>
      </c>
      <c r="I101" s="356">
        <v>2</v>
      </c>
      <c r="J101" s="356">
        <v>2</v>
      </c>
      <c r="K101" s="357">
        <f>704.8+1012.55</f>
        <v>1717.35</v>
      </c>
      <c r="L101" s="353">
        <f>704.8+1012.55</f>
        <v>1717.35</v>
      </c>
      <c r="M101" s="353">
        <f t="shared" si="2"/>
        <v>0</v>
      </c>
      <c r="N101" s="354">
        <v>0</v>
      </c>
      <c r="O101" s="358">
        <v>0</v>
      </c>
      <c r="P101" s="355">
        <v>0</v>
      </c>
      <c r="Q101" s="355">
        <f t="shared" si="4"/>
        <v>0</v>
      </c>
      <c r="R101" s="6"/>
    </row>
    <row r="102" spans="1:18" x14ac:dyDescent="0.25">
      <c r="A102" s="365">
        <v>45</v>
      </c>
      <c r="B102" s="350" t="s">
        <v>130</v>
      </c>
      <c r="C102" s="351" t="s">
        <v>62</v>
      </c>
      <c r="D102" s="362"/>
      <c r="E102" s="351" t="s">
        <v>74</v>
      </c>
      <c r="F102" s="350" t="s">
        <v>557</v>
      </c>
      <c r="G102" s="350" t="s">
        <v>326</v>
      </c>
      <c r="H102" s="356">
        <v>1</v>
      </c>
      <c r="I102" s="356">
        <v>0</v>
      </c>
      <c r="J102" s="356">
        <v>0</v>
      </c>
      <c r="K102" s="357">
        <v>0</v>
      </c>
      <c r="L102" s="353">
        <v>0</v>
      </c>
      <c r="M102" s="353">
        <f t="shared" si="2"/>
        <v>0</v>
      </c>
      <c r="N102" s="354">
        <v>2</v>
      </c>
      <c r="O102" s="358">
        <f>3700.2</f>
        <v>3700.2</v>
      </c>
      <c r="P102" s="355">
        <f>3700.2</f>
        <v>3700.2</v>
      </c>
      <c r="Q102" s="355">
        <f t="shared" si="4"/>
        <v>0</v>
      </c>
      <c r="R102" s="6"/>
    </row>
    <row r="103" spans="1:18" x14ac:dyDescent="0.25">
      <c r="A103" s="365">
        <v>46</v>
      </c>
      <c r="B103" s="350" t="s">
        <v>382</v>
      </c>
      <c r="C103" s="351" t="s">
        <v>62</v>
      </c>
      <c r="D103" s="362"/>
      <c r="E103" s="351" t="s">
        <v>383</v>
      </c>
      <c r="F103" s="350" t="s">
        <v>384</v>
      </c>
      <c r="G103" s="350" t="s">
        <v>326</v>
      </c>
      <c r="H103" s="356">
        <v>1</v>
      </c>
      <c r="I103" s="356">
        <v>1</v>
      </c>
      <c r="J103" s="356">
        <v>1</v>
      </c>
      <c r="K103" s="357">
        <v>704.8</v>
      </c>
      <c r="L103" s="353">
        <f>187.75+517.05</f>
        <v>704.8</v>
      </c>
      <c r="M103" s="353">
        <f t="shared" si="2"/>
        <v>0</v>
      </c>
      <c r="N103" s="354">
        <v>0</v>
      </c>
      <c r="O103" s="358">
        <v>0</v>
      </c>
      <c r="P103" s="355">
        <v>0</v>
      </c>
      <c r="Q103" s="355">
        <f t="shared" si="4"/>
        <v>0</v>
      </c>
      <c r="R103" s="6"/>
    </row>
    <row r="104" spans="1:18" x14ac:dyDescent="0.25">
      <c r="A104" s="365">
        <v>47</v>
      </c>
      <c r="B104" s="350" t="s">
        <v>385</v>
      </c>
      <c r="C104" s="351" t="s">
        <v>62</v>
      </c>
      <c r="D104" s="362"/>
      <c r="E104" s="362" t="s">
        <v>145</v>
      </c>
      <c r="F104" s="350" t="s">
        <v>386</v>
      </c>
      <c r="G104" s="350" t="s">
        <v>326</v>
      </c>
      <c r="H104" s="356">
        <v>12</v>
      </c>
      <c r="I104" s="356">
        <v>6</v>
      </c>
      <c r="J104" s="356">
        <v>6</v>
      </c>
      <c r="K104" s="357">
        <f>1762+2422.75</f>
        <v>4184.75</v>
      </c>
      <c r="L104" s="353">
        <f>1057.2+704.8+2422.75</f>
        <v>4184.75</v>
      </c>
      <c r="M104" s="353">
        <f t="shared" si="2"/>
        <v>0</v>
      </c>
      <c r="N104" s="354">
        <v>18</v>
      </c>
      <c r="O104" s="358">
        <v>9602.9</v>
      </c>
      <c r="P104" s="359">
        <f>9074.3+528.6</f>
        <v>9602.9</v>
      </c>
      <c r="Q104" s="355">
        <f t="shared" si="4"/>
        <v>0</v>
      </c>
      <c r="R104" s="6"/>
    </row>
    <row r="105" spans="1:18" x14ac:dyDescent="0.25">
      <c r="A105" s="365">
        <v>48</v>
      </c>
      <c r="B105" s="350" t="s">
        <v>150</v>
      </c>
      <c r="C105" s="351" t="s">
        <v>62</v>
      </c>
      <c r="D105" s="362"/>
      <c r="E105" s="351" t="s">
        <v>74</v>
      </c>
      <c r="F105" s="350" t="s">
        <v>370</v>
      </c>
      <c r="G105" s="350" t="s">
        <v>326</v>
      </c>
      <c r="H105" s="356">
        <v>0</v>
      </c>
      <c r="I105" s="356">
        <v>0</v>
      </c>
      <c r="J105" s="356">
        <v>0</v>
      </c>
      <c r="K105" s="357">
        <v>0</v>
      </c>
      <c r="L105" s="353">
        <v>0</v>
      </c>
      <c r="M105" s="353">
        <v>0</v>
      </c>
      <c r="N105" s="354">
        <v>0</v>
      </c>
      <c r="O105" s="358">
        <v>0</v>
      </c>
      <c r="P105" s="359">
        <v>0</v>
      </c>
      <c r="Q105" s="355">
        <v>0</v>
      </c>
      <c r="R105" s="6"/>
    </row>
    <row r="106" spans="1:18" x14ac:dyDescent="0.25">
      <c r="A106" s="365">
        <v>49</v>
      </c>
      <c r="B106" s="350" t="s">
        <v>387</v>
      </c>
      <c r="C106" s="351" t="s">
        <v>62</v>
      </c>
      <c r="D106" s="362"/>
      <c r="E106" s="351" t="s">
        <v>157</v>
      </c>
      <c r="F106" s="350" t="s">
        <v>388</v>
      </c>
      <c r="G106" s="350" t="s">
        <v>326</v>
      </c>
      <c r="H106" s="356">
        <v>0</v>
      </c>
      <c r="I106" s="356">
        <v>0</v>
      </c>
      <c r="J106" s="356">
        <v>0</v>
      </c>
      <c r="K106" s="368">
        <v>0</v>
      </c>
      <c r="L106" s="353">
        <v>0</v>
      </c>
      <c r="M106" s="353">
        <f>K106-L106</f>
        <v>0</v>
      </c>
      <c r="N106" s="354">
        <v>0</v>
      </c>
      <c r="O106" s="358">
        <v>0</v>
      </c>
      <c r="P106" s="355">
        <v>0</v>
      </c>
      <c r="Q106" s="355">
        <f>O106-P106</f>
        <v>0</v>
      </c>
      <c r="R106" s="6"/>
    </row>
    <row r="107" spans="1:18" x14ac:dyDescent="0.25">
      <c r="A107" s="365">
        <v>50</v>
      </c>
      <c r="B107" s="350" t="s">
        <v>54</v>
      </c>
      <c r="C107" s="351" t="s">
        <v>62</v>
      </c>
      <c r="D107" s="362"/>
      <c r="E107" s="351" t="s">
        <v>338</v>
      </c>
      <c r="F107" s="350" t="s">
        <v>391</v>
      </c>
      <c r="G107" s="350" t="s">
        <v>326</v>
      </c>
      <c r="H107" s="356">
        <v>0</v>
      </c>
      <c r="I107" s="356">
        <v>0</v>
      </c>
      <c r="J107" s="362">
        <v>0</v>
      </c>
      <c r="K107" s="368">
        <v>0</v>
      </c>
      <c r="L107" s="353">
        <v>0</v>
      </c>
      <c r="M107" s="353">
        <f>K107-L107</f>
        <v>0</v>
      </c>
      <c r="N107" s="354">
        <v>0</v>
      </c>
      <c r="O107" s="358">
        <v>0</v>
      </c>
      <c r="P107" s="359">
        <v>0</v>
      </c>
      <c r="Q107" s="355">
        <f>O107-P107</f>
        <v>0</v>
      </c>
      <c r="R107" s="6"/>
    </row>
    <row r="108" spans="1:18" ht="39" x14ac:dyDescent="0.25">
      <c r="A108" s="366">
        <v>51</v>
      </c>
      <c r="B108" s="350" t="s">
        <v>131</v>
      </c>
      <c r="C108" s="351" t="s">
        <v>64</v>
      </c>
      <c r="D108" s="361" t="s">
        <v>392</v>
      </c>
      <c r="E108" s="351" t="s">
        <v>158</v>
      </c>
      <c r="F108" s="352" t="s">
        <v>393</v>
      </c>
      <c r="G108" s="350" t="s">
        <v>326</v>
      </c>
      <c r="H108" s="356">
        <v>0</v>
      </c>
      <c r="I108" s="356">
        <v>0</v>
      </c>
      <c r="J108" s="364">
        <v>0</v>
      </c>
      <c r="K108" s="369">
        <v>0</v>
      </c>
      <c r="L108" s="355">
        <v>0</v>
      </c>
      <c r="M108" s="355">
        <f>K108-L108</f>
        <v>0</v>
      </c>
      <c r="N108" s="352">
        <v>0</v>
      </c>
      <c r="O108" s="355">
        <v>0</v>
      </c>
      <c r="P108" s="355">
        <v>0</v>
      </c>
      <c r="Q108" s="355">
        <f>O108-P108</f>
        <v>0</v>
      </c>
      <c r="R108" s="6"/>
    </row>
    <row r="109" spans="1:18" ht="25.5" x14ac:dyDescent="0.25">
      <c r="A109" s="63">
        <v>1</v>
      </c>
      <c r="B109" s="100" t="s">
        <v>21</v>
      </c>
      <c r="C109" s="100" t="s">
        <v>62</v>
      </c>
      <c r="D109" s="100"/>
      <c r="E109" s="100" t="s">
        <v>157</v>
      </c>
      <c r="F109" s="100" t="s">
        <v>523</v>
      </c>
      <c r="G109" s="100" t="s">
        <v>524</v>
      </c>
      <c r="H109" s="234">
        <v>1</v>
      </c>
      <c r="I109" s="234">
        <v>0</v>
      </c>
      <c r="J109" s="234">
        <v>0</v>
      </c>
      <c r="K109" s="215">
        <v>0</v>
      </c>
      <c r="L109" s="215">
        <v>0</v>
      </c>
      <c r="M109" s="215">
        <v>0</v>
      </c>
      <c r="N109" s="234">
        <v>1</v>
      </c>
      <c r="O109" s="215">
        <v>1233.4000000000001</v>
      </c>
      <c r="P109" s="215">
        <v>1233.4000000000001</v>
      </c>
      <c r="Q109" s="215">
        <v>0</v>
      </c>
      <c r="R109" s="232"/>
    </row>
    <row r="110" spans="1:18" ht="25.5" x14ac:dyDescent="0.25">
      <c r="A110" s="63">
        <v>2</v>
      </c>
      <c r="B110" s="100" t="s">
        <v>147</v>
      </c>
      <c r="C110" s="100" t="s">
        <v>62</v>
      </c>
      <c r="D110" s="100"/>
      <c r="E110" s="100" t="s">
        <v>158</v>
      </c>
      <c r="F110" s="100" t="s">
        <v>525</v>
      </c>
      <c r="G110" s="100" t="s">
        <v>524</v>
      </c>
      <c r="H110" s="234">
        <v>1</v>
      </c>
      <c r="I110" s="234">
        <v>1</v>
      </c>
      <c r="J110" s="234">
        <v>1</v>
      </c>
      <c r="K110" s="215">
        <v>1762</v>
      </c>
      <c r="L110" s="215">
        <v>1762</v>
      </c>
      <c r="M110" s="215">
        <v>0</v>
      </c>
      <c r="N110" s="234">
        <v>2</v>
      </c>
      <c r="O110" s="215">
        <v>10751.3</v>
      </c>
      <c r="P110" s="215">
        <v>10751.3</v>
      </c>
      <c r="Q110" s="215">
        <v>0</v>
      </c>
      <c r="R110" s="232"/>
    </row>
    <row r="111" spans="1:18" ht="25.5" x14ac:dyDescent="0.25">
      <c r="A111" s="63">
        <v>3</v>
      </c>
      <c r="B111" s="232" t="s">
        <v>526</v>
      </c>
      <c r="C111" s="100" t="s">
        <v>62</v>
      </c>
      <c r="D111" s="100"/>
      <c r="E111" s="100" t="s">
        <v>527</v>
      </c>
      <c r="F111" s="100" t="s">
        <v>528</v>
      </c>
      <c r="G111" s="100" t="s">
        <v>524</v>
      </c>
      <c r="H111" s="234">
        <v>0</v>
      </c>
      <c r="I111" s="234">
        <v>0</v>
      </c>
      <c r="J111" s="234">
        <v>0</v>
      </c>
      <c r="K111" s="215">
        <v>0</v>
      </c>
      <c r="L111" s="215">
        <v>0</v>
      </c>
      <c r="M111" s="215">
        <v>0</v>
      </c>
      <c r="N111" s="234">
        <v>0</v>
      </c>
      <c r="O111" s="218">
        <v>0</v>
      </c>
      <c r="P111" s="215">
        <v>0</v>
      </c>
      <c r="Q111" s="215">
        <v>0</v>
      </c>
      <c r="R111" s="232"/>
    </row>
    <row r="112" spans="1:18" ht="25.5" x14ac:dyDescent="0.25">
      <c r="A112" s="63">
        <v>4</v>
      </c>
      <c r="B112" s="100" t="s">
        <v>305</v>
      </c>
      <c r="C112" s="100" t="s">
        <v>62</v>
      </c>
      <c r="D112" s="100"/>
      <c r="E112" s="100" t="s">
        <v>157</v>
      </c>
      <c r="F112" s="100" t="s">
        <v>531</v>
      </c>
      <c r="G112" s="100" t="s">
        <v>524</v>
      </c>
      <c r="H112" s="234">
        <v>4</v>
      </c>
      <c r="I112" s="234">
        <v>4</v>
      </c>
      <c r="J112" s="234">
        <v>4</v>
      </c>
      <c r="K112" s="215">
        <v>10545.1</v>
      </c>
      <c r="L112" s="215">
        <v>4107.8999999999996</v>
      </c>
      <c r="M112" s="215">
        <v>6437.2</v>
      </c>
      <c r="N112" s="234">
        <v>0</v>
      </c>
      <c r="O112" s="215">
        <v>0</v>
      </c>
      <c r="P112" s="215">
        <v>0</v>
      </c>
      <c r="Q112" s="215">
        <v>0</v>
      </c>
      <c r="R112" s="232"/>
    </row>
    <row r="113" spans="1:18" ht="25.5" x14ac:dyDescent="0.25">
      <c r="A113" s="63">
        <v>5</v>
      </c>
      <c r="B113" s="100" t="s">
        <v>407</v>
      </c>
      <c r="C113" s="100" t="s">
        <v>62</v>
      </c>
      <c r="D113" s="100"/>
      <c r="E113" s="100" t="s">
        <v>157</v>
      </c>
      <c r="F113" s="100" t="s">
        <v>532</v>
      </c>
      <c r="G113" s="100" t="s">
        <v>524</v>
      </c>
      <c r="H113" s="234">
        <v>4</v>
      </c>
      <c r="I113" s="234">
        <v>1</v>
      </c>
      <c r="J113" s="234">
        <v>1</v>
      </c>
      <c r="K113" s="215">
        <v>3866.1</v>
      </c>
      <c r="L113" s="215">
        <v>0</v>
      </c>
      <c r="M113" s="215">
        <v>3866.1</v>
      </c>
      <c r="N113" s="234">
        <v>0</v>
      </c>
      <c r="O113" s="215">
        <v>0</v>
      </c>
      <c r="P113" s="215">
        <v>0</v>
      </c>
      <c r="Q113" s="215">
        <v>0</v>
      </c>
      <c r="R113" s="232"/>
    </row>
    <row r="114" spans="1:18" ht="25.5" x14ac:dyDescent="0.25">
      <c r="A114" s="63">
        <v>6</v>
      </c>
      <c r="B114" s="100" t="s">
        <v>185</v>
      </c>
      <c r="C114" s="100" t="s">
        <v>62</v>
      </c>
      <c r="D114" s="100"/>
      <c r="E114" s="100" t="s">
        <v>157</v>
      </c>
      <c r="F114" s="100" t="s">
        <v>533</v>
      </c>
      <c r="G114" s="100" t="s">
        <v>524</v>
      </c>
      <c r="H114" s="234">
        <v>4</v>
      </c>
      <c r="I114" s="234">
        <v>3</v>
      </c>
      <c r="J114" s="234">
        <v>3</v>
      </c>
      <c r="K114" s="215">
        <v>12249.46</v>
      </c>
      <c r="L114" s="215">
        <v>8615.4</v>
      </c>
      <c r="M114" s="215">
        <v>3634.06</v>
      </c>
      <c r="N114" s="234">
        <v>0</v>
      </c>
      <c r="O114" s="215">
        <v>0</v>
      </c>
      <c r="P114" s="215">
        <v>0</v>
      </c>
      <c r="Q114" s="215">
        <v>0</v>
      </c>
      <c r="R114" s="232"/>
    </row>
    <row r="115" spans="1:18" ht="25.5" x14ac:dyDescent="0.25">
      <c r="A115" s="63">
        <v>7</v>
      </c>
      <c r="B115" s="100" t="s">
        <v>534</v>
      </c>
      <c r="C115" s="100" t="s">
        <v>62</v>
      </c>
      <c r="D115" s="100"/>
      <c r="E115" s="100" t="s">
        <v>157</v>
      </c>
      <c r="F115" s="100" t="s">
        <v>535</v>
      </c>
      <c r="G115" s="100" t="s">
        <v>524</v>
      </c>
      <c r="H115" s="234">
        <v>1</v>
      </c>
      <c r="I115" s="234">
        <v>0</v>
      </c>
      <c r="J115" s="234">
        <v>0</v>
      </c>
      <c r="K115" s="215">
        <v>0</v>
      </c>
      <c r="L115" s="215">
        <v>0</v>
      </c>
      <c r="M115" s="215">
        <v>0</v>
      </c>
      <c r="N115" s="234">
        <v>0</v>
      </c>
      <c r="O115" s="215">
        <v>0</v>
      </c>
      <c r="P115" s="215">
        <v>0</v>
      </c>
      <c r="Q115" s="215">
        <v>0</v>
      </c>
      <c r="R115" s="232"/>
    </row>
    <row r="116" spans="1:18" ht="25.5" x14ac:dyDescent="0.25">
      <c r="A116" s="63">
        <v>8</v>
      </c>
      <c r="B116" s="100" t="s">
        <v>104</v>
      </c>
      <c r="C116" s="100" t="s">
        <v>62</v>
      </c>
      <c r="D116" s="100"/>
      <c r="E116" s="100" t="s">
        <v>158</v>
      </c>
      <c r="F116" s="233" t="s">
        <v>536</v>
      </c>
      <c r="G116" s="100" t="s">
        <v>524</v>
      </c>
      <c r="H116" s="234">
        <v>0</v>
      </c>
      <c r="I116" s="234">
        <v>0</v>
      </c>
      <c r="J116" s="234">
        <v>0</v>
      </c>
      <c r="K116" s="215">
        <v>0</v>
      </c>
      <c r="L116" s="215">
        <v>0</v>
      </c>
      <c r="M116" s="215">
        <v>0</v>
      </c>
      <c r="N116" s="234">
        <v>1</v>
      </c>
      <c r="O116" s="215">
        <v>3187.89</v>
      </c>
      <c r="P116" s="215">
        <v>0</v>
      </c>
      <c r="Q116" s="215">
        <v>3187.89</v>
      </c>
      <c r="R116" s="232"/>
    </row>
    <row r="117" spans="1:18" ht="25.5" x14ac:dyDescent="0.25">
      <c r="A117" s="63">
        <v>9</v>
      </c>
      <c r="B117" s="100" t="s">
        <v>30</v>
      </c>
      <c r="C117" s="100" t="s">
        <v>62</v>
      </c>
      <c r="D117" s="100"/>
      <c r="E117" s="100" t="s">
        <v>537</v>
      </c>
      <c r="F117" s="100" t="s">
        <v>592</v>
      </c>
      <c r="G117" s="100" t="s">
        <v>524</v>
      </c>
      <c r="H117" s="234">
        <v>0</v>
      </c>
      <c r="I117" s="234">
        <v>0</v>
      </c>
      <c r="J117" s="234">
        <v>0</v>
      </c>
      <c r="K117" s="215">
        <v>0</v>
      </c>
      <c r="L117" s="215">
        <v>0</v>
      </c>
      <c r="M117" s="215">
        <v>0</v>
      </c>
      <c r="N117" s="234">
        <v>0</v>
      </c>
      <c r="O117" s="215">
        <v>0</v>
      </c>
      <c r="P117" s="215">
        <v>0</v>
      </c>
      <c r="Q117" s="215">
        <v>0</v>
      </c>
      <c r="R117" s="232"/>
    </row>
    <row r="118" spans="1:18" x14ac:dyDescent="0.25">
      <c r="A118" s="235">
        <v>1</v>
      </c>
      <c r="B118" s="243" t="s">
        <v>47</v>
      </c>
      <c r="C118" s="243" t="s">
        <v>62</v>
      </c>
      <c r="D118" s="235"/>
      <c r="E118" s="245" t="s">
        <v>141</v>
      </c>
      <c r="F118" s="374" t="s">
        <v>448</v>
      </c>
      <c r="G118" s="245" t="s">
        <v>142</v>
      </c>
      <c r="H118" s="238">
        <v>7</v>
      </c>
      <c r="I118" s="238">
        <v>1</v>
      </c>
      <c r="J118" s="238">
        <v>1</v>
      </c>
      <c r="K118" s="241">
        <v>1233.4000000000001</v>
      </c>
      <c r="L118" s="241">
        <v>1233.4000000000001</v>
      </c>
      <c r="M118" s="241">
        <v>0</v>
      </c>
      <c r="N118" s="238">
        <v>22</v>
      </c>
      <c r="O118" s="241">
        <v>37867.42</v>
      </c>
      <c r="P118" s="241">
        <v>37867.42</v>
      </c>
      <c r="Q118" s="241">
        <v>0</v>
      </c>
    </row>
    <row r="119" spans="1:18" x14ac:dyDescent="0.25">
      <c r="A119" s="235">
        <f>A118+1</f>
        <v>2</v>
      </c>
      <c r="B119" s="243" t="s">
        <v>55</v>
      </c>
      <c r="C119" s="243" t="s">
        <v>62</v>
      </c>
      <c r="D119" s="235"/>
      <c r="E119" s="245" t="s">
        <v>141</v>
      </c>
      <c r="F119" s="374" t="s">
        <v>449</v>
      </c>
      <c r="G119" s="245" t="s">
        <v>142</v>
      </c>
      <c r="H119" s="238">
        <v>8</v>
      </c>
      <c r="I119" s="238">
        <v>4</v>
      </c>
      <c r="J119" s="238">
        <v>4</v>
      </c>
      <c r="K119" s="241">
        <v>4284.1000000000004</v>
      </c>
      <c r="L119" s="241">
        <v>4284.1000000000004</v>
      </c>
      <c r="M119" s="241">
        <v>0</v>
      </c>
      <c r="N119" s="238">
        <v>14</v>
      </c>
      <c r="O119" s="241">
        <v>29300.9</v>
      </c>
      <c r="P119" s="241">
        <v>29300.9</v>
      </c>
      <c r="Q119" s="241">
        <v>0</v>
      </c>
    </row>
    <row r="120" spans="1:18" x14ac:dyDescent="0.25">
      <c r="A120" s="235">
        <f>A119+1</f>
        <v>3</v>
      </c>
      <c r="B120" s="243" t="s">
        <v>122</v>
      </c>
      <c r="C120" s="243" t="s">
        <v>62</v>
      </c>
      <c r="D120" s="235"/>
      <c r="E120" s="245" t="s">
        <v>143</v>
      </c>
      <c r="F120" s="374" t="s">
        <v>450</v>
      </c>
      <c r="G120" s="245" t="s">
        <v>142</v>
      </c>
      <c r="H120" s="238">
        <v>5</v>
      </c>
      <c r="I120" s="238">
        <v>2</v>
      </c>
      <c r="J120" s="238">
        <v>2</v>
      </c>
      <c r="K120" s="241">
        <v>2301.25</v>
      </c>
      <c r="L120" s="241">
        <v>1012.55</v>
      </c>
      <c r="M120" s="241">
        <v>0</v>
      </c>
      <c r="N120" s="238">
        <v>6</v>
      </c>
      <c r="O120" s="241">
        <v>13201.89</v>
      </c>
      <c r="P120" s="241">
        <v>13201.89</v>
      </c>
      <c r="Q120" s="241">
        <v>0</v>
      </c>
    </row>
    <row r="121" spans="1:18" x14ac:dyDescent="0.25">
      <c r="A121" s="235">
        <f>A120+1</f>
        <v>4</v>
      </c>
      <c r="B121" s="243" t="s">
        <v>144</v>
      </c>
      <c r="C121" s="243" t="s">
        <v>62</v>
      </c>
      <c r="D121" s="235"/>
      <c r="E121" s="245" t="s">
        <v>141</v>
      </c>
      <c r="F121" s="374" t="s">
        <v>451</v>
      </c>
      <c r="G121" s="245" t="s">
        <v>142</v>
      </c>
      <c r="H121" s="238">
        <v>7</v>
      </c>
      <c r="I121" s="238">
        <v>7</v>
      </c>
      <c r="J121" s="238">
        <v>7</v>
      </c>
      <c r="K121" s="241">
        <v>8121.62</v>
      </c>
      <c r="L121" s="241">
        <v>8121.62</v>
      </c>
      <c r="M121" s="241">
        <v>0</v>
      </c>
      <c r="N121" s="238">
        <v>3</v>
      </c>
      <c r="O121" s="241">
        <v>3595.1</v>
      </c>
      <c r="P121" s="241">
        <v>3595.1</v>
      </c>
      <c r="Q121" s="241">
        <v>0</v>
      </c>
    </row>
    <row r="122" spans="1:18" x14ac:dyDescent="0.25">
      <c r="A122" s="235">
        <f>A121+1</f>
        <v>5</v>
      </c>
      <c r="B122" s="243" t="s">
        <v>46</v>
      </c>
      <c r="C122" s="243" t="s">
        <v>62</v>
      </c>
      <c r="D122" s="235"/>
      <c r="E122" s="245" t="s">
        <v>452</v>
      </c>
      <c r="F122" s="374" t="s">
        <v>453</v>
      </c>
      <c r="G122" s="245" t="s">
        <v>142</v>
      </c>
      <c r="H122" s="238">
        <v>0</v>
      </c>
      <c r="I122" s="238">
        <v>0</v>
      </c>
      <c r="J122" s="238">
        <v>0</v>
      </c>
      <c r="K122" s="241">
        <v>0</v>
      </c>
      <c r="L122" s="241">
        <v>0</v>
      </c>
      <c r="M122" s="241">
        <v>0</v>
      </c>
      <c r="N122" s="238">
        <v>0</v>
      </c>
      <c r="O122" s="241">
        <v>0</v>
      </c>
      <c r="P122" s="241">
        <v>0</v>
      </c>
      <c r="Q122" s="241">
        <v>0</v>
      </c>
      <c r="R122" s="306"/>
    </row>
    <row r="123" spans="1:18" x14ac:dyDescent="0.25">
      <c r="A123" s="236">
        <v>6</v>
      </c>
      <c r="B123" s="245" t="s">
        <v>133</v>
      </c>
      <c r="C123" s="245" t="s">
        <v>67</v>
      </c>
      <c r="D123" s="245" t="s">
        <v>397</v>
      </c>
      <c r="E123" s="245" t="s">
        <v>74</v>
      </c>
      <c r="F123" s="374" t="s">
        <v>593</v>
      </c>
      <c r="G123" s="245" t="s">
        <v>142</v>
      </c>
      <c r="H123" s="238">
        <v>0</v>
      </c>
      <c r="I123" s="239">
        <v>0</v>
      </c>
      <c r="J123" s="239">
        <v>0</v>
      </c>
      <c r="K123" s="242">
        <v>0</v>
      </c>
      <c r="L123" s="242">
        <v>0</v>
      </c>
      <c r="M123" s="242">
        <v>0</v>
      </c>
      <c r="N123" s="238">
        <v>0</v>
      </c>
      <c r="O123" s="241">
        <v>0</v>
      </c>
      <c r="P123" s="241">
        <v>0</v>
      </c>
      <c r="Q123" s="241">
        <v>0</v>
      </c>
      <c r="R123" s="306"/>
    </row>
    <row r="124" spans="1:18" x14ac:dyDescent="0.25">
      <c r="A124" s="236">
        <v>7</v>
      </c>
      <c r="B124" s="245" t="s">
        <v>176</v>
      </c>
      <c r="C124" s="245" t="s">
        <v>62</v>
      </c>
      <c r="D124" s="236"/>
      <c r="E124" s="245" t="s">
        <v>141</v>
      </c>
      <c r="F124" s="374" t="s">
        <v>455</v>
      </c>
      <c r="G124" s="245" t="s">
        <v>142</v>
      </c>
      <c r="H124" s="238">
        <v>12</v>
      </c>
      <c r="I124" s="238">
        <v>9</v>
      </c>
      <c r="J124" s="238">
        <v>9</v>
      </c>
      <c r="K124" s="241">
        <v>10807.76</v>
      </c>
      <c r="L124" s="241">
        <v>10807.76</v>
      </c>
      <c r="M124" s="241">
        <v>0</v>
      </c>
      <c r="N124" s="238">
        <v>0</v>
      </c>
      <c r="O124" s="241">
        <v>0</v>
      </c>
      <c r="P124" s="241">
        <v>0</v>
      </c>
      <c r="Q124" s="241">
        <v>0</v>
      </c>
      <c r="R124" s="306"/>
    </row>
    <row r="125" spans="1:18" x14ac:dyDescent="0.25">
      <c r="A125" s="236">
        <v>8</v>
      </c>
      <c r="B125" s="245" t="s">
        <v>235</v>
      </c>
      <c r="C125" s="245" t="s">
        <v>62</v>
      </c>
      <c r="D125" s="236"/>
      <c r="E125" s="245" t="s">
        <v>456</v>
      </c>
      <c r="F125" s="374" t="s">
        <v>457</v>
      </c>
      <c r="G125" s="245" t="s">
        <v>142</v>
      </c>
      <c r="H125" s="239">
        <v>3</v>
      </c>
      <c r="I125" s="239">
        <v>3</v>
      </c>
      <c r="J125" s="239">
        <v>3</v>
      </c>
      <c r="K125" s="242">
        <v>2269.65</v>
      </c>
      <c r="L125" s="242">
        <v>2269.65</v>
      </c>
      <c r="M125" s="242">
        <v>0</v>
      </c>
      <c r="N125" s="238">
        <v>0</v>
      </c>
      <c r="O125" s="241">
        <v>0</v>
      </c>
      <c r="P125" s="241">
        <v>0</v>
      </c>
      <c r="Q125" s="241">
        <v>0</v>
      </c>
      <c r="R125" s="306"/>
    </row>
    <row r="126" spans="1:18" x14ac:dyDescent="0.25">
      <c r="A126" s="236">
        <v>9</v>
      </c>
      <c r="B126" s="245" t="s">
        <v>251</v>
      </c>
      <c r="C126" s="245" t="s">
        <v>62</v>
      </c>
      <c r="D126" s="236"/>
      <c r="E126" s="245" t="s">
        <v>141</v>
      </c>
      <c r="F126" s="374" t="s">
        <v>458</v>
      </c>
      <c r="G126" s="245" t="s">
        <v>142</v>
      </c>
      <c r="H126" s="238">
        <v>5</v>
      </c>
      <c r="I126" s="238">
        <v>3</v>
      </c>
      <c r="J126" s="238">
        <v>3</v>
      </c>
      <c r="K126" s="241">
        <v>3434.7</v>
      </c>
      <c r="L126" s="241">
        <v>3434.7</v>
      </c>
      <c r="M126" s="241">
        <v>0</v>
      </c>
      <c r="N126" s="238">
        <v>0</v>
      </c>
      <c r="O126" s="241">
        <v>0</v>
      </c>
      <c r="P126" s="241">
        <v>0</v>
      </c>
      <c r="Q126" s="241">
        <v>0</v>
      </c>
      <c r="R126" s="306"/>
    </row>
    <row r="127" spans="1:18" x14ac:dyDescent="0.25">
      <c r="A127" s="236">
        <v>10</v>
      </c>
      <c r="B127" s="245" t="s">
        <v>30</v>
      </c>
      <c r="C127" s="245" t="s">
        <v>62</v>
      </c>
      <c r="D127" s="236"/>
      <c r="E127" s="245" t="s">
        <v>459</v>
      </c>
      <c r="F127" s="374" t="s">
        <v>460</v>
      </c>
      <c r="G127" s="245" t="s">
        <v>142</v>
      </c>
      <c r="H127" s="238">
        <v>1</v>
      </c>
      <c r="I127" s="238">
        <v>0</v>
      </c>
      <c r="J127" s="238">
        <v>0</v>
      </c>
      <c r="K127" s="241">
        <v>0</v>
      </c>
      <c r="L127" s="241">
        <v>0</v>
      </c>
      <c r="M127" s="241">
        <v>0</v>
      </c>
      <c r="N127" s="238">
        <v>0</v>
      </c>
      <c r="O127" s="241">
        <v>0</v>
      </c>
      <c r="P127" s="241">
        <v>0</v>
      </c>
      <c r="Q127" s="241">
        <v>0</v>
      </c>
      <c r="R127" s="306"/>
    </row>
    <row r="128" spans="1:18" x14ac:dyDescent="0.25">
      <c r="A128" s="236">
        <v>11</v>
      </c>
      <c r="B128" s="245" t="s">
        <v>35</v>
      </c>
      <c r="C128" s="245" t="s">
        <v>62</v>
      </c>
      <c r="D128" s="236"/>
      <c r="E128" s="375" t="s">
        <v>461</v>
      </c>
      <c r="F128" s="374" t="s">
        <v>462</v>
      </c>
      <c r="G128" s="245" t="s">
        <v>142</v>
      </c>
      <c r="H128" s="238">
        <v>1</v>
      </c>
      <c r="I128" s="238">
        <v>0</v>
      </c>
      <c r="J128" s="238">
        <v>0</v>
      </c>
      <c r="K128" s="241">
        <v>0</v>
      </c>
      <c r="L128" s="241">
        <v>0</v>
      </c>
      <c r="M128" s="241">
        <v>0</v>
      </c>
      <c r="N128" s="238">
        <v>0</v>
      </c>
      <c r="O128" s="241">
        <v>0</v>
      </c>
      <c r="P128" s="241">
        <v>0</v>
      </c>
      <c r="Q128" s="241">
        <v>0</v>
      </c>
      <c r="R128" s="306"/>
    </row>
    <row r="129" spans="1:18" ht="15" customHeight="1" x14ac:dyDescent="0.25">
      <c r="A129" s="370">
        <v>1</v>
      </c>
      <c r="B129" s="1" t="s">
        <v>19</v>
      </c>
      <c r="C129" s="1" t="s">
        <v>62</v>
      </c>
      <c r="D129" s="48"/>
      <c r="E129" s="1" t="s">
        <v>71</v>
      </c>
      <c r="F129" s="1" t="s">
        <v>394</v>
      </c>
      <c r="G129" s="48" t="s">
        <v>395</v>
      </c>
      <c r="H129" s="48">
        <v>1</v>
      </c>
      <c r="I129" s="289">
        <v>0</v>
      </c>
      <c r="J129" s="290">
        <v>0</v>
      </c>
      <c r="K129" s="28">
        <v>0</v>
      </c>
      <c r="L129" s="28">
        <v>0</v>
      </c>
      <c r="M129" s="28">
        <v>0</v>
      </c>
      <c r="N129" s="291">
        <v>0</v>
      </c>
      <c r="O129" s="292">
        <v>0</v>
      </c>
      <c r="P129" s="292">
        <v>0</v>
      </c>
      <c r="Q129" s="337">
        <f t="shared" ref="Q129:Q139" si="5">O129-P129</f>
        <v>0</v>
      </c>
      <c r="R129" s="376"/>
    </row>
    <row r="130" spans="1:18" ht="53.25" customHeight="1" x14ac:dyDescent="0.25">
      <c r="A130" s="56">
        <f>A129+1</f>
        <v>2</v>
      </c>
      <c r="B130" s="1" t="s">
        <v>90</v>
      </c>
      <c r="C130" s="1" t="s">
        <v>62</v>
      </c>
      <c r="D130" s="1" t="s">
        <v>63</v>
      </c>
      <c r="E130" s="1" t="s">
        <v>205</v>
      </c>
      <c r="F130" s="1" t="s">
        <v>396</v>
      </c>
      <c r="G130" s="27" t="s">
        <v>395</v>
      </c>
      <c r="H130" s="27">
        <v>9</v>
      </c>
      <c r="I130" s="27">
        <v>9</v>
      </c>
      <c r="J130" s="27">
        <v>9</v>
      </c>
      <c r="K130" s="28">
        <v>11276.8</v>
      </c>
      <c r="L130" s="28">
        <v>11276.8</v>
      </c>
      <c r="M130" s="28">
        <f t="shared" ref="M130:M139" si="6">K130-L130</f>
        <v>0</v>
      </c>
      <c r="N130" s="27">
        <v>20</v>
      </c>
      <c r="O130" s="28">
        <v>28791.88</v>
      </c>
      <c r="P130" s="28">
        <v>28791.88</v>
      </c>
      <c r="Q130" s="337">
        <f t="shared" si="5"/>
        <v>0</v>
      </c>
      <c r="R130" s="6"/>
    </row>
    <row r="131" spans="1:18" x14ac:dyDescent="0.25">
      <c r="A131" s="56">
        <f>A130+1</f>
        <v>3</v>
      </c>
      <c r="B131" s="48" t="s">
        <v>133</v>
      </c>
      <c r="C131" s="48" t="s">
        <v>67</v>
      </c>
      <c r="D131" s="48" t="s">
        <v>397</v>
      </c>
      <c r="E131" s="48" t="s">
        <v>74</v>
      </c>
      <c r="F131" s="1" t="s">
        <v>398</v>
      </c>
      <c r="G131" s="27" t="s">
        <v>395</v>
      </c>
      <c r="H131" s="27">
        <v>11</v>
      </c>
      <c r="I131" s="27">
        <v>1</v>
      </c>
      <c r="J131" s="27">
        <v>1</v>
      </c>
      <c r="K131" s="28">
        <v>1057.2</v>
      </c>
      <c r="L131" s="28">
        <v>1057.2</v>
      </c>
      <c r="M131" s="28">
        <f t="shared" si="6"/>
        <v>0</v>
      </c>
      <c r="N131" s="27">
        <v>8</v>
      </c>
      <c r="O131" s="28">
        <v>11920.73</v>
      </c>
      <c r="P131" s="28">
        <v>11920.73</v>
      </c>
      <c r="Q131" s="337">
        <f t="shared" si="5"/>
        <v>0</v>
      </c>
      <c r="R131" s="6"/>
    </row>
    <row r="132" spans="1:18" ht="25.5" x14ac:dyDescent="0.25">
      <c r="A132" s="56">
        <v>4</v>
      </c>
      <c r="B132" s="1" t="s">
        <v>399</v>
      </c>
      <c r="C132" s="1" t="s">
        <v>62</v>
      </c>
      <c r="D132" s="1"/>
      <c r="E132" s="1" t="s">
        <v>400</v>
      </c>
      <c r="F132" s="1" t="s">
        <v>401</v>
      </c>
      <c r="G132" s="27" t="s">
        <v>395</v>
      </c>
      <c r="H132" s="27">
        <v>29</v>
      </c>
      <c r="I132" s="27">
        <v>8</v>
      </c>
      <c r="J132" s="27">
        <v>8</v>
      </c>
      <c r="K132" s="28">
        <v>9441.2999999999993</v>
      </c>
      <c r="L132" s="28">
        <v>9441.2999999999993</v>
      </c>
      <c r="M132" s="28">
        <f t="shared" si="6"/>
        <v>0</v>
      </c>
      <c r="N132" s="27">
        <v>0</v>
      </c>
      <c r="O132" s="28">
        <v>0</v>
      </c>
      <c r="P132" s="28">
        <v>0</v>
      </c>
      <c r="Q132" s="337">
        <f t="shared" si="5"/>
        <v>0</v>
      </c>
      <c r="R132" s="6"/>
    </row>
    <row r="133" spans="1:18" x14ac:dyDescent="0.25">
      <c r="A133" s="56">
        <v>5</v>
      </c>
      <c r="B133" s="1" t="s">
        <v>402</v>
      </c>
      <c r="C133" s="1" t="s">
        <v>62</v>
      </c>
      <c r="D133" s="1"/>
      <c r="E133" s="48" t="s">
        <v>74</v>
      </c>
      <c r="F133" s="1" t="s">
        <v>403</v>
      </c>
      <c r="G133" s="27" t="s">
        <v>395</v>
      </c>
      <c r="H133" s="27">
        <v>2</v>
      </c>
      <c r="I133" s="27">
        <v>2</v>
      </c>
      <c r="J133" s="27">
        <v>2</v>
      </c>
      <c r="K133" s="28">
        <v>3815.95</v>
      </c>
      <c r="L133" s="28">
        <v>3815.95</v>
      </c>
      <c r="M133" s="28">
        <f t="shared" si="6"/>
        <v>0</v>
      </c>
      <c r="N133" s="27">
        <v>0</v>
      </c>
      <c r="O133" s="28">
        <v>0</v>
      </c>
      <c r="P133" s="28">
        <v>0</v>
      </c>
      <c r="Q133" s="337">
        <f t="shared" si="5"/>
        <v>0</v>
      </c>
      <c r="R133" s="6"/>
    </row>
    <row r="134" spans="1:18" ht="25.5" x14ac:dyDescent="0.25">
      <c r="A134" s="56">
        <v>6</v>
      </c>
      <c r="B134" s="1" t="s">
        <v>48</v>
      </c>
      <c r="C134" s="1" t="s">
        <v>62</v>
      </c>
      <c r="D134" s="1"/>
      <c r="E134" s="1" t="s">
        <v>81</v>
      </c>
      <c r="F134" s="1" t="s">
        <v>404</v>
      </c>
      <c r="G134" s="27" t="s">
        <v>395</v>
      </c>
      <c r="H134" s="27">
        <v>29</v>
      </c>
      <c r="I134" s="27">
        <v>4</v>
      </c>
      <c r="J134" s="27">
        <v>4</v>
      </c>
      <c r="K134" s="28">
        <v>4581.2</v>
      </c>
      <c r="L134" s="28">
        <v>4581.2</v>
      </c>
      <c r="M134" s="28">
        <f t="shared" si="6"/>
        <v>0</v>
      </c>
      <c r="N134" s="27">
        <v>17</v>
      </c>
      <c r="O134" s="28">
        <v>43761.64</v>
      </c>
      <c r="P134" s="28">
        <v>39997.040000000001</v>
      </c>
      <c r="Q134" s="337">
        <f t="shared" si="5"/>
        <v>3764.5999999999985</v>
      </c>
      <c r="R134" s="6"/>
    </row>
    <row r="135" spans="1:18" x14ac:dyDescent="0.25">
      <c r="A135" s="56">
        <v>7</v>
      </c>
      <c r="B135" s="1" t="s">
        <v>39</v>
      </c>
      <c r="C135" s="1" t="s">
        <v>62</v>
      </c>
      <c r="D135" s="1"/>
      <c r="E135" s="1" t="s">
        <v>77</v>
      </c>
      <c r="F135" s="1" t="s">
        <v>405</v>
      </c>
      <c r="G135" s="27" t="s">
        <v>395</v>
      </c>
      <c r="H135" s="27">
        <v>32</v>
      </c>
      <c r="I135" s="27">
        <v>0</v>
      </c>
      <c r="J135" s="27">
        <v>0</v>
      </c>
      <c r="K135" s="28">
        <v>0</v>
      </c>
      <c r="L135" s="28">
        <v>0</v>
      </c>
      <c r="M135" s="28">
        <f t="shared" si="6"/>
        <v>0</v>
      </c>
      <c r="N135" s="27">
        <v>12</v>
      </c>
      <c r="O135" s="28">
        <v>19910.599999999999</v>
      </c>
      <c r="P135" s="28">
        <v>19910.599999999999</v>
      </c>
      <c r="Q135" s="337">
        <f t="shared" si="5"/>
        <v>0</v>
      </c>
      <c r="R135" s="6"/>
    </row>
    <row r="136" spans="1:18" x14ac:dyDescent="0.25">
      <c r="A136" s="56">
        <v>8</v>
      </c>
      <c r="B136" s="1" t="s">
        <v>127</v>
      </c>
      <c r="C136" s="1" t="s">
        <v>62</v>
      </c>
      <c r="D136" s="1"/>
      <c r="E136" s="48" t="s">
        <v>74</v>
      </c>
      <c r="F136" s="1" t="s">
        <v>406</v>
      </c>
      <c r="G136" s="27" t="s">
        <v>395</v>
      </c>
      <c r="H136" s="27">
        <v>0</v>
      </c>
      <c r="I136" s="27">
        <v>0</v>
      </c>
      <c r="J136" s="27">
        <v>0</v>
      </c>
      <c r="K136" s="28">
        <v>0</v>
      </c>
      <c r="L136" s="28">
        <v>0</v>
      </c>
      <c r="M136" s="28">
        <f t="shared" si="6"/>
        <v>0</v>
      </c>
      <c r="N136" s="27">
        <v>1</v>
      </c>
      <c r="O136" s="28">
        <v>264.3</v>
      </c>
      <c r="P136" s="28">
        <v>264.3</v>
      </c>
      <c r="Q136" s="337">
        <f t="shared" si="5"/>
        <v>0</v>
      </c>
      <c r="R136" s="6"/>
    </row>
    <row r="137" spans="1:18" ht="25.5" x14ac:dyDescent="0.25">
      <c r="A137" s="56">
        <v>9</v>
      </c>
      <c r="B137" s="1" t="s">
        <v>561</v>
      </c>
      <c r="C137" s="1" t="s">
        <v>62</v>
      </c>
      <c r="D137" s="1"/>
      <c r="E137" s="1" t="s">
        <v>81</v>
      </c>
      <c r="F137" s="1" t="s">
        <v>562</v>
      </c>
      <c r="G137" s="27" t="s">
        <v>395</v>
      </c>
      <c r="H137" s="27">
        <v>28</v>
      </c>
      <c r="I137" s="27">
        <v>0</v>
      </c>
      <c r="J137" s="27">
        <v>0</v>
      </c>
      <c r="K137" s="28">
        <v>0</v>
      </c>
      <c r="L137" s="28">
        <v>0</v>
      </c>
      <c r="M137" s="28">
        <f t="shared" si="6"/>
        <v>0</v>
      </c>
      <c r="N137" s="27">
        <v>0</v>
      </c>
      <c r="O137" s="28">
        <v>0</v>
      </c>
      <c r="P137" s="28">
        <v>0</v>
      </c>
      <c r="Q137" s="337">
        <f t="shared" si="5"/>
        <v>0</v>
      </c>
      <c r="R137" s="6"/>
    </row>
    <row r="138" spans="1:18" ht="25.5" x14ac:dyDescent="0.25">
      <c r="A138" s="56">
        <v>10</v>
      </c>
      <c r="B138" s="1" t="s">
        <v>563</v>
      </c>
      <c r="C138" s="1" t="s">
        <v>62</v>
      </c>
      <c r="D138" s="1"/>
      <c r="E138" s="1" t="s">
        <v>81</v>
      </c>
      <c r="F138" s="1" t="s">
        <v>564</v>
      </c>
      <c r="G138" s="27" t="s">
        <v>395</v>
      </c>
      <c r="H138" s="27">
        <v>28</v>
      </c>
      <c r="I138" s="27">
        <v>0</v>
      </c>
      <c r="J138" s="27">
        <v>1</v>
      </c>
      <c r="K138" s="28">
        <v>2643</v>
      </c>
      <c r="L138" s="28">
        <v>2643</v>
      </c>
      <c r="M138" s="28">
        <f t="shared" si="6"/>
        <v>0</v>
      </c>
      <c r="N138" s="27">
        <v>0</v>
      </c>
      <c r="O138" s="28">
        <v>0</v>
      </c>
      <c r="P138" s="28">
        <v>0</v>
      </c>
      <c r="Q138" s="337">
        <f t="shared" si="5"/>
        <v>0</v>
      </c>
      <c r="R138" s="6"/>
    </row>
    <row r="139" spans="1:18" ht="25.5" x14ac:dyDescent="0.25">
      <c r="A139" s="56">
        <v>11</v>
      </c>
      <c r="B139" s="1" t="s">
        <v>53</v>
      </c>
      <c r="C139" s="1" t="s">
        <v>62</v>
      </c>
      <c r="D139" s="1"/>
      <c r="E139" s="48" t="s">
        <v>74</v>
      </c>
      <c r="F139" s="1" t="s">
        <v>634</v>
      </c>
      <c r="G139" s="27" t="s">
        <v>395</v>
      </c>
      <c r="H139" s="27">
        <v>11</v>
      </c>
      <c r="I139" s="27">
        <v>0</v>
      </c>
      <c r="J139" s="27">
        <v>0</v>
      </c>
      <c r="K139" s="28">
        <v>0</v>
      </c>
      <c r="L139" s="28">
        <v>0</v>
      </c>
      <c r="M139" s="28">
        <f t="shared" si="6"/>
        <v>0</v>
      </c>
      <c r="N139" s="291">
        <v>0</v>
      </c>
      <c r="O139" s="292">
        <v>0</v>
      </c>
      <c r="P139" s="292">
        <v>0</v>
      </c>
      <c r="Q139" s="337">
        <f t="shared" si="5"/>
        <v>0</v>
      </c>
      <c r="R139" s="6"/>
    </row>
    <row r="140" spans="1:18" ht="25.5" x14ac:dyDescent="0.25">
      <c r="A140" s="36">
        <v>1</v>
      </c>
      <c r="B140" s="3" t="s">
        <v>159</v>
      </c>
      <c r="C140" s="3" t="s">
        <v>62</v>
      </c>
      <c r="D140" s="3" t="s">
        <v>63</v>
      </c>
      <c r="E140" s="3" t="s">
        <v>121</v>
      </c>
      <c r="F140" s="3" t="s">
        <v>160</v>
      </c>
      <c r="G140" s="4" t="s">
        <v>85</v>
      </c>
      <c r="H140" s="4">
        <v>3</v>
      </c>
      <c r="I140" s="4">
        <v>3</v>
      </c>
      <c r="J140" s="4">
        <v>3</v>
      </c>
      <c r="K140" s="5">
        <f>L140+M140</f>
        <v>1493.3</v>
      </c>
      <c r="L140" s="5">
        <v>1493.3</v>
      </c>
      <c r="M140" s="5">
        <v>0</v>
      </c>
      <c r="N140" s="4">
        <v>8</v>
      </c>
      <c r="O140" s="5">
        <f>P140+Q140</f>
        <v>26421.62</v>
      </c>
      <c r="P140" s="5">
        <f>28053.94-1632.32</f>
        <v>26421.62</v>
      </c>
      <c r="Q140" s="5">
        <v>0</v>
      </c>
      <c r="R140" s="6"/>
    </row>
    <row r="141" spans="1:18" x14ac:dyDescent="0.25">
      <c r="A141" s="348">
        <f>A140+1</f>
        <v>2</v>
      </c>
      <c r="B141" s="3" t="s">
        <v>581</v>
      </c>
      <c r="C141" s="3" t="s">
        <v>62</v>
      </c>
      <c r="D141" s="3" t="s">
        <v>63</v>
      </c>
      <c r="E141" s="3" t="s">
        <v>74</v>
      </c>
      <c r="F141" s="3" t="s">
        <v>582</v>
      </c>
      <c r="G141" s="4" t="s">
        <v>85</v>
      </c>
      <c r="H141" s="4">
        <v>0</v>
      </c>
      <c r="I141" s="4">
        <v>0</v>
      </c>
      <c r="J141" s="4">
        <v>0</v>
      </c>
      <c r="K141" s="5">
        <f t="shared" ref="K141:K204" si="7">L141+M141</f>
        <v>0</v>
      </c>
      <c r="L141" s="5">
        <v>0</v>
      </c>
      <c r="M141" s="5">
        <v>0</v>
      </c>
      <c r="N141" s="4">
        <v>2</v>
      </c>
      <c r="O141" s="5">
        <f t="shared" ref="O141:O204" si="8">P141+Q141</f>
        <v>0</v>
      </c>
      <c r="P141" s="5">
        <v>0</v>
      </c>
      <c r="Q141" s="5">
        <v>0</v>
      </c>
      <c r="R141" s="6"/>
    </row>
    <row r="142" spans="1:18" ht="25.5" x14ac:dyDescent="0.25">
      <c r="A142" s="348">
        <f t="shared" ref="A142:A205" si="9">A141+1</f>
        <v>3</v>
      </c>
      <c r="B142" s="3" t="s">
        <v>18</v>
      </c>
      <c r="C142" s="3" t="s">
        <v>62</v>
      </c>
      <c r="D142" s="3" t="s">
        <v>63</v>
      </c>
      <c r="E142" s="3" t="s">
        <v>70</v>
      </c>
      <c r="F142" s="3" t="s">
        <v>565</v>
      </c>
      <c r="G142" s="4" t="s">
        <v>85</v>
      </c>
      <c r="H142" s="4">
        <v>5</v>
      </c>
      <c r="I142" s="4">
        <v>1</v>
      </c>
      <c r="J142" s="4">
        <v>1</v>
      </c>
      <c r="K142" s="5">
        <f t="shared" si="7"/>
        <v>0</v>
      </c>
      <c r="L142" s="5">
        <v>0</v>
      </c>
      <c r="M142" s="5">
        <v>0</v>
      </c>
      <c r="N142" s="4">
        <v>2</v>
      </c>
      <c r="O142" s="5">
        <f t="shared" si="8"/>
        <v>1585.8</v>
      </c>
      <c r="P142" s="5">
        <v>1585.8</v>
      </c>
      <c r="Q142" s="5">
        <v>0</v>
      </c>
      <c r="R142" s="6"/>
    </row>
    <row r="143" spans="1:18" x14ac:dyDescent="0.25">
      <c r="A143" s="348">
        <f t="shared" si="9"/>
        <v>4</v>
      </c>
      <c r="B143" s="3" t="s">
        <v>19</v>
      </c>
      <c r="C143" s="3" t="s">
        <v>62</v>
      </c>
      <c r="D143" s="3" t="s">
        <v>63</v>
      </c>
      <c r="E143" s="3" t="s">
        <v>71</v>
      </c>
      <c r="F143" s="3" t="s">
        <v>162</v>
      </c>
      <c r="G143" s="4" t="s">
        <v>85</v>
      </c>
      <c r="H143" s="4">
        <v>99</v>
      </c>
      <c r="I143" s="4">
        <v>82</v>
      </c>
      <c r="J143" s="4">
        <v>108</v>
      </c>
      <c r="K143" s="5">
        <f t="shared" si="7"/>
        <v>98370.9</v>
      </c>
      <c r="L143" s="5">
        <v>81168.42</v>
      </c>
      <c r="M143" s="5">
        <v>17202.48</v>
      </c>
      <c r="N143" s="4">
        <v>26</v>
      </c>
      <c r="O143" s="5">
        <f t="shared" si="8"/>
        <v>81565.89</v>
      </c>
      <c r="P143" s="5">
        <v>72074.95</v>
      </c>
      <c r="Q143" s="5">
        <v>9490.94</v>
      </c>
      <c r="R143" s="6"/>
    </row>
    <row r="144" spans="1:18" x14ac:dyDescent="0.25">
      <c r="A144" s="348">
        <f t="shared" si="9"/>
        <v>5</v>
      </c>
      <c r="B144" s="3" t="s">
        <v>86</v>
      </c>
      <c r="C144" s="3" t="s">
        <v>62</v>
      </c>
      <c r="D144" s="3" t="s">
        <v>63</v>
      </c>
      <c r="E144" s="3" t="s">
        <v>74</v>
      </c>
      <c r="F144" s="3" t="s">
        <v>165</v>
      </c>
      <c r="G144" s="4" t="s">
        <v>85</v>
      </c>
      <c r="H144" s="4">
        <v>48</v>
      </c>
      <c r="I144" s="4">
        <v>31</v>
      </c>
      <c r="J144" s="4">
        <v>33</v>
      </c>
      <c r="K144" s="5">
        <f t="shared" si="7"/>
        <v>26897.93</v>
      </c>
      <c r="L144" s="5">
        <v>24521.22</v>
      </c>
      <c r="M144" s="5">
        <v>2376.71</v>
      </c>
      <c r="N144" s="4">
        <v>20</v>
      </c>
      <c r="O144" s="5">
        <f t="shared" si="8"/>
        <v>53578.649999999994</v>
      </c>
      <c r="P144" s="5">
        <f>49473.84+607.89</f>
        <v>50081.729999999996</v>
      </c>
      <c r="Q144" s="5">
        <f>8632.94-5136.02</f>
        <v>3496.92</v>
      </c>
      <c r="R144" s="6"/>
    </row>
    <row r="145" spans="1:18" x14ac:dyDescent="0.25">
      <c r="A145" s="348">
        <f t="shared" si="9"/>
        <v>6</v>
      </c>
      <c r="B145" s="3" t="s">
        <v>166</v>
      </c>
      <c r="C145" s="3" t="s">
        <v>62</v>
      </c>
      <c r="D145" s="3" t="s">
        <v>63</v>
      </c>
      <c r="E145" s="3" t="s">
        <v>63</v>
      </c>
      <c r="F145" s="3" t="s">
        <v>167</v>
      </c>
      <c r="G145" s="4" t="s">
        <v>85</v>
      </c>
      <c r="H145" s="4">
        <v>19</v>
      </c>
      <c r="I145" s="4">
        <v>11</v>
      </c>
      <c r="J145" s="4">
        <v>11</v>
      </c>
      <c r="K145" s="5">
        <f t="shared" si="7"/>
        <v>12377.17</v>
      </c>
      <c r="L145" s="5">
        <v>12377.17</v>
      </c>
      <c r="M145" s="5">
        <v>0</v>
      </c>
      <c r="N145" s="4">
        <v>0</v>
      </c>
      <c r="O145" s="5">
        <f t="shared" si="8"/>
        <v>0</v>
      </c>
      <c r="P145" s="5">
        <v>0</v>
      </c>
      <c r="Q145" s="5">
        <v>0</v>
      </c>
      <c r="R145" s="6"/>
    </row>
    <row r="146" spans="1:18" x14ac:dyDescent="0.25">
      <c r="A146" s="348">
        <f t="shared" si="9"/>
        <v>7</v>
      </c>
      <c r="B146" s="3" t="s">
        <v>168</v>
      </c>
      <c r="C146" s="3" t="s">
        <v>62</v>
      </c>
      <c r="D146" s="3" t="s">
        <v>63</v>
      </c>
      <c r="E146" s="3" t="s">
        <v>63</v>
      </c>
      <c r="F146" s="3" t="s">
        <v>169</v>
      </c>
      <c r="G146" s="4" t="s">
        <v>85</v>
      </c>
      <c r="H146" s="4">
        <v>36</v>
      </c>
      <c r="I146" s="4">
        <v>28</v>
      </c>
      <c r="J146" s="4">
        <v>32</v>
      </c>
      <c r="K146" s="5">
        <f t="shared" si="7"/>
        <v>16491.64</v>
      </c>
      <c r="L146" s="5">
        <v>16491.64</v>
      </c>
      <c r="M146" s="5">
        <v>0</v>
      </c>
      <c r="N146" s="4">
        <v>0</v>
      </c>
      <c r="O146" s="5">
        <f t="shared" si="8"/>
        <v>0</v>
      </c>
      <c r="P146" s="5">
        <v>0</v>
      </c>
      <c r="Q146" s="5">
        <v>0</v>
      </c>
      <c r="R146" s="6"/>
    </row>
    <row r="147" spans="1:18" x14ac:dyDescent="0.25">
      <c r="A147" s="348">
        <f t="shared" si="9"/>
        <v>8</v>
      </c>
      <c r="B147" s="3" t="s">
        <v>21</v>
      </c>
      <c r="C147" s="3" t="s">
        <v>62</v>
      </c>
      <c r="D147" s="3" t="s">
        <v>63</v>
      </c>
      <c r="E147" s="3" t="s">
        <v>73</v>
      </c>
      <c r="F147" s="3" t="s">
        <v>170</v>
      </c>
      <c r="G147" s="4" t="s">
        <v>85</v>
      </c>
      <c r="H147" s="4">
        <v>50</v>
      </c>
      <c r="I147" s="4">
        <v>41</v>
      </c>
      <c r="J147" s="4">
        <v>50</v>
      </c>
      <c r="K147" s="5">
        <f t="shared" si="7"/>
        <v>58581.47</v>
      </c>
      <c r="L147" s="5">
        <v>58581.47</v>
      </c>
      <c r="M147" s="5">
        <v>0</v>
      </c>
      <c r="N147" s="4">
        <v>40</v>
      </c>
      <c r="O147" s="5">
        <f t="shared" si="8"/>
        <v>121861.54</v>
      </c>
      <c r="P147" s="5">
        <v>121861.54</v>
      </c>
      <c r="Q147" s="5">
        <v>0</v>
      </c>
      <c r="R147" s="6"/>
    </row>
    <row r="148" spans="1:18" x14ac:dyDescent="0.25">
      <c r="A148" s="348">
        <f t="shared" si="9"/>
        <v>9</v>
      </c>
      <c r="B148" s="3" t="s">
        <v>22</v>
      </c>
      <c r="C148" s="3" t="s">
        <v>62</v>
      </c>
      <c r="D148" s="3" t="s">
        <v>63</v>
      </c>
      <c r="E148" s="3" t="s">
        <v>74</v>
      </c>
      <c r="F148" s="3" t="s">
        <v>171</v>
      </c>
      <c r="G148" s="4" t="s">
        <v>85</v>
      </c>
      <c r="H148" s="4">
        <v>34</v>
      </c>
      <c r="I148" s="4">
        <v>28</v>
      </c>
      <c r="J148" s="4">
        <v>36</v>
      </c>
      <c r="K148" s="5">
        <f t="shared" si="7"/>
        <v>38617.07</v>
      </c>
      <c r="L148" s="5">
        <v>38617.07</v>
      </c>
      <c r="M148" s="5">
        <v>0</v>
      </c>
      <c r="N148" s="4">
        <v>42</v>
      </c>
      <c r="O148" s="5">
        <f t="shared" si="8"/>
        <v>92524.41</v>
      </c>
      <c r="P148" s="5">
        <v>92524.41</v>
      </c>
      <c r="Q148" s="5">
        <v>0</v>
      </c>
      <c r="R148" s="6"/>
    </row>
    <row r="149" spans="1:18" ht="25.5" x14ac:dyDescent="0.25">
      <c r="A149" s="348">
        <f t="shared" si="9"/>
        <v>10</v>
      </c>
      <c r="B149" s="3" t="s">
        <v>20</v>
      </c>
      <c r="C149" s="3" t="s">
        <v>62</v>
      </c>
      <c r="D149" s="3" t="s">
        <v>63</v>
      </c>
      <c r="E149" s="3" t="s">
        <v>72</v>
      </c>
      <c r="F149" s="3" t="s">
        <v>163</v>
      </c>
      <c r="G149" s="4" t="s">
        <v>85</v>
      </c>
      <c r="H149" s="4">
        <v>0</v>
      </c>
      <c r="I149" s="4">
        <v>0</v>
      </c>
      <c r="J149" s="4">
        <v>0</v>
      </c>
      <c r="K149" s="5">
        <f t="shared" si="7"/>
        <v>0</v>
      </c>
      <c r="L149" s="5">
        <v>0</v>
      </c>
      <c r="M149" s="5">
        <v>0</v>
      </c>
      <c r="N149" s="4">
        <v>0</v>
      </c>
      <c r="O149" s="5">
        <f t="shared" si="8"/>
        <v>6138.73</v>
      </c>
      <c r="P149" s="5">
        <v>6138.73</v>
      </c>
      <c r="Q149" s="5">
        <v>0</v>
      </c>
      <c r="R149" s="6"/>
    </row>
    <row r="150" spans="1:18" ht="25.5" x14ac:dyDescent="0.25">
      <c r="A150" s="348">
        <f t="shared" si="9"/>
        <v>11</v>
      </c>
      <c r="B150" s="3" t="s">
        <v>100</v>
      </c>
      <c r="C150" s="3" t="s">
        <v>62</v>
      </c>
      <c r="D150" s="3" t="s">
        <v>63</v>
      </c>
      <c r="E150" s="3" t="s">
        <v>101</v>
      </c>
      <c r="F150" s="3" t="s">
        <v>164</v>
      </c>
      <c r="G150" s="4" t="s">
        <v>85</v>
      </c>
      <c r="H150" s="4">
        <v>16</v>
      </c>
      <c r="I150" s="4">
        <v>13</v>
      </c>
      <c r="J150" s="4">
        <v>17</v>
      </c>
      <c r="K150" s="5">
        <f t="shared" si="7"/>
        <v>20983.24</v>
      </c>
      <c r="L150" s="5">
        <v>20983.24</v>
      </c>
      <c r="M150" s="5">
        <v>0</v>
      </c>
      <c r="N150" s="4">
        <v>12</v>
      </c>
      <c r="O150" s="5">
        <f t="shared" si="8"/>
        <v>40292.959999999999</v>
      </c>
      <c r="P150" s="5">
        <f>40299.47-6.51</f>
        <v>40292.959999999999</v>
      </c>
      <c r="Q150" s="5">
        <v>0</v>
      </c>
      <c r="R150" s="6"/>
    </row>
    <row r="151" spans="1:18" ht="25.5" x14ac:dyDescent="0.25">
      <c r="A151" s="348">
        <f t="shared" si="9"/>
        <v>12</v>
      </c>
      <c r="B151" s="3" t="s">
        <v>23</v>
      </c>
      <c r="C151" s="3" t="s">
        <v>62</v>
      </c>
      <c r="D151" s="3" t="s">
        <v>63</v>
      </c>
      <c r="E151" s="3" t="s">
        <v>75</v>
      </c>
      <c r="F151" s="3" t="s">
        <v>136</v>
      </c>
      <c r="G151" s="4" t="s">
        <v>85</v>
      </c>
      <c r="H151" s="4">
        <v>2</v>
      </c>
      <c r="I151" s="4">
        <v>0</v>
      </c>
      <c r="J151" s="4">
        <v>0</v>
      </c>
      <c r="K151" s="5">
        <f t="shared" si="7"/>
        <v>0</v>
      </c>
      <c r="L151" s="5">
        <v>0</v>
      </c>
      <c r="M151" s="5">
        <v>0</v>
      </c>
      <c r="N151" s="4">
        <v>0</v>
      </c>
      <c r="O151" s="5">
        <f t="shared" si="8"/>
        <v>0</v>
      </c>
      <c r="P151" s="5">
        <v>0</v>
      </c>
      <c r="Q151" s="5">
        <v>0</v>
      </c>
      <c r="R151" s="6"/>
    </row>
    <row r="152" spans="1:18" x14ac:dyDescent="0.25">
      <c r="A152" s="348">
        <f t="shared" si="9"/>
        <v>13</v>
      </c>
      <c r="B152" s="3" t="s">
        <v>24</v>
      </c>
      <c r="C152" s="3" t="s">
        <v>62</v>
      </c>
      <c r="D152" s="3" t="s">
        <v>63</v>
      </c>
      <c r="E152" s="3" t="s">
        <v>74</v>
      </c>
      <c r="F152" s="3" t="s">
        <v>172</v>
      </c>
      <c r="G152" s="4" t="s">
        <v>85</v>
      </c>
      <c r="H152" s="4">
        <v>44</v>
      </c>
      <c r="I152" s="4">
        <v>33</v>
      </c>
      <c r="J152" s="4">
        <v>42</v>
      </c>
      <c r="K152" s="5">
        <f t="shared" si="7"/>
        <v>43142.82</v>
      </c>
      <c r="L152" s="5">
        <v>34717.26</v>
      </c>
      <c r="M152" s="5">
        <v>8425.56</v>
      </c>
      <c r="N152" s="4">
        <v>26</v>
      </c>
      <c r="O152" s="5">
        <f t="shared" si="8"/>
        <v>91426.099999999991</v>
      </c>
      <c r="P152" s="5">
        <v>89876.9</v>
      </c>
      <c r="Q152" s="5">
        <v>1549.2</v>
      </c>
      <c r="R152" s="6"/>
    </row>
    <row r="153" spans="1:18" ht="25.5" x14ac:dyDescent="0.25">
      <c r="A153" s="348">
        <f t="shared" si="9"/>
        <v>14</v>
      </c>
      <c r="B153" s="3" t="s">
        <v>102</v>
      </c>
      <c r="C153" s="3" t="s">
        <v>67</v>
      </c>
      <c r="D153" s="3" t="s">
        <v>594</v>
      </c>
      <c r="E153" s="3" t="s">
        <v>74</v>
      </c>
      <c r="F153" s="3" t="s">
        <v>477</v>
      </c>
      <c r="G153" s="4" t="s">
        <v>85</v>
      </c>
      <c r="H153" s="4">
        <v>3</v>
      </c>
      <c r="I153" s="4">
        <v>1</v>
      </c>
      <c r="J153" s="4">
        <v>1</v>
      </c>
      <c r="K153" s="5">
        <f t="shared" si="7"/>
        <v>528.6</v>
      </c>
      <c r="L153" s="5">
        <v>528.6</v>
      </c>
      <c r="M153" s="5">
        <v>0</v>
      </c>
      <c r="N153" s="4">
        <v>4</v>
      </c>
      <c r="O153" s="5">
        <f t="shared" si="8"/>
        <v>9770.18</v>
      </c>
      <c r="P153" s="5">
        <v>9770.18</v>
      </c>
      <c r="Q153" s="5">
        <v>0</v>
      </c>
      <c r="R153" s="6"/>
    </row>
    <row r="154" spans="1:18" ht="25.5" x14ac:dyDescent="0.25">
      <c r="A154" s="348">
        <f t="shared" si="9"/>
        <v>15</v>
      </c>
      <c r="B154" s="3" t="s">
        <v>173</v>
      </c>
      <c r="C154" s="3" t="s">
        <v>67</v>
      </c>
      <c r="D154" s="3" t="s">
        <v>478</v>
      </c>
      <c r="E154" s="3" t="s">
        <v>174</v>
      </c>
      <c r="F154" s="3" t="s">
        <v>175</v>
      </c>
      <c r="G154" s="4" t="s">
        <v>85</v>
      </c>
      <c r="H154" s="4">
        <v>27</v>
      </c>
      <c r="I154" s="4">
        <v>19</v>
      </c>
      <c r="J154" s="4">
        <v>20</v>
      </c>
      <c r="K154" s="5">
        <f t="shared" si="7"/>
        <v>13307.42</v>
      </c>
      <c r="L154" s="5">
        <v>13307.42</v>
      </c>
      <c r="M154" s="5">
        <v>0</v>
      </c>
      <c r="N154" s="4">
        <v>0</v>
      </c>
      <c r="O154" s="5">
        <f t="shared" si="8"/>
        <v>0</v>
      </c>
      <c r="P154" s="5">
        <v>0</v>
      </c>
      <c r="Q154" s="5">
        <v>0</v>
      </c>
      <c r="R154" s="6"/>
    </row>
    <row r="155" spans="1:18" ht="25.5" x14ac:dyDescent="0.25">
      <c r="A155" s="348">
        <f t="shared" si="9"/>
        <v>16</v>
      </c>
      <c r="B155" s="3" t="s">
        <v>595</v>
      </c>
      <c r="C155" s="3" t="s">
        <v>64</v>
      </c>
      <c r="D155" s="3" t="s">
        <v>596</v>
      </c>
      <c r="E155" s="3" t="s">
        <v>597</v>
      </c>
      <c r="F155" s="3" t="s">
        <v>598</v>
      </c>
      <c r="G155" s="4" t="s">
        <v>85</v>
      </c>
      <c r="H155" s="4">
        <v>1</v>
      </c>
      <c r="I155" s="4">
        <v>1</v>
      </c>
      <c r="J155" s="4">
        <v>1</v>
      </c>
      <c r="K155" s="5">
        <f t="shared" si="7"/>
        <v>3600.4</v>
      </c>
      <c r="L155" s="5">
        <v>3600.4</v>
      </c>
      <c r="M155" s="5">
        <v>0</v>
      </c>
      <c r="N155" s="4">
        <v>0</v>
      </c>
      <c r="O155" s="5">
        <f t="shared" si="8"/>
        <v>0</v>
      </c>
      <c r="P155" s="5">
        <v>0</v>
      </c>
      <c r="Q155" s="5">
        <v>0</v>
      </c>
      <c r="R155" s="6"/>
    </row>
    <row r="156" spans="1:18" ht="25.5" x14ac:dyDescent="0.25">
      <c r="A156" s="348">
        <f t="shared" si="9"/>
        <v>17</v>
      </c>
      <c r="B156" s="3" t="s">
        <v>25</v>
      </c>
      <c r="C156" s="3" t="s">
        <v>62</v>
      </c>
      <c r="D156" s="3" t="s">
        <v>63</v>
      </c>
      <c r="E156" s="3" t="s">
        <v>76</v>
      </c>
      <c r="F156" s="3" t="s">
        <v>543</v>
      </c>
      <c r="G156" s="4" t="s">
        <v>85</v>
      </c>
      <c r="H156" s="4">
        <v>45</v>
      </c>
      <c r="I156" s="4">
        <v>0</v>
      </c>
      <c r="J156" s="4">
        <v>0</v>
      </c>
      <c r="K156" s="5">
        <f t="shared" si="7"/>
        <v>0</v>
      </c>
      <c r="L156" s="5">
        <v>0</v>
      </c>
      <c r="M156" s="5">
        <v>0</v>
      </c>
      <c r="N156" s="4">
        <v>0</v>
      </c>
      <c r="O156" s="5">
        <f t="shared" si="8"/>
        <v>0</v>
      </c>
      <c r="P156" s="5">
        <v>0</v>
      </c>
      <c r="Q156" s="5">
        <v>0</v>
      </c>
      <c r="R156" s="6"/>
    </row>
    <row r="157" spans="1:18" ht="25.5" x14ac:dyDescent="0.25">
      <c r="A157" s="348">
        <f t="shared" si="9"/>
        <v>18</v>
      </c>
      <c r="B157" s="3" t="s">
        <v>600</v>
      </c>
      <c r="C157" s="3" t="s">
        <v>62</v>
      </c>
      <c r="D157" s="3" t="s">
        <v>63</v>
      </c>
      <c r="E157" s="3" t="s">
        <v>75</v>
      </c>
      <c r="F157" s="3" t="s">
        <v>103</v>
      </c>
      <c r="G157" s="4" t="s">
        <v>85</v>
      </c>
      <c r="H157" s="4">
        <v>0</v>
      </c>
      <c r="I157" s="4">
        <v>0</v>
      </c>
      <c r="J157" s="4">
        <v>0</v>
      </c>
      <c r="K157" s="5">
        <f t="shared" si="7"/>
        <v>0</v>
      </c>
      <c r="L157" s="5">
        <v>0</v>
      </c>
      <c r="M157" s="5">
        <v>0</v>
      </c>
      <c r="N157" s="4">
        <v>15</v>
      </c>
      <c r="O157" s="5">
        <f t="shared" si="8"/>
        <v>62481.86</v>
      </c>
      <c r="P157" s="5">
        <v>62481.86</v>
      </c>
      <c r="Q157" s="5">
        <v>0</v>
      </c>
      <c r="R157" s="6"/>
    </row>
    <row r="158" spans="1:18" ht="25.5" x14ac:dyDescent="0.25">
      <c r="A158" s="348">
        <f t="shared" si="9"/>
        <v>19</v>
      </c>
      <c r="B158" s="3" t="s">
        <v>479</v>
      </c>
      <c r="C158" s="3" t="s">
        <v>67</v>
      </c>
      <c r="D158" s="3" t="s">
        <v>480</v>
      </c>
      <c r="E158" s="3" t="s">
        <v>271</v>
      </c>
      <c r="F158" s="3" t="s">
        <v>481</v>
      </c>
      <c r="G158" s="4" t="s">
        <v>85</v>
      </c>
      <c r="H158" s="4">
        <v>13</v>
      </c>
      <c r="I158" s="4">
        <v>5</v>
      </c>
      <c r="J158" s="4">
        <v>5</v>
      </c>
      <c r="K158" s="5">
        <f t="shared" si="7"/>
        <v>1902.96</v>
      </c>
      <c r="L158" s="5">
        <v>1902.96</v>
      </c>
      <c r="M158" s="5">
        <v>0</v>
      </c>
      <c r="N158" s="4">
        <v>0</v>
      </c>
      <c r="O158" s="5">
        <f t="shared" si="8"/>
        <v>0</v>
      </c>
      <c r="P158" s="5">
        <v>0</v>
      </c>
      <c r="Q158" s="5">
        <v>0</v>
      </c>
      <c r="R158" s="6"/>
    </row>
    <row r="159" spans="1:18" ht="25.5" x14ac:dyDescent="0.25">
      <c r="A159" s="348">
        <f t="shared" si="9"/>
        <v>20</v>
      </c>
      <c r="B159" s="3" t="s">
        <v>176</v>
      </c>
      <c r="C159" s="3" t="s">
        <v>62</v>
      </c>
      <c r="D159" s="3" t="s">
        <v>63</v>
      </c>
      <c r="E159" s="3" t="s">
        <v>177</v>
      </c>
      <c r="F159" s="3" t="s">
        <v>178</v>
      </c>
      <c r="G159" s="4" t="s">
        <v>85</v>
      </c>
      <c r="H159" s="4">
        <v>18</v>
      </c>
      <c r="I159" s="4">
        <v>13</v>
      </c>
      <c r="J159" s="4">
        <v>14</v>
      </c>
      <c r="K159" s="5">
        <f t="shared" si="7"/>
        <v>7259.44</v>
      </c>
      <c r="L159" s="5">
        <v>7259.44</v>
      </c>
      <c r="M159" s="5">
        <v>0</v>
      </c>
      <c r="N159" s="4">
        <v>0</v>
      </c>
      <c r="O159" s="5">
        <f t="shared" si="8"/>
        <v>0</v>
      </c>
      <c r="P159" s="5">
        <v>0</v>
      </c>
      <c r="Q159" s="5">
        <v>0</v>
      </c>
      <c r="R159" s="6"/>
    </row>
    <row r="160" spans="1:18" x14ac:dyDescent="0.25">
      <c r="A160" s="348">
        <f t="shared" si="9"/>
        <v>21</v>
      </c>
      <c r="B160" s="3" t="s">
        <v>152</v>
      </c>
      <c r="C160" s="3" t="s">
        <v>62</v>
      </c>
      <c r="D160" s="3" t="s">
        <v>63</v>
      </c>
      <c r="E160" s="3" t="s">
        <v>63</v>
      </c>
      <c r="F160" s="3" t="s">
        <v>179</v>
      </c>
      <c r="G160" s="4" t="s">
        <v>85</v>
      </c>
      <c r="H160" s="4">
        <v>30</v>
      </c>
      <c r="I160" s="4">
        <v>13</v>
      </c>
      <c r="J160" s="4">
        <v>15</v>
      </c>
      <c r="K160" s="5">
        <f t="shared" si="7"/>
        <v>9467.91</v>
      </c>
      <c r="L160" s="5">
        <v>9467.91</v>
      </c>
      <c r="M160" s="5">
        <v>0</v>
      </c>
      <c r="N160" s="4">
        <v>16</v>
      </c>
      <c r="O160" s="5">
        <f t="shared" si="8"/>
        <v>10875.99</v>
      </c>
      <c r="P160" s="5">
        <v>10875.99</v>
      </c>
      <c r="Q160" s="5">
        <v>0</v>
      </c>
      <c r="R160" s="6"/>
    </row>
    <row r="161" spans="1:18" x14ac:dyDescent="0.25">
      <c r="A161" s="348">
        <f t="shared" si="9"/>
        <v>22</v>
      </c>
      <c r="B161" s="3" t="s">
        <v>88</v>
      </c>
      <c r="C161" s="3" t="s">
        <v>62</v>
      </c>
      <c r="D161" s="3" t="s">
        <v>63</v>
      </c>
      <c r="E161" s="3" t="s">
        <v>74</v>
      </c>
      <c r="F161" s="3" t="s">
        <v>180</v>
      </c>
      <c r="G161" s="4" t="s">
        <v>85</v>
      </c>
      <c r="H161" s="4">
        <v>9</v>
      </c>
      <c r="I161" s="4">
        <v>2</v>
      </c>
      <c r="J161" s="4">
        <v>2</v>
      </c>
      <c r="K161" s="5">
        <f t="shared" si="7"/>
        <v>2706.43</v>
      </c>
      <c r="L161" s="5">
        <v>2706.43</v>
      </c>
      <c r="M161" s="5">
        <v>0</v>
      </c>
      <c r="N161" s="4">
        <v>2</v>
      </c>
      <c r="O161" s="5">
        <f t="shared" si="8"/>
        <v>22884.99</v>
      </c>
      <c r="P161" s="5">
        <v>22884.99</v>
      </c>
      <c r="Q161" s="5">
        <v>0</v>
      </c>
      <c r="R161" s="6"/>
    </row>
    <row r="162" spans="1:18" x14ac:dyDescent="0.25">
      <c r="A162" s="348">
        <f t="shared" si="9"/>
        <v>23</v>
      </c>
      <c r="B162" s="3" t="s">
        <v>26</v>
      </c>
      <c r="C162" s="3" t="s">
        <v>62</v>
      </c>
      <c r="D162" s="3" t="s">
        <v>63</v>
      </c>
      <c r="E162" s="3" t="s">
        <v>74</v>
      </c>
      <c r="F162" s="3" t="s">
        <v>181</v>
      </c>
      <c r="G162" s="4" t="s">
        <v>85</v>
      </c>
      <c r="H162" s="4">
        <v>28</v>
      </c>
      <c r="I162" s="4">
        <v>22</v>
      </c>
      <c r="J162" s="4">
        <v>31</v>
      </c>
      <c r="K162" s="5">
        <f t="shared" si="7"/>
        <v>54084.65</v>
      </c>
      <c r="L162" s="5">
        <v>54084.65</v>
      </c>
      <c r="M162" s="5">
        <v>0</v>
      </c>
      <c r="N162" s="4">
        <v>12</v>
      </c>
      <c r="O162" s="5">
        <f t="shared" si="8"/>
        <v>23585.53</v>
      </c>
      <c r="P162" s="5">
        <v>23585.53</v>
      </c>
      <c r="Q162" s="5">
        <v>0</v>
      </c>
      <c r="R162" s="6"/>
    </row>
    <row r="163" spans="1:18" ht="25.5" x14ac:dyDescent="0.25">
      <c r="A163" s="348">
        <f t="shared" si="9"/>
        <v>24</v>
      </c>
      <c r="B163" s="3" t="s">
        <v>182</v>
      </c>
      <c r="C163" s="3" t="s">
        <v>62</v>
      </c>
      <c r="D163" s="3" t="s">
        <v>63</v>
      </c>
      <c r="E163" s="3" t="s">
        <v>174</v>
      </c>
      <c r="F163" s="3" t="s">
        <v>183</v>
      </c>
      <c r="G163" s="4" t="s">
        <v>85</v>
      </c>
      <c r="H163" s="4">
        <v>39</v>
      </c>
      <c r="I163" s="4">
        <v>23</v>
      </c>
      <c r="J163" s="4">
        <v>28</v>
      </c>
      <c r="K163" s="5">
        <f t="shared" si="7"/>
        <v>23283.040000000001</v>
      </c>
      <c r="L163" s="5">
        <v>23283.040000000001</v>
      </c>
      <c r="M163" s="5">
        <v>0</v>
      </c>
      <c r="N163" s="4">
        <v>0</v>
      </c>
      <c r="O163" s="5">
        <f t="shared" si="8"/>
        <v>0</v>
      </c>
      <c r="P163" s="5">
        <v>0</v>
      </c>
      <c r="Q163" s="5">
        <v>0</v>
      </c>
      <c r="R163" s="6"/>
    </row>
    <row r="164" spans="1:18" ht="25.5" x14ac:dyDescent="0.25">
      <c r="A164" s="348">
        <f t="shared" si="9"/>
        <v>25</v>
      </c>
      <c r="B164" s="3" t="s">
        <v>137</v>
      </c>
      <c r="C164" s="3" t="s">
        <v>62</v>
      </c>
      <c r="D164" s="3" t="s">
        <v>63</v>
      </c>
      <c r="E164" s="3" t="s">
        <v>78</v>
      </c>
      <c r="F164" s="3" t="s">
        <v>184</v>
      </c>
      <c r="G164" s="4" t="s">
        <v>85</v>
      </c>
      <c r="H164" s="4">
        <v>9</v>
      </c>
      <c r="I164" s="4">
        <v>4</v>
      </c>
      <c r="J164" s="4">
        <v>4</v>
      </c>
      <c r="K164" s="5">
        <f t="shared" si="7"/>
        <v>2678.24</v>
      </c>
      <c r="L164" s="5">
        <v>2678.24</v>
      </c>
      <c r="M164" s="5">
        <v>0</v>
      </c>
      <c r="N164" s="4">
        <v>5</v>
      </c>
      <c r="O164" s="5">
        <f t="shared" si="8"/>
        <v>9148.83</v>
      </c>
      <c r="P164" s="5">
        <v>9148.83</v>
      </c>
      <c r="Q164" s="5">
        <v>0</v>
      </c>
      <c r="R164" s="6"/>
    </row>
    <row r="165" spans="1:18" ht="25.5" x14ac:dyDescent="0.25">
      <c r="A165" s="348">
        <f t="shared" si="9"/>
        <v>26</v>
      </c>
      <c r="B165" s="3" t="s">
        <v>185</v>
      </c>
      <c r="C165" s="3" t="s">
        <v>62</v>
      </c>
      <c r="D165" s="3" t="s">
        <v>63</v>
      </c>
      <c r="E165" s="3" t="s">
        <v>186</v>
      </c>
      <c r="F165" s="3" t="s">
        <v>463</v>
      </c>
      <c r="G165" s="4" t="s">
        <v>85</v>
      </c>
      <c r="H165" s="4">
        <v>11</v>
      </c>
      <c r="I165" s="4">
        <v>6</v>
      </c>
      <c r="J165" s="4">
        <v>7</v>
      </c>
      <c r="K165" s="5">
        <f t="shared" si="7"/>
        <v>1409.6</v>
      </c>
      <c r="L165" s="5">
        <v>1409.6</v>
      </c>
      <c r="M165" s="5">
        <v>0</v>
      </c>
      <c r="N165" s="4">
        <v>0</v>
      </c>
      <c r="O165" s="5">
        <f t="shared" si="8"/>
        <v>0</v>
      </c>
      <c r="P165" s="5">
        <v>0</v>
      </c>
      <c r="Q165" s="5">
        <v>0</v>
      </c>
      <c r="R165" s="6"/>
    </row>
    <row r="166" spans="1:18" x14ac:dyDescent="0.25">
      <c r="A166" s="348">
        <f t="shared" si="9"/>
        <v>27</v>
      </c>
      <c r="B166" s="3" t="s">
        <v>27</v>
      </c>
      <c r="C166" s="3" t="s">
        <v>62</v>
      </c>
      <c r="D166" s="3" t="s">
        <v>63</v>
      </c>
      <c r="E166" s="3" t="s">
        <v>74</v>
      </c>
      <c r="F166" s="3" t="s">
        <v>187</v>
      </c>
      <c r="G166" s="4" t="s">
        <v>85</v>
      </c>
      <c r="H166" s="4">
        <v>16</v>
      </c>
      <c r="I166" s="4">
        <v>10</v>
      </c>
      <c r="J166" s="4">
        <v>11</v>
      </c>
      <c r="K166" s="5">
        <f t="shared" si="7"/>
        <v>10791.82</v>
      </c>
      <c r="L166" s="5">
        <v>10791.82</v>
      </c>
      <c r="M166" s="5">
        <v>0</v>
      </c>
      <c r="N166" s="4">
        <v>5</v>
      </c>
      <c r="O166" s="5">
        <f t="shared" si="8"/>
        <v>32217.82</v>
      </c>
      <c r="P166" s="5">
        <v>32217.82</v>
      </c>
      <c r="Q166" s="5">
        <v>0</v>
      </c>
      <c r="R166" s="6"/>
    </row>
    <row r="167" spans="1:18" x14ac:dyDescent="0.25">
      <c r="A167" s="348">
        <f t="shared" si="9"/>
        <v>28</v>
      </c>
      <c r="B167" s="3" t="s">
        <v>601</v>
      </c>
      <c r="C167" s="3" t="s">
        <v>62</v>
      </c>
      <c r="D167" s="3" t="s">
        <v>63</v>
      </c>
      <c r="E167" s="3" t="s">
        <v>366</v>
      </c>
      <c r="F167" s="3" t="s">
        <v>63</v>
      </c>
      <c r="G167" s="4" t="s">
        <v>85</v>
      </c>
      <c r="H167" s="4">
        <v>4</v>
      </c>
      <c r="I167" s="4">
        <v>0</v>
      </c>
      <c r="J167" s="4">
        <v>0</v>
      </c>
      <c r="K167" s="5">
        <f t="shared" si="7"/>
        <v>0</v>
      </c>
      <c r="L167" s="5">
        <v>0</v>
      </c>
      <c r="M167" s="5">
        <v>0</v>
      </c>
      <c r="N167" s="4">
        <v>0</v>
      </c>
      <c r="O167" s="5">
        <f t="shared" si="8"/>
        <v>0</v>
      </c>
      <c r="P167" s="5">
        <v>0</v>
      </c>
      <c r="Q167" s="5">
        <v>0</v>
      </c>
      <c r="R167" s="6"/>
    </row>
    <row r="168" spans="1:18" ht="25.5" x14ac:dyDescent="0.25">
      <c r="A168" s="348">
        <f t="shared" si="9"/>
        <v>29</v>
      </c>
      <c r="B168" s="3" t="s">
        <v>482</v>
      </c>
      <c r="C168" s="3" t="s">
        <v>64</v>
      </c>
      <c r="D168" s="3" t="s">
        <v>483</v>
      </c>
      <c r="E168" s="3" t="s">
        <v>313</v>
      </c>
      <c r="F168" s="3" t="s">
        <v>484</v>
      </c>
      <c r="G168" s="4" t="s">
        <v>85</v>
      </c>
      <c r="H168" s="4">
        <v>10</v>
      </c>
      <c r="I168" s="4">
        <v>0</v>
      </c>
      <c r="J168" s="4">
        <v>0</v>
      </c>
      <c r="K168" s="5">
        <f t="shared" si="7"/>
        <v>0</v>
      </c>
      <c r="L168" s="5">
        <v>0</v>
      </c>
      <c r="M168" s="5">
        <v>0</v>
      </c>
      <c r="N168" s="4">
        <v>0</v>
      </c>
      <c r="O168" s="5">
        <f t="shared" si="8"/>
        <v>0</v>
      </c>
      <c r="P168" s="5">
        <v>0</v>
      </c>
      <c r="Q168" s="5">
        <v>0</v>
      </c>
      <c r="R168" s="6"/>
    </row>
    <row r="169" spans="1:18" ht="25.5" x14ac:dyDescent="0.25">
      <c r="A169" s="348">
        <f t="shared" si="9"/>
        <v>30</v>
      </c>
      <c r="B169" s="3" t="s">
        <v>104</v>
      </c>
      <c r="C169" s="3" t="s">
        <v>62</v>
      </c>
      <c r="D169" s="3" t="s">
        <v>63</v>
      </c>
      <c r="E169" s="3" t="s">
        <v>105</v>
      </c>
      <c r="F169" s="3" t="s">
        <v>188</v>
      </c>
      <c r="G169" s="4" t="s">
        <v>85</v>
      </c>
      <c r="H169" s="4">
        <v>9</v>
      </c>
      <c r="I169" s="4">
        <v>7</v>
      </c>
      <c r="J169" s="4">
        <v>9</v>
      </c>
      <c r="K169" s="5">
        <f t="shared" si="7"/>
        <v>19587.169999999998</v>
      </c>
      <c r="L169" s="5">
        <v>19587.169999999998</v>
      </c>
      <c r="M169" s="5">
        <v>0</v>
      </c>
      <c r="N169" s="4">
        <v>24</v>
      </c>
      <c r="O169" s="5">
        <f t="shared" si="8"/>
        <v>55175.61</v>
      </c>
      <c r="P169" s="5">
        <f>49255.29+5920.32</f>
        <v>55175.61</v>
      </c>
      <c r="Q169" s="5">
        <v>0</v>
      </c>
      <c r="R169" s="6"/>
    </row>
    <row r="170" spans="1:18" ht="25.5" x14ac:dyDescent="0.25">
      <c r="A170" s="348">
        <f t="shared" si="9"/>
        <v>31</v>
      </c>
      <c r="B170" s="3" t="s">
        <v>517</v>
      </c>
      <c r="C170" s="3" t="s">
        <v>62</v>
      </c>
      <c r="D170" s="3" t="s">
        <v>63</v>
      </c>
      <c r="E170" s="3" t="s">
        <v>239</v>
      </c>
      <c r="F170" s="3" t="s">
        <v>63</v>
      </c>
      <c r="G170" s="4" t="s">
        <v>85</v>
      </c>
      <c r="H170" s="4">
        <v>18</v>
      </c>
      <c r="I170" s="4">
        <v>12</v>
      </c>
      <c r="J170" s="4">
        <v>12</v>
      </c>
      <c r="K170" s="5">
        <f t="shared" si="7"/>
        <v>5799.1</v>
      </c>
      <c r="L170" s="5">
        <v>5799.1</v>
      </c>
      <c r="M170" s="5">
        <v>0</v>
      </c>
      <c r="N170" s="4">
        <v>0</v>
      </c>
      <c r="O170" s="5">
        <f t="shared" si="8"/>
        <v>0</v>
      </c>
      <c r="P170" s="5">
        <v>0</v>
      </c>
      <c r="Q170" s="5">
        <v>0</v>
      </c>
      <c r="R170" s="6"/>
    </row>
    <row r="171" spans="1:18" x14ac:dyDescent="0.25">
      <c r="A171" s="348">
        <f t="shared" si="9"/>
        <v>32</v>
      </c>
      <c r="B171" s="3" t="s">
        <v>28</v>
      </c>
      <c r="C171" s="3" t="s">
        <v>62</v>
      </c>
      <c r="D171" s="3" t="s">
        <v>63</v>
      </c>
      <c r="E171" s="3" t="s">
        <v>74</v>
      </c>
      <c r="F171" s="3" t="s">
        <v>189</v>
      </c>
      <c r="G171" s="4" t="s">
        <v>85</v>
      </c>
      <c r="H171" s="4">
        <v>10</v>
      </c>
      <c r="I171" s="4">
        <v>6</v>
      </c>
      <c r="J171" s="4">
        <v>6</v>
      </c>
      <c r="K171" s="5">
        <f t="shared" si="7"/>
        <v>10155.84</v>
      </c>
      <c r="L171" s="5">
        <v>10155.84</v>
      </c>
      <c r="M171" s="5">
        <v>0</v>
      </c>
      <c r="N171" s="4">
        <v>6</v>
      </c>
      <c r="O171" s="5">
        <f t="shared" si="8"/>
        <v>18393.25</v>
      </c>
      <c r="P171" s="5">
        <v>18393.25</v>
      </c>
      <c r="Q171" s="5">
        <v>0</v>
      </c>
      <c r="R171" s="6"/>
    </row>
    <row r="172" spans="1:18" x14ac:dyDescent="0.25">
      <c r="A172" s="348">
        <f t="shared" si="9"/>
        <v>33</v>
      </c>
      <c r="B172" s="3" t="s">
        <v>190</v>
      </c>
      <c r="C172" s="3" t="s">
        <v>62</v>
      </c>
      <c r="D172" s="3" t="s">
        <v>63</v>
      </c>
      <c r="E172" s="3" t="s">
        <v>63</v>
      </c>
      <c r="F172" s="3" t="s">
        <v>191</v>
      </c>
      <c r="G172" s="4" t="s">
        <v>85</v>
      </c>
      <c r="H172" s="4">
        <v>18</v>
      </c>
      <c r="I172" s="4">
        <v>13</v>
      </c>
      <c r="J172" s="4">
        <v>13</v>
      </c>
      <c r="K172" s="5">
        <f t="shared" si="7"/>
        <v>10947.63</v>
      </c>
      <c r="L172" s="5">
        <v>10947.63</v>
      </c>
      <c r="M172" s="5">
        <v>0</v>
      </c>
      <c r="N172" s="4">
        <v>0</v>
      </c>
      <c r="O172" s="5">
        <f t="shared" si="8"/>
        <v>0</v>
      </c>
      <c r="P172" s="5">
        <v>0</v>
      </c>
      <c r="Q172" s="5">
        <v>0</v>
      </c>
      <c r="R172" s="6"/>
    </row>
    <row r="173" spans="1:18" ht="38.25" x14ac:dyDescent="0.25">
      <c r="A173" s="348">
        <f t="shared" si="9"/>
        <v>34</v>
      </c>
      <c r="B173" s="3" t="s">
        <v>192</v>
      </c>
      <c r="C173" s="3" t="s">
        <v>64</v>
      </c>
      <c r="D173" s="3" t="s">
        <v>193</v>
      </c>
      <c r="E173" s="3" t="s">
        <v>74</v>
      </c>
      <c r="F173" s="3" t="s">
        <v>194</v>
      </c>
      <c r="G173" s="4" t="s">
        <v>85</v>
      </c>
      <c r="H173" s="4">
        <v>1</v>
      </c>
      <c r="I173" s="4">
        <v>0</v>
      </c>
      <c r="J173" s="4">
        <v>0</v>
      </c>
      <c r="K173" s="5">
        <f t="shared" si="7"/>
        <v>0</v>
      </c>
      <c r="L173" s="5">
        <v>0</v>
      </c>
      <c r="M173" s="5">
        <v>0</v>
      </c>
      <c r="N173" s="4">
        <v>0</v>
      </c>
      <c r="O173" s="5">
        <f t="shared" si="8"/>
        <v>0</v>
      </c>
      <c r="P173" s="5">
        <v>0</v>
      </c>
      <c r="Q173" s="5">
        <v>0</v>
      </c>
      <c r="R173" s="6"/>
    </row>
    <row r="174" spans="1:18" x14ac:dyDescent="0.25">
      <c r="A174" s="348">
        <f t="shared" si="9"/>
        <v>35</v>
      </c>
      <c r="B174" s="3" t="s">
        <v>89</v>
      </c>
      <c r="C174" s="3" t="s">
        <v>62</v>
      </c>
      <c r="D174" s="3" t="s">
        <v>63</v>
      </c>
      <c r="E174" s="3" t="s">
        <v>74</v>
      </c>
      <c r="F174" s="3" t="s">
        <v>195</v>
      </c>
      <c r="G174" s="4" t="s">
        <v>85</v>
      </c>
      <c r="H174" s="4">
        <v>32</v>
      </c>
      <c r="I174" s="4">
        <v>27</v>
      </c>
      <c r="J174" s="4">
        <v>29</v>
      </c>
      <c r="K174" s="5">
        <f t="shared" si="7"/>
        <v>17979.099999999999</v>
      </c>
      <c r="L174" s="5">
        <v>17979.099999999999</v>
      </c>
      <c r="M174" s="5">
        <v>0</v>
      </c>
      <c r="N174" s="4">
        <v>7</v>
      </c>
      <c r="O174" s="5">
        <f t="shared" si="8"/>
        <v>32869.550000000003</v>
      </c>
      <c r="P174" s="5">
        <v>32869.550000000003</v>
      </c>
      <c r="Q174" s="5">
        <v>0</v>
      </c>
      <c r="R174" s="6"/>
    </row>
    <row r="175" spans="1:18" ht="25.5" x14ac:dyDescent="0.25">
      <c r="A175" s="348">
        <f t="shared" si="9"/>
        <v>36</v>
      </c>
      <c r="B175" s="3" t="s">
        <v>196</v>
      </c>
      <c r="C175" s="3" t="s">
        <v>62</v>
      </c>
      <c r="D175" s="3" t="s">
        <v>63</v>
      </c>
      <c r="E175" s="3" t="s">
        <v>197</v>
      </c>
      <c r="F175" s="3" t="s">
        <v>198</v>
      </c>
      <c r="G175" s="4" t="s">
        <v>85</v>
      </c>
      <c r="H175" s="4">
        <v>22</v>
      </c>
      <c r="I175" s="4">
        <v>16</v>
      </c>
      <c r="J175" s="4">
        <v>17</v>
      </c>
      <c r="K175" s="5">
        <f t="shared" si="7"/>
        <v>14928.06</v>
      </c>
      <c r="L175" s="5">
        <v>14928.06</v>
      </c>
      <c r="M175" s="5">
        <v>0</v>
      </c>
      <c r="N175" s="4">
        <v>0</v>
      </c>
      <c r="O175" s="5">
        <f t="shared" si="8"/>
        <v>0</v>
      </c>
      <c r="P175" s="5">
        <v>0</v>
      </c>
      <c r="Q175" s="5">
        <v>0</v>
      </c>
      <c r="R175" s="6"/>
    </row>
    <row r="176" spans="1:18" x14ac:dyDescent="0.25">
      <c r="A176" s="348">
        <f t="shared" si="9"/>
        <v>37</v>
      </c>
      <c r="B176" s="3" t="s">
        <v>106</v>
      </c>
      <c r="C176" s="3" t="s">
        <v>62</v>
      </c>
      <c r="D176" s="3" t="s">
        <v>63</v>
      </c>
      <c r="E176" s="3" t="s">
        <v>74</v>
      </c>
      <c r="F176" s="3" t="s">
        <v>199</v>
      </c>
      <c r="G176" s="4" t="s">
        <v>85</v>
      </c>
      <c r="H176" s="4">
        <v>49</v>
      </c>
      <c r="I176" s="4">
        <v>35</v>
      </c>
      <c r="J176" s="4">
        <v>44</v>
      </c>
      <c r="K176" s="5">
        <f t="shared" si="7"/>
        <v>66272.98</v>
      </c>
      <c r="L176" s="5">
        <v>66272.98</v>
      </c>
      <c r="M176" s="5">
        <v>0</v>
      </c>
      <c r="N176" s="4">
        <v>26</v>
      </c>
      <c r="O176" s="5">
        <f t="shared" si="8"/>
        <v>150774.95000000001</v>
      </c>
      <c r="P176" s="5">
        <f>150774.94+0.01</f>
        <v>150774.95000000001</v>
      </c>
      <c r="Q176" s="5">
        <v>0</v>
      </c>
      <c r="R176" s="6"/>
    </row>
    <row r="177" spans="1:18" x14ac:dyDescent="0.25">
      <c r="A177" s="348">
        <f t="shared" si="9"/>
        <v>38</v>
      </c>
      <c r="B177" s="3" t="s">
        <v>107</v>
      </c>
      <c r="C177" s="3" t="s">
        <v>62</v>
      </c>
      <c r="D177" s="3" t="s">
        <v>63</v>
      </c>
      <c r="E177" s="3" t="s">
        <v>74</v>
      </c>
      <c r="F177" s="3" t="s">
        <v>138</v>
      </c>
      <c r="G177" s="4" t="s">
        <v>85</v>
      </c>
      <c r="H177" s="4">
        <v>2</v>
      </c>
      <c r="I177" s="4">
        <v>0</v>
      </c>
      <c r="J177" s="4">
        <v>0</v>
      </c>
      <c r="K177" s="5">
        <f t="shared" si="7"/>
        <v>0</v>
      </c>
      <c r="L177" s="5">
        <v>0</v>
      </c>
      <c r="M177" s="5">
        <v>0</v>
      </c>
      <c r="N177" s="4">
        <v>0</v>
      </c>
      <c r="O177" s="5">
        <f t="shared" si="8"/>
        <v>0</v>
      </c>
      <c r="P177" s="5">
        <v>0</v>
      </c>
      <c r="Q177" s="5">
        <v>0</v>
      </c>
      <c r="R177" s="6"/>
    </row>
    <row r="178" spans="1:18" x14ac:dyDescent="0.25">
      <c r="A178" s="348">
        <f t="shared" si="9"/>
        <v>39</v>
      </c>
      <c r="B178" s="3" t="s">
        <v>29</v>
      </c>
      <c r="C178" s="3" t="s">
        <v>62</v>
      </c>
      <c r="D178" s="3" t="s">
        <v>63</v>
      </c>
      <c r="E178" s="3" t="s">
        <v>74</v>
      </c>
      <c r="F178" s="3" t="s">
        <v>200</v>
      </c>
      <c r="G178" s="4" t="s">
        <v>85</v>
      </c>
      <c r="H178" s="4">
        <v>26</v>
      </c>
      <c r="I178" s="4">
        <v>19</v>
      </c>
      <c r="J178" s="4">
        <v>28</v>
      </c>
      <c r="K178" s="5">
        <f t="shared" si="7"/>
        <v>38092.21</v>
      </c>
      <c r="L178" s="5">
        <v>38092.21</v>
      </c>
      <c r="M178" s="5">
        <v>0</v>
      </c>
      <c r="N178" s="4">
        <v>17</v>
      </c>
      <c r="O178" s="5">
        <f t="shared" si="8"/>
        <v>27388.87</v>
      </c>
      <c r="P178" s="5">
        <v>27388.87</v>
      </c>
      <c r="Q178" s="5">
        <v>0</v>
      </c>
      <c r="R178" s="6"/>
    </row>
    <row r="179" spans="1:18" x14ac:dyDescent="0.25">
      <c r="A179" s="348">
        <f t="shared" si="9"/>
        <v>40</v>
      </c>
      <c r="B179" s="3" t="s">
        <v>201</v>
      </c>
      <c r="C179" s="3" t="s">
        <v>67</v>
      </c>
      <c r="D179" s="3" t="s">
        <v>485</v>
      </c>
      <c r="E179" s="3" t="s">
        <v>74</v>
      </c>
      <c r="F179" s="3" t="s">
        <v>202</v>
      </c>
      <c r="G179" s="4" t="s">
        <v>85</v>
      </c>
      <c r="H179" s="4">
        <v>24</v>
      </c>
      <c r="I179" s="4">
        <v>16</v>
      </c>
      <c r="J179" s="4">
        <v>16</v>
      </c>
      <c r="K179" s="5">
        <f t="shared" si="7"/>
        <v>35170.65</v>
      </c>
      <c r="L179" s="5">
        <v>35170.65</v>
      </c>
      <c r="M179" s="5">
        <v>0</v>
      </c>
      <c r="N179" s="4">
        <v>1</v>
      </c>
      <c r="O179" s="5">
        <f t="shared" si="8"/>
        <v>1717.95</v>
      </c>
      <c r="P179" s="5">
        <v>1717.95</v>
      </c>
      <c r="Q179" s="5">
        <v>0</v>
      </c>
      <c r="R179" s="6"/>
    </row>
    <row r="180" spans="1:18" x14ac:dyDescent="0.25">
      <c r="A180" s="348">
        <f t="shared" si="9"/>
        <v>41</v>
      </c>
      <c r="B180" s="3" t="s">
        <v>95</v>
      </c>
      <c r="C180" s="3" t="s">
        <v>62</v>
      </c>
      <c r="D180" s="3" t="s">
        <v>63</v>
      </c>
      <c r="E180" s="3" t="s">
        <v>74</v>
      </c>
      <c r="F180" s="3" t="s">
        <v>161</v>
      </c>
      <c r="G180" s="4" t="s">
        <v>85</v>
      </c>
      <c r="H180" s="4">
        <v>45</v>
      </c>
      <c r="I180" s="4">
        <v>35</v>
      </c>
      <c r="J180" s="4">
        <v>46</v>
      </c>
      <c r="K180" s="5">
        <f t="shared" si="7"/>
        <v>70400.34</v>
      </c>
      <c r="L180" s="5">
        <v>57829.71</v>
      </c>
      <c r="M180" s="5">
        <v>12570.63</v>
      </c>
      <c r="N180" s="4">
        <v>26</v>
      </c>
      <c r="O180" s="5">
        <f t="shared" si="8"/>
        <v>90695.42</v>
      </c>
      <c r="P180" s="5">
        <v>82085.72</v>
      </c>
      <c r="Q180" s="5">
        <v>8609.7000000000007</v>
      </c>
      <c r="R180" s="6"/>
    </row>
    <row r="181" spans="1:18" ht="25.5" x14ac:dyDescent="0.25">
      <c r="A181" s="348">
        <f t="shared" si="9"/>
        <v>42</v>
      </c>
      <c r="B181" s="3" t="s">
        <v>30</v>
      </c>
      <c r="C181" s="3" t="s">
        <v>62</v>
      </c>
      <c r="D181" s="3" t="s">
        <v>63</v>
      </c>
      <c r="E181" s="3" t="s">
        <v>203</v>
      </c>
      <c r="F181" s="3" t="s">
        <v>204</v>
      </c>
      <c r="G181" s="4" t="s">
        <v>85</v>
      </c>
      <c r="H181" s="4">
        <v>21</v>
      </c>
      <c r="I181" s="4">
        <v>15</v>
      </c>
      <c r="J181" s="4">
        <v>22</v>
      </c>
      <c r="K181" s="5">
        <f t="shared" si="7"/>
        <v>61941.8</v>
      </c>
      <c r="L181" s="5">
        <v>61941.8</v>
      </c>
      <c r="M181" s="5">
        <v>0</v>
      </c>
      <c r="N181" s="4">
        <v>19</v>
      </c>
      <c r="O181" s="5">
        <f t="shared" si="8"/>
        <v>67008.849999999991</v>
      </c>
      <c r="P181" s="5">
        <f>69063.23-2054.38</f>
        <v>67008.849999999991</v>
      </c>
      <c r="Q181" s="5">
        <v>0</v>
      </c>
      <c r="R181" s="6"/>
    </row>
    <row r="182" spans="1:18" ht="25.5" x14ac:dyDescent="0.25">
      <c r="A182" s="348">
        <f t="shared" si="9"/>
        <v>43</v>
      </c>
      <c r="B182" s="3" t="s">
        <v>635</v>
      </c>
      <c r="C182" s="3" t="s">
        <v>62</v>
      </c>
      <c r="D182" s="3" t="s">
        <v>63</v>
      </c>
      <c r="E182" s="3" t="s">
        <v>636</v>
      </c>
      <c r="F182" s="3" t="s">
        <v>637</v>
      </c>
      <c r="G182" s="4" t="s">
        <v>85</v>
      </c>
      <c r="H182" s="4">
        <v>1</v>
      </c>
      <c r="I182" s="4">
        <v>0</v>
      </c>
      <c r="J182" s="4">
        <v>0</v>
      </c>
      <c r="K182" s="5">
        <f t="shared" si="7"/>
        <v>0</v>
      </c>
      <c r="L182" s="5">
        <v>0</v>
      </c>
      <c r="M182" s="5">
        <v>0</v>
      </c>
      <c r="N182" s="4">
        <v>0</v>
      </c>
      <c r="O182" s="5">
        <f t="shared" si="8"/>
        <v>0</v>
      </c>
      <c r="P182" s="5">
        <v>0</v>
      </c>
      <c r="Q182" s="5">
        <v>0</v>
      </c>
      <c r="R182" s="6"/>
    </row>
    <row r="183" spans="1:18" x14ac:dyDescent="0.25">
      <c r="A183" s="348">
        <f t="shared" si="9"/>
        <v>44</v>
      </c>
      <c r="B183" s="3" t="s">
        <v>31</v>
      </c>
      <c r="C183" s="3" t="s">
        <v>62</v>
      </c>
      <c r="D183" s="3" t="s">
        <v>63</v>
      </c>
      <c r="E183" s="3" t="s">
        <v>74</v>
      </c>
      <c r="F183" s="3" t="s">
        <v>206</v>
      </c>
      <c r="G183" s="4" t="s">
        <v>85</v>
      </c>
      <c r="H183" s="4">
        <v>52</v>
      </c>
      <c r="I183" s="4">
        <v>46</v>
      </c>
      <c r="J183" s="4">
        <v>56</v>
      </c>
      <c r="K183" s="5">
        <f t="shared" si="7"/>
        <v>87971.77</v>
      </c>
      <c r="L183" s="5">
        <v>87971.77</v>
      </c>
      <c r="M183" s="5">
        <v>0</v>
      </c>
      <c r="N183" s="4">
        <v>21</v>
      </c>
      <c r="O183" s="5">
        <f t="shared" si="8"/>
        <v>85171.839999999997</v>
      </c>
      <c r="P183" s="5">
        <v>85171.839999999997</v>
      </c>
      <c r="Q183" s="5">
        <v>0</v>
      </c>
      <c r="R183" s="6"/>
    </row>
    <row r="184" spans="1:18" ht="25.5" x14ac:dyDescent="0.25">
      <c r="A184" s="348">
        <f t="shared" si="9"/>
        <v>45</v>
      </c>
      <c r="B184" s="3" t="s">
        <v>605</v>
      </c>
      <c r="C184" s="3" t="s">
        <v>62</v>
      </c>
      <c r="D184" s="3" t="s">
        <v>63</v>
      </c>
      <c r="E184" s="3" t="s">
        <v>108</v>
      </c>
      <c r="F184" s="3" t="s">
        <v>619</v>
      </c>
      <c r="G184" s="4" t="s">
        <v>85</v>
      </c>
      <c r="H184" s="4">
        <v>3</v>
      </c>
      <c r="I184" s="4">
        <v>0</v>
      </c>
      <c r="J184" s="4">
        <v>0</v>
      </c>
      <c r="K184" s="5">
        <f t="shared" si="7"/>
        <v>0</v>
      </c>
      <c r="L184" s="5">
        <v>0</v>
      </c>
      <c r="M184" s="5">
        <v>0</v>
      </c>
      <c r="N184" s="4">
        <v>0</v>
      </c>
      <c r="O184" s="5">
        <f t="shared" si="8"/>
        <v>1200.69</v>
      </c>
      <c r="P184" s="5">
        <v>1200.69</v>
      </c>
      <c r="Q184" s="5">
        <v>0</v>
      </c>
      <c r="R184" s="6"/>
    </row>
    <row r="185" spans="1:18" x14ac:dyDescent="0.25">
      <c r="A185" s="348">
        <f t="shared" si="9"/>
        <v>46</v>
      </c>
      <c r="B185" s="3" t="s">
        <v>631</v>
      </c>
      <c r="C185" s="3" t="s">
        <v>62</v>
      </c>
      <c r="D185" s="3" t="s">
        <v>63</v>
      </c>
      <c r="E185" s="3" t="s">
        <v>63</v>
      </c>
      <c r="F185" s="3" t="s">
        <v>63</v>
      </c>
      <c r="G185" s="4" t="s">
        <v>85</v>
      </c>
      <c r="H185" s="4">
        <v>5</v>
      </c>
      <c r="I185" s="4">
        <v>0</v>
      </c>
      <c r="J185" s="4">
        <v>0</v>
      </c>
      <c r="K185" s="5">
        <f t="shared" si="7"/>
        <v>0</v>
      </c>
      <c r="L185" s="5">
        <v>0</v>
      </c>
      <c r="M185" s="5">
        <v>0</v>
      </c>
      <c r="N185" s="4">
        <v>0</v>
      </c>
      <c r="O185" s="5">
        <f t="shared" si="8"/>
        <v>0</v>
      </c>
      <c r="P185" s="5">
        <v>0</v>
      </c>
      <c r="Q185" s="5">
        <v>0</v>
      </c>
      <c r="R185" s="6"/>
    </row>
    <row r="186" spans="1:18" ht="51" x14ac:dyDescent="0.25">
      <c r="A186" s="348">
        <f t="shared" si="9"/>
        <v>47</v>
      </c>
      <c r="B186" s="3" t="s">
        <v>90</v>
      </c>
      <c r="C186" s="3" t="s">
        <v>62</v>
      </c>
      <c r="D186" s="3" t="s">
        <v>63</v>
      </c>
      <c r="E186" s="3" t="s">
        <v>205</v>
      </c>
      <c r="F186" s="3" t="s">
        <v>464</v>
      </c>
      <c r="G186" s="4" t="s">
        <v>85</v>
      </c>
      <c r="H186" s="4">
        <v>21</v>
      </c>
      <c r="I186" s="4">
        <v>13</v>
      </c>
      <c r="J186" s="4">
        <v>19</v>
      </c>
      <c r="K186" s="5">
        <f t="shared" si="7"/>
        <v>35238.51</v>
      </c>
      <c r="L186" s="5">
        <v>35238.51</v>
      </c>
      <c r="M186" s="5">
        <v>0</v>
      </c>
      <c r="N186" s="4">
        <v>17</v>
      </c>
      <c r="O186" s="5">
        <f t="shared" si="8"/>
        <v>23475.1</v>
      </c>
      <c r="P186" s="5">
        <v>23475.1</v>
      </c>
      <c r="Q186" s="5">
        <v>0</v>
      </c>
      <c r="R186" s="6"/>
    </row>
    <row r="187" spans="1:18" x14ac:dyDescent="0.25">
      <c r="A187" s="348">
        <f t="shared" si="9"/>
        <v>48</v>
      </c>
      <c r="B187" s="3" t="s">
        <v>91</v>
      </c>
      <c r="C187" s="3" t="s">
        <v>62</v>
      </c>
      <c r="D187" s="3" t="s">
        <v>63</v>
      </c>
      <c r="E187" s="3" t="s">
        <v>63</v>
      </c>
      <c r="F187" s="3" t="s">
        <v>208</v>
      </c>
      <c r="G187" s="4" t="s">
        <v>85</v>
      </c>
      <c r="H187" s="4">
        <v>15</v>
      </c>
      <c r="I187" s="4">
        <v>11</v>
      </c>
      <c r="J187" s="4">
        <v>11</v>
      </c>
      <c r="K187" s="5">
        <f t="shared" si="7"/>
        <v>5992.57</v>
      </c>
      <c r="L187" s="5">
        <v>5992.57</v>
      </c>
      <c r="M187" s="5">
        <v>0</v>
      </c>
      <c r="N187" s="4">
        <v>2</v>
      </c>
      <c r="O187" s="5">
        <f t="shared" si="8"/>
        <v>17381.23</v>
      </c>
      <c r="P187" s="5">
        <v>17381.23</v>
      </c>
      <c r="Q187" s="5">
        <v>0</v>
      </c>
      <c r="R187" s="6"/>
    </row>
    <row r="188" spans="1:18" x14ac:dyDescent="0.25">
      <c r="A188" s="348">
        <f t="shared" si="9"/>
        <v>49</v>
      </c>
      <c r="B188" s="3" t="s">
        <v>33</v>
      </c>
      <c r="C188" s="3" t="s">
        <v>62</v>
      </c>
      <c r="D188" s="3" t="s">
        <v>63</v>
      </c>
      <c r="E188" s="3" t="s">
        <v>74</v>
      </c>
      <c r="F188" s="3" t="s">
        <v>209</v>
      </c>
      <c r="G188" s="4" t="s">
        <v>85</v>
      </c>
      <c r="H188" s="4">
        <v>37</v>
      </c>
      <c r="I188" s="4">
        <v>29</v>
      </c>
      <c r="J188" s="4">
        <v>40</v>
      </c>
      <c r="K188" s="5">
        <f t="shared" si="7"/>
        <v>47036.6</v>
      </c>
      <c r="L188" s="5">
        <v>47036.6</v>
      </c>
      <c r="M188" s="5">
        <v>0</v>
      </c>
      <c r="N188" s="4">
        <v>38</v>
      </c>
      <c r="O188" s="5">
        <f t="shared" si="8"/>
        <v>99522.26</v>
      </c>
      <c r="P188" s="5">
        <v>99522.26</v>
      </c>
      <c r="Q188" s="5">
        <v>0</v>
      </c>
      <c r="R188" s="6"/>
    </row>
    <row r="189" spans="1:18" x14ac:dyDescent="0.25">
      <c r="A189" s="348">
        <f t="shared" si="9"/>
        <v>50</v>
      </c>
      <c r="B189" s="3" t="s">
        <v>32</v>
      </c>
      <c r="C189" s="3" t="s">
        <v>62</v>
      </c>
      <c r="D189" s="3" t="s">
        <v>63</v>
      </c>
      <c r="E189" s="3" t="s">
        <v>74</v>
      </c>
      <c r="F189" s="3" t="s">
        <v>207</v>
      </c>
      <c r="G189" s="4" t="s">
        <v>85</v>
      </c>
      <c r="H189" s="4">
        <v>49</v>
      </c>
      <c r="I189" s="4">
        <v>37</v>
      </c>
      <c r="J189" s="4">
        <v>40</v>
      </c>
      <c r="K189" s="5">
        <f t="shared" si="7"/>
        <v>29177.57</v>
      </c>
      <c r="L189" s="5">
        <v>21751.89</v>
      </c>
      <c r="M189" s="5">
        <v>7425.68</v>
      </c>
      <c r="N189" s="4">
        <v>33</v>
      </c>
      <c r="O189" s="5">
        <f t="shared" si="8"/>
        <v>98620.51</v>
      </c>
      <c r="P189" s="5">
        <v>98620.51</v>
      </c>
      <c r="Q189" s="5">
        <v>0</v>
      </c>
      <c r="R189" s="6"/>
    </row>
    <row r="190" spans="1:18" ht="25.5" x14ac:dyDescent="0.25">
      <c r="A190" s="348">
        <f t="shared" si="9"/>
        <v>51</v>
      </c>
      <c r="B190" s="3" t="s">
        <v>541</v>
      </c>
      <c r="C190" s="3" t="s">
        <v>62</v>
      </c>
      <c r="D190" s="3" t="s">
        <v>63</v>
      </c>
      <c r="E190" s="3" t="s">
        <v>177</v>
      </c>
      <c r="F190" s="3" t="s">
        <v>542</v>
      </c>
      <c r="G190" s="4" t="s">
        <v>85</v>
      </c>
      <c r="H190" s="4">
        <v>22</v>
      </c>
      <c r="I190" s="4">
        <v>12</v>
      </c>
      <c r="J190" s="4">
        <v>16</v>
      </c>
      <c r="K190" s="5">
        <f t="shared" si="7"/>
        <v>16190.579999999998</v>
      </c>
      <c r="L190" s="5">
        <v>7289.61</v>
      </c>
      <c r="M190" s="5">
        <v>8900.9699999999993</v>
      </c>
      <c r="N190" s="4">
        <v>0</v>
      </c>
      <c r="O190" s="5">
        <f t="shared" si="8"/>
        <v>0</v>
      </c>
      <c r="P190" s="5">
        <v>0</v>
      </c>
      <c r="Q190" s="5">
        <v>0</v>
      </c>
      <c r="R190" s="6"/>
    </row>
    <row r="191" spans="1:18" x14ac:dyDescent="0.25">
      <c r="A191" s="348">
        <f t="shared" si="9"/>
        <v>52</v>
      </c>
      <c r="B191" s="3" t="s">
        <v>34</v>
      </c>
      <c r="C191" s="3" t="s">
        <v>62</v>
      </c>
      <c r="D191" s="3" t="s">
        <v>63</v>
      </c>
      <c r="E191" s="3" t="s">
        <v>74</v>
      </c>
      <c r="F191" s="3" t="s">
        <v>211</v>
      </c>
      <c r="G191" s="4" t="s">
        <v>85</v>
      </c>
      <c r="H191" s="4">
        <v>19</v>
      </c>
      <c r="I191" s="4">
        <v>11</v>
      </c>
      <c r="J191" s="4">
        <v>11</v>
      </c>
      <c r="K191" s="5">
        <f t="shared" si="7"/>
        <v>4532.5200000000004</v>
      </c>
      <c r="L191" s="5">
        <v>4532.5200000000004</v>
      </c>
      <c r="M191" s="5">
        <v>0</v>
      </c>
      <c r="N191" s="4">
        <v>25</v>
      </c>
      <c r="O191" s="5">
        <f t="shared" si="8"/>
        <v>94507.1</v>
      </c>
      <c r="P191" s="5">
        <v>94507.1</v>
      </c>
      <c r="Q191" s="5">
        <v>0</v>
      </c>
      <c r="R191" s="6"/>
    </row>
    <row r="192" spans="1:18" ht="25.5" x14ac:dyDescent="0.25">
      <c r="A192" s="348">
        <f t="shared" si="9"/>
        <v>53</v>
      </c>
      <c r="B192" s="3" t="s">
        <v>154</v>
      </c>
      <c r="C192" s="3" t="s">
        <v>62</v>
      </c>
      <c r="D192" s="3" t="s">
        <v>63</v>
      </c>
      <c r="E192" s="3" t="s">
        <v>72</v>
      </c>
      <c r="F192" s="3" t="s">
        <v>212</v>
      </c>
      <c r="G192" s="4" t="s">
        <v>85</v>
      </c>
      <c r="H192" s="4">
        <v>6</v>
      </c>
      <c r="I192" s="4">
        <v>2</v>
      </c>
      <c r="J192" s="4">
        <v>2</v>
      </c>
      <c r="K192" s="5">
        <f t="shared" si="7"/>
        <v>2172.77</v>
      </c>
      <c r="L192" s="5">
        <v>0</v>
      </c>
      <c r="M192" s="5">
        <v>2172.77</v>
      </c>
      <c r="N192" s="4">
        <v>2</v>
      </c>
      <c r="O192" s="5">
        <f t="shared" si="8"/>
        <v>10016.970000000001</v>
      </c>
      <c r="P192" s="5">
        <f>4636.17+3171.6</f>
        <v>7807.77</v>
      </c>
      <c r="Q192" s="5">
        <v>2209.1999999999998</v>
      </c>
      <c r="R192" s="6"/>
    </row>
    <row r="193" spans="1:18" x14ac:dyDescent="0.25">
      <c r="A193" s="348">
        <f t="shared" si="9"/>
        <v>54</v>
      </c>
      <c r="B193" s="3" t="s">
        <v>153</v>
      </c>
      <c r="C193" s="3" t="s">
        <v>62</v>
      </c>
      <c r="D193" s="3" t="s">
        <v>63</v>
      </c>
      <c r="E193" s="3" t="s">
        <v>74</v>
      </c>
      <c r="F193" s="3" t="s">
        <v>210</v>
      </c>
      <c r="G193" s="4" t="s">
        <v>85</v>
      </c>
      <c r="H193" s="4">
        <v>0</v>
      </c>
      <c r="I193" s="4">
        <v>0</v>
      </c>
      <c r="J193" s="4">
        <v>0</v>
      </c>
      <c r="K193" s="5">
        <f t="shared" si="7"/>
        <v>0</v>
      </c>
      <c r="L193" s="5">
        <v>0</v>
      </c>
      <c r="M193" s="5">
        <v>0</v>
      </c>
      <c r="N193" s="4">
        <v>3</v>
      </c>
      <c r="O193" s="5">
        <f t="shared" si="8"/>
        <v>27274.93</v>
      </c>
      <c r="P193" s="5">
        <f>17789.33+9485.6</f>
        <v>27274.93</v>
      </c>
      <c r="Q193" s="5">
        <v>0</v>
      </c>
      <c r="R193" s="6"/>
    </row>
    <row r="194" spans="1:18" x14ac:dyDescent="0.25">
      <c r="A194" s="348">
        <f t="shared" si="9"/>
        <v>55</v>
      </c>
      <c r="B194" s="3" t="s">
        <v>109</v>
      </c>
      <c r="C194" s="3" t="s">
        <v>62</v>
      </c>
      <c r="D194" s="3" t="s">
        <v>63</v>
      </c>
      <c r="E194" s="3" t="s">
        <v>74</v>
      </c>
      <c r="F194" s="3" t="s">
        <v>213</v>
      </c>
      <c r="G194" s="4" t="s">
        <v>85</v>
      </c>
      <c r="H194" s="4">
        <v>0</v>
      </c>
      <c r="I194" s="4">
        <v>0</v>
      </c>
      <c r="J194" s="4">
        <v>0</v>
      </c>
      <c r="K194" s="5">
        <f t="shared" si="7"/>
        <v>0</v>
      </c>
      <c r="L194" s="5">
        <v>0</v>
      </c>
      <c r="M194" s="5">
        <v>0</v>
      </c>
      <c r="N194" s="4">
        <v>2</v>
      </c>
      <c r="O194" s="5">
        <f t="shared" si="8"/>
        <v>3812.68</v>
      </c>
      <c r="P194" s="5">
        <v>3812.68</v>
      </c>
      <c r="Q194" s="5">
        <v>0</v>
      </c>
      <c r="R194" s="6"/>
    </row>
    <row r="195" spans="1:18" x14ac:dyDescent="0.25">
      <c r="A195" s="348">
        <f t="shared" si="9"/>
        <v>56</v>
      </c>
      <c r="B195" s="3" t="s">
        <v>110</v>
      </c>
      <c r="C195" s="3" t="s">
        <v>62</v>
      </c>
      <c r="D195" s="3" t="s">
        <v>63</v>
      </c>
      <c r="E195" s="3" t="s">
        <v>74</v>
      </c>
      <c r="F195" s="3" t="s">
        <v>214</v>
      </c>
      <c r="G195" s="4" t="s">
        <v>85</v>
      </c>
      <c r="H195" s="4">
        <v>0</v>
      </c>
      <c r="I195" s="4">
        <v>0</v>
      </c>
      <c r="J195" s="4">
        <v>0</v>
      </c>
      <c r="K195" s="5">
        <f t="shared" si="7"/>
        <v>0</v>
      </c>
      <c r="L195" s="5">
        <v>0</v>
      </c>
      <c r="M195" s="5">
        <v>0</v>
      </c>
      <c r="N195" s="4">
        <v>0</v>
      </c>
      <c r="O195" s="5">
        <f t="shared" si="8"/>
        <v>12489.14</v>
      </c>
      <c r="P195" s="5">
        <v>12489.14</v>
      </c>
      <c r="Q195" s="5">
        <v>0</v>
      </c>
      <c r="R195" s="6"/>
    </row>
    <row r="196" spans="1:18" x14ac:dyDescent="0.25">
      <c r="A196" s="348">
        <f t="shared" si="9"/>
        <v>57</v>
      </c>
      <c r="B196" s="3" t="s">
        <v>111</v>
      </c>
      <c r="C196" s="3" t="s">
        <v>112</v>
      </c>
      <c r="D196" s="3" t="s">
        <v>113</v>
      </c>
      <c r="E196" s="3" t="s">
        <v>63</v>
      </c>
      <c r="F196" s="3" t="s">
        <v>139</v>
      </c>
      <c r="G196" s="4" t="s">
        <v>85</v>
      </c>
      <c r="H196" s="4">
        <v>1</v>
      </c>
      <c r="I196" s="4">
        <v>0</v>
      </c>
      <c r="J196" s="4">
        <v>0</v>
      </c>
      <c r="K196" s="5">
        <f t="shared" si="7"/>
        <v>0</v>
      </c>
      <c r="L196" s="5">
        <v>0</v>
      </c>
      <c r="M196" s="5">
        <v>0</v>
      </c>
      <c r="N196" s="4">
        <v>0</v>
      </c>
      <c r="O196" s="5">
        <f t="shared" si="8"/>
        <v>0</v>
      </c>
      <c r="P196" s="5">
        <v>0</v>
      </c>
      <c r="Q196" s="5">
        <v>0</v>
      </c>
      <c r="R196" s="6"/>
    </row>
    <row r="197" spans="1:18" x14ac:dyDescent="0.25">
      <c r="A197" s="348">
        <f t="shared" si="9"/>
        <v>58</v>
      </c>
      <c r="B197" s="3" t="s">
        <v>92</v>
      </c>
      <c r="C197" s="3" t="s">
        <v>62</v>
      </c>
      <c r="D197" s="3" t="s">
        <v>63</v>
      </c>
      <c r="E197" s="3" t="s">
        <v>74</v>
      </c>
      <c r="F197" s="3" t="s">
        <v>215</v>
      </c>
      <c r="G197" s="4" t="s">
        <v>85</v>
      </c>
      <c r="H197" s="4">
        <v>37</v>
      </c>
      <c r="I197" s="4">
        <v>30</v>
      </c>
      <c r="J197" s="4">
        <v>38</v>
      </c>
      <c r="K197" s="5">
        <f t="shared" si="7"/>
        <v>50094.61</v>
      </c>
      <c r="L197" s="5">
        <v>44523.09</v>
      </c>
      <c r="M197" s="5">
        <v>5571.52</v>
      </c>
      <c r="N197" s="4">
        <v>13</v>
      </c>
      <c r="O197" s="5">
        <f t="shared" si="8"/>
        <v>45686.47</v>
      </c>
      <c r="P197" s="5">
        <v>45686.47</v>
      </c>
      <c r="Q197" s="5">
        <v>0</v>
      </c>
      <c r="R197" s="6"/>
    </row>
    <row r="198" spans="1:18" ht="25.5" x14ac:dyDescent="0.25">
      <c r="A198" s="348">
        <f t="shared" si="9"/>
        <v>59</v>
      </c>
      <c r="B198" s="3" t="s">
        <v>216</v>
      </c>
      <c r="C198" s="3" t="s">
        <v>67</v>
      </c>
      <c r="D198" s="3" t="s">
        <v>436</v>
      </c>
      <c r="E198" s="3" t="s">
        <v>217</v>
      </c>
      <c r="F198" s="3" t="s">
        <v>218</v>
      </c>
      <c r="G198" s="4" t="s">
        <v>85</v>
      </c>
      <c r="H198" s="4">
        <v>13</v>
      </c>
      <c r="I198" s="4">
        <v>8</v>
      </c>
      <c r="J198" s="4">
        <v>8</v>
      </c>
      <c r="K198" s="5">
        <f t="shared" si="7"/>
        <v>6838.87</v>
      </c>
      <c r="L198" s="5">
        <v>6838.87</v>
      </c>
      <c r="M198" s="5">
        <v>0</v>
      </c>
      <c r="N198" s="4">
        <v>0</v>
      </c>
      <c r="O198" s="5">
        <f t="shared" si="8"/>
        <v>0</v>
      </c>
      <c r="P198" s="5">
        <v>0</v>
      </c>
      <c r="Q198" s="5">
        <v>0</v>
      </c>
      <c r="R198" s="6"/>
    </row>
    <row r="199" spans="1:18" ht="25.5" x14ac:dyDescent="0.25">
      <c r="A199" s="348">
        <f t="shared" si="9"/>
        <v>60</v>
      </c>
      <c r="B199" s="3" t="s">
        <v>35</v>
      </c>
      <c r="C199" s="3" t="s">
        <v>62</v>
      </c>
      <c r="D199" s="3" t="s">
        <v>63</v>
      </c>
      <c r="E199" s="3" t="s">
        <v>219</v>
      </c>
      <c r="F199" s="3" t="s">
        <v>220</v>
      </c>
      <c r="G199" s="4" t="s">
        <v>85</v>
      </c>
      <c r="H199" s="4">
        <v>53</v>
      </c>
      <c r="I199" s="4">
        <v>42</v>
      </c>
      <c r="J199" s="4">
        <v>49</v>
      </c>
      <c r="K199" s="5">
        <f t="shared" si="7"/>
        <v>78571.539999999994</v>
      </c>
      <c r="L199" s="5">
        <v>78571.539999999994</v>
      </c>
      <c r="M199" s="5">
        <v>0</v>
      </c>
      <c r="N199" s="4">
        <v>31</v>
      </c>
      <c r="O199" s="5">
        <f t="shared" si="8"/>
        <v>75066.61</v>
      </c>
      <c r="P199" s="5">
        <v>75066.61</v>
      </c>
      <c r="Q199" s="5">
        <v>0</v>
      </c>
      <c r="R199" s="6"/>
    </row>
    <row r="200" spans="1:18" ht="25.5" x14ac:dyDescent="0.25">
      <c r="A200" s="348">
        <f t="shared" si="9"/>
        <v>61</v>
      </c>
      <c r="B200" s="3" t="s">
        <v>114</v>
      </c>
      <c r="C200" s="3" t="s">
        <v>62</v>
      </c>
      <c r="D200" s="3" t="s">
        <v>63</v>
      </c>
      <c r="E200" s="3" t="s">
        <v>115</v>
      </c>
      <c r="F200" s="3" t="s">
        <v>221</v>
      </c>
      <c r="G200" s="4" t="s">
        <v>85</v>
      </c>
      <c r="H200" s="4">
        <v>12</v>
      </c>
      <c r="I200" s="4">
        <v>2</v>
      </c>
      <c r="J200" s="4">
        <v>2</v>
      </c>
      <c r="K200" s="5">
        <f t="shared" si="7"/>
        <v>1887.36</v>
      </c>
      <c r="L200" s="5">
        <v>1887.36</v>
      </c>
      <c r="M200" s="5">
        <v>0</v>
      </c>
      <c r="N200" s="4">
        <v>0</v>
      </c>
      <c r="O200" s="5">
        <f t="shared" si="8"/>
        <v>1108.48</v>
      </c>
      <c r="P200" s="5">
        <v>1108.48</v>
      </c>
      <c r="Q200" s="5">
        <v>0</v>
      </c>
      <c r="R200" s="6"/>
    </row>
    <row r="201" spans="1:18" ht="25.5" x14ac:dyDescent="0.25">
      <c r="A201" s="348">
        <f t="shared" si="9"/>
        <v>62</v>
      </c>
      <c r="B201" s="3" t="s">
        <v>222</v>
      </c>
      <c r="C201" s="3" t="s">
        <v>64</v>
      </c>
      <c r="D201" s="3" t="s">
        <v>486</v>
      </c>
      <c r="E201" s="3" t="s">
        <v>223</v>
      </c>
      <c r="F201" s="3" t="s">
        <v>224</v>
      </c>
      <c r="G201" s="4" t="s">
        <v>85</v>
      </c>
      <c r="H201" s="4">
        <v>19</v>
      </c>
      <c r="I201" s="4">
        <v>13</v>
      </c>
      <c r="J201" s="4">
        <v>16</v>
      </c>
      <c r="K201" s="5">
        <f t="shared" si="7"/>
        <v>21690.91</v>
      </c>
      <c r="L201" s="5">
        <v>21690.91</v>
      </c>
      <c r="M201" s="5">
        <v>0</v>
      </c>
      <c r="N201" s="4">
        <v>0</v>
      </c>
      <c r="O201" s="5">
        <f t="shared" si="8"/>
        <v>0</v>
      </c>
      <c r="P201" s="5">
        <v>0</v>
      </c>
      <c r="Q201" s="5">
        <v>0</v>
      </c>
      <c r="R201" s="6"/>
    </row>
    <row r="202" spans="1:18" x14ac:dyDescent="0.25">
      <c r="A202" s="348">
        <f t="shared" si="9"/>
        <v>63</v>
      </c>
      <c r="B202" s="3" t="s">
        <v>93</v>
      </c>
      <c r="C202" s="3" t="s">
        <v>62</v>
      </c>
      <c r="D202" s="3" t="s">
        <v>63</v>
      </c>
      <c r="E202" s="3" t="s">
        <v>74</v>
      </c>
      <c r="F202" s="3" t="s">
        <v>225</v>
      </c>
      <c r="G202" s="4" t="s">
        <v>85</v>
      </c>
      <c r="H202" s="4">
        <v>14</v>
      </c>
      <c r="I202" s="4">
        <v>6</v>
      </c>
      <c r="J202" s="4">
        <v>7</v>
      </c>
      <c r="K202" s="5">
        <f t="shared" si="7"/>
        <v>11798.3</v>
      </c>
      <c r="L202" s="5">
        <v>11798.3</v>
      </c>
      <c r="M202" s="5">
        <v>0</v>
      </c>
      <c r="N202" s="4">
        <v>7</v>
      </c>
      <c r="O202" s="5">
        <f t="shared" si="8"/>
        <v>10672.71</v>
      </c>
      <c r="P202" s="5">
        <v>10672.71</v>
      </c>
      <c r="Q202" s="5">
        <v>0</v>
      </c>
      <c r="R202" s="6"/>
    </row>
    <row r="203" spans="1:18" ht="25.5" x14ac:dyDescent="0.25">
      <c r="A203" s="348">
        <f t="shared" si="9"/>
        <v>64</v>
      </c>
      <c r="B203" s="3" t="s">
        <v>226</v>
      </c>
      <c r="C203" s="3" t="s">
        <v>62</v>
      </c>
      <c r="D203" s="3" t="s">
        <v>63</v>
      </c>
      <c r="E203" s="3" t="s">
        <v>174</v>
      </c>
      <c r="F203" s="3" t="s">
        <v>227</v>
      </c>
      <c r="G203" s="4" t="s">
        <v>85</v>
      </c>
      <c r="H203" s="4">
        <v>30</v>
      </c>
      <c r="I203" s="4">
        <v>11</v>
      </c>
      <c r="J203" s="4">
        <v>13</v>
      </c>
      <c r="K203" s="5">
        <f t="shared" si="7"/>
        <v>24991.78</v>
      </c>
      <c r="L203" s="5">
        <v>24991.78</v>
      </c>
      <c r="M203" s="5">
        <v>0</v>
      </c>
      <c r="N203" s="4">
        <v>0</v>
      </c>
      <c r="O203" s="5">
        <f t="shared" si="8"/>
        <v>0</v>
      </c>
      <c r="P203" s="5">
        <v>0</v>
      </c>
      <c r="Q203" s="5">
        <v>0</v>
      </c>
      <c r="R203" s="6"/>
    </row>
    <row r="204" spans="1:18" ht="25.5" x14ac:dyDescent="0.25">
      <c r="A204" s="348">
        <f t="shared" si="9"/>
        <v>65</v>
      </c>
      <c r="B204" s="3" t="s">
        <v>228</v>
      </c>
      <c r="C204" s="3" t="s">
        <v>62</v>
      </c>
      <c r="D204" s="3" t="s">
        <v>63</v>
      </c>
      <c r="E204" s="3" t="s">
        <v>229</v>
      </c>
      <c r="F204" s="3" t="s">
        <v>230</v>
      </c>
      <c r="G204" s="4" t="s">
        <v>85</v>
      </c>
      <c r="H204" s="4">
        <v>34</v>
      </c>
      <c r="I204" s="4">
        <v>20</v>
      </c>
      <c r="J204" s="4">
        <v>22</v>
      </c>
      <c r="K204" s="5">
        <f t="shared" si="7"/>
        <v>34002.400000000001</v>
      </c>
      <c r="L204" s="5">
        <v>19255.28</v>
      </c>
      <c r="M204" s="5">
        <v>14747.12</v>
      </c>
      <c r="N204" s="4">
        <v>0</v>
      </c>
      <c r="O204" s="5">
        <f t="shared" si="8"/>
        <v>0</v>
      </c>
      <c r="P204" s="5">
        <v>0</v>
      </c>
      <c r="Q204" s="5">
        <v>0</v>
      </c>
      <c r="R204" s="6"/>
    </row>
    <row r="205" spans="1:18" ht="25.5" x14ac:dyDescent="0.25">
      <c r="A205" s="348">
        <f t="shared" si="9"/>
        <v>66</v>
      </c>
      <c r="B205" s="3" t="s">
        <v>232</v>
      </c>
      <c r="C205" s="3" t="s">
        <v>62</v>
      </c>
      <c r="D205" s="3" t="s">
        <v>63</v>
      </c>
      <c r="E205" s="3" t="s">
        <v>174</v>
      </c>
      <c r="F205" s="3" t="s">
        <v>233</v>
      </c>
      <c r="G205" s="4" t="s">
        <v>85</v>
      </c>
      <c r="H205" s="4">
        <v>15</v>
      </c>
      <c r="I205" s="4">
        <v>9</v>
      </c>
      <c r="J205" s="4">
        <v>10</v>
      </c>
      <c r="K205" s="5">
        <f t="shared" ref="K205:K268" si="10">L205+M205</f>
        <v>6197.22</v>
      </c>
      <c r="L205" s="5">
        <v>6197.22</v>
      </c>
      <c r="M205" s="5">
        <v>0</v>
      </c>
      <c r="N205" s="4">
        <v>0</v>
      </c>
      <c r="O205" s="5">
        <f t="shared" ref="O205:O268" si="11">P205+Q205</f>
        <v>0</v>
      </c>
      <c r="P205" s="5">
        <v>0</v>
      </c>
      <c r="Q205" s="5">
        <v>0</v>
      </c>
      <c r="R205" s="6"/>
    </row>
    <row r="206" spans="1:18" ht="25.5" x14ac:dyDescent="0.25">
      <c r="A206" s="348">
        <f t="shared" ref="A206:A269" si="12">A205+1</f>
        <v>67</v>
      </c>
      <c r="B206" s="3" t="s">
        <v>487</v>
      </c>
      <c r="C206" s="3" t="s">
        <v>62</v>
      </c>
      <c r="D206" s="3" t="s">
        <v>63</v>
      </c>
      <c r="E206" s="3" t="s">
        <v>282</v>
      </c>
      <c r="F206" s="3" t="s">
        <v>488</v>
      </c>
      <c r="G206" s="4" t="s">
        <v>85</v>
      </c>
      <c r="H206" s="4">
        <v>8</v>
      </c>
      <c r="I206" s="4">
        <v>3</v>
      </c>
      <c r="J206" s="4">
        <v>3</v>
      </c>
      <c r="K206" s="5">
        <f t="shared" si="10"/>
        <v>1999.87</v>
      </c>
      <c r="L206" s="5">
        <v>1999.87</v>
      </c>
      <c r="M206" s="5">
        <v>0</v>
      </c>
      <c r="N206" s="4">
        <v>0</v>
      </c>
      <c r="O206" s="5">
        <f t="shared" si="11"/>
        <v>0</v>
      </c>
      <c r="P206" s="5">
        <v>0</v>
      </c>
      <c r="Q206" s="5">
        <v>0</v>
      </c>
      <c r="R206" s="6"/>
    </row>
    <row r="207" spans="1:18" x14ac:dyDescent="0.25">
      <c r="A207" s="348">
        <f t="shared" si="12"/>
        <v>68</v>
      </c>
      <c r="B207" s="3" t="s">
        <v>116</v>
      </c>
      <c r="C207" s="3" t="s">
        <v>62</v>
      </c>
      <c r="D207" s="3" t="s">
        <v>63</v>
      </c>
      <c r="E207" s="3" t="s">
        <v>74</v>
      </c>
      <c r="F207" s="3" t="s">
        <v>231</v>
      </c>
      <c r="G207" s="4" t="s">
        <v>85</v>
      </c>
      <c r="H207" s="4">
        <v>34</v>
      </c>
      <c r="I207" s="4">
        <v>22</v>
      </c>
      <c r="J207" s="4">
        <v>24</v>
      </c>
      <c r="K207" s="5">
        <f t="shared" si="10"/>
        <v>36007.32</v>
      </c>
      <c r="L207" s="5">
        <v>36007.32</v>
      </c>
      <c r="M207" s="5">
        <v>0</v>
      </c>
      <c r="N207" s="4">
        <v>3</v>
      </c>
      <c r="O207" s="5">
        <f t="shared" si="11"/>
        <v>5058.49</v>
      </c>
      <c r="P207" s="5">
        <v>5058.49</v>
      </c>
      <c r="Q207" s="5">
        <v>0</v>
      </c>
      <c r="R207" s="6"/>
    </row>
    <row r="208" spans="1:18" ht="25.5" x14ac:dyDescent="0.25">
      <c r="A208" s="348">
        <f t="shared" si="12"/>
        <v>69</v>
      </c>
      <c r="B208" s="3" t="s">
        <v>37</v>
      </c>
      <c r="C208" s="3" t="s">
        <v>62</v>
      </c>
      <c r="D208" s="3" t="s">
        <v>63</v>
      </c>
      <c r="E208" s="3" t="s">
        <v>70</v>
      </c>
      <c r="F208" s="3" t="s">
        <v>234</v>
      </c>
      <c r="G208" s="4" t="s">
        <v>85</v>
      </c>
      <c r="H208" s="4">
        <v>15</v>
      </c>
      <c r="I208" s="4">
        <v>9</v>
      </c>
      <c r="J208" s="4">
        <v>9</v>
      </c>
      <c r="K208" s="5">
        <f t="shared" si="10"/>
        <v>11914.75</v>
      </c>
      <c r="L208" s="5">
        <v>11914.75</v>
      </c>
      <c r="M208" s="5">
        <v>0</v>
      </c>
      <c r="N208" s="4">
        <v>3</v>
      </c>
      <c r="O208" s="5">
        <f t="shared" si="11"/>
        <v>19390.900000000001</v>
      </c>
      <c r="P208" s="5">
        <v>19390.900000000001</v>
      </c>
      <c r="Q208" s="5">
        <v>0</v>
      </c>
      <c r="R208" s="6"/>
    </row>
    <row r="209" spans="1:18" ht="38.25" x14ac:dyDescent="0.25">
      <c r="A209" s="348">
        <f t="shared" si="12"/>
        <v>70</v>
      </c>
      <c r="B209" s="3" t="s">
        <v>235</v>
      </c>
      <c r="C209" s="3" t="s">
        <v>62</v>
      </c>
      <c r="D209" s="3" t="s">
        <v>63</v>
      </c>
      <c r="E209" s="3" t="s">
        <v>236</v>
      </c>
      <c r="F209" s="3" t="s">
        <v>237</v>
      </c>
      <c r="G209" s="4" t="s">
        <v>85</v>
      </c>
      <c r="H209" s="4">
        <v>8</v>
      </c>
      <c r="I209" s="4">
        <v>6</v>
      </c>
      <c r="J209" s="4">
        <v>9</v>
      </c>
      <c r="K209" s="5">
        <f t="shared" si="10"/>
        <v>18943.79</v>
      </c>
      <c r="L209" s="5">
        <v>18943.79</v>
      </c>
      <c r="M209" s="5">
        <v>0</v>
      </c>
      <c r="N209" s="4">
        <v>0</v>
      </c>
      <c r="O209" s="5">
        <f t="shared" si="11"/>
        <v>0</v>
      </c>
      <c r="P209" s="5">
        <v>0</v>
      </c>
      <c r="Q209" s="5">
        <v>0</v>
      </c>
      <c r="R209" s="6"/>
    </row>
    <row r="210" spans="1:18" ht="25.5" x14ac:dyDescent="0.25">
      <c r="A210" s="348">
        <f t="shared" si="12"/>
        <v>71</v>
      </c>
      <c r="B210" s="3" t="s">
        <v>238</v>
      </c>
      <c r="C210" s="3" t="s">
        <v>62</v>
      </c>
      <c r="D210" s="3" t="s">
        <v>63</v>
      </c>
      <c r="E210" s="3" t="s">
        <v>239</v>
      </c>
      <c r="F210" s="3" t="s">
        <v>240</v>
      </c>
      <c r="G210" s="4" t="s">
        <v>85</v>
      </c>
      <c r="H210" s="4">
        <v>14</v>
      </c>
      <c r="I210" s="4">
        <v>9</v>
      </c>
      <c r="J210" s="4">
        <v>10</v>
      </c>
      <c r="K210" s="5">
        <f t="shared" si="10"/>
        <v>8493.5499999999993</v>
      </c>
      <c r="L210" s="5">
        <v>8493.5499999999993</v>
      </c>
      <c r="M210" s="5">
        <v>0</v>
      </c>
      <c r="N210" s="4">
        <v>0</v>
      </c>
      <c r="O210" s="5">
        <f t="shared" si="11"/>
        <v>0</v>
      </c>
      <c r="P210" s="5">
        <v>0</v>
      </c>
      <c r="Q210" s="5">
        <v>0</v>
      </c>
      <c r="R210" s="6"/>
    </row>
    <row r="211" spans="1:18" ht="25.5" x14ac:dyDescent="0.25">
      <c r="A211" s="348">
        <f t="shared" si="12"/>
        <v>72</v>
      </c>
      <c r="B211" s="3" t="s">
        <v>357</v>
      </c>
      <c r="C211" s="3" t="s">
        <v>64</v>
      </c>
      <c r="D211" s="3" t="s">
        <v>585</v>
      </c>
      <c r="E211" s="3" t="s">
        <v>74</v>
      </c>
      <c r="F211" s="3" t="s">
        <v>573</v>
      </c>
      <c r="G211" s="4" t="s">
        <v>85</v>
      </c>
      <c r="H211" s="4">
        <v>6</v>
      </c>
      <c r="I211" s="4">
        <v>0</v>
      </c>
      <c r="J211" s="4">
        <v>0</v>
      </c>
      <c r="K211" s="5">
        <f t="shared" si="10"/>
        <v>0</v>
      </c>
      <c r="L211" s="5">
        <v>0</v>
      </c>
      <c r="M211" s="5">
        <v>0</v>
      </c>
      <c r="N211" s="4">
        <v>1</v>
      </c>
      <c r="O211" s="5">
        <f t="shared" si="11"/>
        <v>6753.85</v>
      </c>
      <c r="P211" s="5">
        <v>6753.85</v>
      </c>
      <c r="Q211" s="5">
        <v>0</v>
      </c>
      <c r="R211" s="6"/>
    </row>
    <row r="212" spans="1:18" x14ac:dyDescent="0.25">
      <c r="A212" s="348">
        <f t="shared" si="12"/>
        <v>73</v>
      </c>
      <c r="B212" s="3" t="s">
        <v>36</v>
      </c>
      <c r="C212" s="3" t="s">
        <v>62</v>
      </c>
      <c r="D212" s="3" t="s">
        <v>63</v>
      </c>
      <c r="E212" s="3" t="s">
        <v>74</v>
      </c>
      <c r="F212" s="3" t="s">
        <v>465</v>
      </c>
      <c r="G212" s="4" t="s">
        <v>85</v>
      </c>
      <c r="H212" s="4">
        <v>8</v>
      </c>
      <c r="I212" s="4">
        <v>1</v>
      </c>
      <c r="J212" s="4">
        <v>1</v>
      </c>
      <c r="K212" s="5">
        <f t="shared" si="10"/>
        <v>0</v>
      </c>
      <c r="L212" s="5">
        <v>0</v>
      </c>
      <c r="M212" s="5">
        <v>0</v>
      </c>
      <c r="N212" s="4">
        <v>4</v>
      </c>
      <c r="O212" s="5">
        <f t="shared" si="11"/>
        <v>18434.64</v>
      </c>
      <c r="P212" s="5">
        <f>17817.94+616.7</f>
        <v>18434.64</v>
      </c>
      <c r="Q212" s="5">
        <v>0</v>
      </c>
      <c r="R212" s="6"/>
    </row>
    <row r="213" spans="1:18" x14ac:dyDescent="0.25">
      <c r="A213" s="348">
        <f t="shared" si="12"/>
        <v>74</v>
      </c>
      <c r="B213" s="3" t="s">
        <v>39</v>
      </c>
      <c r="C213" s="3" t="s">
        <v>62</v>
      </c>
      <c r="D213" s="3" t="s">
        <v>63</v>
      </c>
      <c r="E213" s="3" t="s">
        <v>77</v>
      </c>
      <c r="F213" s="3" t="s">
        <v>466</v>
      </c>
      <c r="G213" s="4" t="s">
        <v>85</v>
      </c>
      <c r="H213" s="4">
        <v>100</v>
      </c>
      <c r="I213" s="4">
        <v>81</v>
      </c>
      <c r="J213" s="4">
        <v>88</v>
      </c>
      <c r="K213" s="5">
        <f t="shared" si="10"/>
        <v>53283.4</v>
      </c>
      <c r="L213" s="5">
        <v>50451.94</v>
      </c>
      <c r="M213" s="5">
        <v>2831.46</v>
      </c>
      <c r="N213" s="4">
        <v>9</v>
      </c>
      <c r="O213" s="5">
        <f t="shared" si="11"/>
        <v>18898.939999999999</v>
      </c>
      <c r="P213" s="5">
        <v>18898.939999999999</v>
      </c>
      <c r="Q213" s="5">
        <v>0</v>
      </c>
      <c r="R213" s="6"/>
    </row>
    <row r="214" spans="1:18" ht="38.25" x14ac:dyDescent="0.25">
      <c r="A214" s="348">
        <f t="shared" si="12"/>
        <v>75</v>
      </c>
      <c r="B214" s="3" t="s">
        <v>40</v>
      </c>
      <c r="C214" s="3" t="s">
        <v>62</v>
      </c>
      <c r="D214" s="3" t="s">
        <v>63</v>
      </c>
      <c r="E214" s="3" t="s">
        <v>249</v>
      </c>
      <c r="F214" s="3" t="s">
        <v>250</v>
      </c>
      <c r="G214" s="4" t="s">
        <v>85</v>
      </c>
      <c r="H214" s="4">
        <v>30</v>
      </c>
      <c r="I214" s="4">
        <v>25</v>
      </c>
      <c r="J214" s="4">
        <v>38</v>
      </c>
      <c r="K214" s="5">
        <f t="shared" si="10"/>
        <v>72302.81</v>
      </c>
      <c r="L214" s="5">
        <v>72302.81</v>
      </c>
      <c r="M214" s="5">
        <v>0</v>
      </c>
      <c r="N214" s="4">
        <v>18</v>
      </c>
      <c r="O214" s="5">
        <f t="shared" si="11"/>
        <v>51901.91</v>
      </c>
      <c r="P214" s="5">
        <v>51901.91</v>
      </c>
      <c r="Q214" s="5">
        <v>0</v>
      </c>
      <c r="R214" s="6"/>
    </row>
    <row r="215" spans="1:18" ht="25.5" x14ac:dyDescent="0.25">
      <c r="A215" s="348">
        <f t="shared" si="12"/>
        <v>76</v>
      </c>
      <c r="B215" s="3" t="s">
        <v>251</v>
      </c>
      <c r="C215" s="3" t="s">
        <v>62</v>
      </c>
      <c r="D215" s="3" t="s">
        <v>63</v>
      </c>
      <c r="E215" s="3" t="s">
        <v>177</v>
      </c>
      <c r="F215" s="3" t="s">
        <v>252</v>
      </c>
      <c r="G215" s="4" t="s">
        <v>85</v>
      </c>
      <c r="H215" s="4">
        <v>41</v>
      </c>
      <c r="I215" s="4">
        <v>27</v>
      </c>
      <c r="J215" s="4">
        <v>41</v>
      </c>
      <c r="K215" s="5">
        <f t="shared" si="10"/>
        <v>65719.149999999994</v>
      </c>
      <c r="L215" s="5">
        <v>48986.76</v>
      </c>
      <c r="M215" s="5">
        <v>16732.39</v>
      </c>
      <c r="N215" s="4">
        <v>0</v>
      </c>
      <c r="O215" s="5">
        <f t="shared" si="11"/>
        <v>0</v>
      </c>
      <c r="P215" s="5">
        <v>0</v>
      </c>
      <c r="Q215" s="5">
        <v>0</v>
      </c>
      <c r="R215" s="6"/>
    </row>
    <row r="216" spans="1:18" x14ac:dyDescent="0.25">
      <c r="A216" s="348">
        <f t="shared" si="12"/>
        <v>77</v>
      </c>
      <c r="B216" s="3" t="s">
        <v>117</v>
      </c>
      <c r="C216" s="3" t="s">
        <v>62</v>
      </c>
      <c r="D216" s="3" t="s">
        <v>63</v>
      </c>
      <c r="E216" s="3" t="s">
        <v>74</v>
      </c>
      <c r="F216" s="3" t="s">
        <v>520</v>
      </c>
      <c r="G216" s="4" t="s">
        <v>85</v>
      </c>
      <c r="H216" s="4">
        <v>4</v>
      </c>
      <c r="I216" s="4">
        <v>1</v>
      </c>
      <c r="J216" s="4">
        <v>1</v>
      </c>
      <c r="K216" s="5">
        <f t="shared" si="10"/>
        <v>2616.5700000000002</v>
      </c>
      <c r="L216" s="5">
        <v>2616.5700000000002</v>
      </c>
      <c r="M216" s="5">
        <v>0</v>
      </c>
      <c r="N216" s="4">
        <v>3</v>
      </c>
      <c r="O216" s="5">
        <f t="shared" si="11"/>
        <v>9677.56</v>
      </c>
      <c r="P216" s="5">
        <v>9677.56</v>
      </c>
      <c r="Q216" s="5">
        <v>0</v>
      </c>
      <c r="R216" s="6"/>
    </row>
    <row r="217" spans="1:18" ht="25.5" x14ac:dyDescent="0.25">
      <c r="A217" s="348">
        <f t="shared" si="12"/>
        <v>78</v>
      </c>
      <c r="B217" s="3" t="s">
        <v>41</v>
      </c>
      <c r="C217" s="3" t="s">
        <v>64</v>
      </c>
      <c r="D217" s="3" t="s">
        <v>65</v>
      </c>
      <c r="E217" s="3" t="s">
        <v>72</v>
      </c>
      <c r="F217" s="3" t="s">
        <v>253</v>
      </c>
      <c r="G217" s="4" t="s">
        <v>85</v>
      </c>
      <c r="H217" s="4">
        <v>2</v>
      </c>
      <c r="I217" s="4">
        <v>2</v>
      </c>
      <c r="J217" s="4">
        <v>2</v>
      </c>
      <c r="K217" s="5">
        <f t="shared" si="10"/>
        <v>1575.23</v>
      </c>
      <c r="L217" s="5">
        <v>1575.23</v>
      </c>
      <c r="M217" s="5">
        <v>0</v>
      </c>
      <c r="N217" s="4">
        <v>12</v>
      </c>
      <c r="O217" s="5">
        <f t="shared" si="11"/>
        <v>33315.620000000003</v>
      </c>
      <c r="P217" s="5">
        <v>33315.620000000003</v>
      </c>
      <c r="Q217" s="5">
        <v>0</v>
      </c>
      <c r="R217" s="6"/>
    </row>
    <row r="218" spans="1:18" x14ac:dyDescent="0.25">
      <c r="A218" s="348">
        <f t="shared" si="12"/>
        <v>79</v>
      </c>
      <c r="B218" s="3" t="s">
        <v>118</v>
      </c>
      <c r="C218" s="3" t="s">
        <v>62</v>
      </c>
      <c r="D218" s="3" t="s">
        <v>63</v>
      </c>
      <c r="E218" s="3" t="s">
        <v>63</v>
      </c>
      <c r="F218" s="3" t="s">
        <v>467</v>
      </c>
      <c r="G218" s="4" t="s">
        <v>85</v>
      </c>
      <c r="H218" s="4">
        <v>6</v>
      </c>
      <c r="I218" s="4">
        <v>1</v>
      </c>
      <c r="J218" s="4">
        <v>1</v>
      </c>
      <c r="K218" s="5">
        <f t="shared" si="10"/>
        <v>0</v>
      </c>
      <c r="L218" s="5">
        <v>0</v>
      </c>
      <c r="M218" s="5">
        <v>0</v>
      </c>
      <c r="N218" s="4">
        <v>1</v>
      </c>
      <c r="O218" s="5">
        <f t="shared" si="11"/>
        <v>15601.16</v>
      </c>
      <c r="P218" s="5">
        <f>10491.36+5109.8</f>
        <v>15601.16</v>
      </c>
      <c r="Q218" s="5">
        <v>0</v>
      </c>
      <c r="R218" s="6"/>
    </row>
    <row r="219" spans="1:18" ht="25.5" x14ac:dyDescent="0.25">
      <c r="A219" s="348">
        <f t="shared" si="12"/>
        <v>80</v>
      </c>
      <c r="B219" s="3" t="s">
        <v>548</v>
      </c>
      <c r="C219" s="3" t="s">
        <v>62</v>
      </c>
      <c r="D219" s="3" t="s">
        <v>63</v>
      </c>
      <c r="E219" s="3" t="s">
        <v>549</v>
      </c>
      <c r="F219" s="3" t="s">
        <v>550</v>
      </c>
      <c r="G219" s="4" t="s">
        <v>85</v>
      </c>
      <c r="H219" s="4">
        <v>3</v>
      </c>
      <c r="I219" s="4">
        <v>1</v>
      </c>
      <c r="J219" s="4">
        <v>1</v>
      </c>
      <c r="K219" s="5">
        <f t="shared" si="10"/>
        <v>654.14</v>
      </c>
      <c r="L219" s="5">
        <v>0</v>
      </c>
      <c r="M219" s="5">
        <v>654.14</v>
      </c>
      <c r="N219" s="4">
        <v>0</v>
      </c>
      <c r="O219" s="5">
        <f t="shared" si="11"/>
        <v>0</v>
      </c>
      <c r="P219" s="5">
        <v>0</v>
      </c>
      <c r="Q219" s="5">
        <v>0</v>
      </c>
      <c r="R219" s="6"/>
    </row>
    <row r="220" spans="1:18" ht="25.5" x14ac:dyDescent="0.25">
      <c r="A220" s="348">
        <f t="shared" si="12"/>
        <v>81</v>
      </c>
      <c r="B220" s="3" t="s">
        <v>254</v>
      </c>
      <c r="C220" s="3" t="s">
        <v>62</v>
      </c>
      <c r="D220" s="3" t="s">
        <v>63</v>
      </c>
      <c r="E220" s="3" t="s">
        <v>239</v>
      </c>
      <c r="F220" s="3" t="s">
        <v>255</v>
      </c>
      <c r="G220" s="4" t="s">
        <v>85</v>
      </c>
      <c r="H220" s="4">
        <v>11</v>
      </c>
      <c r="I220" s="4">
        <v>8</v>
      </c>
      <c r="J220" s="4">
        <v>9</v>
      </c>
      <c r="K220" s="5">
        <f t="shared" si="10"/>
        <v>8361.66</v>
      </c>
      <c r="L220" s="5">
        <v>8361.66</v>
      </c>
      <c r="M220" s="5">
        <v>0</v>
      </c>
      <c r="N220" s="4">
        <v>0</v>
      </c>
      <c r="O220" s="5">
        <f t="shared" si="11"/>
        <v>0</v>
      </c>
      <c r="P220" s="5">
        <v>0</v>
      </c>
      <c r="Q220" s="5">
        <v>0</v>
      </c>
      <c r="R220" s="6"/>
    </row>
    <row r="221" spans="1:18" x14ac:dyDescent="0.25">
      <c r="A221" s="348">
        <f t="shared" si="12"/>
        <v>82</v>
      </c>
      <c r="B221" s="3" t="s">
        <v>587</v>
      </c>
      <c r="C221" s="3" t="s">
        <v>62</v>
      </c>
      <c r="D221" s="3" t="s">
        <v>63</v>
      </c>
      <c r="E221" s="3" t="s">
        <v>63</v>
      </c>
      <c r="F221" s="3" t="s">
        <v>609</v>
      </c>
      <c r="G221" s="4" t="s">
        <v>85</v>
      </c>
      <c r="H221" s="4">
        <v>0</v>
      </c>
      <c r="I221" s="4">
        <v>0</v>
      </c>
      <c r="J221" s="4">
        <v>0</v>
      </c>
      <c r="K221" s="5">
        <f t="shared" si="10"/>
        <v>0</v>
      </c>
      <c r="L221" s="5">
        <v>0</v>
      </c>
      <c r="M221" s="5">
        <v>0</v>
      </c>
      <c r="N221" s="4">
        <v>1</v>
      </c>
      <c r="O221" s="5">
        <f t="shared" si="11"/>
        <v>3658.79</v>
      </c>
      <c r="P221" s="5">
        <v>3658.79</v>
      </c>
      <c r="Q221" s="5">
        <v>0</v>
      </c>
      <c r="R221" s="6"/>
    </row>
    <row r="222" spans="1:18" ht="25.5" x14ac:dyDescent="0.25">
      <c r="A222" s="348">
        <f t="shared" si="12"/>
        <v>83</v>
      </c>
      <c r="B222" s="3" t="s">
        <v>241</v>
      </c>
      <c r="C222" s="3" t="s">
        <v>62</v>
      </c>
      <c r="D222" s="3" t="s">
        <v>63</v>
      </c>
      <c r="E222" s="3" t="s">
        <v>242</v>
      </c>
      <c r="F222" s="3" t="s">
        <v>243</v>
      </c>
      <c r="G222" s="4" t="s">
        <v>85</v>
      </c>
      <c r="H222" s="4">
        <v>9</v>
      </c>
      <c r="I222" s="4">
        <v>9</v>
      </c>
      <c r="J222" s="4">
        <v>13</v>
      </c>
      <c r="K222" s="5">
        <f t="shared" si="10"/>
        <v>26884.58</v>
      </c>
      <c r="L222" s="5">
        <v>17138</v>
      </c>
      <c r="M222" s="5">
        <v>9746.58</v>
      </c>
      <c r="N222" s="4">
        <v>0</v>
      </c>
      <c r="O222" s="5">
        <f t="shared" si="11"/>
        <v>0</v>
      </c>
      <c r="P222" s="5">
        <v>0</v>
      </c>
      <c r="Q222" s="5">
        <v>0</v>
      </c>
      <c r="R222" s="6"/>
    </row>
    <row r="223" spans="1:18" ht="38.25" x14ac:dyDescent="0.25">
      <c r="A223" s="348">
        <f t="shared" si="12"/>
        <v>84</v>
      </c>
      <c r="B223" s="3" t="s">
        <v>38</v>
      </c>
      <c r="C223" s="3" t="s">
        <v>62</v>
      </c>
      <c r="D223" s="3" t="s">
        <v>63</v>
      </c>
      <c r="E223" s="3" t="s">
        <v>244</v>
      </c>
      <c r="F223" s="3" t="s">
        <v>245</v>
      </c>
      <c r="G223" s="4" t="s">
        <v>85</v>
      </c>
      <c r="H223" s="4">
        <v>88</v>
      </c>
      <c r="I223" s="4">
        <v>68</v>
      </c>
      <c r="J223" s="4">
        <v>104</v>
      </c>
      <c r="K223" s="5">
        <f t="shared" si="10"/>
        <v>177826.79</v>
      </c>
      <c r="L223" s="5">
        <v>177826.79</v>
      </c>
      <c r="M223" s="5">
        <v>0</v>
      </c>
      <c r="N223" s="4">
        <v>89</v>
      </c>
      <c r="O223" s="5">
        <f t="shared" si="11"/>
        <v>272452.58999999997</v>
      </c>
      <c r="P223" s="5">
        <v>265243.15999999997</v>
      </c>
      <c r="Q223" s="5">
        <v>7209.43</v>
      </c>
      <c r="R223" s="6"/>
    </row>
    <row r="224" spans="1:18" ht="25.5" x14ac:dyDescent="0.25">
      <c r="A224" s="348">
        <f t="shared" si="12"/>
        <v>85</v>
      </c>
      <c r="B224" s="3" t="s">
        <v>246</v>
      </c>
      <c r="C224" s="3" t="s">
        <v>62</v>
      </c>
      <c r="D224" s="3" t="s">
        <v>63</v>
      </c>
      <c r="E224" s="3" t="s">
        <v>247</v>
      </c>
      <c r="F224" s="3" t="s">
        <v>248</v>
      </c>
      <c r="G224" s="4" t="s">
        <v>85</v>
      </c>
      <c r="H224" s="4">
        <v>32</v>
      </c>
      <c r="I224" s="4">
        <v>21</v>
      </c>
      <c r="J224" s="4">
        <v>25</v>
      </c>
      <c r="K224" s="5">
        <f t="shared" si="10"/>
        <v>11281.81</v>
      </c>
      <c r="L224" s="5">
        <v>11281.81</v>
      </c>
      <c r="M224" s="5">
        <v>0</v>
      </c>
      <c r="N224" s="4">
        <v>0</v>
      </c>
      <c r="O224" s="5">
        <f t="shared" si="11"/>
        <v>0</v>
      </c>
      <c r="P224" s="5">
        <v>0</v>
      </c>
      <c r="Q224" s="5">
        <v>0</v>
      </c>
      <c r="R224" s="6"/>
    </row>
    <row r="225" spans="1:18" x14ac:dyDescent="0.25">
      <c r="A225" s="348">
        <f t="shared" si="12"/>
        <v>86</v>
      </c>
      <c r="B225" s="3" t="s">
        <v>256</v>
      </c>
      <c r="C225" s="3" t="s">
        <v>62</v>
      </c>
      <c r="D225" s="3" t="s">
        <v>63</v>
      </c>
      <c r="E225" s="3" t="s">
        <v>158</v>
      </c>
      <c r="F225" s="3" t="s">
        <v>257</v>
      </c>
      <c r="G225" s="4" t="s">
        <v>85</v>
      </c>
      <c r="H225" s="4">
        <v>11</v>
      </c>
      <c r="I225" s="4">
        <v>5</v>
      </c>
      <c r="J225" s="4">
        <v>5</v>
      </c>
      <c r="K225" s="5">
        <f t="shared" si="10"/>
        <v>3024.85</v>
      </c>
      <c r="L225" s="5">
        <v>3024.85</v>
      </c>
      <c r="M225" s="5">
        <v>0</v>
      </c>
      <c r="N225" s="4">
        <v>0</v>
      </c>
      <c r="O225" s="5">
        <f t="shared" si="11"/>
        <v>0</v>
      </c>
      <c r="P225" s="5">
        <v>0</v>
      </c>
      <c r="Q225" s="5">
        <v>0</v>
      </c>
      <c r="R225" s="6"/>
    </row>
    <row r="226" spans="1:18" ht="25.5" x14ac:dyDescent="0.25">
      <c r="A226" s="348">
        <f t="shared" si="12"/>
        <v>87</v>
      </c>
      <c r="B226" s="3" t="s">
        <v>258</v>
      </c>
      <c r="C226" s="3" t="s">
        <v>62</v>
      </c>
      <c r="D226" s="3" t="s">
        <v>63</v>
      </c>
      <c r="E226" s="3" t="s">
        <v>239</v>
      </c>
      <c r="F226" s="3" t="s">
        <v>259</v>
      </c>
      <c r="G226" s="4" t="s">
        <v>85</v>
      </c>
      <c r="H226" s="4">
        <v>32</v>
      </c>
      <c r="I226" s="4">
        <v>21</v>
      </c>
      <c r="J226" s="4">
        <v>21</v>
      </c>
      <c r="K226" s="5">
        <f t="shared" si="10"/>
        <v>39127.08</v>
      </c>
      <c r="L226" s="5">
        <v>39127.08</v>
      </c>
      <c r="M226" s="5">
        <v>0</v>
      </c>
      <c r="N226" s="4">
        <v>0</v>
      </c>
      <c r="O226" s="5">
        <f t="shared" si="11"/>
        <v>0</v>
      </c>
      <c r="P226" s="5">
        <v>0</v>
      </c>
      <c r="Q226" s="5">
        <v>0</v>
      </c>
      <c r="R226" s="6"/>
    </row>
    <row r="227" spans="1:18" ht="25.5" x14ac:dyDescent="0.25">
      <c r="A227" s="348">
        <f t="shared" si="12"/>
        <v>88</v>
      </c>
      <c r="B227" s="3" t="s">
        <v>42</v>
      </c>
      <c r="C227" s="3" t="s">
        <v>62</v>
      </c>
      <c r="D227" s="3" t="s">
        <v>63</v>
      </c>
      <c r="E227" s="3" t="s">
        <v>78</v>
      </c>
      <c r="F227" s="3" t="s">
        <v>260</v>
      </c>
      <c r="G227" s="4" t="s">
        <v>85</v>
      </c>
      <c r="H227" s="4">
        <v>47</v>
      </c>
      <c r="I227" s="4">
        <v>34</v>
      </c>
      <c r="J227" s="4">
        <v>40</v>
      </c>
      <c r="K227" s="5">
        <f t="shared" si="10"/>
        <v>91702.68</v>
      </c>
      <c r="L227" s="5">
        <v>85103.98</v>
      </c>
      <c r="M227" s="5">
        <v>6598.7</v>
      </c>
      <c r="N227" s="4">
        <v>32</v>
      </c>
      <c r="O227" s="5">
        <f t="shared" si="11"/>
        <v>157669.38999999998</v>
      </c>
      <c r="P227" s="5">
        <v>149032.84</v>
      </c>
      <c r="Q227" s="5">
        <v>8636.5499999999993</v>
      </c>
      <c r="R227" s="6"/>
    </row>
    <row r="228" spans="1:18" ht="25.5" x14ac:dyDescent="0.25">
      <c r="A228" s="348">
        <f t="shared" si="12"/>
        <v>89</v>
      </c>
      <c r="B228" s="3" t="s">
        <v>43</v>
      </c>
      <c r="C228" s="3" t="s">
        <v>62</v>
      </c>
      <c r="D228" s="3" t="s">
        <v>63</v>
      </c>
      <c r="E228" s="3" t="s">
        <v>72</v>
      </c>
      <c r="F228" s="3" t="s">
        <v>261</v>
      </c>
      <c r="G228" s="4" t="s">
        <v>85</v>
      </c>
      <c r="H228" s="4">
        <v>23</v>
      </c>
      <c r="I228" s="4">
        <v>16</v>
      </c>
      <c r="J228" s="4">
        <v>22</v>
      </c>
      <c r="K228" s="5">
        <f t="shared" si="10"/>
        <v>38941.269999999997</v>
      </c>
      <c r="L228" s="5">
        <v>38941.269999999997</v>
      </c>
      <c r="M228" s="5">
        <v>0</v>
      </c>
      <c r="N228" s="4">
        <v>38</v>
      </c>
      <c r="O228" s="5">
        <f t="shared" si="11"/>
        <v>174165.66</v>
      </c>
      <c r="P228" s="5">
        <v>174165.66</v>
      </c>
      <c r="Q228" s="5">
        <v>0</v>
      </c>
      <c r="R228" s="6"/>
    </row>
    <row r="229" spans="1:18" x14ac:dyDescent="0.25">
      <c r="A229" s="348">
        <f t="shared" si="12"/>
        <v>90</v>
      </c>
      <c r="B229" s="3" t="s">
        <v>44</v>
      </c>
      <c r="C229" s="3" t="s">
        <v>62</v>
      </c>
      <c r="D229" s="3" t="s">
        <v>63</v>
      </c>
      <c r="E229" s="3" t="s">
        <v>74</v>
      </c>
      <c r="F229" s="3" t="s">
        <v>262</v>
      </c>
      <c r="G229" s="4" t="s">
        <v>85</v>
      </c>
      <c r="H229" s="4">
        <v>46</v>
      </c>
      <c r="I229" s="4">
        <v>32</v>
      </c>
      <c r="J229" s="4">
        <v>37</v>
      </c>
      <c r="K229" s="5">
        <f t="shared" si="10"/>
        <v>22540.81</v>
      </c>
      <c r="L229" s="5">
        <v>22540.81</v>
      </c>
      <c r="M229" s="5">
        <v>0</v>
      </c>
      <c r="N229" s="4">
        <v>36</v>
      </c>
      <c r="O229" s="5">
        <f t="shared" si="11"/>
        <v>139624.70000000001</v>
      </c>
      <c r="P229" s="5">
        <v>139624.70000000001</v>
      </c>
      <c r="Q229" s="5">
        <v>0</v>
      </c>
      <c r="R229" s="6"/>
    </row>
    <row r="230" spans="1:18" ht="25.5" x14ac:dyDescent="0.25">
      <c r="A230" s="348">
        <f t="shared" si="12"/>
        <v>91</v>
      </c>
      <c r="B230" s="3" t="s">
        <v>45</v>
      </c>
      <c r="C230" s="3" t="s">
        <v>62</v>
      </c>
      <c r="D230" s="3" t="s">
        <v>63</v>
      </c>
      <c r="E230" s="3" t="s">
        <v>79</v>
      </c>
      <c r="F230" s="3" t="s">
        <v>263</v>
      </c>
      <c r="G230" s="4" t="s">
        <v>85</v>
      </c>
      <c r="H230" s="4">
        <v>15</v>
      </c>
      <c r="I230" s="4">
        <v>11</v>
      </c>
      <c r="J230" s="4">
        <v>16</v>
      </c>
      <c r="K230" s="5">
        <f t="shared" si="10"/>
        <v>21822.1</v>
      </c>
      <c r="L230" s="5">
        <v>21822.1</v>
      </c>
      <c r="M230" s="5">
        <v>0</v>
      </c>
      <c r="N230" s="4">
        <v>3</v>
      </c>
      <c r="O230" s="5">
        <f t="shared" si="11"/>
        <v>18586.060000000001</v>
      </c>
      <c r="P230" s="5">
        <v>18586.060000000001</v>
      </c>
      <c r="Q230" s="5">
        <v>0</v>
      </c>
      <c r="R230" s="6"/>
    </row>
    <row r="231" spans="1:18" x14ac:dyDescent="0.25">
      <c r="A231" s="348">
        <f t="shared" si="12"/>
        <v>92</v>
      </c>
      <c r="B231" s="3" t="s">
        <v>264</v>
      </c>
      <c r="C231" s="3" t="s">
        <v>62</v>
      </c>
      <c r="D231" s="3" t="s">
        <v>63</v>
      </c>
      <c r="E231" s="3" t="s">
        <v>74</v>
      </c>
      <c r="F231" s="3" t="s">
        <v>265</v>
      </c>
      <c r="G231" s="4" t="s">
        <v>85</v>
      </c>
      <c r="H231" s="4">
        <v>25</v>
      </c>
      <c r="I231" s="4">
        <v>20</v>
      </c>
      <c r="J231" s="4">
        <v>22</v>
      </c>
      <c r="K231" s="5">
        <f t="shared" si="10"/>
        <v>15861.81</v>
      </c>
      <c r="L231" s="5">
        <v>15861.81</v>
      </c>
      <c r="M231" s="5">
        <v>0</v>
      </c>
      <c r="N231" s="4">
        <v>0</v>
      </c>
      <c r="O231" s="5">
        <f t="shared" si="11"/>
        <v>0</v>
      </c>
      <c r="P231" s="5">
        <v>0</v>
      </c>
      <c r="Q231" s="5">
        <v>0</v>
      </c>
      <c r="R231" s="6"/>
    </row>
    <row r="232" spans="1:18" ht="25.5" x14ac:dyDescent="0.25">
      <c r="A232" s="348">
        <f t="shared" si="12"/>
        <v>93</v>
      </c>
      <c r="B232" s="3" t="s">
        <v>119</v>
      </c>
      <c r="C232" s="3" t="s">
        <v>62</v>
      </c>
      <c r="D232" s="3" t="s">
        <v>63</v>
      </c>
      <c r="E232" s="3" t="s">
        <v>108</v>
      </c>
      <c r="F232" s="3" t="s">
        <v>266</v>
      </c>
      <c r="G232" s="4" t="s">
        <v>85</v>
      </c>
      <c r="H232" s="4">
        <v>17</v>
      </c>
      <c r="I232" s="4">
        <v>12</v>
      </c>
      <c r="J232" s="4">
        <v>14</v>
      </c>
      <c r="K232" s="5">
        <f t="shared" si="10"/>
        <v>18071.580000000002</v>
      </c>
      <c r="L232" s="5">
        <v>18071.580000000002</v>
      </c>
      <c r="M232" s="5">
        <v>0</v>
      </c>
      <c r="N232" s="4">
        <v>3</v>
      </c>
      <c r="O232" s="5">
        <f t="shared" si="11"/>
        <v>1881.62</v>
      </c>
      <c r="P232" s="5">
        <v>1881.62</v>
      </c>
      <c r="Q232" s="5">
        <v>0</v>
      </c>
      <c r="R232" s="6"/>
    </row>
    <row r="233" spans="1:18" ht="38.25" x14ac:dyDescent="0.25">
      <c r="A233" s="348">
        <f t="shared" si="12"/>
        <v>94</v>
      </c>
      <c r="B233" s="3" t="s">
        <v>46</v>
      </c>
      <c r="C233" s="3" t="s">
        <v>62</v>
      </c>
      <c r="D233" s="3" t="s">
        <v>63</v>
      </c>
      <c r="E233" s="3" t="s">
        <v>267</v>
      </c>
      <c r="F233" s="3" t="s">
        <v>268</v>
      </c>
      <c r="G233" s="4" t="s">
        <v>85</v>
      </c>
      <c r="H233" s="4">
        <v>20</v>
      </c>
      <c r="I233" s="4">
        <v>15</v>
      </c>
      <c r="J233" s="4">
        <v>24</v>
      </c>
      <c r="K233" s="5">
        <f t="shared" si="10"/>
        <v>59873.64</v>
      </c>
      <c r="L233" s="5">
        <v>59873.64</v>
      </c>
      <c r="M233" s="5">
        <v>0</v>
      </c>
      <c r="N233" s="4">
        <v>24</v>
      </c>
      <c r="O233" s="5">
        <f t="shared" si="11"/>
        <v>125896.58</v>
      </c>
      <c r="P233" s="5">
        <v>125896.58</v>
      </c>
      <c r="Q233" s="5">
        <v>0</v>
      </c>
      <c r="R233" s="6"/>
    </row>
    <row r="234" spans="1:18" ht="25.5" x14ac:dyDescent="0.25">
      <c r="A234" s="348">
        <f t="shared" si="12"/>
        <v>95</v>
      </c>
      <c r="B234" s="3" t="s">
        <v>47</v>
      </c>
      <c r="C234" s="3" t="s">
        <v>62</v>
      </c>
      <c r="D234" s="3" t="s">
        <v>63</v>
      </c>
      <c r="E234" s="3" t="s">
        <v>80</v>
      </c>
      <c r="F234" s="3" t="s">
        <v>269</v>
      </c>
      <c r="G234" s="4" t="s">
        <v>85</v>
      </c>
      <c r="H234" s="4">
        <v>76</v>
      </c>
      <c r="I234" s="4">
        <v>51</v>
      </c>
      <c r="J234" s="4">
        <v>77</v>
      </c>
      <c r="K234" s="5">
        <f t="shared" si="10"/>
        <v>120501.06</v>
      </c>
      <c r="L234" s="5">
        <v>120096.04</v>
      </c>
      <c r="M234" s="5">
        <v>405.02</v>
      </c>
      <c r="N234" s="4">
        <v>110</v>
      </c>
      <c r="O234" s="5">
        <f t="shared" si="11"/>
        <v>439929.29000000004</v>
      </c>
      <c r="P234" s="5">
        <v>430221.45</v>
      </c>
      <c r="Q234" s="5">
        <v>9707.84</v>
      </c>
      <c r="R234" s="6"/>
    </row>
    <row r="235" spans="1:18" ht="25.5" x14ac:dyDescent="0.25">
      <c r="A235" s="348">
        <f t="shared" si="12"/>
        <v>96</v>
      </c>
      <c r="B235" s="3" t="s">
        <v>270</v>
      </c>
      <c r="C235" s="3" t="s">
        <v>62</v>
      </c>
      <c r="D235" s="3" t="s">
        <v>63</v>
      </c>
      <c r="E235" s="3" t="s">
        <v>271</v>
      </c>
      <c r="F235" s="3" t="s">
        <v>272</v>
      </c>
      <c r="G235" s="4" t="s">
        <v>85</v>
      </c>
      <c r="H235" s="4">
        <v>14</v>
      </c>
      <c r="I235" s="4">
        <v>10</v>
      </c>
      <c r="J235" s="4">
        <v>13</v>
      </c>
      <c r="K235" s="5">
        <f t="shared" si="10"/>
        <v>18201.259999999998</v>
      </c>
      <c r="L235" s="5">
        <v>18201.259999999998</v>
      </c>
      <c r="M235" s="5">
        <v>0</v>
      </c>
      <c r="N235" s="4">
        <v>0</v>
      </c>
      <c r="O235" s="5">
        <f t="shared" si="11"/>
        <v>0</v>
      </c>
      <c r="P235" s="5">
        <v>0</v>
      </c>
      <c r="Q235" s="5">
        <v>0</v>
      </c>
      <c r="R235" s="6"/>
    </row>
    <row r="236" spans="1:18" ht="25.5" x14ac:dyDescent="0.25">
      <c r="A236" s="348">
        <f t="shared" si="12"/>
        <v>97</v>
      </c>
      <c r="B236" s="3" t="s">
        <v>273</v>
      </c>
      <c r="C236" s="3" t="s">
        <v>62</v>
      </c>
      <c r="D236" s="3" t="s">
        <v>63</v>
      </c>
      <c r="E236" s="3" t="s">
        <v>186</v>
      </c>
      <c r="F236" s="3" t="s">
        <v>511</v>
      </c>
      <c r="G236" s="4" t="s">
        <v>85</v>
      </c>
      <c r="H236" s="4">
        <v>8</v>
      </c>
      <c r="I236" s="4">
        <v>0</v>
      </c>
      <c r="J236" s="4">
        <v>0</v>
      </c>
      <c r="K236" s="5">
        <f t="shared" si="10"/>
        <v>0</v>
      </c>
      <c r="L236" s="5">
        <v>0</v>
      </c>
      <c r="M236" s="5">
        <v>0</v>
      </c>
      <c r="N236" s="4">
        <v>0</v>
      </c>
      <c r="O236" s="5">
        <f t="shared" si="11"/>
        <v>0</v>
      </c>
      <c r="P236" s="5">
        <v>0</v>
      </c>
      <c r="Q236" s="5">
        <v>0</v>
      </c>
      <c r="R236" s="6"/>
    </row>
    <row r="237" spans="1:18" x14ac:dyDescent="0.25">
      <c r="A237" s="348">
        <f t="shared" si="12"/>
        <v>98</v>
      </c>
      <c r="B237" s="3" t="s">
        <v>490</v>
      </c>
      <c r="C237" s="3" t="s">
        <v>62</v>
      </c>
      <c r="D237" s="3" t="s">
        <v>63</v>
      </c>
      <c r="E237" s="3" t="s">
        <v>491</v>
      </c>
      <c r="F237" s="3" t="s">
        <v>492</v>
      </c>
      <c r="G237" s="4" t="s">
        <v>85</v>
      </c>
      <c r="H237" s="4">
        <v>12</v>
      </c>
      <c r="I237" s="4">
        <v>7</v>
      </c>
      <c r="J237" s="4">
        <v>9</v>
      </c>
      <c r="K237" s="5">
        <f t="shared" si="10"/>
        <v>10195.18</v>
      </c>
      <c r="L237" s="5">
        <v>10195.18</v>
      </c>
      <c r="M237" s="5">
        <v>0</v>
      </c>
      <c r="N237" s="4">
        <v>0</v>
      </c>
      <c r="O237" s="5">
        <f t="shared" si="11"/>
        <v>0</v>
      </c>
      <c r="P237" s="5">
        <v>0</v>
      </c>
      <c r="Q237" s="5">
        <v>0</v>
      </c>
      <c r="R237" s="6"/>
    </row>
    <row r="238" spans="1:18" x14ac:dyDescent="0.25">
      <c r="A238" s="348">
        <f t="shared" si="12"/>
        <v>99</v>
      </c>
      <c r="B238" s="3" t="s">
        <v>94</v>
      </c>
      <c r="C238" s="3" t="s">
        <v>62</v>
      </c>
      <c r="D238" s="3" t="s">
        <v>63</v>
      </c>
      <c r="E238" s="3" t="s">
        <v>74</v>
      </c>
      <c r="F238" s="3" t="s">
        <v>274</v>
      </c>
      <c r="G238" s="4" t="s">
        <v>85</v>
      </c>
      <c r="H238" s="4">
        <v>15</v>
      </c>
      <c r="I238" s="4">
        <v>2</v>
      </c>
      <c r="J238" s="4">
        <v>2</v>
      </c>
      <c r="K238" s="5">
        <f t="shared" si="10"/>
        <v>2990.36</v>
      </c>
      <c r="L238" s="5">
        <v>2990.36</v>
      </c>
      <c r="M238" s="5">
        <v>0</v>
      </c>
      <c r="N238" s="4">
        <v>6</v>
      </c>
      <c r="O238" s="5">
        <f t="shared" si="11"/>
        <v>9361.67</v>
      </c>
      <c r="P238" s="5">
        <v>9361.67</v>
      </c>
      <c r="Q238" s="5">
        <v>0</v>
      </c>
      <c r="R238" s="6"/>
    </row>
    <row r="239" spans="1:18" ht="25.5" x14ac:dyDescent="0.25">
      <c r="A239" s="348">
        <f t="shared" si="12"/>
        <v>100</v>
      </c>
      <c r="B239" s="3" t="s">
        <v>120</v>
      </c>
      <c r="C239" s="3" t="s">
        <v>67</v>
      </c>
      <c r="D239" s="3" t="s">
        <v>493</v>
      </c>
      <c r="E239" s="3" t="s">
        <v>121</v>
      </c>
      <c r="F239" s="3" t="s">
        <v>468</v>
      </c>
      <c r="G239" s="4" t="s">
        <v>85</v>
      </c>
      <c r="H239" s="4">
        <v>10</v>
      </c>
      <c r="I239" s="4">
        <v>8</v>
      </c>
      <c r="J239" s="4">
        <v>9</v>
      </c>
      <c r="K239" s="5">
        <f t="shared" si="10"/>
        <v>10284.11</v>
      </c>
      <c r="L239" s="5">
        <f>8651.79+1632.32</f>
        <v>10284.11</v>
      </c>
      <c r="M239" s="5">
        <v>0</v>
      </c>
      <c r="N239" s="4">
        <v>0</v>
      </c>
      <c r="O239" s="5">
        <f t="shared" si="11"/>
        <v>0</v>
      </c>
      <c r="P239" s="5">
        <v>0</v>
      </c>
      <c r="Q239" s="5">
        <v>0</v>
      </c>
      <c r="R239" s="6"/>
    </row>
    <row r="240" spans="1:18" ht="25.5" x14ac:dyDescent="0.25">
      <c r="A240" s="348">
        <f t="shared" si="12"/>
        <v>101</v>
      </c>
      <c r="B240" s="3" t="s">
        <v>407</v>
      </c>
      <c r="C240" s="3" t="s">
        <v>62</v>
      </c>
      <c r="D240" s="3" t="s">
        <v>63</v>
      </c>
      <c r="E240" s="3" t="s">
        <v>186</v>
      </c>
      <c r="F240" s="3" t="s">
        <v>512</v>
      </c>
      <c r="G240" s="4" t="s">
        <v>85</v>
      </c>
      <c r="H240" s="4">
        <v>5</v>
      </c>
      <c r="I240" s="4">
        <v>2</v>
      </c>
      <c r="J240" s="4">
        <v>2</v>
      </c>
      <c r="K240" s="5">
        <f t="shared" si="10"/>
        <v>0</v>
      </c>
      <c r="L240" s="5">
        <v>0</v>
      </c>
      <c r="M240" s="5">
        <v>0</v>
      </c>
      <c r="N240" s="4">
        <v>0</v>
      </c>
      <c r="O240" s="5">
        <f t="shared" si="11"/>
        <v>0</v>
      </c>
      <c r="P240" s="5">
        <v>0</v>
      </c>
      <c r="Q240" s="5">
        <v>0</v>
      </c>
      <c r="R240" s="6"/>
    </row>
    <row r="241" spans="1:18" ht="25.5" x14ac:dyDescent="0.25">
      <c r="A241" s="348">
        <f t="shared" si="12"/>
        <v>102</v>
      </c>
      <c r="B241" s="3" t="s">
        <v>122</v>
      </c>
      <c r="C241" s="3" t="s">
        <v>62</v>
      </c>
      <c r="D241" s="3" t="s">
        <v>63</v>
      </c>
      <c r="E241" s="3" t="s">
        <v>275</v>
      </c>
      <c r="F241" s="3" t="s">
        <v>276</v>
      </c>
      <c r="G241" s="4" t="s">
        <v>85</v>
      </c>
      <c r="H241" s="4">
        <v>12</v>
      </c>
      <c r="I241" s="4">
        <v>11</v>
      </c>
      <c r="J241" s="4">
        <v>17</v>
      </c>
      <c r="K241" s="5">
        <f t="shared" si="10"/>
        <v>14738.36</v>
      </c>
      <c r="L241" s="5">
        <v>14738.36</v>
      </c>
      <c r="M241" s="5">
        <v>0</v>
      </c>
      <c r="N241" s="4">
        <v>5</v>
      </c>
      <c r="O241" s="5">
        <f t="shared" si="11"/>
        <v>9159.1299999999992</v>
      </c>
      <c r="P241" s="5">
        <v>9159.1299999999992</v>
      </c>
      <c r="Q241" s="5">
        <v>0</v>
      </c>
      <c r="R241" s="6"/>
    </row>
    <row r="242" spans="1:18" x14ac:dyDescent="0.25">
      <c r="A242" s="348">
        <f t="shared" si="12"/>
        <v>103</v>
      </c>
      <c r="B242" s="3" t="s">
        <v>133</v>
      </c>
      <c r="C242" s="3" t="s">
        <v>67</v>
      </c>
      <c r="D242" s="3" t="s">
        <v>494</v>
      </c>
      <c r="E242" s="3" t="s">
        <v>74</v>
      </c>
      <c r="F242" s="3" t="s">
        <v>620</v>
      </c>
      <c r="G242" s="4" t="s">
        <v>85</v>
      </c>
      <c r="H242" s="4">
        <v>10</v>
      </c>
      <c r="I242" s="4">
        <v>5</v>
      </c>
      <c r="J242" s="4">
        <v>8</v>
      </c>
      <c r="K242" s="5">
        <f t="shared" si="10"/>
        <v>18470.009999999998</v>
      </c>
      <c r="L242" s="5">
        <v>18470.009999999998</v>
      </c>
      <c r="M242" s="5">
        <v>0</v>
      </c>
      <c r="N242" s="4">
        <v>0</v>
      </c>
      <c r="O242" s="5">
        <f t="shared" si="11"/>
        <v>0</v>
      </c>
      <c r="P242" s="5">
        <v>0</v>
      </c>
      <c r="Q242" s="5">
        <v>0</v>
      </c>
      <c r="R242" s="6"/>
    </row>
    <row r="243" spans="1:18" x14ac:dyDescent="0.25">
      <c r="A243" s="348">
        <f t="shared" si="12"/>
        <v>104</v>
      </c>
      <c r="B243" s="3" t="s">
        <v>96</v>
      </c>
      <c r="C243" s="3" t="s">
        <v>62</v>
      </c>
      <c r="D243" s="3" t="s">
        <v>63</v>
      </c>
      <c r="E243" s="3" t="s">
        <v>98</v>
      </c>
      <c r="F243" s="3" t="s">
        <v>277</v>
      </c>
      <c r="G243" s="4" t="s">
        <v>85</v>
      </c>
      <c r="H243" s="4">
        <v>39</v>
      </c>
      <c r="I243" s="4">
        <v>10</v>
      </c>
      <c r="J243" s="4">
        <v>12</v>
      </c>
      <c r="K243" s="5">
        <f t="shared" si="10"/>
        <v>18150.8</v>
      </c>
      <c r="L243" s="5">
        <v>18150.8</v>
      </c>
      <c r="M243" s="5">
        <v>0</v>
      </c>
      <c r="N243" s="4">
        <v>11</v>
      </c>
      <c r="O243" s="5">
        <f t="shared" si="11"/>
        <v>47171.47</v>
      </c>
      <c r="P243" s="5">
        <v>47171.47</v>
      </c>
      <c r="Q243" s="5">
        <v>0</v>
      </c>
      <c r="R243" s="6"/>
    </row>
    <row r="244" spans="1:18" ht="25.5" x14ac:dyDescent="0.25">
      <c r="A244" s="348">
        <f t="shared" si="12"/>
        <v>105</v>
      </c>
      <c r="B244" s="3" t="s">
        <v>48</v>
      </c>
      <c r="C244" s="3" t="s">
        <v>62</v>
      </c>
      <c r="D244" s="3" t="s">
        <v>63</v>
      </c>
      <c r="E244" s="3" t="s">
        <v>81</v>
      </c>
      <c r="F244" s="3" t="s">
        <v>278</v>
      </c>
      <c r="G244" s="4" t="s">
        <v>85</v>
      </c>
      <c r="H244" s="4">
        <v>46</v>
      </c>
      <c r="I244" s="4">
        <v>37</v>
      </c>
      <c r="J244" s="4">
        <v>52</v>
      </c>
      <c r="K244" s="5">
        <f t="shared" si="10"/>
        <v>79346.02</v>
      </c>
      <c r="L244" s="5">
        <v>79346.02</v>
      </c>
      <c r="M244" s="5">
        <v>0</v>
      </c>
      <c r="N244" s="4">
        <v>14</v>
      </c>
      <c r="O244" s="5">
        <f t="shared" si="11"/>
        <v>56668.88</v>
      </c>
      <c r="P244" s="5">
        <v>56668.88</v>
      </c>
      <c r="Q244" s="5">
        <v>0</v>
      </c>
      <c r="R244" s="6"/>
    </row>
    <row r="245" spans="1:18" ht="25.5" x14ac:dyDescent="0.25">
      <c r="A245" s="348">
        <f t="shared" si="12"/>
        <v>106</v>
      </c>
      <c r="B245" s="3" t="s">
        <v>50</v>
      </c>
      <c r="C245" s="3" t="s">
        <v>67</v>
      </c>
      <c r="D245" s="3" t="s">
        <v>123</v>
      </c>
      <c r="E245" s="3" t="s">
        <v>82</v>
      </c>
      <c r="F245" s="3" t="s">
        <v>280</v>
      </c>
      <c r="G245" s="4" t="s">
        <v>85</v>
      </c>
      <c r="H245" s="4">
        <v>7</v>
      </c>
      <c r="I245" s="4">
        <v>2</v>
      </c>
      <c r="J245" s="4">
        <v>2</v>
      </c>
      <c r="K245" s="5">
        <f t="shared" si="10"/>
        <v>1860.67</v>
      </c>
      <c r="L245" s="5">
        <v>1860.67</v>
      </c>
      <c r="M245" s="5">
        <v>0</v>
      </c>
      <c r="N245" s="4">
        <v>5</v>
      </c>
      <c r="O245" s="5">
        <f t="shared" si="11"/>
        <v>19968.23</v>
      </c>
      <c r="P245" s="5">
        <v>19968.23</v>
      </c>
      <c r="Q245" s="5">
        <v>0</v>
      </c>
      <c r="R245" s="6"/>
    </row>
    <row r="246" spans="1:18" ht="25.5" x14ac:dyDescent="0.25">
      <c r="A246" s="348">
        <f t="shared" si="12"/>
        <v>107</v>
      </c>
      <c r="B246" s="3" t="s">
        <v>281</v>
      </c>
      <c r="C246" s="3" t="s">
        <v>62</v>
      </c>
      <c r="D246" s="3" t="s">
        <v>63</v>
      </c>
      <c r="E246" s="3" t="s">
        <v>282</v>
      </c>
      <c r="F246" s="3" t="s">
        <v>283</v>
      </c>
      <c r="G246" s="4" t="s">
        <v>85</v>
      </c>
      <c r="H246" s="4">
        <v>26</v>
      </c>
      <c r="I246" s="4">
        <v>5</v>
      </c>
      <c r="J246" s="4">
        <v>5</v>
      </c>
      <c r="K246" s="5">
        <f t="shared" si="10"/>
        <v>2685.29</v>
      </c>
      <c r="L246" s="5">
        <v>2685.29</v>
      </c>
      <c r="M246" s="5">
        <v>0</v>
      </c>
      <c r="N246" s="4">
        <v>0</v>
      </c>
      <c r="O246" s="5">
        <f t="shared" si="11"/>
        <v>0</v>
      </c>
      <c r="P246" s="5">
        <v>0</v>
      </c>
      <c r="Q246" s="5">
        <v>0</v>
      </c>
      <c r="R246" s="6"/>
    </row>
    <row r="247" spans="1:18" x14ac:dyDescent="0.25">
      <c r="A247" s="348">
        <f t="shared" si="12"/>
        <v>108</v>
      </c>
      <c r="B247" s="3" t="s">
        <v>49</v>
      </c>
      <c r="C247" s="3" t="s">
        <v>62</v>
      </c>
      <c r="D247" s="3" t="s">
        <v>63</v>
      </c>
      <c r="E247" s="3" t="s">
        <v>74</v>
      </c>
      <c r="F247" s="3" t="s">
        <v>279</v>
      </c>
      <c r="G247" s="4" t="s">
        <v>85</v>
      </c>
      <c r="H247" s="4">
        <v>23</v>
      </c>
      <c r="I247" s="4">
        <v>18</v>
      </c>
      <c r="J247" s="4">
        <v>20</v>
      </c>
      <c r="K247" s="5">
        <f t="shared" si="10"/>
        <v>30407.52</v>
      </c>
      <c r="L247" s="5">
        <v>30407.52</v>
      </c>
      <c r="M247" s="5">
        <v>0</v>
      </c>
      <c r="N247" s="4">
        <v>6</v>
      </c>
      <c r="O247" s="5">
        <f t="shared" si="11"/>
        <v>40198.959999999999</v>
      </c>
      <c r="P247" s="5">
        <f>37590.26+2608.7</f>
        <v>40198.959999999999</v>
      </c>
      <c r="Q247" s="5">
        <v>0</v>
      </c>
      <c r="R247" s="6"/>
    </row>
    <row r="248" spans="1:18" x14ac:dyDescent="0.25">
      <c r="A248" s="348">
        <f t="shared" si="12"/>
        <v>109</v>
      </c>
      <c r="B248" s="3" t="s">
        <v>124</v>
      </c>
      <c r="C248" s="3" t="s">
        <v>62</v>
      </c>
      <c r="D248" s="3" t="s">
        <v>63</v>
      </c>
      <c r="E248" s="3" t="s">
        <v>63</v>
      </c>
      <c r="F248" s="3" t="s">
        <v>284</v>
      </c>
      <c r="G248" s="4" t="s">
        <v>85</v>
      </c>
      <c r="H248" s="4">
        <v>33</v>
      </c>
      <c r="I248" s="4">
        <v>30</v>
      </c>
      <c r="J248" s="4">
        <v>40</v>
      </c>
      <c r="K248" s="5">
        <f t="shared" si="10"/>
        <v>54775.53</v>
      </c>
      <c r="L248" s="5">
        <f>40357.72+528.6</f>
        <v>40886.32</v>
      </c>
      <c r="M248" s="5">
        <f>14514.72-625.51</f>
        <v>13889.21</v>
      </c>
      <c r="N248" s="4">
        <v>16</v>
      </c>
      <c r="O248" s="5">
        <f t="shared" si="11"/>
        <v>21019.74</v>
      </c>
      <c r="P248" s="5">
        <v>21019.74</v>
      </c>
      <c r="Q248" s="5">
        <v>0</v>
      </c>
      <c r="R248" s="6"/>
    </row>
    <row r="249" spans="1:18" x14ac:dyDescent="0.25">
      <c r="A249" s="348">
        <f t="shared" si="12"/>
        <v>110</v>
      </c>
      <c r="B249" s="3" t="s">
        <v>51</v>
      </c>
      <c r="C249" s="3" t="s">
        <v>62</v>
      </c>
      <c r="D249" s="3" t="s">
        <v>63</v>
      </c>
      <c r="E249" s="3" t="s">
        <v>74</v>
      </c>
      <c r="F249" s="3" t="s">
        <v>285</v>
      </c>
      <c r="G249" s="4" t="s">
        <v>85</v>
      </c>
      <c r="H249" s="4">
        <v>18</v>
      </c>
      <c r="I249" s="4">
        <v>15</v>
      </c>
      <c r="J249" s="4">
        <v>15</v>
      </c>
      <c r="K249" s="5">
        <f t="shared" si="10"/>
        <v>5873.82</v>
      </c>
      <c r="L249" s="5">
        <v>5873.82</v>
      </c>
      <c r="M249" s="5">
        <v>0</v>
      </c>
      <c r="N249" s="4">
        <v>10</v>
      </c>
      <c r="O249" s="5">
        <f t="shared" si="11"/>
        <v>1797.24</v>
      </c>
      <c r="P249" s="5">
        <v>1797.24</v>
      </c>
      <c r="Q249" s="5">
        <v>0</v>
      </c>
      <c r="R249" s="6"/>
    </row>
    <row r="250" spans="1:18" ht="25.5" x14ac:dyDescent="0.25">
      <c r="A250" s="348">
        <f t="shared" si="12"/>
        <v>111</v>
      </c>
      <c r="B250" s="3" t="s">
        <v>286</v>
      </c>
      <c r="C250" s="3" t="s">
        <v>62</v>
      </c>
      <c r="D250" s="3" t="s">
        <v>63</v>
      </c>
      <c r="E250" s="3" t="s">
        <v>174</v>
      </c>
      <c r="F250" s="3" t="s">
        <v>287</v>
      </c>
      <c r="G250" s="4" t="s">
        <v>85</v>
      </c>
      <c r="H250" s="4">
        <v>15</v>
      </c>
      <c r="I250" s="4">
        <v>11</v>
      </c>
      <c r="J250" s="4">
        <v>13</v>
      </c>
      <c r="K250" s="5">
        <f t="shared" si="10"/>
        <v>11071.01</v>
      </c>
      <c r="L250" s="5">
        <v>11071.01</v>
      </c>
      <c r="M250" s="5">
        <v>0</v>
      </c>
      <c r="N250" s="4">
        <v>0</v>
      </c>
      <c r="O250" s="5">
        <f t="shared" si="11"/>
        <v>0</v>
      </c>
      <c r="P250" s="5">
        <v>0</v>
      </c>
      <c r="Q250" s="5">
        <v>0</v>
      </c>
      <c r="R250" s="6"/>
    </row>
    <row r="251" spans="1:18" x14ac:dyDescent="0.25">
      <c r="A251" s="348">
        <f t="shared" si="12"/>
        <v>112</v>
      </c>
      <c r="B251" s="3" t="s">
        <v>52</v>
      </c>
      <c r="C251" s="3" t="s">
        <v>62</v>
      </c>
      <c r="D251" s="3" t="s">
        <v>63</v>
      </c>
      <c r="E251" s="3" t="s">
        <v>74</v>
      </c>
      <c r="F251" s="3" t="s">
        <v>125</v>
      </c>
      <c r="G251" s="4" t="s">
        <v>85</v>
      </c>
      <c r="H251" s="4">
        <v>3</v>
      </c>
      <c r="I251" s="4">
        <v>0</v>
      </c>
      <c r="J251" s="4">
        <v>0</v>
      </c>
      <c r="K251" s="5">
        <f t="shared" si="10"/>
        <v>0</v>
      </c>
      <c r="L251" s="5">
        <v>0</v>
      </c>
      <c r="M251" s="5">
        <v>0</v>
      </c>
      <c r="N251" s="4">
        <v>0</v>
      </c>
      <c r="O251" s="5">
        <f t="shared" si="11"/>
        <v>0</v>
      </c>
      <c r="P251" s="5">
        <v>0</v>
      </c>
      <c r="Q251" s="5">
        <v>0</v>
      </c>
      <c r="R251" s="6"/>
    </row>
    <row r="252" spans="1:18" x14ac:dyDescent="0.25">
      <c r="A252" s="348">
        <f t="shared" si="12"/>
        <v>113</v>
      </c>
      <c r="B252" s="3" t="s">
        <v>469</v>
      </c>
      <c r="C252" s="3" t="s">
        <v>62</v>
      </c>
      <c r="D252" s="3" t="s">
        <v>63</v>
      </c>
      <c r="E252" s="3" t="s">
        <v>74</v>
      </c>
      <c r="F252" s="3" t="s">
        <v>470</v>
      </c>
      <c r="G252" s="4" t="s">
        <v>85</v>
      </c>
      <c r="H252" s="4">
        <v>1</v>
      </c>
      <c r="I252" s="4">
        <v>0</v>
      </c>
      <c r="J252" s="4">
        <v>0</v>
      </c>
      <c r="K252" s="5">
        <f t="shared" si="10"/>
        <v>0</v>
      </c>
      <c r="L252" s="5">
        <v>0</v>
      </c>
      <c r="M252" s="5">
        <v>0</v>
      </c>
      <c r="N252" s="4">
        <v>0</v>
      </c>
      <c r="O252" s="5">
        <f t="shared" si="11"/>
        <v>0</v>
      </c>
      <c r="P252" s="5">
        <v>0</v>
      </c>
      <c r="Q252" s="5">
        <v>0</v>
      </c>
      <c r="R252" s="6"/>
    </row>
    <row r="253" spans="1:18" x14ac:dyDescent="0.25">
      <c r="A253" s="348">
        <f t="shared" si="12"/>
        <v>114</v>
      </c>
      <c r="B253" s="3" t="s">
        <v>53</v>
      </c>
      <c r="C253" s="3" t="s">
        <v>62</v>
      </c>
      <c r="D253" s="3" t="s">
        <v>63</v>
      </c>
      <c r="E253" s="3" t="s">
        <v>74</v>
      </c>
      <c r="F253" s="3" t="s">
        <v>126</v>
      </c>
      <c r="G253" s="4" t="s">
        <v>85</v>
      </c>
      <c r="H253" s="4">
        <v>8</v>
      </c>
      <c r="I253" s="4">
        <v>0</v>
      </c>
      <c r="J253" s="4">
        <v>0</v>
      </c>
      <c r="K253" s="5">
        <f t="shared" si="10"/>
        <v>0</v>
      </c>
      <c r="L253" s="5">
        <v>0</v>
      </c>
      <c r="M253" s="5">
        <v>0</v>
      </c>
      <c r="N253" s="4">
        <v>0</v>
      </c>
      <c r="O253" s="5">
        <f t="shared" si="11"/>
        <v>0</v>
      </c>
      <c r="P253" s="5">
        <v>0</v>
      </c>
      <c r="Q253" s="5">
        <v>0</v>
      </c>
      <c r="R253" s="6"/>
    </row>
    <row r="254" spans="1:18" x14ac:dyDescent="0.25">
      <c r="A254" s="348">
        <f t="shared" si="12"/>
        <v>115</v>
      </c>
      <c r="B254" s="3" t="s">
        <v>151</v>
      </c>
      <c r="C254" s="3" t="s">
        <v>62</v>
      </c>
      <c r="D254" s="3" t="s">
        <v>63</v>
      </c>
      <c r="E254" s="3" t="s">
        <v>74</v>
      </c>
      <c r="F254" s="3" t="s">
        <v>288</v>
      </c>
      <c r="G254" s="4" t="s">
        <v>85</v>
      </c>
      <c r="H254" s="4">
        <v>10</v>
      </c>
      <c r="I254" s="4">
        <v>8</v>
      </c>
      <c r="J254" s="4">
        <v>10</v>
      </c>
      <c r="K254" s="5">
        <f t="shared" si="10"/>
        <v>15560.060000000001</v>
      </c>
      <c r="L254" s="5">
        <v>7299.97</v>
      </c>
      <c r="M254" s="5">
        <v>8260.09</v>
      </c>
      <c r="N254" s="4">
        <v>6</v>
      </c>
      <c r="O254" s="5">
        <f t="shared" si="11"/>
        <v>14253.5</v>
      </c>
      <c r="P254" s="5">
        <v>14253.5</v>
      </c>
      <c r="Q254" s="5">
        <v>0</v>
      </c>
      <c r="R254" s="6"/>
    </row>
    <row r="255" spans="1:18" x14ac:dyDescent="0.25">
      <c r="A255" s="348">
        <f t="shared" si="12"/>
        <v>116</v>
      </c>
      <c r="B255" s="3" t="s">
        <v>155</v>
      </c>
      <c r="C255" s="3" t="s">
        <v>62</v>
      </c>
      <c r="D255" s="3" t="s">
        <v>63</v>
      </c>
      <c r="E255" s="3" t="s">
        <v>74</v>
      </c>
      <c r="F255" s="3" t="s">
        <v>289</v>
      </c>
      <c r="G255" s="4" t="s">
        <v>85</v>
      </c>
      <c r="H255" s="4">
        <v>14</v>
      </c>
      <c r="I255" s="4">
        <v>10</v>
      </c>
      <c r="J255" s="4">
        <v>15</v>
      </c>
      <c r="K255" s="5">
        <f t="shared" si="10"/>
        <v>38355.85</v>
      </c>
      <c r="L255" s="5">
        <v>38355.85</v>
      </c>
      <c r="M255" s="5">
        <v>0</v>
      </c>
      <c r="N255" s="4">
        <v>3</v>
      </c>
      <c r="O255" s="5">
        <f t="shared" si="11"/>
        <v>28262.06</v>
      </c>
      <c r="P255" s="5">
        <v>28262.06</v>
      </c>
      <c r="Q255" s="5">
        <v>0</v>
      </c>
      <c r="R255" s="6"/>
    </row>
    <row r="256" spans="1:18" x14ac:dyDescent="0.25">
      <c r="A256" s="348">
        <f t="shared" si="12"/>
        <v>117</v>
      </c>
      <c r="B256" s="3" t="s">
        <v>290</v>
      </c>
      <c r="C256" s="3" t="s">
        <v>62</v>
      </c>
      <c r="D256" s="3" t="s">
        <v>63</v>
      </c>
      <c r="E256" s="3" t="s">
        <v>291</v>
      </c>
      <c r="F256" s="3" t="s">
        <v>292</v>
      </c>
      <c r="G256" s="4" t="s">
        <v>85</v>
      </c>
      <c r="H256" s="4">
        <v>34</v>
      </c>
      <c r="I256" s="4">
        <v>23</v>
      </c>
      <c r="J256" s="4">
        <v>29</v>
      </c>
      <c r="K256" s="5">
        <f t="shared" si="10"/>
        <v>34384.86</v>
      </c>
      <c r="L256" s="5">
        <v>29706.46</v>
      </c>
      <c r="M256" s="5">
        <v>4678.3999999999996</v>
      </c>
      <c r="N256" s="4">
        <v>0</v>
      </c>
      <c r="O256" s="5">
        <f t="shared" si="11"/>
        <v>0</v>
      </c>
      <c r="P256" s="5">
        <v>0</v>
      </c>
      <c r="Q256" s="5">
        <v>0</v>
      </c>
      <c r="R256" s="6"/>
    </row>
    <row r="257" spans="1:18" ht="25.5" x14ac:dyDescent="0.25">
      <c r="A257" s="348">
        <f t="shared" si="12"/>
        <v>118</v>
      </c>
      <c r="B257" s="3" t="s">
        <v>495</v>
      </c>
      <c r="C257" s="3" t="s">
        <v>62</v>
      </c>
      <c r="D257" s="3" t="s">
        <v>63</v>
      </c>
      <c r="E257" s="3" t="s">
        <v>313</v>
      </c>
      <c r="F257" s="3" t="s">
        <v>496</v>
      </c>
      <c r="G257" s="4" t="s">
        <v>85</v>
      </c>
      <c r="H257" s="4">
        <v>21</v>
      </c>
      <c r="I257" s="4">
        <v>5</v>
      </c>
      <c r="J257" s="4">
        <v>5</v>
      </c>
      <c r="K257" s="5">
        <f t="shared" si="10"/>
        <v>9234.7099999999991</v>
      </c>
      <c r="L257" s="5">
        <v>9234.7099999999991</v>
      </c>
      <c r="M257" s="5">
        <v>0</v>
      </c>
      <c r="N257" s="4">
        <v>0</v>
      </c>
      <c r="O257" s="5">
        <f t="shared" si="11"/>
        <v>0</v>
      </c>
      <c r="P257" s="5">
        <v>0</v>
      </c>
      <c r="Q257" s="5">
        <v>0</v>
      </c>
      <c r="R257" s="6"/>
    </row>
    <row r="258" spans="1:18" x14ac:dyDescent="0.25">
      <c r="A258" s="348">
        <f t="shared" si="12"/>
        <v>119</v>
      </c>
      <c r="B258" s="3" t="s">
        <v>134</v>
      </c>
      <c r="C258" s="3" t="s">
        <v>62</v>
      </c>
      <c r="D258" s="3" t="s">
        <v>63</v>
      </c>
      <c r="E258" s="3" t="s">
        <v>74</v>
      </c>
      <c r="F258" s="3" t="s">
        <v>293</v>
      </c>
      <c r="G258" s="4" t="s">
        <v>85</v>
      </c>
      <c r="H258" s="4">
        <v>8</v>
      </c>
      <c r="I258" s="4">
        <v>3</v>
      </c>
      <c r="J258" s="4">
        <v>3</v>
      </c>
      <c r="K258" s="5">
        <f t="shared" si="10"/>
        <v>7119.1</v>
      </c>
      <c r="L258" s="5">
        <f>1656.9+5462.2</f>
        <v>7119.1</v>
      </c>
      <c r="M258" s="5">
        <v>0</v>
      </c>
      <c r="N258" s="4">
        <v>1</v>
      </c>
      <c r="O258" s="5">
        <f t="shared" si="11"/>
        <v>10990.78</v>
      </c>
      <c r="P258" s="5">
        <v>10990.78</v>
      </c>
      <c r="Q258" s="5">
        <v>0</v>
      </c>
      <c r="R258" s="6"/>
    </row>
    <row r="259" spans="1:18" x14ac:dyDescent="0.25">
      <c r="A259" s="348">
        <f t="shared" si="12"/>
        <v>120</v>
      </c>
      <c r="B259" s="3" t="s">
        <v>127</v>
      </c>
      <c r="C259" s="3" t="s">
        <v>62</v>
      </c>
      <c r="D259" s="3" t="s">
        <v>63</v>
      </c>
      <c r="E259" s="3" t="s">
        <v>74</v>
      </c>
      <c r="F259" s="3" t="s">
        <v>294</v>
      </c>
      <c r="G259" s="4" t="s">
        <v>85</v>
      </c>
      <c r="H259" s="4">
        <v>9</v>
      </c>
      <c r="I259" s="4">
        <v>6</v>
      </c>
      <c r="J259" s="4">
        <v>7</v>
      </c>
      <c r="K259" s="5">
        <f t="shared" si="10"/>
        <v>5794.74</v>
      </c>
      <c r="L259" s="5">
        <v>2445.89</v>
      </c>
      <c r="M259" s="5">
        <v>3348.85</v>
      </c>
      <c r="N259" s="4">
        <v>2</v>
      </c>
      <c r="O259" s="5">
        <f t="shared" si="11"/>
        <v>3267.6</v>
      </c>
      <c r="P259" s="5">
        <v>3267.6</v>
      </c>
      <c r="Q259" s="5">
        <v>0</v>
      </c>
      <c r="R259" s="6"/>
    </row>
    <row r="260" spans="1:18" ht="25.5" x14ac:dyDescent="0.25">
      <c r="A260" s="348">
        <f t="shared" si="12"/>
        <v>121</v>
      </c>
      <c r="B260" s="3" t="s">
        <v>55</v>
      </c>
      <c r="C260" s="3" t="s">
        <v>64</v>
      </c>
      <c r="D260" s="3" t="s">
        <v>66</v>
      </c>
      <c r="E260" s="3" t="s">
        <v>80</v>
      </c>
      <c r="F260" s="3" t="s">
        <v>295</v>
      </c>
      <c r="G260" s="4" t="s">
        <v>85</v>
      </c>
      <c r="H260" s="4">
        <v>6</v>
      </c>
      <c r="I260" s="4">
        <v>4</v>
      </c>
      <c r="J260" s="4">
        <v>4</v>
      </c>
      <c r="K260" s="5">
        <f t="shared" si="10"/>
        <v>1989.43</v>
      </c>
      <c r="L260" s="5">
        <v>1989.43</v>
      </c>
      <c r="M260" s="5">
        <v>0</v>
      </c>
      <c r="N260" s="4">
        <v>2</v>
      </c>
      <c r="O260" s="5">
        <f t="shared" si="11"/>
        <v>7376.06</v>
      </c>
      <c r="P260" s="5">
        <v>7376.06</v>
      </c>
      <c r="Q260" s="5">
        <v>0</v>
      </c>
      <c r="R260" s="6"/>
    </row>
    <row r="261" spans="1:18" x14ac:dyDescent="0.25">
      <c r="A261" s="348">
        <f t="shared" si="12"/>
        <v>122</v>
      </c>
      <c r="B261" s="3" t="s">
        <v>135</v>
      </c>
      <c r="C261" s="3" t="s">
        <v>62</v>
      </c>
      <c r="D261" s="3" t="s">
        <v>63</v>
      </c>
      <c r="E261" s="3" t="s">
        <v>63</v>
      </c>
      <c r="F261" s="3" t="s">
        <v>296</v>
      </c>
      <c r="G261" s="4" t="s">
        <v>85</v>
      </c>
      <c r="H261" s="4">
        <v>6</v>
      </c>
      <c r="I261" s="4">
        <v>2</v>
      </c>
      <c r="J261" s="4">
        <v>2</v>
      </c>
      <c r="K261" s="5">
        <f t="shared" si="10"/>
        <v>552.6</v>
      </c>
      <c r="L261" s="5">
        <v>552.6</v>
      </c>
      <c r="M261" s="5">
        <v>0</v>
      </c>
      <c r="N261" s="4">
        <v>10</v>
      </c>
      <c r="O261" s="5">
        <f t="shared" si="11"/>
        <v>18103.64</v>
      </c>
      <c r="P261" s="5">
        <v>18103.64</v>
      </c>
      <c r="Q261" s="5">
        <v>0</v>
      </c>
      <c r="R261" s="6"/>
    </row>
    <row r="262" spans="1:18" x14ac:dyDescent="0.25">
      <c r="A262" s="348">
        <f t="shared" si="12"/>
        <v>123</v>
      </c>
      <c r="B262" s="3" t="s">
        <v>128</v>
      </c>
      <c r="C262" s="3" t="s">
        <v>62</v>
      </c>
      <c r="D262" s="3" t="s">
        <v>63</v>
      </c>
      <c r="E262" s="3" t="s">
        <v>74</v>
      </c>
      <c r="F262" s="3" t="s">
        <v>297</v>
      </c>
      <c r="G262" s="4" t="s">
        <v>85</v>
      </c>
      <c r="H262" s="4">
        <v>2</v>
      </c>
      <c r="I262" s="4">
        <v>2</v>
      </c>
      <c r="J262" s="4">
        <v>2</v>
      </c>
      <c r="K262" s="5">
        <f t="shared" si="10"/>
        <v>1303.8499999999999</v>
      </c>
      <c r="L262" s="5">
        <v>1303.8499999999999</v>
      </c>
      <c r="M262" s="5">
        <v>0</v>
      </c>
      <c r="N262" s="4">
        <v>1</v>
      </c>
      <c r="O262" s="5">
        <f t="shared" si="11"/>
        <v>264.3</v>
      </c>
      <c r="P262" s="5">
        <v>264.3</v>
      </c>
      <c r="Q262" s="5">
        <v>0</v>
      </c>
      <c r="R262" s="6"/>
    </row>
    <row r="263" spans="1:18" ht="25.5" x14ac:dyDescent="0.25">
      <c r="A263" s="348">
        <f t="shared" si="12"/>
        <v>124</v>
      </c>
      <c r="B263" s="3" t="s">
        <v>508</v>
      </c>
      <c r="C263" s="3" t="s">
        <v>64</v>
      </c>
      <c r="D263" s="3" t="s">
        <v>551</v>
      </c>
      <c r="E263" s="3" t="s">
        <v>313</v>
      </c>
      <c r="F263" s="3" t="s">
        <v>552</v>
      </c>
      <c r="G263" s="4" t="s">
        <v>85</v>
      </c>
      <c r="H263" s="4">
        <v>19</v>
      </c>
      <c r="I263" s="4">
        <v>12</v>
      </c>
      <c r="J263" s="4">
        <v>12</v>
      </c>
      <c r="K263" s="5">
        <f t="shared" si="10"/>
        <v>3880.8500000000004</v>
      </c>
      <c r="L263" s="5">
        <v>2408.0500000000002</v>
      </c>
      <c r="M263" s="5">
        <v>1472.8</v>
      </c>
      <c r="N263" s="4">
        <v>0</v>
      </c>
      <c r="O263" s="5">
        <f t="shared" si="11"/>
        <v>0</v>
      </c>
      <c r="P263" s="5">
        <v>0</v>
      </c>
      <c r="Q263" s="5">
        <v>0</v>
      </c>
      <c r="R263" s="6"/>
    </row>
    <row r="264" spans="1:18" ht="25.5" x14ac:dyDescent="0.25">
      <c r="A264" s="348">
        <f t="shared" si="12"/>
        <v>125</v>
      </c>
      <c r="B264" s="3" t="s">
        <v>497</v>
      </c>
      <c r="C264" s="3" t="s">
        <v>62</v>
      </c>
      <c r="D264" s="3" t="s">
        <v>63</v>
      </c>
      <c r="E264" s="3" t="s">
        <v>313</v>
      </c>
      <c r="F264" s="3" t="s">
        <v>498</v>
      </c>
      <c r="G264" s="4" t="s">
        <v>85</v>
      </c>
      <c r="H264" s="4">
        <v>52</v>
      </c>
      <c r="I264" s="4">
        <v>34</v>
      </c>
      <c r="J264" s="4">
        <v>35</v>
      </c>
      <c r="K264" s="5">
        <f t="shared" si="10"/>
        <v>27803.24</v>
      </c>
      <c r="L264" s="5">
        <v>27803.24</v>
      </c>
      <c r="M264" s="5">
        <v>0</v>
      </c>
      <c r="N264" s="4">
        <v>0</v>
      </c>
      <c r="O264" s="5">
        <f t="shared" si="11"/>
        <v>0</v>
      </c>
      <c r="P264" s="5">
        <v>0</v>
      </c>
      <c r="Q264" s="5">
        <v>0</v>
      </c>
      <c r="R264" s="6"/>
    </row>
    <row r="265" spans="1:18" x14ac:dyDescent="0.25">
      <c r="A265" s="348">
        <f t="shared" si="12"/>
        <v>126</v>
      </c>
      <c r="B265" s="3" t="s">
        <v>56</v>
      </c>
      <c r="C265" s="3" t="s">
        <v>62</v>
      </c>
      <c r="D265" s="3" t="s">
        <v>63</v>
      </c>
      <c r="E265" s="3" t="s">
        <v>83</v>
      </c>
      <c r="F265" s="3" t="s">
        <v>298</v>
      </c>
      <c r="G265" s="4" t="s">
        <v>85</v>
      </c>
      <c r="H265" s="4">
        <v>77</v>
      </c>
      <c r="I265" s="4">
        <v>62</v>
      </c>
      <c r="J265" s="4">
        <v>88</v>
      </c>
      <c r="K265" s="5">
        <f t="shared" si="10"/>
        <v>99429.35</v>
      </c>
      <c r="L265" s="5">
        <v>99429.35</v>
      </c>
      <c r="M265" s="5">
        <v>0</v>
      </c>
      <c r="N265" s="4">
        <v>31</v>
      </c>
      <c r="O265" s="5">
        <f t="shared" si="11"/>
        <v>95408.48</v>
      </c>
      <c r="P265" s="5">
        <v>95408.48</v>
      </c>
      <c r="Q265" s="5">
        <v>0</v>
      </c>
      <c r="R265" s="6"/>
    </row>
    <row r="266" spans="1:18" ht="38.25" x14ac:dyDescent="0.25">
      <c r="A266" s="348">
        <f t="shared" si="12"/>
        <v>127</v>
      </c>
      <c r="B266" s="3" t="s">
        <v>638</v>
      </c>
      <c r="C266" s="3" t="s">
        <v>67</v>
      </c>
      <c r="D266" s="3" t="s">
        <v>639</v>
      </c>
      <c r="E266" s="3" t="s">
        <v>640</v>
      </c>
      <c r="F266" s="3" t="s">
        <v>641</v>
      </c>
      <c r="G266" s="4" t="s">
        <v>85</v>
      </c>
      <c r="H266" s="4">
        <v>1</v>
      </c>
      <c r="I266" s="4">
        <v>0</v>
      </c>
      <c r="J266" s="4">
        <v>0</v>
      </c>
      <c r="K266" s="5">
        <f t="shared" si="10"/>
        <v>0</v>
      </c>
      <c r="L266" s="5">
        <v>0</v>
      </c>
      <c r="M266" s="5">
        <v>0</v>
      </c>
      <c r="N266" s="4">
        <v>0</v>
      </c>
      <c r="O266" s="5">
        <f t="shared" si="11"/>
        <v>0</v>
      </c>
      <c r="P266" s="5">
        <v>0</v>
      </c>
      <c r="Q266" s="5">
        <v>0</v>
      </c>
      <c r="R266" s="6"/>
    </row>
    <row r="267" spans="1:18" ht="25.5" x14ac:dyDescent="0.25">
      <c r="A267" s="348">
        <f t="shared" si="12"/>
        <v>128</v>
      </c>
      <c r="B267" s="3" t="s">
        <v>299</v>
      </c>
      <c r="C267" s="3" t="s">
        <v>62</v>
      </c>
      <c r="D267" s="3" t="s">
        <v>63</v>
      </c>
      <c r="E267" s="3" t="s">
        <v>174</v>
      </c>
      <c r="F267" s="3" t="s">
        <v>300</v>
      </c>
      <c r="G267" s="4" t="s">
        <v>85</v>
      </c>
      <c r="H267" s="4">
        <v>21</v>
      </c>
      <c r="I267" s="4">
        <v>17</v>
      </c>
      <c r="J267" s="4">
        <v>20</v>
      </c>
      <c r="K267" s="5">
        <f t="shared" si="10"/>
        <v>17652.310000000001</v>
      </c>
      <c r="L267" s="5">
        <v>17652.310000000001</v>
      </c>
      <c r="M267" s="5">
        <v>0</v>
      </c>
      <c r="N267" s="4">
        <v>0</v>
      </c>
      <c r="O267" s="5">
        <f t="shared" si="11"/>
        <v>0</v>
      </c>
      <c r="P267" s="5">
        <v>0</v>
      </c>
      <c r="Q267" s="5">
        <v>0</v>
      </c>
      <c r="R267" s="6"/>
    </row>
    <row r="268" spans="1:18" x14ac:dyDescent="0.25">
      <c r="A268" s="348">
        <f t="shared" si="12"/>
        <v>129</v>
      </c>
      <c r="B268" s="3" t="s">
        <v>156</v>
      </c>
      <c r="C268" s="3" t="s">
        <v>67</v>
      </c>
      <c r="D268" s="3" t="s">
        <v>499</v>
      </c>
      <c r="E268" s="3" t="s">
        <v>74</v>
      </c>
      <c r="F268" s="3" t="s">
        <v>301</v>
      </c>
      <c r="G268" s="4" t="s">
        <v>85</v>
      </c>
      <c r="H268" s="4">
        <v>34</v>
      </c>
      <c r="I268" s="4">
        <v>27</v>
      </c>
      <c r="J268" s="4">
        <v>31</v>
      </c>
      <c r="K268" s="5">
        <f t="shared" si="10"/>
        <v>34539.370000000003</v>
      </c>
      <c r="L268" s="5">
        <v>34539.370000000003</v>
      </c>
      <c r="M268" s="5">
        <v>0</v>
      </c>
      <c r="N268" s="4">
        <v>34</v>
      </c>
      <c r="O268" s="5">
        <f t="shared" si="11"/>
        <v>58828.76</v>
      </c>
      <c r="P268" s="5">
        <v>58828.76</v>
      </c>
      <c r="Q268" s="5">
        <v>0</v>
      </c>
      <c r="R268" s="6"/>
    </row>
    <row r="269" spans="1:18" x14ac:dyDescent="0.25">
      <c r="A269" s="348">
        <f t="shared" si="12"/>
        <v>130</v>
      </c>
      <c r="B269" s="3" t="s">
        <v>302</v>
      </c>
      <c r="C269" s="3" t="s">
        <v>62</v>
      </c>
      <c r="D269" s="3" t="s">
        <v>63</v>
      </c>
      <c r="E269" s="3" t="s">
        <v>63</v>
      </c>
      <c r="F269" s="3" t="s">
        <v>303</v>
      </c>
      <c r="G269" s="4" t="s">
        <v>85</v>
      </c>
      <c r="H269" s="4">
        <v>12</v>
      </c>
      <c r="I269" s="4">
        <v>7</v>
      </c>
      <c r="J269" s="4">
        <v>8</v>
      </c>
      <c r="K269" s="5">
        <f t="shared" ref="K269:K287" si="13">L269+M269</f>
        <v>6468.1</v>
      </c>
      <c r="L269" s="5">
        <v>6468.1</v>
      </c>
      <c r="M269" s="5">
        <v>0</v>
      </c>
      <c r="N269" s="4">
        <v>0</v>
      </c>
      <c r="O269" s="5">
        <f t="shared" ref="O269:O287" si="14">P269+Q269</f>
        <v>0</v>
      </c>
      <c r="P269" s="5">
        <v>0</v>
      </c>
      <c r="Q269" s="5">
        <v>0</v>
      </c>
      <c r="R269" s="6"/>
    </row>
    <row r="270" spans="1:18" x14ac:dyDescent="0.25">
      <c r="A270" s="348">
        <f t="shared" ref="A270:A287" si="15">A269+1</f>
        <v>131</v>
      </c>
      <c r="B270" s="3" t="s">
        <v>140</v>
      </c>
      <c r="C270" s="3" t="s">
        <v>62</v>
      </c>
      <c r="D270" s="3" t="s">
        <v>63</v>
      </c>
      <c r="E270" s="3" t="s">
        <v>74</v>
      </c>
      <c r="F270" s="3" t="s">
        <v>304</v>
      </c>
      <c r="G270" s="4" t="s">
        <v>85</v>
      </c>
      <c r="H270" s="4">
        <v>58</v>
      </c>
      <c r="I270" s="4">
        <v>45</v>
      </c>
      <c r="J270" s="4">
        <v>48</v>
      </c>
      <c r="K270" s="5">
        <f t="shared" si="13"/>
        <v>47342.8</v>
      </c>
      <c r="L270" s="5">
        <v>47342.8</v>
      </c>
      <c r="M270" s="5">
        <v>0</v>
      </c>
      <c r="N270" s="4">
        <v>19</v>
      </c>
      <c r="O270" s="5">
        <f t="shared" si="14"/>
        <v>43411.7</v>
      </c>
      <c r="P270" s="5">
        <v>43411.7</v>
      </c>
      <c r="Q270" s="5">
        <v>0</v>
      </c>
      <c r="R270" s="6"/>
    </row>
    <row r="271" spans="1:18" ht="25.5" x14ac:dyDescent="0.25">
      <c r="A271" s="348">
        <f t="shared" si="15"/>
        <v>132</v>
      </c>
      <c r="B271" s="3" t="s">
        <v>305</v>
      </c>
      <c r="C271" s="3" t="s">
        <v>62</v>
      </c>
      <c r="D271" s="3" t="s">
        <v>63</v>
      </c>
      <c r="E271" s="3" t="s">
        <v>186</v>
      </c>
      <c r="F271" s="3" t="s">
        <v>513</v>
      </c>
      <c r="G271" s="4" t="s">
        <v>85</v>
      </c>
      <c r="H271" s="4">
        <v>14</v>
      </c>
      <c r="I271" s="4">
        <v>9</v>
      </c>
      <c r="J271" s="4">
        <v>10</v>
      </c>
      <c r="K271" s="5">
        <f t="shared" si="13"/>
        <v>6542.9</v>
      </c>
      <c r="L271" s="5">
        <v>6542.9</v>
      </c>
      <c r="M271" s="5">
        <v>0</v>
      </c>
      <c r="N271" s="4">
        <v>0</v>
      </c>
      <c r="O271" s="5">
        <f t="shared" si="14"/>
        <v>0</v>
      </c>
      <c r="P271" s="5">
        <v>0</v>
      </c>
      <c r="Q271" s="5">
        <v>0</v>
      </c>
      <c r="R271" s="6"/>
    </row>
    <row r="272" spans="1:18" x14ac:dyDescent="0.25">
      <c r="A272" s="348">
        <f t="shared" si="15"/>
        <v>133</v>
      </c>
      <c r="B272" s="3" t="s">
        <v>471</v>
      </c>
      <c r="C272" s="3" t="s">
        <v>64</v>
      </c>
      <c r="D272" s="3" t="s">
        <v>65</v>
      </c>
      <c r="E272" s="3" t="s">
        <v>74</v>
      </c>
      <c r="F272" s="3" t="s">
        <v>472</v>
      </c>
      <c r="G272" s="4" t="s">
        <v>85</v>
      </c>
      <c r="H272" s="4">
        <v>0</v>
      </c>
      <c r="I272" s="4">
        <v>0</v>
      </c>
      <c r="J272" s="4">
        <v>0</v>
      </c>
      <c r="K272" s="5">
        <f t="shared" si="13"/>
        <v>0</v>
      </c>
      <c r="L272" s="5">
        <v>0</v>
      </c>
      <c r="M272" s="5">
        <v>0</v>
      </c>
      <c r="N272" s="4">
        <v>1</v>
      </c>
      <c r="O272" s="5">
        <f t="shared" si="14"/>
        <v>0</v>
      </c>
      <c r="P272" s="5">
        <v>0</v>
      </c>
      <c r="Q272" s="5">
        <v>0</v>
      </c>
      <c r="R272" s="6"/>
    </row>
    <row r="273" spans="1:18" ht="38.25" x14ac:dyDescent="0.25">
      <c r="A273" s="348">
        <f t="shared" si="15"/>
        <v>134</v>
      </c>
      <c r="B273" s="3" t="s">
        <v>57</v>
      </c>
      <c r="C273" s="3" t="s">
        <v>62</v>
      </c>
      <c r="D273" s="3" t="s">
        <v>63</v>
      </c>
      <c r="E273" s="3" t="s">
        <v>244</v>
      </c>
      <c r="F273" s="3" t="s">
        <v>306</v>
      </c>
      <c r="G273" s="4" t="s">
        <v>85</v>
      </c>
      <c r="H273" s="4">
        <v>31</v>
      </c>
      <c r="I273" s="4">
        <v>11</v>
      </c>
      <c r="J273" s="4">
        <v>12</v>
      </c>
      <c r="K273" s="5">
        <f t="shared" si="13"/>
        <v>19342.23</v>
      </c>
      <c r="L273" s="5">
        <v>19342.23</v>
      </c>
      <c r="M273" s="5">
        <v>0</v>
      </c>
      <c r="N273" s="4">
        <v>18</v>
      </c>
      <c r="O273" s="5">
        <f t="shared" si="14"/>
        <v>92362.92</v>
      </c>
      <c r="P273" s="5">
        <v>92362.92</v>
      </c>
      <c r="Q273" s="5">
        <v>0</v>
      </c>
      <c r="R273" s="6"/>
    </row>
    <row r="274" spans="1:18" x14ac:dyDescent="0.25">
      <c r="A274" s="348">
        <f t="shared" si="15"/>
        <v>135</v>
      </c>
      <c r="B274" s="3" t="s">
        <v>473</v>
      </c>
      <c r="C274" s="3" t="s">
        <v>62</v>
      </c>
      <c r="D274" s="3" t="s">
        <v>63</v>
      </c>
      <c r="E274" s="3" t="s">
        <v>63</v>
      </c>
      <c r="F274" s="3" t="s">
        <v>500</v>
      </c>
      <c r="G274" s="4" t="s">
        <v>85</v>
      </c>
      <c r="H274" s="4">
        <v>15</v>
      </c>
      <c r="I274" s="4">
        <v>5</v>
      </c>
      <c r="J274" s="4">
        <v>6</v>
      </c>
      <c r="K274" s="5">
        <f t="shared" si="13"/>
        <v>9948.68</v>
      </c>
      <c r="L274" s="5">
        <v>9948.68</v>
      </c>
      <c r="M274" s="5">
        <v>0</v>
      </c>
      <c r="N274" s="4">
        <v>4</v>
      </c>
      <c r="O274" s="5">
        <f t="shared" si="14"/>
        <v>20865.919999999998</v>
      </c>
      <c r="P274" s="5">
        <v>20865.919999999998</v>
      </c>
      <c r="Q274" s="5">
        <v>0</v>
      </c>
      <c r="R274" s="6"/>
    </row>
    <row r="275" spans="1:18" x14ac:dyDescent="0.25">
      <c r="A275" s="348">
        <f t="shared" si="15"/>
        <v>136</v>
      </c>
      <c r="B275" s="3" t="s">
        <v>129</v>
      </c>
      <c r="C275" s="3" t="s">
        <v>62</v>
      </c>
      <c r="D275" s="3" t="s">
        <v>63</v>
      </c>
      <c r="E275" s="3" t="s">
        <v>74</v>
      </c>
      <c r="F275" s="3" t="s">
        <v>307</v>
      </c>
      <c r="G275" s="4" t="s">
        <v>85</v>
      </c>
      <c r="H275" s="4">
        <v>0</v>
      </c>
      <c r="I275" s="4">
        <v>0</v>
      </c>
      <c r="J275" s="4">
        <v>0</v>
      </c>
      <c r="K275" s="5">
        <f t="shared" si="13"/>
        <v>0</v>
      </c>
      <c r="L275" s="5">
        <v>0</v>
      </c>
      <c r="M275" s="5">
        <v>0</v>
      </c>
      <c r="N275" s="4">
        <v>2</v>
      </c>
      <c r="O275" s="5">
        <f t="shared" si="14"/>
        <v>12997.88</v>
      </c>
      <c r="P275" s="5">
        <f>2390.47+10607.41</f>
        <v>12997.88</v>
      </c>
      <c r="Q275" s="5">
        <v>0</v>
      </c>
      <c r="R275" s="6"/>
    </row>
    <row r="276" spans="1:18" ht="25.5" x14ac:dyDescent="0.25">
      <c r="A276" s="348">
        <f t="shared" si="15"/>
        <v>137</v>
      </c>
      <c r="B276" s="3" t="s">
        <v>58</v>
      </c>
      <c r="C276" s="3" t="s">
        <v>62</v>
      </c>
      <c r="D276" s="3" t="s">
        <v>63</v>
      </c>
      <c r="E276" s="3" t="s">
        <v>84</v>
      </c>
      <c r="F276" s="3" t="s">
        <v>308</v>
      </c>
      <c r="G276" s="4" t="s">
        <v>85</v>
      </c>
      <c r="H276" s="4">
        <v>198</v>
      </c>
      <c r="I276" s="4">
        <v>187</v>
      </c>
      <c r="J276" s="4">
        <v>208</v>
      </c>
      <c r="K276" s="5">
        <f t="shared" si="13"/>
        <v>205265.57</v>
      </c>
      <c r="L276" s="5">
        <v>174860.32</v>
      </c>
      <c r="M276" s="5">
        <f>44405.25-14000</f>
        <v>30405.25</v>
      </c>
      <c r="N276" s="4">
        <v>60</v>
      </c>
      <c r="O276" s="5">
        <f t="shared" si="14"/>
        <v>203474.28999999998</v>
      </c>
      <c r="P276" s="5">
        <v>187084.08</v>
      </c>
      <c r="Q276" s="5">
        <f>29216.99-12826.78</f>
        <v>16390.21</v>
      </c>
      <c r="R276" s="6"/>
    </row>
    <row r="277" spans="1:18" ht="25.5" x14ac:dyDescent="0.25">
      <c r="A277" s="348">
        <f t="shared" si="15"/>
        <v>138</v>
      </c>
      <c r="B277" s="3" t="s">
        <v>59</v>
      </c>
      <c r="C277" s="3" t="s">
        <v>64</v>
      </c>
      <c r="D277" s="3" t="s">
        <v>66</v>
      </c>
      <c r="E277" s="3" t="s">
        <v>80</v>
      </c>
      <c r="F277" s="3" t="s">
        <v>309</v>
      </c>
      <c r="G277" s="4" t="s">
        <v>85</v>
      </c>
      <c r="H277" s="4">
        <v>40</v>
      </c>
      <c r="I277" s="4">
        <v>32</v>
      </c>
      <c r="J277" s="4">
        <v>48</v>
      </c>
      <c r="K277" s="5">
        <f t="shared" si="13"/>
        <v>51534.89</v>
      </c>
      <c r="L277" s="5">
        <v>51534.89</v>
      </c>
      <c r="M277" s="5">
        <v>0</v>
      </c>
      <c r="N277" s="4">
        <v>29</v>
      </c>
      <c r="O277" s="5">
        <f t="shared" si="14"/>
        <v>84860.21</v>
      </c>
      <c r="P277" s="5">
        <v>84860.21</v>
      </c>
      <c r="Q277" s="5">
        <v>0</v>
      </c>
      <c r="R277" s="6"/>
    </row>
    <row r="278" spans="1:18" x14ac:dyDescent="0.25">
      <c r="A278" s="348">
        <f t="shared" si="15"/>
        <v>139</v>
      </c>
      <c r="B278" s="3" t="s">
        <v>130</v>
      </c>
      <c r="C278" s="3" t="s">
        <v>62</v>
      </c>
      <c r="D278" s="3" t="s">
        <v>63</v>
      </c>
      <c r="E278" s="3" t="s">
        <v>74</v>
      </c>
      <c r="F278" s="3" t="s">
        <v>553</v>
      </c>
      <c r="G278" s="4" t="s">
        <v>85</v>
      </c>
      <c r="H278" s="4">
        <v>2</v>
      </c>
      <c r="I278" s="4">
        <v>1</v>
      </c>
      <c r="J278" s="4">
        <v>1</v>
      </c>
      <c r="K278" s="5">
        <f t="shared" si="13"/>
        <v>299.54000000000002</v>
      </c>
      <c r="L278" s="5">
        <v>299.54000000000002</v>
      </c>
      <c r="M278" s="5">
        <v>0</v>
      </c>
      <c r="N278" s="4">
        <v>3</v>
      </c>
      <c r="O278" s="5">
        <f t="shared" si="14"/>
        <v>20018.759999999998</v>
      </c>
      <c r="P278" s="5">
        <f>14754.22+5264.54</f>
        <v>20018.759999999998</v>
      </c>
      <c r="Q278" s="5">
        <v>0</v>
      </c>
      <c r="R278" s="6"/>
    </row>
    <row r="279" spans="1:18" x14ac:dyDescent="0.25">
      <c r="A279" s="348">
        <f t="shared" si="15"/>
        <v>140</v>
      </c>
      <c r="B279" s="3" t="s">
        <v>97</v>
      </c>
      <c r="C279" s="3" t="s">
        <v>62</v>
      </c>
      <c r="D279" s="3" t="s">
        <v>63</v>
      </c>
      <c r="E279" s="3" t="s">
        <v>74</v>
      </c>
      <c r="F279" s="3" t="s">
        <v>310</v>
      </c>
      <c r="G279" s="4" t="s">
        <v>85</v>
      </c>
      <c r="H279" s="4">
        <v>6</v>
      </c>
      <c r="I279" s="4">
        <v>4</v>
      </c>
      <c r="J279" s="4">
        <v>4</v>
      </c>
      <c r="K279" s="5">
        <f t="shared" si="13"/>
        <v>3660.56</v>
      </c>
      <c r="L279" s="5">
        <f>687.18+2973.38</f>
        <v>3660.56</v>
      </c>
      <c r="M279" s="5">
        <v>0</v>
      </c>
      <c r="N279" s="4">
        <v>1</v>
      </c>
      <c r="O279" s="5">
        <f t="shared" si="14"/>
        <v>808.76</v>
      </c>
      <c r="P279" s="5">
        <v>808.76</v>
      </c>
      <c r="Q279" s="5">
        <v>0</v>
      </c>
      <c r="R279" s="6"/>
    </row>
    <row r="280" spans="1:18" ht="25.5" x14ac:dyDescent="0.25">
      <c r="A280" s="348">
        <f t="shared" si="15"/>
        <v>141</v>
      </c>
      <c r="B280" s="3" t="s">
        <v>514</v>
      </c>
      <c r="C280" s="3" t="s">
        <v>62</v>
      </c>
      <c r="D280" s="3" t="s">
        <v>63</v>
      </c>
      <c r="E280" s="3" t="s">
        <v>223</v>
      </c>
      <c r="F280" s="3" t="s">
        <v>515</v>
      </c>
      <c r="G280" s="4" t="s">
        <v>85</v>
      </c>
      <c r="H280" s="4">
        <v>17</v>
      </c>
      <c r="I280" s="4">
        <v>11</v>
      </c>
      <c r="J280" s="4">
        <v>16</v>
      </c>
      <c r="K280" s="5">
        <f t="shared" si="13"/>
        <v>21122.21</v>
      </c>
      <c r="L280" s="5">
        <v>21122.21</v>
      </c>
      <c r="M280" s="5">
        <v>0</v>
      </c>
      <c r="N280" s="4">
        <v>0</v>
      </c>
      <c r="O280" s="5">
        <f t="shared" si="14"/>
        <v>0</v>
      </c>
      <c r="P280" s="5">
        <v>0</v>
      </c>
      <c r="Q280" s="5">
        <v>0</v>
      </c>
      <c r="R280" s="6"/>
    </row>
    <row r="281" spans="1:18" x14ac:dyDescent="0.25">
      <c r="A281" s="348">
        <f t="shared" si="15"/>
        <v>142</v>
      </c>
      <c r="B281" s="3" t="s">
        <v>132</v>
      </c>
      <c r="C281" s="3" t="s">
        <v>62</v>
      </c>
      <c r="D281" s="3" t="s">
        <v>63</v>
      </c>
      <c r="E281" s="3" t="s">
        <v>74</v>
      </c>
      <c r="F281" s="3" t="s">
        <v>311</v>
      </c>
      <c r="G281" s="4" t="s">
        <v>85</v>
      </c>
      <c r="H281" s="4">
        <v>17</v>
      </c>
      <c r="I281" s="4">
        <v>7</v>
      </c>
      <c r="J281" s="4">
        <v>8</v>
      </c>
      <c r="K281" s="5">
        <f t="shared" si="13"/>
        <v>7071.18</v>
      </c>
      <c r="L281" s="5">
        <v>7071.18</v>
      </c>
      <c r="M281" s="5">
        <v>0</v>
      </c>
      <c r="N281" s="4">
        <v>10</v>
      </c>
      <c r="O281" s="5">
        <f t="shared" si="14"/>
        <v>6240.07</v>
      </c>
      <c r="P281" s="5">
        <v>6240.07</v>
      </c>
      <c r="Q281" s="5">
        <v>0</v>
      </c>
      <c r="R281" s="6"/>
    </row>
    <row r="282" spans="1:18" ht="25.5" x14ac:dyDescent="0.25">
      <c r="A282" s="348">
        <f t="shared" si="15"/>
        <v>143</v>
      </c>
      <c r="B282" s="3" t="s">
        <v>312</v>
      </c>
      <c r="C282" s="3" t="s">
        <v>62</v>
      </c>
      <c r="D282" s="3" t="s">
        <v>63</v>
      </c>
      <c r="E282" s="3" t="s">
        <v>313</v>
      </c>
      <c r="F282" s="3" t="s">
        <v>314</v>
      </c>
      <c r="G282" s="4" t="s">
        <v>85</v>
      </c>
      <c r="H282" s="4">
        <v>41</v>
      </c>
      <c r="I282" s="4">
        <v>1</v>
      </c>
      <c r="J282" s="4">
        <v>1</v>
      </c>
      <c r="K282" s="5">
        <f t="shared" si="13"/>
        <v>0</v>
      </c>
      <c r="L282" s="5">
        <v>0</v>
      </c>
      <c r="M282" s="5">
        <v>0</v>
      </c>
      <c r="N282" s="4">
        <v>0</v>
      </c>
      <c r="O282" s="5">
        <f t="shared" si="14"/>
        <v>0</v>
      </c>
      <c r="P282" s="5">
        <v>0</v>
      </c>
      <c r="Q282" s="5">
        <v>0</v>
      </c>
      <c r="R282" s="6"/>
    </row>
    <row r="283" spans="1:18" x14ac:dyDescent="0.25">
      <c r="A283" s="348">
        <f t="shared" si="15"/>
        <v>144</v>
      </c>
      <c r="B283" s="3" t="s">
        <v>315</v>
      </c>
      <c r="C283" s="3" t="s">
        <v>62</v>
      </c>
      <c r="D283" s="3" t="s">
        <v>63</v>
      </c>
      <c r="E283" s="3" t="s">
        <v>74</v>
      </c>
      <c r="F283" s="3" t="s">
        <v>316</v>
      </c>
      <c r="G283" s="4" t="s">
        <v>85</v>
      </c>
      <c r="H283" s="4">
        <v>16</v>
      </c>
      <c r="I283" s="4">
        <v>9</v>
      </c>
      <c r="J283" s="4">
        <v>11</v>
      </c>
      <c r="K283" s="5">
        <f t="shared" si="13"/>
        <v>11020.91</v>
      </c>
      <c r="L283" s="5">
        <v>11020.91</v>
      </c>
      <c r="M283" s="5">
        <v>0</v>
      </c>
      <c r="N283" s="4">
        <v>3</v>
      </c>
      <c r="O283" s="5">
        <f t="shared" si="14"/>
        <v>3889.02</v>
      </c>
      <c r="P283" s="5">
        <v>3889.02</v>
      </c>
      <c r="Q283" s="5">
        <v>0</v>
      </c>
      <c r="R283" s="6"/>
    </row>
    <row r="284" spans="1:18" x14ac:dyDescent="0.25">
      <c r="A284" s="348">
        <f t="shared" si="15"/>
        <v>145</v>
      </c>
      <c r="B284" s="3" t="s">
        <v>317</v>
      </c>
      <c r="C284" s="3" t="s">
        <v>62</v>
      </c>
      <c r="D284" s="3" t="s">
        <v>63</v>
      </c>
      <c r="E284" s="3" t="s">
        <v>158</v>
      </c>
      <c r="F284" s="3" t="s">
        <v>474</v>
      </c>
      <c r="G284" s="4" t="s">
        <v>85</v>
      </c>
      <c r="H284" s="4">
        <v>10</v>
      </c>
      <c r="I284" s="4">
        <v>4</v>
      </c>
      <c r="J284" s="4">
        <v>4</v>
      </c>
      <c r="K284" s="5">
        <f t="shared" si="13"/>
        <v>2271.02</v>
      </c>
      <c r="L284" s="5">
        <v>2271.02</v>
      </c>
      <c r="M284" s="5">
        <v>0</v>
      </c>
      <c r="N284" s="4">
        <v>0</v>
      </c>
      <c r="O284" s="5">
        <f t="shared" si="14"/>
        <v>0</v>
      </c>
      <c r="P284" s="5">
        <v>0</v>
      </c>
      <c r="Q284" s="5">
        <v>0</v>
      </c>
      <c r="R284" s="6"/>
    </row>
    <row r="285" spans="1:18" ht="25.5" x14ac:dyDescent="0.25">
      <c r="A285" s="348">
        <f t="shared" si="15"/>
        <v>146</v>
      </c>
      <c r="B285" s="3" t="s">
        <v>318</v>
      </c>
      <c r="C285" s="3" t="s">
        <v>62</v>
      </c>
      <c r="D285" s="3" t="s">
        <v>63</v>
      </c>
      <c r="E285" s="3" t="s">
        <v>174</v>
      </c>
      <c r="F285" s="3" t="s">
        <v>319</v>
      </c>
      <c r="G285" s="4" t="s">
        <v>85</v>
      </c>
      <c r="H285" s="4">
        <v>28</v>
      </c>
      <c r="I285" s="4">
        <v>17</v>
      </c>
      <c r="J285" s="4">
        <v>20</v>
      </c>
      <c r="K285" s="5">
        <f t="shared" si="13"/>
        <v>23365.279999999999</v>
      </c>
      <c r="L285" s="5">
        <v>23365.279999999999</v>
      </c>
      <c r="M285" s="5">
        <v>0</v>
      </c>
      <c r="N285" s="4">
        <v>0</v>
      </c>
      <c r="O285" s="5">
        <f t="shared" si="14"/>
        <v>0</v>
      </c>
      <c r="P285" s="5">
        <v>0</v>
      </c>
      <c r="Q285" s="5">
        <v>0</v>
      </c>
      <c r="R285" s="6"/>
    </row>
    <row r="286" spans="1:18" x14ac:dyDescent="0.25">
      <c r="A286" s="348">
        <f t="shared" si="15"/>
        <v>147</v>
      </c>
      <c r="B286" s="3" t="s">
        <v>60</v>
      </c>
      <c r="C286" s="3" t="s">
        <v>67</v>
      </c>
      <c r="D286" s="3" t="s">
        <v>68</v>
      </c>
      <c r="E286" s="3" t="s">
        <v>74</v>
      </c>
      <c r="F286" s="3" t="s">
        <v>320</v>
      </c>
      <c r="G286" s="4" t="s">
        <v>85</v>
      </c>
      <c r="H286" s="4">
        <v>62</v>
      </c>
      <c r="I286" s="4">
        <v>54</v>
      </c>
      <c r="J286" s="4">
        <v>82</v>
      </c>
      <c r="K286" s="5">
        <f t="shared" si="13"/>
        <v>137178.44</v>
      </c>
      <c r="L286" s="5">
        <v>137178.44</v>
      </c>
      <c r="M286" s="5">
        <v>0</v>
      </c>
      <c r="N286" s="4">
        <v>41</v>
      </c>
      <c r="O286" s="5">
        <f t="shared" si="14"/>
        <v>91294.68</v>
      </c>
      <c r="P286" s="5">
        <v>91294.68</v>
      </c>
      <c r="Q286" s="5">
        <v>0</v>
      </c>
      <c r="R286" s="6"/>
    </row>
    <row r="287" spans="1:18" x14ac:dyDescent="0.25">
      <c r="A287" s="348">
        <f t="shared" si="15"/>
        <v>148</v>
      </c>
      <c r="B287" s="3" t="s">
        <v>61</v>
      </c>
      <c r="C287" s="3" t="s">
        <v>67</v>
      </c>
      <c r="D287" s="3" t="s">
        <v>69</v>
      </c>
      <c r="E287" s="3" t="s">
        <v>74</v>
      </c>
      <c r="F287" s="3" t="s">
        <v>321</v>
      </c>
      <c r="G287" s="4" t="s">
        <v>85</v>
      </c>
      <c r="H287" s="4">
        <v>9</v>
      </c>
      <c r="I287" s="4">
        <v>5</v>
      </c>
      <c r="J287" s="4">
        <v>6</v>
      </c>
      <c r="K287" s="5">
        <f t="shared" si="13"/>
        <v>12993.1</v>
      </c>
      <c r="L287" s="5">
        <v>12993.1</v>
      </c>
      <c r="M287" s="5">
        <v>0</v>
      </c>
      <c r="N287" s="4">
        <v>7</v>
      </c>
      <c r="O287" s="5">
        <f t="shared" si="14"/>
        <v>7602.26</v>
      </c>
      <c r="P287" s="5">
        <v>7602.26</v>
      </c>
      <c r="Q287" s="5">
        <v>0</v>
      </c>
      <c r="R287" s="6"/>
    </row>
  </sheetData>
  <autoFilter ref="A8:Q8"/>
  <mergeCells count="8">
    <mergeCell ref="B7:G7"/>
    <mergeCell ref="H7:M7"/>
    <mergeCell ref="N7:Q7"/>
    <mergeCell ref="O1:Q1"/>
    <mergeCell ref="A3:Q3"/>
    <mergeCell ref="A4:Q4"/>
    <mergeCell ref="A5:Q5"/>
    <mergeCell ref="A6:Q6"/>
  </mergeCells>
  <pageMargins left="0.31496062992125984" right="0.31496062992125984" top="0.55118110236220474" bottom="0.55118110236220474" header="0" footer="0"/>
  <pageSetup paperSize="9" scale="18" fitToWidth="2" orientation="landscape" horizontalDpi="300" verticalDpi="30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pageSetUpPr fitToPage="1"/>
  </sheetPr>
  <dimension ref="A1:R415"/>
  <sheetViews>
    <sheetView topLeftCell="A216" zoomScale="95" zoomScaleNormal="95" workbookViewId="0">
      <selection activeCell="A187" sqref="A187:XFD237"/>
    </sheetView>
  </sheetViews>
  <sheetFormatPr defaultRowHeight="15" customHeight="1" x14ac:dyDescent="0.25"/>
  <cols>
    <col min="1" max="1" width="4" customWidth="1"/>
    <col min="2" max="2" width="36.28515625" customWidth="1"/>
    <col min="3" max="3" width="11.28515625" customWidth="1"/>
    <col min="4" max="4" width="26.28515625" customWidth="1"/>
    <col min="5" max="5" width="15.7109375" customWidth="1"/>
    <col min="6" max="8" width="19.28515625" customWidth="1"/>
    <col min="9" max="9" width="11.85546875" customWidth="1"/>
    <col min="10" max="10" width="13.140625" customWidth="1"/>
    <col min="11" max="11" width="14.5703125" customWidth="1"/>
    <col min="12" max="12" width="13.42578125" customWidth="1"/>
    <col min="13" max="13" width="13.5703125" customWidth="1"/>
    <col min="14" max="14" width="13.28515625" customWidth="1"/>
    <col min="15" max="15" width="14.42578125" customWidth="1"/>
    <col min="16" max="17" width="13.42578125" customWidth="1"/>
  </cols>
  <sheetData>
    <row r="1" spans="1:18" x14ac:dyDescent="0.25">
      <c r="A1" s="346"/>
      <c r="B1" s="346"/>
      <c r="C1" s="346"/>
      <c r="D1" s="346"/>
      <c r="E1" s="346"/>
      <c r="F1" s="346"/>
      <c r="G1" s="346"/>
      <c r="H1" s="346"/>
      <c r="I1" s="346"/>
      <c r="J1" s="346"/>
      <c r="K1" s="7"/>
      <c r="L1" s="7"/>
      <c r="M1" s="7"/>
      <c r="N1" s="346"/>
      <c r="O1" s="620" t="s">
        <v>15</v>
      </c>
      <c r="P1" s="620"/>
      <c r="Q1" s="620"/>
      <c r="R1" s="6"/>
    </row>
    <row r="2" spans="1:18" x14ac:dyDescent="0.25">
      <c r="A2" s="346"/>
      <c r="B2" s="346"/>
      <c r="C2" s="346"/>
      <c r="D2" s="346"/>
      <c r="E2" s="346"/>
      <c r="F2" s="346"/>
      <c r="G2" s="346"/>
      <c r="H2" s="346"/>
      <c r="I2" s="346"/>
      <c r="J2" s="346"/>
      <c r="K2" s="7"/>
      <c r="L2" s="7"/>
      <c r="M2" s="7"/>
      <c r="N2" s="346"/>
      <c r="O2" s="7"/>
      <c r="P2" s="7"/>
      <c r="Q2" s="7"/>
      <c r="R2" s="6"/>
    </row>
    <row r="3" spans="1:18" x14ac:dyDescent="0.25">
      <c r="A3" s="621" t="s">
        <v>323</v>
      </c>
      <c r="B3" s="621"/>
      <c r="C3" s="621"/>
      <c r="D3" s="621"/>
      <c r="E3" s="621"/>
      <c r="F3" s="621"/>
      <c r="G3" s="621"/>
      <c r="H3" s="621"/>
      <c r="I3" s="621"/>
      <c r="J3" s="621"/>
      <c r="K3" s="621"/>
      <c r="L3" s="621"/>
      <c r="M3" s="621"/>
      <c r="N3" s="621"/>
      <c r="O3" s="621"/>
      <c r="P3" s="621"/>
      <c r="Q3" s="621"/>
      <c r="R3" s="6"/>
    </row>
    <row r="4" spans="1:18" ht="18.75" x14ac:dyDescent="0.25">
      <c r="A4" s="622" t="s">
        <v>16</v>
      </c>
      <c r="B4" s="622"/>
      <c r="C4" s="622"/>
      <c r="D4" s="622"/>
      <c r="E4" s="622"/>
      <c r="F4" s="622"/>
      <c r="G4" s="622"/>
      <c r="H4" s="622"/>
      <c r="I4" s="622"/>
      <c r="J4" s="622"/>
      <c r="K4" s="622"/>
      <c r="L4" s="622"/>
      <c r="M4" s="622"/>
      <c r="N4" s="622"/>
      <c r="O4" s="622"/>
      <c r="P4" s="622"/>
      <c r="Q4" s="622"/>
      <c r="R4" s="6"/>
    </row>
    <row r="5" spans="1:18" x14ac:dyDescent="0.25">
      <c r="A5" s="623" t="s">
        <v>14</v>
      </c>
      <c r="B5" s="623"/>
      <c r="C5" s="623"/>
      <c r="D5" s="623"/>
      <c r="E5" s="623"/>
      <c r="F5" s="623"/>
      <c r="G5" s="623"/>
      <c r="H5" s="623"/>
      <c r="I5" s="623"/>
      <c r="J5" s="623"/>
      <c r="K5" s="623"/>
      <c r="L5" s="623"/>
      <c r="M5" s="623"/>
      <c r="N5" s="623"/>
      <c r="O5" s="623"/>
      <c r="P5" s="623"/>
      <c r="Q5" s="623"/>
      <c r="R5" s="6"/>
    </row>
    <row r="6" spans="1:18" ht="21" x14ac:dyDescent="0.25">
      <c r="A6" s="624" t="s">
        <v>17</v>
      </c>
      <c r="B6" s="624"/>
      <c r="C6" s="624"/>
      <c r="D6" s="624"/>
      <c r="E6" s="624"/>
      <c r="F6" s="624"/>
      <c r="G6" s="624"/>
      <c r="H6" s="624"/>
      <c r="I6" s="624"/>
      <c r="J6" s="624"/>
      <c r="K6" s="624"/>
      <c r="L6" s="624"/>
      <c r="M6" s="624"/>
      <c r="N6" s="624"/>
      <c r="O6" s="624"/>
      <c r="P6" s="624"/>
      <c r="Q6" s="624"/>
      <c r="R6" s="6"/>
    </row>
    <row r="7" spans="1:18" x14ac:dyDescent="0.25">
      <c r="A7" s="9" t="s">
        <v>0</v>
      </c>
      <c r="B7" s="617" t="s">
        <v>10</v>
      </c>
      <c r="C7" s="618"/>
      <c r="D7" s="618"/>
      <c r="E7" s="618"/>
      <c r="F7" s="618"/>
      <c r="G7" s="619"/>
      <c r="H7" s="617" t="s">
        <v>322</v>
      </c>
      <c r="I7" s="618"/>
      <c r="J7" s="618"/>
      <c r="K7" s="618"/>
      <c r="L7" s="618"/>
      <c r="M7" s="618"/>
      <c r="N7" s="617" t="s">
        <v>324</v>
      </c>
      <c r="O7" s="618"/>
      <c r="P7" s="618"/>
      <c r="Q7" s="619"/>
      <c r="R7" s="6"/>
    </row>
    <row r="8" spans="1:18" ht="102" x14ac:dyDescent="0.25">
      <c r="A8" s="10"/>
      <c r="B8" s="11" t="s">
        <v>4</v>
      </c>
      <c r="C8" s="11" t="s">
        <v>1</v>
      </c>
      <c r="D8" s="11" t="s">
        <v>3</v>
      </c>
      <c r="E8" s="11" t="s">
        <v>2</v>
      </c>
      <c r="F8" s="11" t="s">
        <v>6</v>
      </c>
      <c r="G8" s="11" t="s">
        <v>5</v>
      </c>
      <c r="H8" s="12" t="s">
        <v>7</v>
      </c>
      <c r="I8" s="13" t="s">
        <v>8</v>
      </c>
      <c r="J8" s="13" t="s">
        <v>9</v>
      </c>
      <c r="K8" s="14" t="s">
        <v>11</v>
      </c>
      <c r="L8" s="14" t="s">
        <v>12</v>
      </c>
      <c r="M8" s="14" t="s">
        <v>13</v>
      </c>
      <c r="N8" s="13" t="s">
        <v>9</v>
      </c>
      <c r="O8" s="14" t="s">
        <v>11</v>
      </c>
      <c r="P8" s="14" t="s">
        <v>12</v>
      </c>
      <c r="Q8" s="15" t="s">
        <v>13</v>
      </c>
      <c r="R8" s="6"/>
    </row>
    <row r="9" spans="1:18" s="297" customFormat="1" ht="25.5" hidden="1" x14ac:dyDescent="0.25">
      <c r="A9" s="190">
        <v>1</v>
      </c>
      <c r="B9" s="136" t="s">
        <v>134</v>
      </c>
      <c r="C9" s="134" t="s">
        <v>62</v>
      </c>
      <c r="D9" s="136"/>
      <c r="E9" s="134" t="s">
        <v>74</v>
      </c>
      <c r="F9" s="134" t="s">
        <v>408</v>
      </c>
      <c r="G9" s="136" t="s">
        <v>409</v>
      </c>
      <c r="H9" s="191">
        <v>25</v>
      </c>
      <c r="I9" s="191">
        <v>8</v>
      </c>
      <c r="J9" s="191">
        <v>8</v>
      </c>
      <c r="K9" s="192">
        <v>8844</v>
      </c>
      <c r="L9" s="192">
        <v>3910.4</v>
      </c>
      <c r="M9" s="193">
        <f t="shared" ref="M9:M52" si="0">K9-L9</f>
        <v>4933.6000000000004</v>
      </c>
      <c r="N9" s="191">
        <v>6</v>
      </c>
      <c r="O9" s="192">
        <v>15114.1</v>
      </c>
      <c r="P9" s="192">
        <v>13457.2</v>
      </c>
      <c r="Q9" s="192">
        <f t="shared" ref="Q9:Q52" si="1">O9-P9</f>
        <v>1656.8999999999996</v>
      </c>
      <c r="R9" s="296"/>
    </row>
    <row r="10" spans="1:18" s="297" customFormat="1" ht="25.5" hidden="1" x14ac:dyDescent="0.25">
      <c r="A10" s="190">
        <v>2</v>
      </c>
      <c r="B10" s="136" t="s">
        <v>335</v>
      </c>
      <c r="C10" s="134" t="s">
        <v>62</v>
      </c>
      <c r="D10" s="136"/>
      <c r="E10" s="134" t="s">
        <v>74</v>
      </c>
      <c r="F10" s="134" t="s">
        <v>410</v>
      </c>
      <c r="G10" s="136" t="s">
        <v>409</v>
      </c>
      <c r="H10" s="191">
        <v>12</v>
      </c>
      <c r="I10" s="191">
        <v>5</v>
      </c>
      <c r="J10" s="191">
        <v>5</v>
      </c>
      <c r="K10" s="192">
        <v>5675.4</v>
      </c>
      <c r="L10" s="192">
        <v>5146.8</v>
      </c>
      <c r="M10" s="193">
        <f t="shared" si="0"/>
        <v>528.59999999999945</v>
      </c>
      <c r="N10" s="191">
        <v>12</v>
      </c>
      <c r="O10" s="192">
        <v>16642.8</v>
      </c>
      <c r="P10" s="192">
        <v>10652</v>
      </c>
      <c r="Q10" s="192">
        <f t="shared" si="1"/>
        <v>5990.7999999999993</v>
      </c>
      <c r="R10" s="296"/>
    </row>
    <row r="11" spans="1:18" s="297" customFormat="1" ht="38.25" hidden="1" x14ac:dyDescent="0.25">
      <c r="A11" s="190">
        <v>3</v>
      </c>
      <c r="B11" s="136" t="s">
        <v>46</v>
      </c>
      <c r="C11" s="134" t="s">
        <v>62</v>
      </c>
      <c r="D11" s="136"/>
      <c r="E11" s="134" t="s">
        <v>267</v>
      </c>
      <c r="F11" s="134" t="s">
        <v>411</v>
      </c>
      <c r="G11" s="136" t="s">
        <v>409</v>
      </c>
      <c r="H11" s="191">
        <v>29</v>
      </c>
      <c r="I11" s="191">
        <v>17</v>
      </c>
      <c r="J11" s="191">
        <v>17</v>
      </c>
      <c r="K11" s="192">
        <v>28352.5</v>
      </c>
      <c r="L11" s="192">
        <v>9866.6</v>
      </c>
      <c r="M11" s="193">
        <f t="shared" si="0"/>
        <v>18485.900000000001</v>
      </c>
      <c r="N11" s="191">
        <v>18</v>
      </c>
      <c r="O11" s="192">
        <v>28461.056</v>
      </c>
      <c r="P11" s="192">
        <v>25515.45</v>
      </c>
      <c r="Q11" s="192">
        <f t="shared" si="1"/>
        <v>2945.6059999999998</v>
      </c>
      <c r="R11" s="296"/>
    </row>
    <row r="12" spans="1:18" s="297" customFormat="1" ht="25.5" hidden="1" x14ac:dyDescent="0.25">
      <c r="A12" s="190">
        <v>4</v>
      </c>
      <c r="B12" s="136" t="s">
        <v>36</v>
      </c>
      <c r="C12" s="134" t="s">
        <v>62</v>
      </c>
      <c r="D12" s="136"/>
      <c r="E12" s="134" t="s">
        <v>74</v>
      </c>
      <c r="F12" s="134" t="s">
        <v>412</v>
      </c>
      <c r="G12" s="136" t="s">
        <v>409</v>
      </c>
      <c r="H12" s="191">
        <v>25</v>
      </c>
      <c r="I12" s="191">
        <v>11</v>
      </c>
      <c r="J12" s="191">
        <v>11</v>
      </c>
      <c r="K12" s="192">
        <v>15787.52</v>
      </c>
      <c r="L12" s="192">
        <v>14906.52</v>
      </c>
      <c r="M12" s="193">
        <f t="shared" si="0"/>
        <v>881</v>
      </c>
      <c r="N12" s="191">
        <v>19</v>
      </c>
      <c r="O12" s="192">
        <v>54022.92</v>
      </c>
      <c r="P12" s="192">
        <v>34112.32</v>
      </c>
      <c r="Q12" s="192">
        <f t="shared" si="1"/>
        <v>19910.599999999999</v>
      </c>
      <c r="R12" s="296"/>
    </row>
    <row r="13" spans="1:18" s="297" customFormat="1" ht="25.5" hidden="1" x14ac:dyDescent="0.25">
      <c r="A13" s="190">
        <v>5</v>
      </c>
      <c r="B13" s="136" t="s">
        <v>27</v>
      </c>
      <c r="C13" s="134" t="s">
        <v>62</v>
      </c>
      <c r="D13" s="136"/>
      <c r="E13" s="134" t="s">
        <v>74</v>
      </c>
      <c r="F13" s="134" t="s">
        <v>413</v>
      </c>
      <c r="G13" s="136" t="s">
        <v>409</v>
      </c>
      <c r="H13" s="191">
        <v>10</v>
      </c>
      <c r="I13" s="191">
        <v>6</v>
      </c>
      <c r="J13" s="191">
        <v>6</v>
      </c>
      <c r="K13" s="192">
        <v>11514.02</v>
      </c>
      <c r="L13" s="192">
        <v>5051.82</v>
      </c>
      <c r="M13" s="193">
        <f t="shared" si="0"/>
        <v>6462.2000000000007</v>
      </c>
      <c r="N13" s="191">
        <v>9</v>
      </c>
      <c r="O13" s="192">
        <v>18274.5</v>
      </c>
      <c r="P13" s="192">
        <v>16676.7</v>
      </c>
      <c r="Q13" s="192">
        <f t="shared" si="1"/>
        <v>1597.7999999999993</v>
      </c>
      <c r="R13" s="296"/>
    </row>
    <row r="14" spans="1:18" s="297" customFormat="1" ht="25.5" hidden="1" x14ac:dyDescent="0.25">
      <c r="A14" s="190">
        <v>6</v>
      </c>
      <c r="B14" s="136" t="s">
        <v>28</v>
      </c>
      <c r="C14" s="134" t="s">
        <v>62</v>
      </c>
      <c r="D14" s="136"/>
      <c r="E14" s="134" t="s">
        <v>74</v>
      </c>
      <c r="F14" s="134" t="s">
        <v>414</v>
      </c>
      <c r="G14" s="136" t="s">
        <v>409</v>
      </c>
      <c r="H14" s="191">
        <v>27</v>
      </c>
      <c r="I14" s="191">
        <v>11</v>
      </c>
      <c r="J14" s="191">
        <v>11</v>
      </c>
      <c r="K14" s="192">
        <v>14096.62</v>
      </c>
      <c r="L14" s="192">
        <v>7858.52</v>
      </c>
      <c r="M14" s="193">
        <f t="shared" si="0"/>
        <v>6238.1</v>
      </c>
      <c r="N14" s="191">
        <v>11</v>
      </c>
      <c r="O14" s="192">
        <v>20692</v>
      </c>
      <c r="P14" s="192">
        <v>12334</v>
      </c>
      <c r="Q14" s="192">
        <f t="shared" si="1"/>
        <v>8358</v>
      </c>
      <c r="R14" s="296"/>
    </row>
    <row r="15" spans="1:18" s="297" customFormat="1" ht="25.5" hidden="1" x14ac:dyDescent="0.25">
      <c r="A15" s="190">
        <v>7</v>
      </c>
      <c r="B15" s="298" t="s">
        <v>246</v>
      </c>
      <c r="C15" s="190" t="s">
        <v>62</v>
      </c>
      <c r="D15" s="298"/>
      <c r="E15" s="134" t="s">
        <v>74</v>
      </c>
      <c r="F15" s="190" t="s">
        <v>415</v>
      </c>
      <c r="G15" s="136" t="s">
        <v>409</v>
      </c>
      <c r="H15" s="191">
        <v>26</v>
      </c>
      <c r="I15" s="191">
        <v>5</v>
      </c>
      <c r="J15" s="191">
        <v>5</v>
      </c>
      <c r="K15" s="192">
        <v>5673.64</v>
      </c>
      <c r="L15" s="192">
        <v>1374.36</v>
      </c>
      <c r="M15" s="193">
        <f t="shared" si="0"/>
        <v>4299.2800000000007</v>
      </c>
      <c r="N15" s="191">
        <v>0</v>
      </c>
      <c r="O15" s="192">
        <v>0</v>
      </c>
      <c r="P15" s="192">
        <v>0</v>
      </c>
      <c r="Q15" s="192">
        <f t="shared" si="1"/>
        <v>0</v>
      </c>
      <c r="R15" s="296"/>
    </row>
    <row r="16" spans="1:18" s="297" customFormat="1" ht="25.5" hidden="1" x14ac:dyDescent="0.25">
      <c r="A16" s="203">
        <v>8</v>
      </c>
      <c r="B16" s="195" t="s">
        <v>330</v>
      </c>
      <c r="C16" s="190" t="s">
        <v>62</v>
      </c>
      <c r="D16" s="298"/>
      <c r="E16" s="134" t="s">
        <v>74</v>
      </c>
      <c r="F16" s="190" t="s">
        <v>416</v>
      </c>
      <c r="G16" s="136" t="s">
        <v>409</v>
      </c>
      <c r="H16" s="191">
        <v>5</v>
      </c>
      <c r="I16" s="191">
        <v>0</v>
      </c>
      <c r="J16" s="191">
        <v>0</v>
      </c>
      <c r="K16" s="192">
        <v>0</v>
      </c>
      <c r="L16" s="192">
        <v>0</v>
      </c>
      <c r="M16" s="193">
        <f t="shared" si="0"/>
        <v>0</v>
      </c>
      <c r="N16" s="191">
        <v>0</v>
      </c>
      <c r="O16" s="192">
        <v>0</v>
      </c>
      <c r="P16" s="192">
        <v>0</v>
      </c>
      <c r="Q16" s="192">
        <f t="shared" si="1"/>
        <v>0</v>
      </c>
      <c r="R16" s="296"/>
    </row>
    <row r="17" spans="1:18" s="297" customFormat="1" ht="25.5" hidden="1" x14ac:dyDescent="0.25">
      <c r="A17" s="203">
        <v>9</v>
      </c>
      <c r="B17" s="195" t="s">
        <v>402</v>
      </c>
      <c r="C17" s="190" t="s">
        <v>62</v>
      </c>
      <c r="D17" s="298"/>
      <c r="E17" s="134" t="s">
        <v>74</v>
      </c>
      <c r="F17" s="190" t="s">
        <v>417</v>
      </c>
      <c r="G17" s="136" t="s">
        <v>409</v>
      </c>
      <c r="H17" s="191">
        <v>18</v>
      </c>
      <c r="I17" s="191">
        <v>8</v>
      </c>
      <c r="J17" s="191">
        <v>8</v>
      </c>
      <c r="K17" s="192">
        <v>10290.82</v>
      </c>
      <c r="L17" s="192">
        <v>4968.82</v>
      </c>
      <c r="M17" s="193">
        <f t="shared" si="0"/>
        <v>5322</v>
      </c>
      <c r="N17" s="191">
        <v>0</v>
      </c>
      <c r="O17" s="192">
        <v>0</v>
      </c>
      <c r="P17" s="192">
        <v>0</v>
      </c>
      <c r="Q17" s="192">
        <f t="shared" si="1"/>
        <v>0</v>
      </c>
      <c r="R17" s="296"/>
    </row>
    <row r="18" spans="1:18" s="297" customFormat="1" ht="25.5" hidden="1" x14ac:dyDescent="0.25">
      <c r="A18" s="203">
        <v>10</v>
      </c>
      <c r="B18" s="195" t="s">
        <v>154</v>
      </c>
      <c r="C18" s="190" t="s">
        <v>62</v>
      </c>
      <c r="D18" s="298"/>
      <c r="E18" s="134" t="s">
        <v>72</v>
      </c>
      <c r="F18" s="190" t="s">
        <v>418</v>
      </c>
      <c r="G18" s="136" t="s">
        <v>409</v>
      </c>
      <c r="H18" s="191">
        <v>8</v>
      </c>
      <c r="I18" s="191">
        <v>1</v>
      </c>
      <c r="J18" s="191">
        <v>1</v>
      </c>
      <c r="K18" s="192">
        <v>925.05</v>
      </c>
      <c r="L18" s="192">
        <v>0</v>
      </c>
      <c r="M18" s="193">
        <f t="shared" si="0"/>
        <v>925.05</v>
      </c>
      <c r="N18" s="191">
        <v>7</v>
      </c>
      <c r="O18" s="192">
        <v>8966.7000000000007</v>
      </c>
      <c r="P18" s="192">
        <v>4737.8999999999996</v>
      </c>
      <c r="Q18" s="192">
        <f t="shared" si="1"/>
        <v>4228.8000000000011</v>
      </c>
      <c r="R18" s="296"/>
    </row>
    <row r="19" spans="1:18" s="297" customFormat="1" ht="25.5" hidden="1" x14ac:dyDescent="0.25">
      <c r="A19" s="203">
        <v>12</v>
      </c>
      <c r="B19" s="195" t="s">
        <v>89</v>
      </c>
      <c r="C19" s="190" t="s">
        <v>62</v>
      </c>
      <c r="D19" s="298"/>
      <c r="E19" s="134" t="s">
        <v>74</v>
      </c>
      <c r="F19" s="190" t="s">
        <v>420</v>
      </c>
      <c r="G19" s="136" t="s">
        <v>409</v>
      </c>
      <c r="H19" s="191">
        <v>12</v>
      </c>
      <c r="I19" s="191">
        <v>4</v>
      </c>
      <c r="J19" s="191">
        <v>4</v>
      </c>
      <c r="K19" s="192">
        <v>6122.95</v>
      </c>
      <c r="L19" s="192">
        <v>528.6</v>
      </c>
      <c r="M19" s="193">
        <f t="shared" si="0"/>
        <v>5594.3499999999995</v>
      </c>
      <c r="N19" s="191">
        <v>3</v>
      </c>
      <c r="O19" s="192">
        <v>9514.7999999999993</v>
      </c>
      <c r="P19" s="192">
        <v>4052.6</v>
      </c>
      <c r="Q19" s="192">
        <f t="shared" si="1"/>
        <v>5462.1999999999989</v>
      </c>
      <c r="R19" s="296"/>
    </row>
    <row r="20" spans="1:18" s="297" customFormat="1" ht="25.5" hidden="1" x14ac:dyDescent="0.25">
      <c r="A20" s="203">
        <v>13</v>
      </c>
      <c r="B20" s="195" t="s">
        <v>379</v>
      </c>
      <c r="C20" s="190" t="s">
        <v>62</v>
      </c>
      <c r="D20" s="298"/>
      <c r="E20" s="134" t="s">
        <v>74</v>
      </c>
      <c r="F20" s="190" t="s">
        <v>421</v>
      </c>
      <c r="G20" s="136" t="s">
        <v>409</v>
      </c>
      <c r="H20" s="191">
        <v>6</v>
      </c>
      <c r="I20" s="191">
        <v>2</v>
      </c>
      <c r="J20" s="191">
        <v>2</v>
      </c>
      <c r="K20" s="192">
        <v>1409.6</v>
      </c>
      <c r="L20" s="192">
        <v>1409.6</v>
      </c>
      <c r="M20" s="193">
        <f t="shared" si="0"/>
        <v>0</v>
      </c>
      <c r="N20" s="191">
        <v>0</v>
      </c>
      <c r="O20" s="192">
        <v>0</v>
      </c>
      <c r="P20" s="192">
        <v>0</v>
      </c>
      <c r="Q20" s="192">
        <f t="shared" si="1"/>
        <v>0</v>
      </c>
      <c r="R20" s="296"/>
    </row>
    <row r="21" spans="1:18" s="297" customFormat="1" ht="25.5" hidden="1" x14ac:dyDescent="0.25">
      <c r="A21" s="203">
        <v>14</v>
      </c>
      <c r="B21" s="195" t="s">
        <v>264</v>
      </c>
      <c r="C21" s="190" t="s">
        <v>62</v>
      </c>
      <c r="D21" s="298"/>
      <c r="E21" s="134" t="s">
        <v>74</v>
      </c>
      <c r="F21" s="190" t="s">
        <v>422</v>
      </c>
      <c r="G21" s="136" t="s">
        <v>409</v>
      </c>
      <c r="H21" s="191">
        <v>3</v>
      </c>
      <c r="I21" s="191">
        <v>0</v>
      </c>
      <c r="J21" s="191">
        <v>0</v>
      </c>
      <c r="K21" s="192">
        <v>0</v>
      </c>
      <c r="L21" s="192">
        <v>0</v>
      </c>
      <c r="M21" s="193">
        <f t="shared" si="0"/>
        <v>0</v>
      </c>
      <c r="N21" s="191">
        <v>0</v>
      </c>
      <c r="O21" s="192">
        <v>0</v>
      </c>
      <c r="P21" s="192">
        <v>0</v>
      </c>
      <c r="Q21" s="192">
        <f t="shared" si="1"/>
        <v>0</v>
      </c>
      <c r="R21" s="296"/>
    </row>
    <row r="22" spans="1:18" s="297" customFormat="1" ht="25.5" hidden="1" x14ac:dyDescent="0.25">
      <c r="A22" s="203">
        <v>15</v>
      </c>
      <c r="B22" s="195" t="s">
        <v>475</v>
      </c>
      <c r="C22" s="190" t="s">
        <v>67</v>
      </c>
      <c r="D22" s="136" t="s">
        <v>123</v>
      </c>
      <c r="E22" s="134" t="s">
        <v>82</v>
      </c>
      <c r="F22" s="190" t="s">
        <v>423</v>
      </c>
      <c r="G22" s="136" t="s">
        <v>409</v>
      </c>
      <c r="H22" s="191">
        <v>3</v>
      </c>
      <c r="I22" s="191">
        <v>0</v>
      </c>
      <c r="J22" s="191">
        <v>0</v>
      </c>
      <c r="K22" s="192">
        <v>0</v>
      </c>
      <c r="L22" s="192">
        <v>0</v>
      </c>
      <c r="M22" s="193">
        <f t="shared" si="0"/>
        <v>0</v>
      </c>
      <c r="N22" s="191">
        <v>0</v>
      </c>
      <c r="O22" s="192">
        <v>0</v>
      </c>
      <c r="P22" s="192">
        <v>0</v>
      </c>
      <c r="Q22" s="192">
        <f t="shared" si="1"/>
        <v>0</v>
      </c>
      <c r="R22" s="296"/>
    </row>
    <row r="23" spans="1:18" s="297" customFormat="1" ht="25.5" hidden="1" x14ac:dyDescent="0.25">
      <c r="A23" s="203">
        <v>16</v>
      </c>
      <c r="B23" s="195" t="s">
        <v>137</v>
      </c>
      <c r="C23" s="190" t="s">
        <v>62</v>
      </c>
      <c r="D23" s="298"/>
      <c r="E23" s="134" t="s">
        <v>78</v>
      </c>
      <c r="F23" s="190" t="s">
        <v>424</v>
      </c>
      <c r="G23" s="136" t="s">
        <v>409</v>
      </c>
      <c r="H23" s="191">
        <v>4</v>
      </c>
      <c r="I23" s="191">
        <v>1</v>
      </c>
      <c r="J23" s="191">
        <v>1</v>
      </c>
      <c r="K23" s="192">
        <v>1691.52</v>
      </c>
      <c r="L23" s="192">
        <v>1691.52</v>
      </c>
      <c r="M23" s="193">
        <f t="shared" si="0"/>
        <v>0</v>
      </c>
      <c r="N23" s="191">
        <v>0</v>
      </c>
      <c r="O23" s="192">
        <v>0</v>
      </c>
      <c r="P23" s="192">
        <v>0</v>
      </c>
      <c r="Q23" s="192">
        <f t="shared" si="1"/>
        <v>0</v>
      </c>
      <c r="R23" s="296"/>
    </row>
    <row r="24" spans="1:18" s="297" customFormat="1" ht="25.5" hidden="1" x14ac:dyDescent="0.25">
      <c r="A24" s="203">
        <v>17</v>
      </c>
      <c r="B24" s="195" t="s">
        <v>173</v>
      </c>
      <c r="C24" s="190" t="s">
        <v>67</v>
      </c>
      <c r="D24" s="298" t="s">
        <v>425</v>
      </c>
      <c r="E24" s="134" t="s">
        <v>74</v>
      </c>
      <c r="F24" s="190" t="s">
        <v>426</v>
      </c>
      <c r="G24" s="136" t="s">
        <v>409</v>
      </c>
      <c r="H24" s="191">
        <v>12</v>
      </c>
      <c r="I24" s="191">
        <v>3</v>
      </c>
      <c r="J24" s="191">
        <v>3</v>
      </c>
      <c r="K24" s="192">
        <v>6167</v>
      </c>
      <c r="L24" s="192">
        <v>2114.4</v>
      </c>
      <c r="M24" s="193">
        <f t="shared" si="0"/>
        <v>4052.6</v>
      </c>
      <c r="N24" s="191">
        <v>0</v>
      </c>
      <c r="O24" s="192">
        <v>0</v>
      </c>
      <c r="P24" s="192">
        <v>0</v>
      </c>
      <c r="Q24" s="192">
        <f t="shared" si="1"/>
        <v>0</v>
      </c>
      <c r="R24" s="296"/>
    </row>
    <row r="25" spans="1:18" s="297" customFormat="1" ht="25.5" hidden="1" x14ac:dyDescent="0.25">
      <c r="A25" s="203">
        <v>18</v>
      </c>
      <c r="B25" s="195" t="s">
        <v>135</v>
      </c>
      <c r="C25" s="190" t="s">
        <v>62</v>
      </c>
      <c r="D25" s="298"/>
      <c r="E25" s="134" t="s">
        <v>74</v>
      </c>
      <c r="F25" s="190" t="s">
        <v>427</v>
      </c>
      <c r="G25" s="136" t="s">
        <v>409</v>
      </c>
      <c r="H25" s="191">
        <v>4</v>
      </c>
      <c r="I25" s="191">
        <v>2</v>
      </c>
      <c r="J25" s="191">
        <v>2</v>
      </c>
      <c r="K25" s="192">
        <v>2396.3200000000002</v>
      </c>
      <c r="L25" s="192">
        <v>2396.3200000000002</v>
      </c>
      <c r="M25" s="193">
        <f t="shared" si="0"/>
        <v>0</v>
      </c>
      <c r="N25" s="191">
        <v>4</v>
      </c>
      <c r="O25" s="192">
        <v>12758.52</v>
      </c>
      <c r="P25" s="192">
        <v>12758.52</v>
      </c>
      <c r="Q25" s="192">
        <f t="shared" si="1"/>
        <v>0</v>
      </c>
      <c r="R25" s="296"/>
    </row>
    <row r="26" spans="1:18" s="297" customFormat="1" ht="25.5" hidden="1" x14ac:dyDescent="0.25">
      <c r="A26" s="203">
        <v>19</v>
      </c>
      <c r="B26" s="195" t="s">
        <v>148</v>
      </c>
      <c r="C26" s="190" t="s">
        <v>62</v>
      </c>
      <c r="D26" s="298"/>
      <c r="E26" s="134" t="s">
        <v>149</v>
      </c>
      <c r="F26" s="190" t="s">
        <v>375</v>
      </c>
      <c r="G26" s="136" t="s">
        <v>409</v>
      </c>
      <c r="H26" s="191">
        <v>21</v>
      </c>
      <c r="I26" s="191">
        <v>8</v>
      </c>
      <c r="J26" s="191">
        <v>8</v>
      </c>
      <c r="K26" s="192">
        <v>22810.97</v>
      </c>
      <c r="L26" s="192">
        <v>0</v>
      </c>
      <c r="M26" s="193">
        <f t="shared" si="0"/>
        <v>22810.97</v>
      </c>
      <c r="N26" s="191">
        <v>23</v>
      </c>
      <c r="O26" s="192">
        <v>70713.39</v>
      </c>
      <c r="P26" s="192">
        <v>34292.080000000002</v>
      </c>
      <c r="Q26" s="192">
        <f t="shared" si="1"/>
        <v>36421.31</v>
      </c>
      <c r="R26" s="296"/>
    </row>
    <row r="27" spans="1:18" s="297" customFormat="1" ht="25.5" hidden="1" x14ac:dyDescent="0.25">
      <c r="A27" s="203">
        <v>20</v>
      </c>
      <c r="B27" s="195" t="s">
        <v>147</v>
      </c>
      <c r="C27" s="190" t="s">
        <v>62</v>
      </c>
      <c r="D27" s="298"/>
      <c r="E27" s="134" t="s">
        <v>74</v>
      </c>
      <c r="F27" s="190" t="s">
        <v>331</v>
      </c>
      <c r="G27" s="136" t="s">
        <v>409</v>
      </c>
      <c r="H27" s="191">
        <v>6</v>
      </c>
      <c r="I27" s="191">
        <v>1</v>
      </c>
      <c r="J27" s="191">
        <v>1</v>
      </c>
      <c r="K27" s="192">
        <v>1233.4000000000001</v>
      </c>
      <c r="L27" s="192">
        <v>0</v>
      </c>
      <c r="M27" s="193">
        <f t="shared" si="0"/>
        <v>1233.4000000000001</v>
      </c>
      <c r="N27" s="191">
        <v>10</v>
      </c>
      <c r="O27" s="192">
        <v>22395.4</v>
      </c>
      <c r="P27" s="192">
        <v>10763.2</v>
      </c>
      <c r="Q27" s="192">
        <f t="shared" si="1"/>
        <v>11632.2</v>
      </c>
      <c r="R27" s="296"/>
    </row>
    <row r="28" spans="1:18" s="297" customFormat="1" ht="25.5" hidden="1" x14ac:dyDescent="0.25">
      <c r="A28" s="203">
        <v>21</v>
      </c>
      <c r="B28" s="195" t="s">
        <v>124</v>
      </c>
      <c r="C28" s="190" t="s">
        <v>62</v>
      </c>
      <c r="D28" s="298"/>
      <c r="E28" s="134" t="s">
        <v>428</v>
      </c>
      <c r="F28" s="190" t="s">
        <v>329</v>
      </c>
      <c r="G28" s="136" t="s">
        <v>409</v>
      </c>
      <c r="H28" s="191">
        <v>17</v>
      </c>
      <c r="I28" s="191">
        <v>2</v>
      </c>
      <c r="J28" s="191">
        <v>2</v>
      </c>
      <c r="K28" s="192">
        <v>2290.6</v>
      </c>
      <c r="L28" s="192">
        <v>1762</v>
      </c>
      <c r="M28" s="193">
        <f t="shared" si="0"/>
        <v>528.59999999999991</v>
      </c>
      <c r="N28" s="191">
        <v>20</v>
      </c>
      <c r="O28" s="192">
        <v>29980.5</v>
      </c>
      <c r="P28" s="192">
        <v>18624.53</v>
      </c>
      <c r="Q28" s="192">
        <f t="shared" si="1"/>
        <v>11355.970000000001</v>
      </c>
      <c r="R28" s="296"/>
    </row>
    <row r="29" spans="1:18" s="297" customFormat="1" ht="25.5" hidden="1" x14ac:dyDescent="0.25">
      <c r="A29" s="203">
        <v>22</v>
      </c>
      <c r="B29" s="195" t="s">
        <v>168</v>
      </c>
      <c r="C29" s="190" t="s">
        <v>62</v>
      </c>
      <c r="D29" s="298"/>
      <c r="E29" s="190" t="s">
        <v>371</v>
      </c>
      <c r="F29" s="190" t="s">
        <v>353</v>
      </c>
      <c r="G29" s="136" t="s">
        <v>409</v>
      </c>
      <c r="H29" s="191">
        <v>6</v>
      </c>
      <c r="I29" s="191">
        <v>1</v>
      </c>
      <c r="J29" s="191">
        <v>1</v>
      </c>
      <c r="K29" s="192">
        <v>1409.6</v>
      </c>
      <c r="L29" s="192">
        <v>0</v>
      </c>
      <c r="M29" s="193">
        <f t="shared" si="0"/>
        <v>1409.6</v>
      </c>
      <c r="N29" s="191">
        <v>0</v>
      </c>
      <c r="O29" s="192">
        <v>0</v>
      </c>
      <c r="P29" s="192">
        <v>0</v>
      </c>
      <c r="Q29" s="192">
        <f t="shared" si="1"/>
        <v>0</v>
      </c>
      <c r="R29" s="296"/>
    </row>
    <row r="30" spans="1:18" s="297" customFormat="1" ht="25.5" hidden="1" x14ac:dyDescent="0.25">
      <c r="A30" s="203">
        <v>23</v>
      </c>
      <c r="B30" s="195" t="s">
        <v>429</v>
      </c>
      <c r="C30" s="190" t="s">
        <v>62</v>
      </c>
      <c r="D30" s="298"/>
      <c r="E30" s="134" t="s">
        <v>74</v>
      </c>
      <c r="F30" s="190" t="s">
        <v>430</v>
      </c>
      <c r="G30" s="136" t="s">
        <v>409</v>
      </c>
      <c r="H30" s="191">
        <v>6</v>
      </c>
      <c r="I30" s="191">
        <v>3</v>
      </c>
      <c r="J30" s="191">
        <v>3</v>
      </c>
      <c r="K30" s="192">
        <v>5178.84</v>
      </c>
      <c r="L30" s="192">
        <v>2748.72</v>
      </c>
      <c r="M30" s="193">
        <f t="shared" si="0"/>
        <v>2430.1200000000003</v>
      </c>
      <c r="N30" s="191">
        <v>7</v>
      </c>
      <c r="O30" s="192">
        <v>6995.76</v>
      </c>
      <c r="P30" s="192">
        <v>3488.76</v>
      </c>
      <c r="Q30" s="192">
        <f t="shared" si="1"/>
        <v>3507</v>
      </c>
      <c r="R30" s="296"/>
    </row>
    <row r="31" spans="1:18" s="297" customFormat="1" ht="25.5" hidden="1" x14ac:dyDescent="0.25">
      <c r="A31" s="203">
        <v>24</v>
      </c>
      <c r="B31" s="195" t="s">
        <v>130</v>
      </c>
      <c r="C31" s="190" t="s">
        <v>62</v>
      </c>
      <c r="D31" s="298"/>
      <c r="E31" s="134" t="s">
        <v>74</v>
      </c>
      <c r="F31" s="190" t="s">
        <v>431</v>
      </c>
      <c r="G31" s="136" t="s">
        <v>409</v>
      </c>
      <c r="H31" s="191">
        <v>4</v>
      </c>
      <c r="I31" s="191">
        <v>4</v>
      </c>
      <c r="J31" s="191">
        <v>4</v>
      </c>
      <c r="K31" s="192">
        <v>5204.28</v>
      </c>
      <c r="L31" s="192">
        <v>2220.12</v>
      </c>
      <c r="M31" s="193">
        <f t="shared" si="0"/>
        <v>2984.16</v>
      </c>
      <c r="N31" s="191">
        <v>4</v>
      </c>
      <c r="O31" s="192">
        <v>8531.4599999999991</v>
      </c>
      <c r="P31" s="192">
        <v>845.76</v>
      </c>
      <c r="Q31" s="192">
        <f t="shared" si="1"/>
        <v>7685.6999999999989</v>
      </c>
      <c r="R31" s="296"/>
    </row>
    <row r="32" spans="1:18" s="297" customFormat="1" ht="25.5" hidden="1" x14ac:dyDescent="0.25">
      <c r="A32" s="203">
        <v>25</v>
      </c>
      <c r="B32" s="195" t="s">
        <v>32</v>
      </c>
      <c r="C32" s="190" t="s">
        <v>62</v>
      </c>
      <c r="D32" s="298"/>
      <c r="E32" s="134" t="s">
        <v>74</v>
      </c>
      <c r="F32" s="190" t="s">
        <v>432</v>
      </c>
      <c r="G32" s="136" t="s">
        <v>409</v>
      </c>
      <c r="H32" s="191">
        <v>9</v>
      </c>
      <c r="I32" s="191">
        <v>5</v>
      </c>
      <c r="J32" s="191">
        <v>5</v>
      </c>
      <c r="K32" s="192">
        <v>7823.28</v>
      </c>
      <c r="L32" s="192">
        <v>2114.4</v>
      </c>
      <c r="M32" s="193">
        <f t="shared" si="0"/>
        <v>5708.8799999999992</v>
      </c>
      <c r="N32" s="191">
        <v>4</v>
      </c>
      <c r="O32" s="192">
        <v>4581.2</v>
      </c>
      <c r="P32" s="192">
        <v>4581.2</v>
      </c>
      <c r="Q32" s="192">
        <f t="shared" si="1"/>
        <v>0</v>
      </c>
      <c r="R32" s="296"/>
    </row>
    <row r="33" spans="1:18" s="297" customFormat="1" ht="25.5" hidden="1" x14ac:dyDescent="0.25">
      <c r="A33" s="203">
        <v>26</v>
      </c>
      <c r="B33" s="195" t="s">
        <v>343</v>
      </c>
      <c r="C33" s="190" t="s">
        <v>62</v>
      </c>
      <c r="D33" s="298"/>
      <c r="E33" s="134" t="s">
        <v>74</v>
      </c>
      <c r="F33" s="190" t="s">
        <v>433</v>
      </c>
      <c r="G33" s="136" t="s">
        <v>409</v>
      </c>
      <c r="H33" s="191">
        <v>12</v>
      </c>
      <c r="I33" s="191">
        <v>5</v>
      </c>
      <c r="J33" s="191">
        <v>5</v>
      </c>
      <c r="K33" s="192">
        <v>9906.2000000000007</v>
      </c>
      <c r="L33" s="192">
        <v>1585.8</v>
      </c>
      <c r="M33" s="193">
        <f t="shared" si="0"/>
        <v>8320.4000000000015</v>
      </c>
      <c r="N33" s="191">
        <v>2</v>
      </c>
      <c r="O33" s="192">
        <v>4405</v>
      </c>
      <c r="P33" s="192">
        <v>0</v>
      </c>
      <c r="Q33" s="192">
        <f t="shared" si="1"/>
        <v>4405</v>
      </c>
      <c r="R33" s="296"/>
    </row>
    <row r="34" spans="1:18" s="297" customFormat="1" ht="25.5" hidden="1" x14ac:dyDescent="0.25">
      <c r="A34" s="203">
        <v>27</v>
      </c>
      <c r="B34" s="195" t="s">
        <v>290</v>
      </c>
      <c r="C34" s="190" t="s">
        <v>62</v>
      </c>
      <c r="D34" s="298"/>
      <c r="E34" s="190" t="s">
        <v>371</v>
      </c>
      <c r="F34" s="190" t="s">
        <v>434</v>
      </c>
      <c r="G34" s="136" t="s">
        <v>409</v>
      </c>
      <c r="H34" s="191">
        <v>4</v>
      </c>
      <c r="I34" s="191">
        <v>1</v>
      </c>
      <c r="J34" s="191">
        <v>1</v>
      </c>
      <c r="K34" s="192">
        <v>1585.8</v>
      </c>
      <c r="L34" s="192">
        <v>0</v>
      </c>
      <c r="M34" s="193">
        <f t="shared" si="0"/>
        <v>1585.8</v>
      </c>
      <c r="N34" s="191">
        <v>0</v>
      </c>
      <c r="O34" s="192">
        <v>0</v>
      </c>
      <c r="P34" s="192">
        <v>0</v>
      </c>
      <c r="Q34" s="192">
        <f t="shared" si="1"/>
        <v>0</v>
      </c>
      <c r="R34" s="296"/>
    </row>
    <row r="35" spans="1:18" s="297" customFormat="1" ht="25.5" hidden="1" x14ac:dyDescent="0.25">
      <c r="A35" s="203">
        <v>28</v>
      </c>
      <c r="B35" s="195" t="s">
        <v>315</v>
      </c>
      <c r="C35" s="190" t="s">
        <v>62</v>
      </c>
      <c r="D35" s="298"/>
      <c r="E35" s="134" t="s">
        <v>74</v>
      </c>
      <c r="F35" s="190" t="s">
        <v>435</v>
      </c>
      <c r="G35" s="136" t="s">
        <v>409</v>
      </c>
      <c r="H35" s="191">
        <v>13</v>
      </c>
      <c r="I35" s="191">
        <v>2</v>
      </c>
      <c r="J35" s="191">
        <v>2</v>
      </c>
      <c r="K35" s="192">
        <v>4096.6499999999996</v>
      </c>
      <c r="L35" s="192">
        <v>0</v>
      </c>
      <c r="M35" s="193">
        <f t="shared" si="0"/>
        <v>4096.6499999999996</v>
      </c>
      <c r="N35" s="191">
        <v>5</v>
      </c>
      <c r="O35" s="192">
        <v>7208.02</v>
      </c>
      <c r="P35" s="192">
        <v>5622.22</v>
      </c>
      <c r="Q35" s="192">
        <f t="shared" si="1"/>
        <v>1585.8000000000002</v>
      </c>
      <c r="R35" s="296"/>
    </row>
    <row r="36" spans="1:18" s="297" customFormat="1" ht="25.5" hidden="1" x14ac:dyDescent="0.25">
      <c r="A36" s="203">
        <v>29</v>
      </c>
      <c r="B36" s="195" t="s">
        <v>216</v>
      </c>
      <c r="C36" s="190" t="s">
        <v>67</v>
      </c>
      <c r="D36" s="298" t="s">
        <v>436</v>
      </c>
      <c r="E36" s="134" t="s">
        <v>74</v>
      </c>
      <c r="F36" s="190" t="s">
        <v>437</v>
      </c>
      <c r="G36" s="136" t="s">
        <v>409</v>
      </c>
      <c r="H36" s="191">
        <v>18</v>
      </c>
      <c r="I36" s="191">
        <v>5</v>
      </c>
      <c r="J36" s="191">
        <v>5</v>
      </c>
      <c r="K36" s="192">
        <v>11458.66</v>
      </c>
      <c r="L36" s="192">
        <v>1409.6</v>
      </c>
      <c r="M36" s="193">
        <f t="shared" si="0"/>
        <v>10049.06</v>
      </c>
      <c r="N36" s="191">
        <v>0</v>
      </c>
      <c r="O36" s="192">
        <v>0</v>
      </c>
      <c r="P36" s="192">
        <v>0</v>
      </c>
      <c r="Q36" s="192">
        <f t="shared" si="1"/>
        <v>0</v>
      </c>
      <c r="R36" s="296"/>
    </row>
    <row r="37" spans="1:18" s="297" customFormat="1" ht="25.5" hidden="1" x14ac:dyDescent="0.25">
      <c r="A37" s="203">
        <v>30</v>
      </c>
      <c r="B37" s="195" t="s">
        <v>438</v>
      </c>
      <c r="C37" s="190" t="s">
        <v>62</v>
      </c>
      <c r="D37" s="298"/>
      <c r="E37" s="134" t="s">
        <v>74</v>
      </c>
      <c r="F37" s="190" t="s">
        <v>439</v>
      </c>
      <c r="G37" s="136" t="s">
        <v>409</v>
      </c>
      <c r="H37" s="191">
        <v>7</v>
      </c>
      <c r="I37" s="191">
        <v>0</v>
      </c>
      <c r="J37" s="191">
        <v>0</v>
      </c>
      <c r="K37" s="192">
        <v>0</v>
      </c>
      <c r="L37" s="192">
        <v>0</v>
      </c>
      <c r="M37" s="193">
        <f t="shared" si="0"/>
        <v>0</v>
      </c>
      <c r="N37" s="191">
        <v>0</v>
      </c>
      <c r="O37" s="192">
        <v>0</v>
      </c>
      <c r="P37" s="192">
        <v>0</v>
      </c>
      <c r="Q37" s="192">
        <f t="shared" si="1"/>
        <v>0</v>
      </c>
      <c r="R37" s="296"/>
    </row>
    <row r="38" spans="1:18" s="297" customFormat="1" ht="25.5" hidden="1" x14ac:dyDescent="0.25">
      <c r="A38" s="203">
        <v>31</v>
      </c>
      <c r="B38" s="195" t="s">
        <v>440</v>
      </c>
      <c r="C38" s="190" t="s">
        <v>62</v>
      </c>
      <c r="D38" s="298"/>
      <c r="E38" s="134" t="s">
        <v>74</v>
      </c>
      <c r="F38" s="190" t="s">
        <v>441</v>
      </c>
      <c r="G38" s="136" t="s">
        <v>409</v>
      </c>
      <c r="H38" s="191">
        <v>7</v>
      </c>
      <c r="I38" s="191">
        <v>3</v>
      </c>
      <c r="J38" s="191">
        <v>3</v>
      </c>
      <c r="K38" s="192">
        <v>3171.6</v>
      </c>
      <c r="L38" s="192">
        <v>1409.6</v>
      </c>
      <c r="M38" s="193">
        <f t="shared" si="0"/>
        <v>1762</v>
      </c>
      <c r="N38" s="191">
        <v>0</v>
      </c>
      <c r="O38" s="192">
        <v>0</v>
      </c>
      <c r="P38" s="192">
        <v>0</v>
      </c>
      <c r="Q38" s="192">
        <f t="shared" si="1"/>
        <v>0</v>
      </c>
      <c r="R38" s="296"/>
    </row>
    <row r="39" spans="1:18" s="297" customFormat="1" ht="28.35" hidden="1" customHeight="1" x14ac:dyDescent="0.25">
      <c r="A39" s="203">
        <v>32</v>
      </c>
      <c r="B39" s="195" t="s">
        <v>222</v>
      </c>
      <c r="C39" s="190" t="s">
        <v>64</v>
      </c>
      <c r="D39" s="136" t="s">
        <v>442</v>
      </c>
      <c r="E39" s="134" t="s">
        <v>74</v>
      </c>
      <c r="F39" s="190" t="s">
        <v>443</v>
      </c>
      <c r="G39" s="136" t="s">
        <v>409</v>
      </c>
      <c r="H39" s="191">
        <v>1</v>
      </c>
      <c r="I39" s="191">
        <v>0</v>
      </c>
      <c r="J39" s="191">
        <v>0</v>
      </c>
      <c r="K39" s="192">
        <v>0</v>
      </c>
      <c r="L39" s="192">
        <v>0</v>
      </c>
      <c r="M39" s="193">
        <f t="shared" si="0"/>
        <v>0</v>
      </c>
      <c r="N39" s="191">
        <v>0</v>
      </c>
      <c r="O39" s="192">
        <v>0</v>
      </c>
      <c r="P39" s="192">
        <v>0</v>
      </c>
      <c r="Q39" s="192">
        <f t="shared" si="1"/>
        <v>0</v>
      </c>
      <c r="R39" s="296"/>
    </row>
    <row r="40" spans="1:18" s="297" customFormat="1" ht="25.5" hidden="1" x14ac:dyDescent="0.25">
      <c r="A40" s="203">
        <v>33</v>
      </c>
      <c r="B40" s="195" t="s">
        <v>444</v>
      </c>
      <c r="C40" s="190" t="s">
        <v>62</v>
      </c>
      <c r="D40" s="298"/>
      <c r="E40" s="134" t="s">
        <v>74</v>
      </c>
      <c r="F40" s="190" t="s">
        <v>445</v>
      </c>
      <c r="G40" s="136" t="s">
        <v>409</v>
      </c>
      <c r="H40" s="191">
        <v>5</v>
      </c>
      <c r="I40" s="191">
        <v>2</v>
      </c>
      <c r="J40" s="191">
        <v>2</v>
      </c>
      <c r="K40" s="192">
        <v>1409.6</v>
      </c>
      <c r="L40" s="192">
        <v>1409.6</v>
      </c>
      <c r="M40" s="193">
        <f t="shared" si="0"/>
        <v>0</v>
      </c>
      <c r="N40" s="191">
        <v>0</v>
      </c>
      <c r="O40" s="192">
        <v>0</v>
      </c>
      <c r="P40" s="192">
        <v>0</v>
      </c>
      <c r="Q40" s="192">
        <f t="shared" si="1"/>
        <v>0</v>
      </c>
      <c r="R40" s="296"/>
    </row>
    <row r="41" spans="1:18" s="297" customFormat="1" ht="25.5" hidden="1" x14ac:dyDescent="0.25">
      <c r="A41" s="203">
        <v>34</v>
      </c>
      <c r="B41" s="195" t="s">
        <v>129</v>
      </c>
      <c r="C41" s="190" t="s">
        <v>62</v>
      </c>
      <c r="D41" s="298"/>
      <c r="E41" s="134" t="s">
        <v>74</v>
      </c>
      <c r="F41" s="190" t="s">
        <v>446</v>
      </c>
      <c r="G41" s="136" t="s">
        <v>409</v>
      </c>
      <c r="H41" s="191">
        <v>6</v>
      </c>
      <c r="I41" s="191">
        <v>3</v>
      </c>
      <c r="J41" s="191">
        <v>3</v>
      </c>
      <c r="K41" s="192">
        <v>3015.4</v>
      </c>
      <c r="L41" s="192">
        <v>3015.4</v>
      </c>
      <c r="M41" s="193">
        <f t="shared" si="0"/>
        <v>0</v>
      </c>
      <c r="N41" s="191">
        <v>10</v>
      </c>
      <c r="O41" s="192">
        <v>20529.580000000002</v>
      </c>
      <c r="P41" s="192">
        <v>10887.78</v>
      </c>
      <c r="Q41" s="192">
        <f t="shared" si="1"/>
        <v>9641.8000000000011</v>
      </c>
      <c r="R41" s="296"/>
    </row>
    <row r="42" spans="1:18" s="297" customFormat="1" ht="25.5" hidden="1" x14ac:dyDescent="0.25">
      <c r="A42" s="203">
        <v>35</v>
      </c>
      <c r="B42" s="299" t="s">
        <v>104</v>
      </c>
      <c r="C42" s="190" t="s">
        <v>62</v>
      </c>
      <c r="D42" s="298"/>
      <c r="E42" s="134" t="s">
        <v>105</v>
      </c>
      <c r="F42" s="190" t="s">
        <v>447</v>
      </c>
      <c r="G42" s="136" t="s">
        <v>409</v>
      </c>
      <c r="H42" s="191">
        <v>0</v>
      </c>
      <c r="I42" s="191">
        <v>0</v>
      </c>
      <c r="J42" s="191">
        <v>0</v>
      </c>
      <c r="K42" s="192">
        <v>0</v>
      </c>
      <c r="L42" s="192">
        <v>0</v>
      </c>
      <c r="M42" s="193">
        <f t="shared" si="0"/>
        <v>0</v>
      </c>
      <c r="N42" s="191">
        <v>7</v>
      </c>
      <c r="O42" s="192">
        <v>5726.5</v>
      </c>
      <c r="P42" s="192">
        <v>5726.5</v>
      </c>
      <c r="Q42" s="192">
        <f t="shared" si="1"/>
        <v>0</v>
      </c>
      <c r="R42" s="296"/>
    </row>
    <row r="43" spans="1:18" s="297" customFormat="1" ht="25.5" hidden="1" x14ac:dyDescent="0.25">
      <c r="A43" s="190">
        <v>36</v>
      </c>
      <c r="B43" s="298" t="s">
        <v>156</v>
      </c>
      <c r="C43" s="190" t="s">
        <v>67</v>
      </c>
      <c r="D43" s="298" t="s">
        <v>501</v>
      </c>
      <c r="E43" s="134" t="s">
        <v>74</v>
      </c>
      <c r="F43" s="190" t="s">
        <v>502</v>
      </c>
      <c r="G43" s="136" t="s">
        <v>409</v>
      </c>
      <c r="H43" s="191">
        <v>3</v>
      </c>
      <c r="I43" s="191">
        <v>0</v>
      </c>
      <c r="J43" s="191">
        <v>0</v>
      </c>
      <c r="K43" s="192">
        <v>0</v>
      </c>
      <c r="L43" s="192">
        <v>0</v>
      </c>
      <c r="M43" s="193">
        <f t="shared" si="0"/>
        <v>0</v>
      </c>
      <c r="N43" s="191">
        <v>4</v>
      </c>
      <c r="O43" s="192">
        <v>7576.6</v>
      </c>
      <c r="P43" s="192">
        <v>6167</v>
      </c>
      <c r="Q43" s="192">
        <f t="shared" si="1"/>
        <v>1409.6000000000004</v>
      </c>
      <c r="R43" s="296"/>
    </row>
    <row r="44" spans="1:18" s="297" customFormat="1" ht="25.5" hidden="1" x14ac:dyDescent="0.25">
      <c r="A44" s="190">
        <v>37</v>
      </c>
      <c r="B44" s="298" t="s">
        <v>133</v>
      </c>
      <c r="C44" s="190" t="s">
        <v>67</v>
      </c>
      <c r="D44" s="298" t="s">
        <v>397</v>
      </c>
      <c r="E44" s="134" t="s">
        <v>74</v>
      </c>
      <c r="F44" s="190" t="s">
        <v>503</v>
      </c>
      <c r="G44" s="136" t="s">
        <v>409</v>
      </c>
      <c r="H44" s="191">
        <v>11</v>
      </c>
      <c r="I44" s="191">
        <v>2</v>
      </c>
      <c r="J44" s="191">
        <v>2</v>
      </c>
      <c r="K44" s="192">
        <v>3080.5</v>
      </c>
      <c r="L44" s="192">
        <v>0</v>
      </c>
      <c r="M44" s="193">
        <f t="shared" si="0"/>
        <v>3080.5</v>
      </c>
      <c r="N44" s="191">
        <v>15</v>
      </c>
      <c r="O44" s="192">
        <v>34639.550000000003</v>
      </c>
      <c r="P44" s="192">
        <v>21929.06</v>
      </c>
      <c r="Q44" s="192">
        <f t="shared" si="1"/>
        <v>12710.490000000002</v>
      </c>
      <c r="R44" s="296"/>
    </row>
    <row r="45" spans="1:18" s="297" customFormat="1" ht="25.5" hidden="1" x14ac:dyDescent="0.25">
      <c r="A45" s="190">
        <v>38</v>
      </c>
      <c r="B45" s="298" t="s">
        <v>114</v>
      </c>
      <c r="C45" s="190" t="s">
        <v>62</v>
      </c>
      <c r="D45" s="298"/>
      <c r="E45" s="134" t="s">
        <v>115</v>
      </c>
      <c r="F45" s="190" t="s">
        <v>504</v>
      </c>
      <c r="G45" s="136" t="s">
        <v>409</v>
      </c>
      <c r="H45" s="191">
        <v>0</v>
      </c>
      <c r="I45" s="191">
        <v>0</v>
      </c>
      <c r="J45" s="191">
        <v>0</v>
      </c>
      <c r="K45" s="192">
        <v>0</v>
      </c>
      <c r="L45" s="192">
        <v>0</v>
      </c>
      <c r="M45" s="193">
        <f t="shared" si="0"/>
        <v>0</v>
      </c>
      <c r="N45" s="191">
        <v>4</v>
      </c>
      <c r="O45" s="192">
        <v>3524</v>
      </c>
      <c r="P45" s="192">
        <v>1762</v>
      </c>
      <c r="Q45" s="192">
        <f t="shared" si="1"/>
        <v>1762</v>
      </c>
      <c r="R45" s="296"/>
    </row>
    <row r="46" spans="1:18" s="297" customFormat="1" ht="25.5" hidden="1" x14ac:dyDescent="0.25">
      <c r="A46" s="190">
        <v>39</v>
      </c>
      <c r="B46" s="298" t="s">
        <v>505</v>
      </c>
      <c r="C46" s="190" t="s">
        <v>62</v>
      </c>
      <c r="D46" s="298"/>
      <c r="E46" s="134" t="s">
        <v>74</v>
      </c>
      <c r="F46" s="190" t="s">
        <v>506</v>
      </c>
      <c r="G46" s="136" t="s">
        <v>409</v>
      </c>
      <c r="H46" s="191">
        <v>1</v>
      </c>
      <c r="I46" s="191">
        <v>0</v>
      </c>
      <c r="J46" s="191">
        <v>0</v>
      </c>
      <c r="K46" s="192">
        <v>0</v>
      </c>
      <c r="L46" s="192">
        <v>0</v>
      </c>
      <c r="M46" s="193">
        <f t="shared" si="0"/>
        <v>0</v>
      </c>
      <c r="N46" s="191">
        <v>0</v>
      </c>
      <c r="O46" s="192">
        <v>0</v>
      </c>
      <c r="P46" s="192">
        <v>0</v>
      </c>
      <c r="Q46" s="192">
        <f t="shared" si="1"/>
        <v>0</v>
      </c>
      <c r="R46" s="296"/>
    </row>
    <row r="47" spans="1:18" s="297" customFormat="1" ht="25.5" hidden="1" x14ac:dyDescent="0.25">
      <c r="A47" s="190">
        <v>40</v>
      </c>
      <c r="B47" s="298" t="s">
        <v>473</v>
      </c>
      <c r="C47" s="190" t="s">
        <v>62</v>
      </c>
      <c r="D47" s="298"/>
      <c r="E47" s="190" t="s">
        <v>74</v>
      </c>
      <c r="F47" s="190" t="s">
        <v>558</v>
      </c>
      <c r="G47" s="136" t="s">
        <v>409</v>
      </c>
      <c r="H47" s="191">
        <v>0</v>
      </c>
      <c r="I47" s="191">
        <v>0</v>
      </c>
      <c r="J47" s="191">
        <v>0</v>
      </c>
      <c r="K47" s="192">
        <v>0</v>
      </c>
      <c r="L47" s="192">
        <v>0</v>
      </c>
      <c r="M47" s="193">
        <f t="shared" si="0"/>
        <v>0</v>
      </c>
      <c r="N47" s="191">
        <v>0</v>
      </c>
      <c r="O47" s="192">
        <v>0</v>
      </c>
      <c r="P47" s="192">
        <v>0</v>
      </c>
      <c r="Q47" s="192">
        <f t="shared" si="1"/>
        <v>0</v>
      </c>
      <c r="R47" s="296"/>
    </row>
    <row r="48" spans="1:18" s="297" customFormat="1" ht="25.5" hidden="1" x14ac:dyDescent="0.25">
      <c r="A48" s="190">
        <v>41</v>
      </c>
      <c r="B48" s="298" t="s">
        <v>376</v>
      </c>
      <c r="C48" s="190" t="s">
        <v>62</v>
      </c>
      <c r="D48" s="298"/>
      <c r="E48" s="190" t="s">
        <v>74</v>
      </c>
      <c r="F48" s="190" t="s">
        <v>559</v>
      </c>
      <c r="G48" s="136" t="s">
        <v>409</v>
      </c>
      <c r="H48" s="191">
        <v>0</v>
      </c>
      <c r="I48" s="191">
        <v>0</v>
      </c>
      <c r="J48" s="191">
        <v>0</v>
      </c>
      <c r="K48" s="192">
        <v>0</v>
      </c>
      <c r="L48" s="192">
        <v>0</v>
      </c>
      <c r="M48" s="193">
        <f t="shared" si="0"/>
        <v>0</v>
      </c>
      <c r="N48" s="191">
        <v>0</v>
      </c>
      <c r="O48" s="192">
        <v>0</v>
      </c>
      <c r="P48" s="192">
        <v>0</v>
      </c>
      <c r="Q48" s="192">
        <f t="shared" si="1"/>
        <v>0</v>
      </c>
      <c r="R48" s="296"/>
    </row>
    <row r="49" spans="1:18" s="297" customFormat="1" ht="25.5" hidden="1" x14ac:dyDescent="0.25">
      <c r="A49" s="190">
        <v>42</v>
      </c>
      <c r="B49" s="298" t="s">
        <v>119</v>
      </c>
      <c r="C49" s="190" t="s">
        <v>62</v>
      </c>
      <c r="D49" s="298"/>
      <c r="E49" s="190" t="s">
        <v>74</v>
      </c>
      <c r="F49" s="190" t="s">
        <v>560</v>
      </c>
      <c r="G49" s="136" t="s">
        <v>409</v>
      </c>
      <c r="H49" s="191">
        <v>6</v>
      </c>
      <c r="I49" s="191">
        <v>1</v>
      </c>
      <c r="J49" s="191">
        <v>1</v>
      </c>
      <c r="K49" s="192">
        <v>1691.52</v>
      </c>
      <c r="L49" s="192">
        <v>0</v>
      </c>
      <c r="M49" s="193">
        <f t="shared" si="0"/>
        <v>1691.52</v>
      </c>
      <c r="N49" s="191">
        <v>8</v>
      </c>
      <c r="O49" s="192">
        <v>12443.1</v>
      </c>
      <c r="P49" s="192">
        <v>0</v>
      </c>
      <c r="Q49" s="192">
        <f t="shared" si="1"/>
        <v>12443.1</v>
      </c>
      <c r="R49" s="296"/>
    </row>
    <row r="50" spans="1:18" s="297" customFormat="1" ht="25.5" hidden="1" x14ac:dyDescent="0.25">
      <c r="A50" s="190">
        <v>43</v>
      </c>
      <c r="B50" s="298" t="s">
        <v>47</v>
      </c>
      <c r="C50" s="190" t="s">
        <v>62</v>
      </c>
      <c r="D50" s="298"/>
      <c r="E50" s="190" t="s">
        <v>141</v>
      </c>
      <c r="F50" s="190" t="s">
        <v>589</v>
      </c>
      <c r="G50" s="136" t="s">
        <v>409</v>
      </c>
      <c r="H50" s="191">
        <v>0</v>
      </c>
      <c r="I50" s="191">
        <v>0</v>
      </c>
      <c r="J50" s="191">
        <v>0</v>
      </c>
      <c r="K50" s="192">
        <v>0</v>
      </c>
      <c r="L50" s="192">
        <v>0</v>
      </c>
      <c r="M50" s="193">
        <f t="shared" si="0"/>
        <v>0</v>
      </c>
      <c r="N50" s="191">
        <v>1</v>
      </c>
      <c r="O50" s="192">
        <v>6554.64</v>
      </c>
      <c r="P50" s="192">
        <v>0</v>
      </c>
      <c r="Q50" s="192">
        <f t="shared" si="1"/>
        <v>6554.64</v>
      </c>
      <c r="R50" s="296"/>
    </row>
    <row r="51" spans="1:18" s="297" customFormat="1" ht="25.5" hidden="1" x14ac:dyDescent="0.25">
      <c r="A51" s="190">
        <v>44</v>
      </c>
      <c r="B51" s="298" t="s">
        <v>37</v>
      </c>
      <c r="C51" s="190" t="s">
        <v>62</v>
      </c>
      <c r="D51" s="190"/>
      <c r="E51" s="190" t="s">
        <v>74</v>
      </c>
      <c r="F51" s="190" t="s">
        <v>590</v>
      </c>
      <c r="G51" s="136" t="s">
        <v>409</v>
      </c>
      <c r="H51" s="191">
        <v>1</v>
      </c>
      <c r="I51" s="191">
        <v>0</v>
      </c>
      <c r="J51" s="191">
        <v>0</v>
      </c>
      <c r="K51" s="192">
        <v>0</v>
      </c>
      <c r="L51" s="192">
        <v>0</v>
      </c>
      <c r="M51" s="193">
        <f t="shared" si="0"/>
        <v>0</v>
      </c>
      <c r="N51" s="191">
        <v>0</v>
      </c>
      <c r="O51" s="192">
        <v>0</v>
      </c>
      <c r="P51" s="192">
        <v>0</v>
      </c>
      <c r="Q51" s="192">
        <f t="shared" si="1"/>
        <v>0</v>
      </c>
      <c r="R51" s="296"/>
    </row>
    <row r="52" spans="1:18" s="297" customFormat="1" ht="25.5" hidden="1" x14ac:dyDescent="0.25">
      <c r="A52" s="190">
        <v>45</v>
      </c>
      <c r="B52" s="298" t="s">
        <v>97</v>
      </c>
      <c r="C52" s="190" t="s">
        <v>62</v>
      </c>
      <c r="D52" s="190"/>
      <c r="E52" s="190" t="s">
        <v>74</v>
      </c>
      <c r="F52" s="190" t="s">
        <v>591</v>
      </c>
      <c r="G52" s="136" t="s">
        <v>409</v>
      </c>
      <c r="H52" s="191">
        <v>4</v>
      </c>
      <c r="I52" s="191">
        <v>1</v>
      </c>
      <c r="J52" s="191">
        <v>1</v>
      </c>
      <c r="K52" s="192">
        <v>1233.4000000000001</v>
      </c>
      <c r="L52" s="192">
        <v>0</v>
      </c>
      <c r="M52" s="193">
        <f t="shared" si="0"/>
        <v>1233.4000000000001</v>
      </c>
      <c r="N52" s="191">
        <v>2</v>
      </c>
      <c r="O52" s="192">
        <v>704.8</v>
      </c>
      <c r="P52" s="192">
        <v>0</v>
      </c>
      <c r="Q52" s="192">
        <f t="shared" si="1"/>
        <v>704.8</v>
      </c>
      <c r="R52" s="296"/>
    </row>
    <row r="53" spans="1:18" s="297" customFormat="1" ht="25.5" hidden="1" x14ac:dyDescent="0.25">
      <c r="A53" s="190">
        <v>46</v>
      </c>
      <c r="B53" s="298" t="s">
        <v>613</v>
      </c>
      <c r="C53" s="190" t="s">
        <v>62</v>
      </c>
      <c r="D53" s="190"/>
      <c r="E53" s="190" t="s">
        <v>74</v>
      </c>
      <c r="F53" s="190" t="s">
        <v>614</v>
      </c>
      <c r="G53" s="136" t="s">
        <v>409</v>
      </c>
      <c r="H53" s="191">
        <v>4</v>
      </c>
      <c r="I53" s="191">
        <v>2</v>
      </c>
      <c r="J53" s="191">
        <v>2</v>
      </c>
      <c r="K53" s="192">
        <v>1585.8</v>
      </c>
      <c r="L53" s="192">
        <v>0</v>
      </c>
      <c r="M53" s="193">
        <v>0</v>
      </c>
      <c r="N53" s="191">
        <v>3</v>
      </c>
      <c r="O53" s="192">
        <v>616.70000000000005</v>
      </c>
      <c r="P53" s="192">
        <v>0</v>
      </c>
      <c r="Q53" s="192">
        <v>0</v>
      </c>
      <c r="R53" s="296"/>
    </row>
    <row r="54" spans="1:18" s="297" customFormat="1" ht="25.5" hidden="1" x14ac:dyDescent="0.25">
      <c r="A54" s="190">
        <v>47</v>
      </c>
      <c r="B54" s="298" t="s">
        <v>615</v>
      </c>
      <c r="C54" s="190" t="s">
        <v>62</v>
      </c>
      <c r="D54" s="190"/>
      <c r="E54" s="190" t="s">
        <v>74</v>
      </c>
      <c r="F54" s="190" t="s">
        <v>616</v>
      </c>
      <c r="G54" s="136" t="s">
        <v>409</v>
      </c>
      <c r="H54" s="191">
        <v>5</v>
      </c>
      <c r="I54" s="191">
        <v>0</v>
      </c>
      <c r="J54" s="191">
        <v>0</v>
      </c>
      <c r="K54" s="192">
        <v>0</v>
      </c>
      <c r="L54" s="192">
        <v>0</v>
      </c>
      <c r="M54" s="193">
        <v>0</v>
      </c>
      <c r="N54" s="191">
        <v>0</v>
      </c>
      <c r="O54" s="192">
        <v>0</v>
      </c>
      <c r="P54" s="192">
        <v>0</v>
      </c>
      <c r="Q54" s="192">
        <v>0</v>
      </c>
      <c r="R54" s="296"/>
    </row>
    <row r="55" spans="1:18" s="297" customFormat="1" ht="25.5" hidden="1" x14ac:dyDescent="0.25">
      <c r="A55" s="190">
        <v>48</v>
      </c>
      <c r="B55" s="298" t="s">
        <v>357</v>
      </c>
      <c r="C55" s="300" t="s">
        <v>64</v>
      </c>
      <c r="D55" s="134" t="s">
        <v>617</v>
      </c>
      <c r="E55" s="190" t="s">
        <v>74</v>
      </c>
      <c r="F55" s="190" t="s">
        <v>618</v>
      </c>
      <c r="G55" s="136" t="s">
        <v>409</v>
      </c>
      <c r="H55" s="191">
        <v>2</v>
      </c>
      <c r="I55" s="191">
        <v>0</v>
      </c>
      <c r="J55" s="191">
        <v>0</v>
      </c>
      <c r="K55" s="192">
        <v>0</v>
      </c>
      <c r="L55" s="192">
        <v>0</v>
      </c>
      <c r="M55" s="191">
        <v>0</v>
      </c>
      <c r="N55" s="191">
        <v>1</v>
      </c>
      <c r="O55" s="192">
        <v>1762</v>
      </c>
      <c r="P55" s="192">
        <v>0</v>
      </c>
      <c r="Q55" s="192">
        <v>0</v>
      </c>
      <c r="R55" s="296"/>
    </row>
    <row r="56" spans="1:18" s="297" customFormat="1" ht="25.5" hidden="1" x14ac:dyDescent="0.25">
      <c r="A56" s="190">
        <v>49</v>
      </c>
      <c r="B56" s="298" t="s">
        <v>621</v>
      </c>
      <c r="C56" s="190" t="s">
        <v>62</v>
      </c>
      <c r="D56" s="190"/>
      <c r="E56" s="190" t="s">
        <v>74</v>
      </c>
      <c r="F56" s="190" t="s">
        <v>625</v>
      </c>
      <c r="G56" s="136" t="s">
        <v>409</v>
      </c>
      <c r="H56" s="191">
        <v>5</v>
      </c>
      <c r="I56" s="191">
        <v>0</v>
      </c>
      <c r="J56" s="191">
        <v>0</v>
      </c>
      <c r="K56" s="192">
        <v>0</v>
      </c>
      <c r="L56" s="192">
        <v>0</v>
      </c>
      <c r="M56" s="191">
        <v>0</v>
      </c>
      <c r="N56" s="191">
        <v>0</v>
      </c>
      <c r="O56" s="191">
        <v>0</v>
      </c>
      <c r="P56" s="191">
        <v>0</v>
      </c>
      <c r="Q56" s="191">
        <v>0</v>
      </c>
      <c r="R56" s="296"/>
    </row>
    <row r="57" spans="1:18" s="6" customFormat="1" hidden="1" x14ac:dyDescent="0.25">
      <c r="A57" s="254">
        <v>1</v>
      </c>
      <c r="B57" s="255" t="s">
        <v>146</v>
      </c>
      <c r="C57" s="155" t="s">
        <v>62</v>
      </c>
      <c r="D57" s="155"/>
      <c r="E57" s="155" t="s">
        <v>74</v>
      </c>
      <c r="F57" s="255" t="s">
        <v>325</v>
      </c>
      <c r="G57" s="256" t="s">
        <v>326</v>
      </c>
      <c r="H57" s="256">
        <v>14</v>
      </c>
      <c r="I57" s="256">
        <v>6</v>
      </c>
      <c r="J57" s="256">
        <v>6</v>
      </c>
      <c r="K57" s="146">
        <f>2643+2466.8+2554.9</f>
        <v>7664.7000000000007</v>
      </c>
      <c r="L57" s="146">
        <f>5109.8</f>
        <v>5109.8</v>
      </c>
      <c r="M57" s="146">
        <f>K57-L57</f>
        <v>2554.9000000000005</v>
      </c>
      <c r="N57" s="257">
        <v>6</v>
      </c>
      <c r="O57" s="146">
        <v>5374.1</v>
      </c>
      <c r="P57" s="150">
        <f>2378.7+2995.4</f>
        <v>5374.1</v>
      </c>
      <c r="Q57" s="150">
        <f>O57-P57</f>
        <v>0</v>
      </c>
    </row>
    <row r="58" spans="1:18" s="6" customFormat="1" hidden="1" x14ac:dyDescent="0.25">
      <c r="A58" s="254">
        <v>2</v>
      </c>
      <c r="B58" s="255" t="s">
        <v>166</v>
      </c>
      <c r="C58" s="155" t="s">
        <v>62</v>
      </c>
      <c r="D58" s="155"/>
      <c r="E58" s="155" t="s">
        <v>158</v>
      </c>
      <c r="F58" s="255" t="s">
        <v>327</v>
      </c>
      <c r="G58" s="255" t="s">
        <v>326</v>
      </c>
      <c r="H58" s="256">
        <v>4</v>
      </c>
      <c r="I58" s="256">
        <v>2</v>
      </c>
      <c r="J58" s="256">
        <v>2</v>
      </c>
      <c r="K58" s="146">
        <f>1233.4+4228.8</f>
        <v>5462.2000000000007</v>
      </c>
      <c r="L58" s="146">
        <f>73.95+1159.45+4228.8</f>
        <v>5462.2000000000007</v>
      </c>
      <c r="M58" s="146">
        <f>K58-L58</f>
        <v>0</v>
      </c>
      <c r="N58" s="257">
        <v>0</v>
      </c>
      <c r="O58" s="146">
        <v>0</v>
      </c>
      <c r="P58" s="150">
        <v>0</v>
      </c>
      <c r="Q58" s="150">
        <f>O58-P58</f>
        <v>0</v>
      </c>
    </row>
    <row r="59" spans="1:18" s="6" customFormat="1" hidden="1" x14ac:dyDescent="0.25">
      <c r="A59" s="254">
        <v>3</v>
      </c>
      <c r="B59" s="255" t="s">
        <v>173</v>
      </c>
      <c r="C59" s="155" t="s">
        <v>67</v>
      </c>
      <c r="D59" s="155" t="s">
        <v>328</v>
      </c>
      <c r="E59" s="155" t="s">
        <v>158</v>
      </c>
      <c r="F59" s="255" t="s">
        <v>329</v>
      </c>
      <c r="G59" s="255" t="s">
        <v>326</v>
      </c>
      <c r="H59" s="256">
        <v>7</v>
      </c>
      <c r="I59" s="256">
        <v>3</v>
      </c>
      <c r="J59" s="256">
        <v>3</v>
      </c>
      <c r="K59" s="146">
        <f>704.8+2945.6</f>
        <v>3650.3999999999996</v>
      </c>
      <c r="L59" s="146">
        <f>704.8</f>
        <v>704.8</v>
      </c>
      <c r="M59" s="146">
        <f>K59-L59</f>
        <v>2945.5999999999995</v>
      </c>
      <c r="N59" s="257">
        <v>0</v>
      </c>
      <c r="O59" s="146">
        <v>0</v>
      </c>
      <c r="P59" s="150">
        <v>0</v>
      </c>
      <c r="Q59" s="150">
        <f>O59-P59</f>
        <v>0</v>
      </c>
    </row>
    <row r="60" spans="1:18" s="6" customFormat="1" hidden="1" x14ac:dyDescent="0.25">
      <c r="A60" s="254">
        <v>4</v>
      </c>
      <c r="B60" s="255" t="s">
        <v>330</v>
      </c>
      <c r="C60" s="155" t="s">
        <v>62</v>
      </c>
      <c r="D60" s="155"/>
      <c r="E60" s="155" t="s">
        <v>158</v>
      </c>
      <c r="F60" s="255" t="s">
        <v>331</v>
      </c>
      <c r="G60" s="255" t="s">
        <v>326</v>
      </c>
      <c r="H60" s="256">
        <v>15</v>
      </c>
      <c r="I60" s="256">
        <v>9</v>
      </c>
      <c r="J60" s="256">
        <v>9</v>
      </c>
      <c r="K60" s="146">
        <f>704.8+11276.8</f>
        <v>11981.599999999999</v>
      </c>
      <c r="L60" s="146">
        <f>704.8+11276.8</f>
        <v>11981.599999999999</v>
      </c>
      <c r="M60" s="146">
        <f>K60-L60</f>
        <v>0</v>
      </c>
      <c r="N60" s="257">
        <v>0</v>
      </c>
      <c r="O60" s="146">
        <v>0</v>
      </c>
      <c r="P60" s="150">
        <v>0</v>
      </c>
      <c r="Q60" s="150">
        <f>O60-P60</f>
        <v>0</v>
      </c>
    </row>
    <row r="61" spans="1:18" s="6" customFormat="1" hidden="1" x14ac:dyDescent="0.25">
      <c r="A61" s="254">
        <v>5</v>
      </c>
      <c r="B61" s="255" t="s">
        <v>147</v>
      </c>
      <c r="C61" s="155" t="s">
        <v>62</v>
      </c>
      <c r="D61" s="139"/>
      <c r="E61" s="155" t="s">
        <v>74</v>
      </c>
      <c r="F61" s="255" t="s">
        <v>332</v>
      </c>
      <c r="G61" s="255" t="s">
        <v>326</v>
      </c>
      <c r="H61" s="258">
        <v>14</v>
      </c>
      <c r="I61" s="258">
        <v>5</v>
      </c>
      <c r="J61" s="258">
        <v>5</v>
      </c>
      <c r="K61" s="259">
        <f>1409.6+1762+3347.8+2209.2</f>
        <v>8728.5999999999985</v>
      </c>
      <c r="L61" s="146">
        <f>1409.6+1762+3347.8</f>
        <v>6519.4</v>
      </c>
      <c r="M61" s="146">
        <f>K61-L61</f>
        <v>2209.1999999999989</v>
      </c>
      <c r="N61" s="257">
        <v>4</v>
      </c>
      <c r="O61" s="142">
        <f>4757.4+5523</f>
        <v>10280.4</v>
      </c>
      <c r="P61" s="143">
        <f>4052.6+704.8</f>
        <v>4757.3999999999996</v>
      </c>
      <c r="Q61" s="150">
        <f>O61-P61</f>
        <v>5523</v>
      </c>
    </row>
    <row r="62" spans="1:18" s="6" customFormat="1" ht="25.5" hidden="1" x14ac:dyDescent="0.25">
      <c r="A62" s="254">
        <v>6</v>
      </c>
      <c r="B62" s="255" t="s">
        <v>554</v>
      </c>
      <c r="C62" s="155" t="s">
        <v>67</v>
      </c>
      <c r="D62" s="339" t="s">
        <v>555</v>
      </c>
      <c r="E62" s="155" t="s">
        <v>74</v>
      </c>
      <c r="F62" s="255" t="s">
        <v>556</v>
      </c>
      <c r="G62" s="255" t="s">
        <v>326</v>
      </c>
      <c r="H62" s="258">
        <v>2</v>
      </c>
      <c r="I62" s="258">
        <v>0</v>
      </c>
      <c r="J62" s="258">
        <v>0</v>
      </c>
      <c r="K62" s="259">
        <v>0</v>
      </c>
      <c r="L62" s="146">
        <v>0</v>
      </c>
      <c r="M62" s="146">
        <v>0</v>
      </c>
      <c r="N62" s="257">
        <v>0</v>
      </c>
      <c r="O62" s="146">
        <v>0</v>
      </c>
      <c r="P62" s="150">
        <v>0</v>
      </c>
      <c r="Q62" s="150">
        <v>0</v>
      </c>
    </row>
    <row r="63" spans="1:18" s="6" customFormat="1" hidden="1" x14ac:dyDescent="0.25">
      <c r="A63" s="254">
        <v>7</v>
      </c>
      <c r="B63" s="255" t="s">
        <v>88</v>
      </c>
      <c r="C63" s="155" t="s">
        <v>62</v>
      </c>
      <c r="D63" s="340"/>
      <c r="E63" s="155" t="s">
        <v>74</v>
      </c>
      <c r="F63" s="255" t="s">
        <v>333</v>
      </c>
      <c r="G63" s="255" t="s">
        <v>326</v>
      </c>
      <c r="H63" s="258">
        <v>2</v>
      </c>
      <c r="I63" s="258">
        <v>2</v>
      </c>
      <c r="J63" s="258">
        <v>2</v>
      </c>
      <c r="K63" s="259">
        <f>704.8+1585.8</f>
        <v>2290.6</v>
      </c>
      <c r="L63" s="146">
        <f>704.8+1585.8</f>
        <v>2290.6</v>
      </c>
      <c r="M63" s="146">
        <f t="shared" ref="M63:M103" si="2">K63-L63</f>
        <v>0</v>
      </c>
      <c r="N63" s="257">
        <v>1</v>
      </c>
      <c r="O63" s="142">
        <v>1145.3</v>
      </c>
      <c r="P63" s="150">
        <v>1145.3</v>
      </c>
      <c r="Q63" s="150">
        <f t="shared" ref="Q63:Q86" si="3">O63-P63</f>
        <v>0</v>
      </c>
    </row>
    <row r="64" spans="1:18" s="6" customFormat="1" hidden="1" x14ac:dyDescent="0.25">
      <c r="A64" s="254">
        <v>8</v>
      </c>
      <c r="B64" s="255" t="s">
        <v>182</v>
      </c>
      <c r="C64" s="155" t="s">
        <v>62</v>
      </c>
      <c r="D64" s="340"/>
      <c r="E64" s="155" t="s">
        <v>158</v>
      </c>
      <c r="F64" s="255" t="s">
        <v>334</v>
      </c>
      <c r="G64" s="255" t="s">
        <v>326</v>
      </c>
      <c r="H64" s="258">
        <v>5</v>
      </c>
      <c r="I64" s="258">
        <v>1</v>
      </c>
      <c r="J64" s="258">
        <v>1</v>
      </c>
      <c r="K64" s="259">
        <f>1233.4</f>
        <v>1233.4000000000001</v>
      </c>
      <c r="L64" s="146">
        <f>1233.4</f>
        <v>1233.4000000000001</v>
      </c>
      <c r="M64" s="146">
        <f t="shared" si="2"/>
        <v>0</v>
      </c>
      <c r="N64" s="257">
        <v>0</v>
      </c>
      <c r="O64" s="142">
        <v>0</v>
      </c>
      <c r="P64" s="150">
        <v>0</v>
      </c>
      <c r="Q64" s="150">
        <f t="shared" si="3"/>
        <v>0</v>
      </c>
    </row>
    <row r="65" spans="1:17" s="6" customFormat="1" hidden="1" x14ac:dyDescent="0.25">
      <c r="A65" s="254">
        <v>9</v>
      </c>
      <c r="B65" s="255" t="s">
        <v>335</v>
      </c>
      <c r="C65" s="155" t="s">
        <v>62</v>
      </c>
      <c r="D65" s="98"/>
      <c r="E65" s="155" t="s">
        <v>74</v>
      </c>
      <c r="F65" s="255" t="s">
        <v>336</v>
      </c>
      <c r="G65" s="255" t="s">
        <v>326</v>
      </c>
      <c r="H65" s="258">
        <v>15</v>
      </c>
      <c r="I65" s="258">
        <v>7</v>
      </c>
      <c r="J65" s="258">
        <v>7</v>
      </c>
      <c r="K65" s="259">
        <f>3700.2+704.8+2114.4+2819.2</f>
        <v>9338.5999999999985</v>
      </c>
      <c r="L65" s="146">
        <f>3700.2+704.8+2114.4</f>
        <v>6519.4</v>
      </c>
      <c r="M65" s="146">
        <f t="shared" si="2"/>
        <v>2819.1999999999989</v>
      </c>
      <c r="N65" s="257">
        <v>8</v>
      </c>
      <c r="O65" s="146">
        <f>3435.9+3171.6+132.15</f>
        <v>6739.65</v>
      </c>
      <c r="P65" s="150">
        <f>3435.9+3171.6+132.15</f>
        <v>6739.65</v>
      </c>
      <c r="Q65" s="150">
        <f t="shared" si="3"/>
        <v>0</v>
      </c>
    </row>
    <row r="66" spans="1:17" s="6" customFormat="1" hidden="1" x14ac:dyDescent="0.25">
      <c r="A66" s="254">
        <v>10</v>
      </c>
      <c r="B66" s="255" t="s">
        <v>27</v>
      </c>
      <c r="C66" s="155" t="s">
        <v>62</v>
      </c>
      <c r="D66" s="340"/>
      <c r="E66" s="155" t="s">
        <v>158</v>
      </c>
      <c r="F66" s="255" t="s">
        <v>337</v>
      </c>
      <c r="G66" s="255" t="s">
        <v>326</v>
      </c>
      <c r="H66" s="258">
        <v>13</v>
      </c>
      <c r="I66" s="258">
        <v>11</v>
      </c>
      <c r="J66" s="258">
        <v>11</v>
      </c>
      <c r="K66" s="259">
        <f>5638.4+2819.2+528.6+1964.2</f>
        <v>10950.4</v>
      </c>
      <c r="L66" s="146">
        <f>1233.4+4405+2819.2+528.6</f>
        <v>8986.1999999999989</v>
      </c>
      <c r="M66" s="146">
        <f t="shared" si="2"/>
        <v>1964.2000000000007</v>
      </c>
      <c r="N66" s="257">
        <v>0</v>
      </c>
      <c r="O66" s="142">
        <v>0</v>
      </c>
      <c r="P66" s="143">
        <v>0</v>
      </c>
      <c r="Q66" s="150">
        <f t="shared" si="3"/>
        <v>0</v>
      </c>
    </row>
    <row r="67" spans="1:17" s="6" customFormat="1" hidden="1" x14ac:dyDescent="0.25">
      <c r="A67" s="147">
        <v>11</v>
      </c>
      <c r="B67" s="255" t="s">
        <v>190</v>
      </c>
      <c r="C67" s="155" t="s">
        <v>62</v>
      </c>
      <c r="D67" s="340"/>
      <c r="E67" s="155" t="s">
        <v>338</v>
      </c>
      <c r="F67" s="255" t="s">
        <v>339</v>
      </c>
      <c r="G67" s="255" t="s">
        <v>326</v>
      </c>
      <c r="H67" s="258">
        <v>20</v>
      </c>
      <c r="I67" s="258">
        <v>9</v>
      </c>
      <c r="J67" s="258">
        <v>9</v>
      </c>
      <c r="K67" s="259">
        <f>1938.2+2819.2+2819.2+2290.6+1862+2543.3+552.3</f>
        <v>14824.8</v>
      </c>
      <c r="L67" s="146">
        <f>704.8+704.8+528.6+2819.2+2819.2+2290.6+1592.92</f>
        <v>11460.119999999999</v>
      </c>
      <c r="M67" s="146">
        <f t="shared" si="2"/>
        <v>3364.6800000000003</v>
      </c>
      <c r="N67" s="257">
        <v>0</v>
      </c>
      <c r="O67" s="142">
        <v>0</v>
      </c>
      <c r="P67" s="150">
        <v>0</v>
      </c>
      <c r="Q67" s="150">
        <f t="shared" si="3"/>
        <v>0</v>
      </c>
    </row>
    <row r="68" spans="1:17" s="6" customFormat="1" hidden="1" x14ac:dyDescent="0.25">
      <c r="A68" s="147">
        <v>12</v>
      </c>
      <c r="B68" s="255" t="s">
        <v>89</v>
      </c>
      <c r="C68" s="155" t="s">
        <v>62</v>
      </c>
      <c r="D68" s="340"/>
      <c r="E68" s="155" t="s">
        <v>74</v>
      </c>
      <c r="F68" s="255" t="s">
        <v>340</v>
      </c>
      <c r="G68" s="255" t="s">
        <v>326</v>
      </c>
      <c r="H68" s="258">
        <v>6</v>
      </c>
      <c r="I68" s="258">
        <v>6</v>
      </c>
      <c r="J68" s="258">
        <v>6</v>
      </c>
      <c r="K68" s="259">
        <f>1762+3876.4+2995.4</f>
        <v>8633.7999999999993</v>
      </c>
      <c r="L68" s="146">
        <f>1762+3876.4</f>
        <v>5638.4</v>
      </c>
      <c r="M68" s="146">
        <f t="shared" si="2"/>
        <v>2995.3999999999996</v>
      </c>
      <c r="N68" s="257">
        <v>4</v>
      </c>
      <c r="O68" s="142">
        <f>440.5+5990.8+2819.2</f>
        <v>9250.5</v>
      </c>
      <c r="P68" s="150">
        <f>440.5+5990.8</f>
        <v>6431.3</v>
      </c>
      <c r="Q68" s="150">
        <f t="shared" si="3"/>
        <v>2819.2</v>
      </c>
    </row>
    <row r="69" spans="1:17" s="6" customFormat="1" hidden="1" x14ac:dyDescent="0.25">
      <c r="A69" s="147">
        <v>13</v>
      </c>
      <c r="B69" s="255" t="s">
        <v>196</v>
      </c>
      <c r="C69" s="155" t="s">
        <v>62</v>
      </c>
      <c r="D69" s="340"/>
      <c r="E69" s="155" t="s">
        <v>341</v>
      </c>
      <c r="F69" s="255" t="s">
        <v>342</v>
      </c>
      <c r="G69" s="255" t="s">
        <v>326</v>
      </c>
      <c r="H69" s="258">
        <v>7</v>
      </c>
      <c r="I69" s="258">
        <v>5</v>
      </c>
      <c r="J69" s="258">
        <v>5</v>
      </c>
      <c r="K69" s="259">
        <v>4933.6000000000004</v>
      </c>
      <c r="L69" s="146">
        <f>4933.6</f>
        <v>4933.6000000000004</v>
      </c>
      <c r="M69" s="146">
        <f t="shared" si="2"/>
        <v>0</v>
      </c>
      <c r="N69" s="257">
        <v>0</v>
      </c>
      <c r="O69" s="142">
        <v>0</v>
      </c>
      <c r="P69" s="150">
        <v>0</v>
      </c>
      <c r="Q69" s="150">
        <f t="shared" si="3"/>
        <v>0</v>
      </c>
    </row>
    <row r="70" spans="1:17" s="6" customFormat="1" hidden="1" x14ac:dyDescent="0.25">
      <c r="A70" s="147">
        <v>14</v>
      </c>
      <c r="B70" s="255" t="s">
        <v>628</v>
      </c>
      <c r="C70" s="155" t="s">
        <v>62</v>
      </c>
      <c r="D70" s="340"/>
      <c r="E70" s="155" t="s">
        <v>74</v>
      </c>
      <c r="F70" s="255" t="s">
        <v>629</v>
      </c>
      <c r="G70" s="255" t="s">
        <v>326</v>
      </c>
      <c r="H70" s="258">
        <v>0</v>
      </c>
      <c r="I70" s="258">
        <v>0</v>
      </c>
      <c r="J70" s="258">
        <v>0</v>
      </c>
      <c r="K70" s="259">
        <v>0</v>
      </c>
      <c r="L70" s="146">
        <v>0</v>
      </c>
      <c r="M70" s="146">
        <v>0</v>
      </c>
      <c r="N70" s="257">
        <v>0</v>
      </c>
      <c r="O70" s="142">
        <v>0</v>
      </c>
      <c r="P70" s="150">
        <v>0</v>
      </c>
      <c r="Q70" s="150">
        <f t="shared" si="3"/>
        <v>0</v>
      </c>
    </row>
    <row r="71" spans="1:17" s="6" customFormat="1" hidden="1" x14ac:dyDescent="0.25">
      <c r="A71" s="147">
        <v>15</v>
      </c>
      <c r="B71" s="255" t="s">
        <v>343</v>
      </c>
      <c r="C71" s="155" t="s">
        <v>62</v>
      </c>
      <c r="D71" s="340"/>
      <c r="E71" s="155" t="s">
        <v>74</v>
      </c>
      <c r="F71" s="255" t="s">
        <v>344</v>
      </c>
      <c r="G71" s="255" t="s">
        <v>326</v>
      </c>
      <c r="H71" s="258">
        <v>9</v>
      </c>
      <c r="I71" s="258">
        <v>2</v>
      </c>
      <c r="J71" s="258">
        <v>2</v>
      </c>
      <c r="K71" s="259">
        <f>2466.8</f>
        <v>2466.8000000000002</v>
      </c>
      <c r="L71" s="146">
        <f>2466.8</f>
        <v>2466.8000000000002</v>
      </c>
      <c r="M71" s="146">
        <f t="shared" si="2"/>
        <v>0</v>
      </c>
      <c r="N71" s="257">
        <v>0</v>
      </c>
      <c r="O71" s="142">
        <v>0</v>
      </c>
      <c r="P71" s="150">
        <v>0</v>
      </c>
      <c r="Q71" s="150">
        <f t="shared" si="3"/>
        <v>0</v>
      </c>
    </row>
    <row r="72" spans="1:17" s="6" customFormat="1" hidden="1" x14ac:dyDescent="0.25">
      <c r="A72" s="147">
        <v>16</v>
      </c>
      <c r="B72" s="255" t="s">
        <v>154</v>
      </c>
      <c r="C72" s="155" t="s">
        <v>62</v>
      </c>
      <c r="D72" s="340"/>
      <c r="E72" s="155" t="s">
        <v>74</v>
      </c>
      <c r="F72" s="255" t="s">
        <v>345</v>
      </c>
      <c r="G72" s="255" t="s">
        <v>326</v>
      </c>
      <c r="H72" s="258">
        <v>6</v>
      </c>
      <c r="I72" s="258">
        <v>3</v>
      </c>
      <c r="J72" s="258">
        <v>3</v>
      </c>
      <c r="K72" s="259">
        <f>1497.7+1288.7</f>
        <v>2786.4</v>
      </c>
      <c r="L72" s="146">
        <f>1497.7</f>
        <v>1497.7</v>
      </c>
      <c r="M72" s="146">
        <f t="shared" si="2"/>
        <v>1288.7</v>
      </c>
      <c r="N72" s="257">
        <v>6</v>
      </c>
      <c r="O72" s="142">
        <f>4228.8+3700.2+552.3</f>
        <v>8481.2999999999993</v>
      </c>
      <c r="P72" s="143">
        <f>4228.8+3700.2</f>
        <v>7929</v>
      </c>
      <c r="Q72" s="150">
        <f t="shared" si="3"/>
        <v>552.29999999999927</v>
      </c>
    </row>
    <row r="73" spans="1:17" s="6" customFormat="1" hidden="1" x14ac:dyDescent="0.25">
      <c r="A73" s="147">
        <v>17</v>
      </c>
      <c r="B73" s="255" t="s">
        <v>346</v>
      </c>
      <c r="C73" s="155" t="s">
        <v>62</v>
      </c>
      <c r="D73" s="340"/>
      <c r="E73" s="155" t="s">
        <v>158</v>
      </c>
      <c r="F73" s="255" t="s">
        <v>347</v>
      </c>
      <c r="G73" s="255" t="s">
        <v>326</v>
      </c>
      <c r="H73" s="258">
        <v>2</v>
      </c>
      <c r="I73" s="258">
        <v>0</v>
      </c>
      <c r="J73" s="258">
        <v>0</v>
      </c>
      <c r="K73" s="259">
        <v>0</v>
      </c>
      <c r="L73" s="146">
        <v>0</v>
      </c>
      <c r="M73" s="146">
        <f t="shared" si="2"/>
        <v>0</v>
      </c>
      <c r="N73" s="257">
        <v>0</v>
      </c>
      <c r="O73" s="142">
        <v>0</v>
      </c>
      <c r="P73" s="150">
        <v>0</v>
      </c>
      <c r="Q73" s="150">
        <f t="shared" si="3"/>
        <v>0</v>
      </c>
    </row>
    <row r="74" spans="1:17" s="6" customFormat="1" hidden="1" x14ac:dyDescent="0.25">
      <c r="A74" s="147">
        <v>18</v>
      </c>
      <c r="B74" s="255" t="s">
        <v>348</v>
      </c>
      <c r="C74" s="155" t="s">
        <v>62</v>
      </c>
      <c r="D74" s="340"/>
      <c r="E74" s="155" t="s">
        <v>158</v>
      </c>
      <c r="F74" s="255" t="s">
        <v>349</v>
      </c>
      <c r="G74" s="255" t="s">
        <v>326</v>
      </c>
      <c r="H74" s="258">
        <v>6</v>
      </c>
      <c r="I74" s="258">
        <v>0</v>
      </c>
      <c r="J74" s="258">
        <v>0</v>
      </c>
      <c r="K74" s="259">
        <v>0</v>
      </c>
      <c r="L74" s="146">
        <v>0</v>
      </c>
      <c r="M74" s="146">
        <f t="shared" si="2"/>
        <v>0</v>
      </c>
      <c r="N74" s="257">
        <v>0</v>
      </c>
      <c r="O74" s="142">
        <v>0</v>
      </c>
      <c r="P74" s="150">
        <v>0</v>
      </c>
      <c r="Q74" s="150">
        <f t="shared" si="3"/>
        <v>0</v>
      </c>
    </row>
    <row r="75" spans="1:17" s="6" customFormat="1" hidden="1" x14ac:dyDescent="0.25">
      <c r="A75" s="147">
        <v>19</v>
      </c>
      <c r="B75" s="255" t="s">
        <v>350</v>
      </c>
      <c r="C75" s="155" t="s">
        <v>62</v>
      </c>
      <c r="D75" s="340"/>
      <c r="E75" s="155" t="s">
        <v>74</v>
      </c>
      <c r="F75" s="255" t="s">
        <v>351</v>
      </c>
      <c r="G75" s="255" t="s">
        <v>326</v>
      </c>
      <c r="H75" s="258">
        <v>1</v>
      </c>
      <c r="I75" s="258">
        <v>1</v>
      </c>
      <c r="J75" s="258">
        <v>1</v>
      </c>
      <c r="K75" s="259">
        <f>528.6</f>
        <v>528.6</v>
      </c>
      <c r="L75" s="146">
        <f>528.6</f>
        <v>528.6</v>
      </c>
      <c r="M75" s="146">
        <f t="shared" si="2"/>
        <v>0</v>
      </c>
      <c r="N75" s="257">
        <v>4</v>
      </c>
      <c r="O75" s="142">
        <v>5065.75</v>
      </c>
      <c r="P75" s="150">
        <f>1894.15+3171.6</f>
        <v>5065.75</v>
      </c>
      <c r="Q75" s="150">
        <f t="shared" si="3"/>
        <v>0</v>
      </c>
    </row>
    <row r="76" spans="1:17" s="6" customFormat="1" ht="39" hidden="1" x14ac:dyDescent="0.25">
      <c r="A76" s="148">
        <v>20</v>
      </c>
      <c r="B76" s="255" t="s">
        <v>222</v>
      </c>
      <c r="C76" s="155" t="s">
        <v>64</v>
      </c>
      <c r="D76" s="341" t="s">
        <v>352</v>
      </c>
      <c r="E76" s="155" t="s">
        <v>158</v>
      </c>
      <c r="F76" s="255" t="s">
        <v>353</v>
      </c>
      <c r="G76" s="255" t="s">
        <v>326</v>
      </c>
      <c r="H76" s="258">
        <v>6</v>
      </c>
      <c r="I76" s="258">
        <v>2</v>
      </c>
      <c r="J76" s="258">
        <v>2</v>
      </c>
      <c r="K76" s="259">
        <f>1233.4+2290.6</f>
        <v>3524</v>
      </c>
      <c r="L76" s="146">
        <f>1233.4+2290.6</f>
        <v>3524</v>
      </c>
      <c r="M76" s="146">
        <f t="shared" si="2"/>
        <v>0</v>
      </c>
      <c r="N76" s="257">
        <v>0</v>
      </c>
      <c r="O76" s="146">
        <v>0</v>
      </c>
      <c r="P76" s="150">
        <v>0</v>
      </c>
      <c r="Q76" s="150">
        <f t="shared" si="3"/>
        <v>0</v>
      </c>
    </row>
    <row r="77" spans="1:17" s="6" customFormat="1" hidden="1" x14ac:dyDescent="0.25">
      <c r="A77" s="147">
        <v>21</v>
      </c>
      <c r="B77" s="255" t="s">
        <v>238</v>
      </c>
      <c r="C77" s="155" t="s">
        <v>62</v>
      </c>
      <c r="D77" s="139"/>
      <c r="E77" s="155" t="s">
        <v>158</v>
      </c>
      <c r="F77" s="255" t="s">
        <v>354</v>
      </c>
      <c r="G77" s="255" t="s">
        <v>326</v>
      </c>
      <c r="H77" s="258">
        <v>7</v>
      </c>
      <c r="I77" s="258">
        <v>6</v>
      </c>
      <c r="J77" s="258">
        <v>6</v>
      </c>
      <c r="K77" s="259">
        <f>2466.8+4581.2+1012.55</f>
        <v>8060.55</v>
      </c>
      <c r="L77" s="146">
        <f>1233.4+1233.4+4581.2</f>
        <v>7048</v>
      </c>
      <c r="M77" s="146">
        <f t="shared" si="2"/>
        <v>1012.5500000000002</v>
      </c>
      <c r="N77" s="257">
        <v>0</v>
      </c>
      <c r="O77" s="142">
        <v>0</v>
      </c>
      <c r="P77" s="150">
        <v>0</v>
      </c>
      <c r="Q77" s="150">
        <f t="shared" si="3"/>
        <v>0</v>
      </c>
    </row>
    <row r="78" spans="1:17" s="6" customFormat="1" hidden="1" x14ac:dyDescent="0.25">
      <c r="A78" s="147">
        <v>22</v>
      </c>
      <c r="B78" s="255" t="s">
        <v>355</v>
      </c>
      <c r="C78" s="155" t="s">
        <v>62</v>
      </c>
      <c r="D78" s="139"/>
      <c r="E78" s="155" t="s">
        <v>158</v>
      </c>
      <c r="F78" s="255" t="s">
        <v>356</v>
      </c>
      <c r="G78" s="255" t="s">
        <v>326</v>
      </c>
      <c r="H78" s="258">
        <v>7</v>
      </c>
      <c r="I78" s="258">
        <v>2</v>
      </c>
      <c r="J78" s="258">
        <v>2</v>
      </c>
      <c r="K78" s="259">
        <v>1762</v>
      </c>
      <c r="L78" s="146">
        <f>1233.4+528.6</f>
        <v>1762</v>
      </c>
      <c r="M78" s="146">
        <f t="shared" si="2"/>
        <v>0</v>
      </c>
      <c r="N78" s="257">
        <v>0</v>
      </c>
      <c r="O78" s="142">
        <v>0</v>
      </c>
      <c r="P78" s="150">
        <v>0</v>
      </c>
      <c r="Q78" s="150">
        <f t="shared" si="3"/>
        <v>0</v>
      </c>
    </row>
    <row r="79" spans="1:17" s="6" customFormat="1" ht="38.25" hidden="1" x14ac:dyDescent="0.25">
      <c r="A79" s="148">
        <v>23</v>
      </c>
      <c r="B79" s="255" t="s">
        <v>357</v>
      </c>
      <c r="C79" s="155" t="s">
        <v>64</v>
      </c>
      <c r="D79" s="254" t="s">
        <v>358</v>
      </c>
      <c r="E79" s="155" t="s">
        <v>158</v>
      </c>
      <c r="F79" s="155" t="s">
        <v>507</v>
      </c>
      <c r="G79" s="255" t="s">
        <v>326</v>
      </c>
      <c r="H79" s="258">
        <v>3</v>
      </c>
      <c r="I79" s="145">
        <v>1</v>
      </c>
      <c r="J79" s="145">
        <v>1</v>
      </c>
      <c r="K79" s="259">
        <f>1288.7</f>
        <v>1288.7</v>
      </c>
      <c r="L79" s="146">
        <v>0</v>
      </c>
      <c r="M79" s="146">
        <f t="shared" si="2"/>
        <v>1288.7</v>
      </c>
      <c r="N79" s="257">
        <v>0</v>
      </c>
      <c r="O79" s="146">
        <v>0</v>
      </c>
      <c r="P79" s="150">
        <v>0</v>
      </c>
      <c r="Q79" s="150">
        <f t="shared" si="3"/>
        <v>0</v>
      </c>
    </row>
    <row r="80" spans="1:17" s="6" customFormat="1" hidden="1" x14ac:dyDescent="0.25">
      <c r="A80" s="148">
        <v>24</v>
      </c>
      <c r="B80" s="255" t="s">
        <v>36</v>
      </c>
      <c r="C80" s="155" t="s">
        <v>62</v>
      </c>
      <c r="D80" s="254"/>
      <c r="E80" s="155" t="s">
        <v>74</v>
      </c>
      <c r="F80" s="342" t="s">
        <v>630</v>
      </c>
      <c r="G80" s="255" t="s">
        <v>326</v>
      </c>
      <c r="H80" s="258">
        <v>0</v>
      </c>
      <c r="I80" s="145">
        <v>0</v>
      </c>
      <c r="J80" s="145">
        <v>0</v>
      </c>
      <c r="K80" s="259">
        <v>0</v>
      </c>
      <c r="L80" s="146">
        <v>0</v>
      </c>
      <c r="M80" s="146">
        <v>0</v>
      </c>
      <c r="N80" s="257">
        <v>0</v>
      </c>
      <c r="O80" s="146">
        <v>0</v>
      </c>
      <c r="P80" s="150">
        <v>0</v>
      </c>
      <c r="Q80" s="150">
        <f t="shared" si="3"/>
        <v>0</v>
      </c>
    </row>
    <row r="81" spans="1:17" s="6" customFormat="1" hidden="1" x14ac:dyDescent="0.25">
      <c r="A81" s="147">
        <v>25</v>
      </c>
      <c r="B81" s="255" t="s">
        <v>359</v>
      </c>
      <c r="C81" s="155" t="s">
        <v>62</v>
      </c>
      <c r="D81" s="254"/>
      <c r="E81" s="155" t="s">
        <v>158</v>
      </c>
      <c r="F81" s="155" t="s">
        <v>360</v>
      </c>
      <c r="G81" s="255" t="s">
        <v>326</v>
      </c>
      <c r="H81" s="258">
        <v>5</v>
      </c>
      <c r="I81" s="258">
        <v>5</v>
      </c>
      <c r="J81" s="258">
        <v>5</v>
      </c>
      <c r="K81" s="259">
        <f>1409.6+704.8+528.6+2290.6</f>
        <v>4933.5999999999995</v>
      </c>
      <c r="L81" s="146">
        <f>704.8+704.8+704.8+9.97+518.63+2290.6</f>
        <v>4933.5999999999995</v>
      </c>
      <c r="M81" s="146">
        <f t="shared" si="2"/>
        <v>0</v>
      </c>
      <c r="N81" s="257">
        <v>0</v>
      </c>
      <c r="O81" s="142">
        <v>0</v>
      </c>
      <c r="P81" s="143">
        <v>0</v>
      </c>
      <c r="Q81" s="150">
        <f t="shared" si="3"/>
        <v>0</v>
      </c>
    </row>
    <row r="82" spans="1:17" s="6" customFormat="1" hidden="1" x14ac:dyDescent="0.25">
      <c r="A82" s="147">
        <v>26</v>
      </c>
      <c r="B82" s="255" t="s">
        <v>118</v>
      </c>
      <c r="C82" s="155" t="s">
        <v>62</v>
      </c>
      <c r="D82" s="139"/>
      <c r="E82" s="155" t="s">
        <v>338</v>
      </c>
      <c r="F82" s="255" t="s">
        <v>361</v>
      </c>
      <c r="G82" s="255" t="s">
        <v>326</v>
      </c>
      <c r="H82" s="258">
        <v>1</v>
      </c>
      <c r="I82" s="258">
        <v>1</v>
      </c>
      <c r="J82" s="258">
        <v>1</v>
      </c>
      <c r="K82" s="259">
        <f>1012.55</f>
        <v>1012.55</v>
      </c>
      <c r="L82" s="146">
        <v>0</v>
      </c>
      <c r="M82" s="146">
        <f t="shared" si="2"/>
        <v>1012.55</v>
      </c>
      <c r="N82" s="257">
        <v>0</v>
      </c>
      <c r="O82" s="142">
        <v>0</v>
      </c>
      <c r="P82" s="150">
        <v>0</v>
      </c>
      <c r="Q82" s="150">
        <f t="shared" si="3"/>
        <v>0</v>
      </c>
    </row>
    <row r="83" spans="1:17" s="6" customFormat="1" hidden="1" x14ac:dyDescent="0.25">
      <c r="A83" s="147">
        <v>27</v>
      </c>
      <c r="B83" s="255" t="s">
        <v>246</v>
      </c>
      <c r="C83" s="155" t="s">
        <v>62</v>
      </c>
      <c r="D83" s="139"/>
      <c r="E83" s="155" t="s">
        <v>158</v>
      </c>
      <c r="F83" s="255" t="s">
        <v>362</v>
      </c>
      <c r="G83" s="255" t="s">
        <v>326</v>
      </c>
      <c r="H83" s="258">
        <v>5</v>
      </c>
      <c r="I83" s="258">
        <v>1</v>
      </c>
      <c r="J83" s="258">
        <v>1</v>
      </c>
      <c r="K83" s="259">
        <f>1233.4</f>
        <v>1233.4000000000001</v>
      </c>
      <c r="L83" s="146">
        <f>1233.4</f>
        <v>1233.4000000000001</v>
      </c>
      <c r="M83" s="146">
        <f t="shared" si="2"/>
        <v>0</v>
      </c>
      <c r="N83" s="257">
        <v>0</v>
      </c>
      <c r="O83" s="142">
        <v>0</v>
      </c>
      <c r="P83" s="150">
        <v>0</v>
      </c>
      <c r="Q83" s="150">
        <f t="shared" si="3"/>
        <v>0</v>
      </c>
    </row>
    <row r="84" spans="1:17" s="6" customFormat="1" hidden="1" x14ac:dyDescent="0.25">
      <c r="A84" s="147">
        <v>28</v>
      </c>
      <c r="B84" s="255" t="s">
        <v>43</v>
      </c>
      <c r="C84" s="155" t="s">
        <v>62</v>
      </c>
      <c r="D84" s="139"/>
      <c r="E84" s="155" t="s">
        <v>74</v>
      </c>
      <c r="F84" s="255" t="s">
        <v>363</v>
      </c>
      <c r="G84" s="255" t="s">
        <v>326</v>
      </c>
      <c r="H84" s="258">
        <v>4</v>
      </c>
      <c r="I84" s="258">
        <v>1</v>
      </c>
      <c r="J84" s="258">
        <v>1</v>
      </c>
      <c r="K84" s="259">
        <v>660.75</v>
      </c>
      <c r="L84" s="146">
        <f>660.75</f>
        <v>660.75</v>
      </c>
      <c r="M84" s="146">
        <f t="shared" si="2"/>
        <v>0</v>
      </c>
      <c r="N84" s="257">
        <v>0</v>
      </c>
      <c r="O84" s="142">
        <v>0</v>
      </c>
      <c r="P84" s="150">
        <v>0</v>
      </c>
      <c r="Q84" s="150">
        <f t="shared" si="3"/>
        <v>0</v>
      </c>
    </row>
    <row r="85" spans="1:17" s="6" customFormat="1" hidden="1" x14ac:dyDescent="0.25">
      <c r="A85" s="147">
        <v>29</v>
      </c>
      <c r="B85" s="255" t="s">
        <v>364</v>
      </c>
      <c r="C85" s="155" t="s">
        <v>62</v>
      </c>
      <c r="D85" s="139"/>
      <c r="E85" s="155" t="s">
        <v>74</v>
      </c>
      <c r="F85" s="255" t="s">
        <v>365</v>
      </c>
      <c r="G85" s="255" t="s">
        <v>326</v>
      </c>
      <c r="H85" s="258">
        <v>8</v>
      </c>
      <c r="I85" s="258">
        <v>2</v>
      </c>
      <c r="J85" s="258">
        <v>2</v>
      </c>
      <c r="K85" s="259">
        <v>2466.8000000000002</v>
      </c>
      <c r="L85" s="146">
        <v>2466.8000000000002</v>
      </c>
      <c r="M85" s="146">
        <f t="shared" si="2"/>
        <v>0</v>
      </c>
      <c r="N85" s="257">
        <v>3</v>
      </c>
      <c r="O85" s="142">
        <f>3524+2671.06+3497.9</f>
        <v>9692.9599999999991</v>
      </c>
      <c r="P85" s="150">
        <v>3524</v>
      </c>
      <c r="Q85" s="150">
        <f t="shared" si="3"/>
        <v>6168.9599999999991</v>
      </c>
    </row>
    <row r="86" spans="1:17" s="6" customFormat="1" hidden="1" x14ac:dyDescent="0.25">
      <c r="A86" s="147">
        <v>30</v>
      </c>
      <c r="B86" s="255" t="s">
        <v>46</v>
      </c>
      <c r="C86" s="155" t="s">
        <v>62</v>
      </c>
      <c r="D86" s="139"/>
      <c r="E86" s="155" t="s">
        <v>366</v>
      </c>
      <c r="F86" s="255" t="s">
        <v>367</v>
      </c>
      <c r="G86" s="255" t="s">
        <v>326</v>
      </c>
      <c r="H86" s="258">
        <v>0</v>
      </c>
      <c r="I86" s="258">
        <v>0</v>
      </c>
      <c r="J86" s="258">
        <v>0</v>
      </c>
      <c r="K86" s="259">
        <v>0</v>
      </c>
      <c r="L86" s="146">
        <v>0</v>
      </c>
      <c r="M86" s="146">
        <f t="shared" si="2"/>
        <v>0</v>
      </c>
      <c r="N86" s="257">
        <v>2</v>
      </c>
      <c r="O86" s="142">
        <f>4140.7+528.6</f>
        <v>4669.3</v>
      </c>
      <c r="P86" s="143">
        <f>4140.7+528.6</f>
        <v>4669.3</v>
      </c>
      <c r="Q86" s="150">
        <f t="shared" si="3"/>
        <v>0</v>
      </c>
    </row>
    <row r="87" spans="1:17" s="6" customFormat="1" hidden="1" x14ac:dyDescent="0.25">
      <c r="A87" s="147">
        <v>31</v>
      </c>
      <c r="B87" s="255" t="s">
        <v>270</v>
      </c>
      <c r="C87" s="155" t="s">
        <v>62</v>
      </c>
      <c r="D87" s="139"/>
      <c r="E87" s="155" t="s">
        <v>74</v>
      </c>
      <c r="F87" s="255" t="s">
        <v>539</v>
      </c>
      <c r="G87" s="255" t="s">
        <v>326</v>
      </c>
      <c r="H87" s="258">
        <v>2</v>
      </c>
      <c r="I87" s="258">
        <v>0</v>
      </c>
      <c r="J87" s="258">
        <v>0</v>
      </c>
      <c r="K87" s="259">
        <v>0</v>
      </c>
      <c r="L87" s="146">
        <v>0</v>
      </c>
      <c r="M87" s="146">
        <f t="shared" si="2"/>
        <v>0</v>
      </c>
      <c r="N87" s="257">
        <v>0</v>
      </c>
      <c r="O87" s="142">
        <v>0</v>
      </c>
      <c r="P87" s="143">
        <v>0</v>
      </c>
      <c r="Q87" s="150">
        <v>0</v>
      </c>
    </row>
    <row r="88" spans="1:17" s="6" customFormat="1" hidden="1" x14ac:dyDescent="0.25">
      <c r="A88" s="147">
        <v>32</v>
      </c>
      <c r="B88" s="255" t="s">
        <v>621</v>
      </c>
      <c r="C88" s="155" t="s">
        <v>62</v>
      </c>
      <c r="D88" s="139"/>
      <c r="E88" s="155" t="s">
        <v>74</v>
      </c>
      <c r="F88" s="255" t="s">
        <v>622</v>
      </c>
      <c r="G88" s="255" t="s">
        <v>326</v>
      </c>
      <c r="H88" s="258">
        <v>2</v>
      </c>
      <c r="I88" s="258">
        <v>0</v>
      </c>
      <c r="J88" s="258">
        <v>0</v>
      </c>
      <c r="K88" s="259">
        <v>0</v>
      </c>
      <c r="L88" s="146">
        <v>0</v>
      </c>
      <c r="M88" s="146">
        <f t="shared" si="2"/>
        <v>0</v>
      </c>
      <c r="N88" s="257">
        <v>0</v>
      </c>
      <c r="O88" s="142">
        <v>0</v>
      </c>
      <c r="P88" s="143">
        <v>0</v>
      </c>
      <c r="Q88" s="150">
        <v>0</v>
      </c>
    </row>
    <row r="89" spans="1:17" s="6" customFormat="1" hidden="1" x14ac:dyDescent="0.25">
      <c r="A89" s="147">
        <v>33</v>
      </c>
      <c r="B89" s="255" t="s">
        <v>96</v>
      </c>
      <c r="C89" s="155" t="s">
        <v>62</v>
      </c>
      <c r="D89" s="139"/>
      <c r="E89" s="155" t="s">
        <v>98</v>
      </c>
      <c r="F89" s="255" t="s">
        <v>540</v>
      </c>
      <c r="G89" s="255" t="s">
        <v>326</v>
      </c>
      <c r="H89" s="258">
        <v>1</v>
      </c>
      <c r="I89" s="258">
        <v>0</v>
      </c>
      <c r="J89" s="258">
        <v>0</v>
      </c>
      <c r="K89" s="259">
        <v>0</v>
      </c>
      <c r="L89" s="146">
        <v>0</v>
      </c>
      <c r="M89" s="146">
        <f t="shared" si="2"/>
        <v>0</v>
      </c>
      <c r="N89" s="257">
        <v>1</v>
      </c>
      <c r="O89" s="142">
        <v>0</v>
      </c>
      <c r="P89" s="143">
        <v>0</v>
      </c>
      <c r="Q89" s="150">
        <v>0</v>
      </c>
    </row>
    <row r="90" spans="1:17" s="6" customFormat="1" hidden="1" x14ac:dyDescent="0.25">
      <c r="A90" s="147">
        <v>34</v>
      </c>
      <c r="B90" s="255" t="s">
        <v>124</v>
      </c>
      <c r="C90" s="155" t="s">
        <v>62</v>
      </c>
      <c r="D90" s="139"/>
      <c r="E90" s="155" t="s">
        <v>74</v>
      </c>
      <c r="F90" s="255" t="s">
        <v>368</v>
      </c>
      <c r="G90" s="255" t="s">
        <v>326</v>
      </c>
      <c r="H90" s="258">
        <v>26</v>
      </c>
      <c r="I90" s="258">
        <v>15</v>
      </c>
      <c r="J90" s="258">
        <v>15</v>
      </c>
      <c r="K90" s="259">
        <f>6343.2+3700.2+4326.35</f>
        <v>14369.75</v>
      </c>
      <c r="L90" s="146">
        <f>1762+1762+2819.2+3700.2</f>
        <v>10043.4</v>
      </c>
      <c r="M90" s="146">
        <f t="shared" si="2"/>
        <v>4326.3500000000004</v>
      </c>
      <c r="N90" s="257">
        <v>8</v>
      </c>
      <c r="O90" s="142">
        <f>3171.6+88+1493.8-704.8+704.8</f>
        <v>4753.3999999999996</v>
      </c>
      <c r="P90" s="150">
        <f>1765.8+1493.8+789+704.8</f>
        <v>4753.3999999999996</v>
      </c>
      <c r="Q90" s="146">
        <f>O90-P90</f>
        <v>0</v>
      </c>
    </row>
    <row r="91" spans="1:17" s="6" customFormat="1" hidden="1" x14ac:dyDescent="0.25">
      <c r="A91" s="147">
        <v>35</v>
      </c>
      <c r="B91" s="255" t="s">
        <v>51</v>
      </c>
      <c r="C91" s="155" t="s">
        <v>62</v>
      </c>
      <c r="D91" s="139"/>
      <c r="E91" s="155" t="s">
        <v>74</v>
      </c>
      <c r="F91" s="255" t="s">
        <v>369</v>
      </c>
      <c r="G91" s="255" t="s">
        <v>326</v>
      </c>
      <c r="H91" s="258">
        <v>0</v>
      </c>
      <c r="I91" s="258">
        <v>0</v>
      </c>
      <c r="J91" s="258">
        <v>0</v>
      </c>
      <c r="K91" s="259">
        <v>0</v>
      </c>
      <c r="L91" s="146">
        <v>0</v>
      </c>
      <c r="M91" s="146">
        <f t="shared" si="2"/>
        <v>0</v>
      </c>
      <c r="N91" s="257">
        <v>1</v>
      </c>
      <c r="O91" s="142">
        <v>2290.6</v>
      </c>
      <c r="P91" s="150">
        <v>2290.6</v>
      </c>
      <c r="Q91" s="150">
        <f>O91-P91</f>
        <v>0</v>
      </c>
    </row>
    <row r="92" spans="1:17" s="6" customFormat="1" hidden="1" x14ac:dyDescent="0.25">
      <c r="A92" s="147">
        <v>36</v>
      </c>
      <c r="B92" s="255" t="s">
        <v>286</v>
      </c>
      <c r="C92" s="155" t="s">
        <v>62</v>
      </c>
      <c r="D92" s="139"/>
      <c r="E92" s="155" t="s">
        <v>74</v>
      </c>
      <c r="F92" s="255" t="s">
        <v>476</v>
      </c>
      <c r="G92" s="255" t="s">
        <v>326</v>
      </c>
      <c r="H92" s="258">
        <v>8</v>
      </c>
      <c r="I92" s="258">
        <v>4</v>
      </c>
      <c r="J92" s="258">
        <v>4</v>
      </c>
      <c r="K92" s="259">
        <f>1233.4+1409.6</f>
        <v>2643</v>
      </c>
      <c r="L92" s="146">
        <f>1233.4+1409.6</f>
        <v>2643</v>
      </c>
      <c r="M92" s="146">
        <f t="shared" si="2"/>
        <v>0</v>
      </c>
      <c r="N92" s="257">
        <v>0</v>
      </c>
      <c r="O92" s="142">
        <v>0</v>
      </c>
      <c r="P92" s="150">
        <v>0</v>
      </c>
      <c r="Q92" s="150">
        <v>0</v>
      </c>
    </row>
    <row r="93" spans="1:17" s="6" customFormat="1" hidden="1" x14ac:dyDescent="0.25">
      <c r="A93" s="147">
        <v>37</v>
      </c>
      <c r="B93" s="255" t="s">
        <v>290</v>
      </c>
      <c r="C93" s="155" t="s">
        <v>62</v>
      </c>
      <c r="D93" s="139"/>
      <c r="E93" s="155" t="s">
        <v>371</v>
      </c>
      <c r="F93" s="255" t="s">
        <v>372</v>
      </c>
      <c r="G93" s="255" t="s">
        <v>326</v>
      </c>
      <c r="H93" s="258">
        <v>9</v>
      </c>
      <c r="I93" s="258">
        <v>6</v>
      </c>
      <c r="J93" s="258">
        <v>6</v>
      </c>
      <c r="K93" s="259">
        <f>1409.6+704.8</f>
        <v>2114.3999999999996</v>
      </c>
      <c r="L93" s="146">
        <f>1409.6+704.8</f>
        <v>2114.3999999999996</v>
      </c>
      <c r="M93" s="146">
        <f t="shared" si="2"/>
        <v>0</v>
      </c>
      <c r="N93" s="257">
        <v>0</v>
      </c>
      <c r="O93" s="142">
        <v>0</v>
      </c>
      <c r="P93" s="143">
        <v>0</v>
      </c>
      <c r="Q93" s="150">
        <f>O93-P93</f>
        <v>0</v>
      </c>
    </row>
    <row r="94" spans="1:17" s="6" customFormat="1" hidden="1" x14ac:dyDescent="0.25">
      <c r="A94" s="147">
        <v>38</v>
      </c>
      <c r="B94" s="255" t="s">
        <v>134</v>
      </c>
      <c r="C94" s="155" t="s">
        <v>62</v>
      </c>
      <c r="D94" s="139"/>
      <c r="E94" s="155" t="s">
        <v>74</v>
      </c>
      <c r="F94" s="255" t="s">
        <v>373</v>
      </c>
      <c r="G94" s="255" t="s">
        <v>326</v>
      </c>
      <c r="H94" s="258">
        <v>3</v>
      </c>
      <c r="I94" s="258">
        <v>1</v>
      </c>
      <c r="J94" s="258">
        <v>1</v>
      </c>
      <c r="K94" s="259">
        <f>1938.2</f>
        <v>1938.2</v>
      </c>
      <c r="L94" s="146">
        <v>1938.2</v>
      </c>
      <c r="M94" s="146">
        <f t="shared" si="2"/>
        <v>0</v>
      </c>
      <c r="N94" s="257">
        <v>2</v>
      </c>
      <c r="O94" s="142">
        <v>2643</v>
      </c>
      <c r="P94" s="150">
        <f>881+1762</f>
        <v>2643</v>
      </c>
      <c r="Q94" s="150">
        <f>O94-P94</f>
        <v>0</v>
      </c>
    </row>
    <row r="95" spans="1:17" s="6" customFormat="1" hidden="1" x14ac:dyDescent="0.25">
      <c r="A95" s="147">
        <v>39</v>
      </c>
      <c r="B95" s="255" t="s">
        <v>135</v>
      </c>
      <c r="C95" s="155" t="s">
        <v>62</v>
      </c>
      <c r="D95" s="139"/>
      <c r="E95" s="155" t="s">
        <v>74</v>
      </c>
      <c r="F95" s="255" t="s">
        <v>374</v>
      </c>
      <c r="G95" s="255" t="s">
        <v>326</v>
      </c>
      <c r="H95" s="258">
        <v>19</v>
      </c>
      <c r="I95" s="258">
        <v>4</v>
      </c>
      <c r="J95" s="258">
        <v>4</v>
      </c>
      <c r="K95" s="259">
        <f>5109.8+881</f>
        <v>5990.8</v>
      </c>
      <c r="L95" s="146">
        <f>2290.6+2819.2+881</f>
        <v>5990.7999999999993</v>
      </c>
      <c r="M95" s="146">
        <f t="shared" si="2"/>
        <v>0</v>
      </c>
      <c r="N95" s="257">
        <v>38</v>
      </c>
      <c r="O95" s="142">
        <f>15109.16+9717+2845.2+3774.05</f>
        <v>31445.41</v>
      </c>
      <c r="P95" s="150">
        <f>14228.16+881+9717+2845.2</f>
        <v>27671.360000000001</v>
      </c>
      <c r="Q95" s="146">
        <f>O95-P95</f>
        <v>3774.0499999999993</v>
      </c>
    </row>
    <row r="96" spans="1:17" s="6" customFormat="1" ht="25.5" hidden="1" x14ac:dyDescent="0.25">
      <c r="A96" s="148">
        <v>40</v>
      </c>
      <c r="B96" s="255" t="s">
        <v>508</v>
      </c>
      <c r="C96" s="155" t="s">
        <v>64</v>
      </c>
      <c r="D96" s="254" t="s">
        <v>509</v>
      </c>
      <c r="E96" s="155" t="s">
        <v>74</v>
      </c>
      <c r="F96" s="255" t="s">
        <v>510</v>
      </c>
      <c r="G96" s="255" t="s">
        <v>326</v>
      </c>
      <c r="H96" s="258">
        <v>3</v>
      </c>
      <c r="I96" s="258">
        <v>2</v>
      </c>
      <c r="J96" s="258">
        <v>2</v>
      </c>
      <c r="K96" s="259">
        <f>4418.4</f>
        <v>4418.3999999999996</v>
      </c>
      <c r="L96" s="146">
        <v>0</v>
      </c>
      <c r="M96" s="146">
        <f t="shared" si="2"/>
        <v>4418.3999999999996</v>
      </c>
      <c r="N96" s="257">
        <v>0</v>
      </c>
      <c r="O96" s="146">
        <v>0</v>
      </c>
      <c r="P96" s="150">
        <v>0</v>
      </c>
      <c r="Q96" s="150">
        <v>0</v>
      </c>
    </row>
    <row r="97" spans="1:17" s="6" customFormat="1" hidden="1" x14ac:dyDescent="0.25">
      <c r="A97" s="147">
        <v>41</v>
      </c>
      <c r="B97" s="255" t="s">
        <v>299</v>
      </c>
      <c r="C97" s="155" t="s">
        <v>62</v>
      </c>
      <c r="D97" s="139"/>
      <c r="E97" s="155" t="s">
        <v>158</v>
      </c>
      <c r="F97" s="255" t="s">
        <v>375</v>
      </c>
      <c r="G97" s="255" t="s">
        <v>326</v>
      </c>
      <c r="H97" s="258">
        <v>3</v>
      </c>
      <c r="I97" s="258">
        <v>1</v>
      </c>
      <c r="J97" s="258">
        <v>1</v>
      </c>
      <c r="K97" s="259">
        <f>704.8</f>
        <v>704.8</v>
      </c>
      <c r="L97" s="146">
        <f>704.8</f>
        <v>704.8</v>
      </c>
      <c r="M97" s="146">
        <f t="shared" si="2"/>
        <v>0</v>
      </c>
      <c r="N97" s="257">
        <v>0</v>
      </c>
      <c r="O97" s="142">
        <v>0</v>
      </c>
      <c r="P97" s="150">
        <v>0</v>
      </c>
      <c r="Q97" s="150">
        <f t="shared" ref="Q97:Q103" si="4">O97-P97</f>
        <v>0</v>
      </c>
    </row>
    <row r="98" spans="1:17" s="6" customFormat="1" hidden="1" x14ac:dyDescent="0.25">
      <c r="A98" s="147">
        <v>42</v>
      </c>
      <c r="B98" s="255" t="s">
        <v>376</v>
      </c>
      <c r="C98" s="155" t="s">
        <v>62</v>
      </c>
      <c r="D98" s="139"/>
      <c r="E98" s="155" t="s">
        <v>74</v>
      </c>
      <c r="F98" s="255" t="s">
        <v>377</v>
      </c>
      <c r="G98" s="255" t="s">
        <v>326</v>
      </c>
      <c r="H98" s="258">
        <v>5</v>
      </c>
      <c r="I98" s="258">
        <v>3</v>
      </c>
      <c r="J98" s="258">
        <v>3</v>
      </c>
      <c r="K98" s="259">
        <f>1409.6+2643</f>
        <v>4052.6</v>
      </c>
      <c r="L98" s="146">
        <f>1409.6+2339.82+303.18</f>
        <v>4052.6</v>
      </c>
      <c r="M98" s="146">
        <f t="shared" si="2"/>
        <v>0</v>
      </c>
      <c r="N98" s="257">
        <v>0</v>
      </c>
      <c r="O98" s="142">
        <v>0</v>
      </c>
      <c r="P98" s="150">
        <v>0</v>
      </c>
      <c r="Q98" s="150">
        <f t="shared" si="4"/>
        <v>0</v>
      </c>
    </row>
    <row r="99" spans="1:17" s="6" customFormat="1" hidden="1" x14ac:dyDescent="0.25">
      <c r="A99" s="147">
        <v>43</v>
      </c>
      <c r="B99" s="255" t="s">
        <v>129</v>
      </c>
      <c r="C99" s="155" t="s">
        <v>62</v>
      </c>
      <c r="D99" s="139"/>
      <c r="E99" s="155" t="s">
        <v>74</v>
      </c>
      <c r="F99" s="255" t="s">
        <v>378</v>
      </c>
      <c r="G99" s="255" t="s">
        <v>326</v>
      </c>
      <c r="H99" s="258">
        <v>41</v>
      </c>
      <c r="I99" s="258">
        <v>24</v>
      </c>
      <c r="J99" s="258">
        <v>24</v>
      </c>
      <c r="K99" s="259">
        <f>7355.96+1306.55+4415.93+5710.35+1310.55+10196.79+4488.25</f>
        <v>34784.380000000005</v>
      </c>
      <c r="L99" s="146">
        <f>3615.96+5046.55+4415.93+2821.97+2888.38</f>
        <v>18788.79</v>
      </c>
      <c r="M99" s="146">
        <f t="shared" si="2"/>
        <v>15995.590000000004</v>
      </c>
      <c r="N99" s="257">
        <v>33</v>
      </c>
      <c r="O99" s="142">
        <f>28417.04+2923.96+3402.23+528.6+3259.4+1369.4+10104.55+4063.86+3819.85</f>
        <v>57888.890000000007</v>
      </c>
      <c r="P99" s="143">
        <f>22002.43+5101.53+1313.08+2923.96+3402.23+528.6+3259.4</f>
        <v>38531.230000000003</v>
      </c>
      <c r="Q99" s="150">
        <f t="shared" si="4"/>
        <v>19357.660000000003</v>
      </c>
    </row>
    <row r="100" spans="1:17" s="6" customFormat="1" hidden="1" x14ac:dyDescent="0.25">
      <c r="A100" s="147">
        <v>44</v>
      </c>
      <c r="B100" s="255" t="s">
        <v>379</v>
      </c>
      <c r="C100" s="155" t="s">
        <v>62</v>
      </c>
      <c r="D100" s="139"/>
      <c r="E100" s="155" t="s">
        <v>158</v>
      </c>
      <c r="F100" s="255" t="s">
        <v>380</v>
      </c>
      <c r="G100" s="255" t="s">
        <v>326</v>
      </c>
      <c r="H100" s="258">
        <v>3</v>
      </c>
      <c r="I100" s="258">
        <v>2</v>
      </c>
      <c r="J100" s="258">
        <v>2</v>
      </c>
      <c r="K100" s="259">
        <f>704.8+1012.55</f>
        <v>1717.35</v>
      </c>
      <c r="L100" s="146">
        <f>704.8</f>
        <v>704.8</v>
      </c>
      <c r="M100" s="146">
        <f t="shared" si="2"/>
        <v>1012.55</v>
      </c>
      <c r="N100" s="257">
        <v>0</v>
      </c>
      <c r="O100" s="142">
        <v>0</v>
      </c>
      <c r="P100" s="150">
        <v>0</v>
      </c>
      <c r="Q100" s="150">
        <f t="shared" si="4"/>
        <v>0</v>
      </c>
    </row>
    <row r="101" spans="1:17" s="6" customFormat="1" hidden="1" x14ac:dyDescent="0.25">
      <c r="A101" s="147">
        <v>45</v>
      </c>
      <c r="B101" s="255" t="s">
        <v>130</v>
      </c>
      <c r="C101" s="155" t="s">
        <v>62</v>
      </c>
      <c r="D101" s="139"/>
      <c r="E101" s="155" t="s">
        <v>74</v>
      </c>
      <c r="F101" s="255" t="s">
        <v>557</v>
      </c>
      <c r="G101" s="255" t="s">
        <v>326</v>
      </c>
      <c r="H101" s="258">
        <v>1</v>
      </c>
      <c r="I101" s="258">
        <v>0</v>
      </c>
      <c r="J101" s="258">
        <v>0</v>
      </c>
      <c r="K101" s="259">
        <v>0</v>
      </c>
      <c r="L101" s="146">
        <v>0</v>
      </c>
      <c r="M101" s="146">
        <f t="shared" si="2"/>
        <v>0</v>
      </c>
      <c r="N101" s="257">
        <v>2</v>
      </c>
      <c r="O101" s="142">
        <f>3700.2</f>
        <v>3700.2</v>
      </c>
      <c r="P101" s="150">
        <f>3700.2</f>
        <v>3700.2</v>
      </c>
      <c r="Q101" s="150">
        <f t="shared" si="4"/>
        <v>0</v>
      </c>
    </row>
    <row r="102" spans="1:17" s="6" customFormat="1" hidden="1" x14ac:dyDescent="0.25">
      <c r="A102" s="147">
        <v>46</v>
      </c>
      <c r="B102" s="255" t="s">
        <v>382</v>
      </c>
      <c r="C102" s="155" t="s">
        <v>62</v>
      </c>
      <c r="D102" s="139"/>
      <c r="E102" s="155" t="s">
        <v>383</v>
      </c>
      <c r="F102" s="255" t="s">
        <v>384</v>
      </c>
      <c r="G102" s="255" t="s">
        <v>326</v>
      </c>
      <c r="H102" s="258">
        <v>1</v>
      </c>
      <c r="I102" s="258">
        <v>1</v>
      </c>
      <c r="J102" s="258">
        <v>1</v>
      </c>
      <c r="K102" s="259">
        <v>704.8</v>
      </c>
      <c r="L102" s="146">
        <f>187.75+517.05</f>
        <v>704.8</v>
      </c>
      <c r="M102" s="146">
        <f t="shared" si="2"/>
        <v>0</v>
      </c>
      <c r="N102" s="257">
        <v>0</v>
      </c>
      <c r="O102" s="142">
        <v>0</v>
      </c>
      <c r="P102" s="150">
        <v>0</v>
      </c>
      <c r="Q102" s="150">
        <f t="shared" si="4"/>
        <v>0</v>
      </c>
    </row>
    <row r="103" spans="1:17" s="6" customFormat="1" hidden="1" x14ac:dyDescent="0.25">
      <c r="A103" s="147">
        <v>47</v>
      </c>
      <c r="B103" s="255" t="s">
        <v>385</v>
      </c>
      <c r="C103" s="155" t="s">
        <v>62</v>
      </c>
      <c r="D103" s="139"/>
      <c r="E103" s="139" t="s">
        <v>145</v>
      </c>
      <c r="F103" s="255" t="s">
        <v>386</v>
      </c>
      <c r="G103" s="255" t="s">
        <v>326</v>
      </c>
      <c r="H103" s="258">
        <v>12</v>
      </c>
      <c r="I103" s="258">
        <v>5</v>
      </c>
      <c r="J103" s="258">
        <v>5</v>
      </c>
      <c r="K103" s="259">
        <f>1762+2422.75</f>
        <v>4184.75</v>
      </c>
      <c r="L103" s="146">
        <f>1057.2+704.8+2422.75</f>
        <v>4184.75</v>
      </c>
      <c r="M103" s="146">
        <f t="shared" si="2"/>
        <v>0</v>
      </c>
      <c r="N103" s="257">
        <v>18</v>
      </c>
      <c r="O103" s="142">
        <v>9602.9</v>
      </c>
      <c r="P103" s="143">
        <f>9074.3+528.6</f>
        <v>9602.9</v>
      </c>
      <c r="Q103" s="150">
        <f t="shared" si="4"/>
        <v>0</v>
      </c>
    </row>
    <row r="104" spans="1:17" s="6" customFormat="1" hidden="1" x14ac:dyDescent="0.25">
      <c r="A104" s="147">
        <v>48</v>
      </c>
      <c r="B104" s="255" t="s">
        <v>150</v>
      </c>
      <c r="C104" s="155" t="s">
        <v>62</v>
      </c>
      <c r="D104" s="139"/>
      <c r="E104" s="155" t="s">
        <v>74</v>
      </c>
      <c r="F104" s="255" t="s">
        <v>370</v>
      </c>
      <c r="G104" s="255" t="s">
        <v>326</v>
      </c>
      <c r="H104" s="258">
        <v>0</v>
      </c>
      <c r="I104" s="258">
        <v>0</v>
      </c>
      <c r="J104" s="258">
        <v>0</v>
      </c>
      <c r="K104" s="259">
        <v>0</v>
      </c>
      <c r="L104" s="146">
        <v>0</v>
      </c>
      <c r="M104" s="146">
        <v>0</v>
      </c>
      <c r="N104" s="257">
        <v>0</v>
      </c>
      <c r="O104" s="142">
        <v>0</v>
      </c>
      <c r="P104" s="143">
        <v>0</v>
      </c>
      <c r="Q104" s="150">
        <v>0</v>
      </c>
    </row>
    <row r="105" spans="1:17" s="6" customFormat="1" hidden="1" x14ac:dyDescent="0.25">
      <c r="A105" s="147">
        <v>49</v>
      </c>
      <c r="B105" s="255" t="s">
        <v>387</v>
      </c>
      <c r="C105" s="155" t="s">
        <v>62</v>
      </c>
      <c r="D105" s="139"/>
      <c r="E105" s="155" t="s">
        <v>157</v>
      </c>
      <c r="F105" s="255" t="s">
        <v>388</v>
      </c>
      <c r="G105" s="255" t="s">
        <v>326</v>
      </c>
      <c r="H105" s="258">
        <v>0</v>
      </c>
      <c r="I105" s="258">
        <v>0</v>
      </c>
      <c r="J105" s="258">
        <v>0</v>
      </c>
      <c r="K105" s="273">
        <v>0</v>
      </c>
      <c r="L105" s="146">
        <v>0</v>
      </c>
      <c r="M105" s="146">
        <f>K105-L105</f>
        <v>0</v>
      </c>
      <c r="N105" s="257">
        <v>0</v>
      </c>
      <c r="O105" s="142">
        <v>0</v>
      </c>
      <c r="P105" s="150">
        <v>0</v>
      </c>
      <c r="Q105" s="150">
        <f>O105-P105</f>
        <v>0</v>
      </c>
    </row>
    <row r="106" spans="1:17" s="6" customFormat="1" hidden="1" x14ac:dyDescent="0.25">
      <c r="A106" s="147">
        <v>50</v>
      </c>
      <c r="B106" s="255" t="s">
        <v>54</v>
      </c>
      <c r="C106" s="155" t="s">
        <v>62</v>
      </c>
      <c r="D106" s="139"/>
      <c r="E106" s="155" t="s">
        <v>338</v>
      </c>
      <c r="F106" s="255" t="s">
        <v>391</v>
      </c>
      <c r="G106" s="255" t="s">
        <v>326</v>
      </c>
      <c r="H106" s="258">
        <v>0</v>
      </c>
      <c r="I106" s="258">
        <v>0</v>
      </c>
      <c r="J106" s="139">
        <v>0</v>
      </c>
      <c r="K106" s="273">
        <v>0</v>
      </c>
      <c r="L106" s="146">
        <v>0</v>
      </c>
      <c r="M106" s="146">
        <f>K106-L106</f>
        <v>0</v>
      </c>
      <c r="N106" s="257">
        <v>0</v>
      </c>
      <c r="O106" s="142">
        <v>0</v>
      </c>
      <c r="P106" s="143">
        <v>0</v>
      </c>
      <c r="Q106" s="150">
        <f>O106-P106</f>
        <v>0</v>
      </c>
    </row>
    <row r="107" spans="1:17" s="6" customFormat="1" ht="39" hidden="1" x14ac:dyDescent="0.25">
      <c r="A107" s="148">
        <v>51</v>
      </c>
      <c r="B107" s="255" t="s">
        <v>131</v>
      </c>
      <c r="C107" s="155" t="s">
        <v>64</v>
      </c>
      <c r="D107" s="261" t="s">
        <v>392</v>
      </c>
      <c r="E107" s="155" t="s">
        <v>158</v>
      </c>
      <c r="F107" s="256" t="s">
        <v>393</v>
      </c>
      <c r="G107" s="255" t="s">
        <v>326</v>
      </c>
      <c r="H107" s="258">
        <v>0</v>
      </c>
      <c r="I107" s="258">
        <v>0</v>
      </c>
      <c r="J107" s="145">
        <v>0</v>
      </c>
      <c r="K107" s="274">
        <v>0</v>
      </c>
      <c r="L107" s="150">
        <v>0</v>
      </c>
      <c r="M107" s="150">
        <f>K107-L107</f>
        <v>0</v>
      </c>
      <c r="N107" s="256">
        <v>0</v>
      </c>
      <c r="O107" s="150">
        <v>0</v>
      </c>
      <c r="P107" s="150">
        <v>0</v>
      </c>
      <c r="Q107" s="150">
        <f>O107-P107</f>
        <v>0</v>
      </c>
    </row>
    <row r="108" spans="1:17" s="6" customFormat="1" ht="25.5" hidden="1" x14ac:dyDescent="0.25">
      <c r="A108" s="63">
        <v>1</v>
      </c>
      <c r="B108" s="100" t="s">
        <v>21</v>
      </c>
      <c r="C108" s="100" t="s">
        <v>62</v>
      </c>
      <c r="D108" s="100"/>
      <c r="E108" s="100" t="s">
        <v>157</v>
      </c>
      <c r="F108" s="100" t="s">
        <v>523</v>
      </c>
      <c r="G108" s="100" t="s">
        <v>524</v>
      </c>
      <c r="H108" s="234">
        <v>1</v>
      </c>
      <c r="I108" s="234">
        <v>0</v>
      </c>
      <c r="J108" s="234">
        <v>0</v>
      </c>
      <c r="K108" s="215">
        <v>0</v>
      </c>
      <c r="L108" s="215">
        <v>0</v>
      </c>
      <c r="M108" s="215">
        <v>0</v>
      </c>
      <c r="N108" s="234">
        <v>1</v>
      </c>
      <c r="O108" s="215">
        <v>1233.4000000000001</v>
      </c>
      <c r="P108" s="215">
        <v>1233.4000000000001</v>
      </c>
      <c r="Q108" s="215">
        <v>0</v>
      </c>
    </row>
    <row r="109" spans="1:17" s="6" customFormat="1" ht="25.5" hidden="1" x14ac:dyDescent="0.25">
      <c r="A109" s="63">
        <v>2</v>
      </c>
      <c r="B109" s="100" t="s">
        <v>147</v>
      </c>
      <c r="C109" s="100" t="s">
        <v>62</v>
      </c>
      <c r="D109" s="100"/>
      <c r="E109" s="100" t="s">
        <v>158</v>
      </c>
      <c r="F109" s="100" t="s">
        <v>525</v>
      </c>
      <c r="G109" s="100" t="s">
        <v>524</v>
      </c>
      <c r="H109" s="234">
        <v>1</v>
      </c>
      <c r="I109" s="234">
        <v>1</v>
      </c>
      <c r="J109" s="234">
        <v>1</v>
      </c>
      <c r="K109" s="215">
        <v>1762</v>
      </c>
      <c r="L109" s="215">
        <v>1762</v>
      </c>
      <c r="M109" s="215">
        <v>0</v>
      </c>
      <c r="N109" s="234">
        <v>2</v>
      </c>
      <c r="O109" s="215">
        <v>10751.3</v>
      </c>
      <c r="P109" s="215">
        <v>8805.4</v>
      </c>
      <c r="Q109" s="215">
        <v>1945.9</v>
      </c>
    </row>
    <row r="110" spans="1:17" s="6" customFormat="1" ht="25.5" hidden="1" x14ac:dyDescent="0.25">
      <c r="A110" s="63">
        <v>3</v>
      </c>
      <c r="B110" s="232" t="s">
        <v>526</v>
      </c>
      <c r="C110" s="100" t="s">
        <v>62</v>
      </c>
      <c r="D110" s="100"/>
      <c r="E110" s="100" t="s">
        <v>527</v>
      </c>
      <c r="F110" s="100" t="s">
        <v>528</v>
      </c>
      <c r="G110" s="100" t="s">
        <v>524</v>
      </c>
      <c r="H110" s="234">
        <v>0</v>
      </c>
      <c r="I110" s="234">
        <v>0</v>
      </c>
      <c r="J110" s="234">
        <v>0</v>
      </c>
      <c r="K110" s="215">
        <v>0</v>
      </c>
      <c r="L110" s="215">
        <v>0</v>
      </c>
      <c r="M110" s="215">
        <v>0</v>
      </c>
      <c r="N110" s="234">
        <v>0</v>
      </c>
      <c r="O110" s="218">
        <v>0</v>
      </c>
      <c r="P110" s="215">
        <v>0</v>
      </c>
      <c r="Q110" s="215">
        <v>0</v>
      </c>
    </row>
    <row r="111" spans="1:17" s="6" customFormat="1" ht="25.5" hidden="1" x14ac:dyDescent="0.25">
      <c r="A111" s="63">
        <v>4</v>
      </c>
      <c r="B111" s="100" t="s">
        <v>305</v>
      </c>
      <c r="C111" s="100" t="s">
        <v>62</v>
      </c>
      <c r="D111" s="100"/>
      <c r="E111" s="100" t="s">
        <v>157</v>
      </c>
      <c r="F111" s="100" t="s">
        <v>531</v>
      </c>
      <c r="G111" s="100" t="s">
        <v>524</v>
      </c>
      <c r="H111" s="234">
        <v>4</v>
      </c>
      <c r="I111" s="234">
        <v>4</v>
      </c>
      <c r="J111" s="234">
        <v>4</v>
      </c>
      <c r="K111" s="215">
        <v>4107.8999999999996</v>
      </c>
      <c r="L111" s="215">
        <v>2819.2</v>
      </c>
      <c r="M111" s="215">
        <v>1288.7</v>
      </c>
      <c r="N111" s="234">
        <v>0</v>
      </c>
      <c r="O111" s="215">
        <v>0</v>
      </c>
      <c r="P111" s="215">
        <v>0</v>
      </c>
      <c r="Q111" s="215">
        <v>0</v>
      </c>
    </row>
    <row r="112" spans="1:17" s="6" customFormat="1" ht="25.5" hidden="1" x14ac:dyDescent="0.25">
      <c r="A112" s="63">
        <v>5</v>
      </c>
      <c r="B112" s="100" t="s">
        <v>407</v>
      </c>
      <c r="C112" s="100" t="s">
        <v>62</v>
      </c>
      <c r="D112" s="100"/>
      <c r="E112" s="100" t="s">
        <v>157</v>
      </c>
      <c r="F112" s="100" t="s">
        <v>532</v>
      </c>
      <c r="G112" s="100" t="s">
        <v>524</v>
      </c>
      <c r="H112" s="234">
        <v>4</v>
      </c>
      <c r="I112" s="234">
        <v>1</v>
      </c>
      <c r="J112" s="234">
        <v>1</v>
      </c>
      <c r="K112" s="215">
        <v>3866.1</v>
      </c>
      <c r="L112" s="215">
        <v>0</v>
      </c>
      <c r="M112" s="215">
        <v>3866.1</v>
      </c>
      <c r="N112" s="234">
        <v>0</v>
      </c>
      <c r="O112" s="215">
        <v>0</v>
      </c>
      <c r="P112" s="215">
        <v>0</v>
      </c>
      <c r="Q112" s="215">
        <v>0</v>
      </c>
    </row>
    <row r="113" spans="1:17" s="6" customFormat="1" ht="25.5" hidden="1" x14ac:dyDescent="0.25">
      <c r="A113" s="63">
        <v>6</v>
      </c>
      <c r="B113" s="100" t="s">
        <v>185</v>
      </c>
      <c r="C113" s="100" t="s">
        <v>62</v>
      </c>
      <c r="D113" s="100"/>
      <c r="E113" s="100" t="s">
        <v>157</v>
      </c>
      <c r="F113" s="100" t="s">
        <v>533</v>
      </c>
      <c r="G113" s="100" t="s">
        <v>524</v>
      </c>
      <c r="H113" s="234">
        <v>4</v>
      </c>
      <c r="I113" s="234">
        <v>3</v>
      </c>
      <c r="J113" s="234">
        <v>3</v>
      </c>
      <c r="K113" s="215">
        <v>12249.46</v>
      </c>
      <c r="L113" s="215">
        <v>0</v>
      </c>
      <c r="M113" s="215">
        <v>12249.46</v>
      </c>
      <c r="N113" s="234">
        <v>0</v>
      </c>
      <c r="O113" s="215">
        <v>0</v>
      </c>
      <c r="P113" s="215">
        <v>0</v>
      </c>
      <c r="Q113" s="215">
        <v>0</v>
      </c>
    </row>
    <row r="114" spans="1:17" s="6" customFormat="1" ht="25.5" hidden="1" x14ac:dyDescent="0.25">
      <c r="A114" s="63">
        <v>7</v>
      </c>
      <c r="B114" s="100" t="s">
        <v>534</v>
      </c>
      <c r="C114" s="100" t="s">
        <v>62</v>
      </c>
      <c r="D114" s="100"/>
      <c r="E114" s="100" t="s">
        <v>157</v>
      </c>
      <c r="F114" s="100" t="s">
        <v>535</v>
      </c>
      <c r="G114" s="100" t="s">
        <v>524</v>
      </c>
      <c r="H114" s="234">
        <v>1</v>
      </c>
      <c r="I114" s="234">
        <v>0</v>
      </c>
      <c r="J114" s="234">
        <v>0</v>
      </c>
      <c r="K114" s="215">
        <v>0</v>
      </c>
      <c r="L114" s="215">
        <v>0</v>
      </c>
      <c r="M114" s="215">
        <v>0</v>
      </c>
      <c r="N114" s="234">
        <v>0</v>
      </c>
      <c r="O114" s="215">
        <v>0</v>
      </c>
      <c r="P114" s="215">
        <v>0</v>
      </c>
      <c r="Q114" s="215">
        <v>0</v>
      </c>
    </row>
    <row r="115" spans="1:17" s="6" customFormat="1" ht="25.5" hidden="1" x14ac:dyDescent="0.25">
      <c r="A115" s="63">
        <v>8</v>
      </c>
      <c r="B115" s="100" t="s">
        <v>104</v>
      </c>
      <c r="C115" s="100" t="s">
        <v>62</v>
      </c>
      <c r="D115" s="100"/>
      <c r="E115" s="100" t="s">
        <v>158</v>
      </c>
      <c r="F115" s="233" t="s">
        <v>536</v>
      </c>
      <c r="G115" s="100" t="s">
        <v>524</v>
      </c>
      <c r="H115" s="234">
        <v>0</v>
      </c>
      <c r="I115" s="234">
        <v>0</v>
      </c>
      <c r="J115" s="234">
        <v>0</v>
      </c>
      <c r="K115" s="215">
        <v>0</v>
      </c>
      <c r="L115" s="215">
        <v>0</v>
      </c>
      <c r="M115" s="215">
        <v>0</v>
      </c>
      <c r="N115" s="234">
        <v>1</v>
      </c>
      <c r="O115" s="215">
        <v>0</v>
      </c>
      <c r="P115" s="215">
        <v>0</v>
      </c>
      <c r="Q115" s="215">
        <v>0</v>
      </c>
    </row>
    <row r="116" spans="1:17" s="6" customFormat="1" ht="25.5" hidden="1" x14ac:dyDescent="0.25">
      <c r="A116" s="63">
        <v>9</v>
      </c>
      <c r="B116" s="100" t="s">
        <v>30</v>
      </c>
      <c r="C116" s="100" t="s">
        <v>62</v>
      </c>
      <c r="D116" s="100"/>
      <c r="E116" s="100" t="s">
        <v>537</v>
      </c>
      <c r="F116" s="100" t="s">
        <v>592</v>
      </c>
      <c r="G116" s="100" t="s">
        <v>524</v>
      </c>
      <c r="H116" s="234">
        <v>0</v>
      </c>
      <c r="I116" s="234">
        <v>0</v>
      </c>
      <c r="J116" s="234">
        <v>0</v>
      </c>
      <c r="K116" s="215">
        <v>0</v>
      </c>
      <c r="L116" s="215">
        <v>0</v>
      </c>
      <c r="M116" s="215">
        <v>0</v>
      </c>
      <c r="N116" s="234">
        <v>0</v>
      </c>
      <c r="O116" s="215">
        <v>0</v>
      </c>
      <c r="P116" s="215">
        <v>0</v>
      </c>
      <c r="Q116" s="215">
        <v>0</v>
      </c>
    </row>
    <row r="117" spans="1:17" s="6" customFormat="1" hidden="1" x14ac:dyDescent="0.25">
      <c r="A117" s="343">
        <v>1</v>
      </c>
      <c r="B117" s="243" t="s">
        <v>47</v>
      </c>
      <c r="C117" s="243" t="s">
        <v>62</v>
      </c>
      <c r="D117" s="235"/>
      <c r="E117" s="245" t="s">
        <v>141</v>
      </c>
      <c r="F117" s="236" t="s">
        <v>448</v>
      </c>
      <c r="G117" s="245" t="s">
        <v>142</v>
      </c>
      <c r="H117" s="238">
        <v>7</v>
      </c>
      <c r="I117" s="238">
        <v>1</v>
      </c>
      <c r="J117" s="238">
        <v>1</v>
      </c>
      <c r="K117" s="241">
        <v>1233.4000000000001</v>
      </c>
      <c r="L117" s="241">
        <v>1233.4000000000001</v>
      </c>
      <c r="M117" s="241">
        <v>0</v>
      </c>
      <c r="N117" s="238">
        <v>21</v>
      </c>
      <c r="O117" s="241">
        <v>28051.279999999999</v>
      </c>
      <c r="P117" s="241">
        <v>28051.279999999999</v>
      </c>
      <c r="Q117" s="241">
        <v>0</v>
      </c>
    </row>
    <row r="118" spans="1:17" s="6" customFormat="1" hidden="1" x14ac:dyDescent="0.25">
      <c r="A118" s="343">
        <f>A117+1</f>
        <v>2</v>
      </c>
      <c r="B118" s="243" t="s">
        <v>55</v>
      </c>
      <c r="C118" s="243" t="s">
        <v>62</v>
      </c>
      <c r="D118" s="235"/>
      <c r="E118" s="245" t="s">
        <v>141</v>
      </c>
      <c r="F118" s="236" t="s">
        <v>449</v>
      </c>
      <c r="G118" s="245" t="s">
        <v>142</v>
      </c>
      <c r="H118" s="238">
        <v>8</v>
      </c>
      <c r="I118" s="238">
        <v>3</v>
      </c>
      <c r="J118" s="238">
        <v>3</v>
      </c>
      <c r="K118" s="241">
        <v>2995.4</v>
      </c>
      <c r="L118" s="241">
        <v>2995.4</v>
      </c>
      <c r="M118" s="241">
        <v>0</v>
      </c>
      <c r="N118" s="238">
        <v>13</v>
      </c>
      <c r="O118" s="241">
        <v>26355.3</v>
      </c>
      <c r="P118" s="241">
        <v>26355.3</v>
      </c>
      <c r="Q118" s="241">
        <v>0</v>
      </c>
    </row>
    <row r="119" spans="1:17" s="6" customFormat="1" hidden="1" x14ac:dyDescent="0.25">
      <c r="A119" s="343">
        <f>A118+1</f>
        <v>3</v>
      </c>
      <c r="B119" s="243" t="s">
        <v>122</v>
      </c>
      <c r="C119" s="243" t="s">
        <v>62</v>
      </c>
      <c r="D119" s="235"/>
      <c r="E119" s="245" t="s">
        <v>143</v>
      </c>
      <c r="F119" s="236" t="s">
        <v>450</v>
      </c>
      <c r="G119" s="245" t="s">
        <v>142</v>
      </c>
      <c r="H119" s="238">
        <v>5</v>
      </c>
      <c r="I119" s="238">
        <v>1</v>
      </c>
      <c r="J119" s="238">
        <v>1</v>
      </c>
      <c r="K119" s="241">
        <v>1012.55</v>
      </c>
      <c r="L119" s="241">
        <v>0</v>
      </c>
      <c r="M119" s="241">
        <v>1012.55</v>
      </c>
      <c r="N119" s="238">
        <v>5</v>
      </c>
      <c r="O119" s="241">
        <v>12189.34</v>
      </c>
      <c r="P119" s="241">
        <v>8841.5400000000009</v>
      </c>
      <c r="Q119" s="241">
        <v>3347.8</v>
      </c>
    </row>
    <row r="120" spans="1:17" s="6" customFormat="1" hidden="1" x14ac:dyDescent="0.25">
      <c r="A120" s="343">
        <f>A119+1</f>
        <v>4</v>
      </c>
      <c r="B120" s="243" t="s">
        <v>144</v>
      </c>
      <c r="C120" s="243" t="s">
        <v>62</v>
      </c>
      <c r="D120" s="235"/>
      <c r="E120" s="245" t="s">
        <v>141</v>
      </c>
      <c r="F120" s="236" t="s">
        <v>451</v>
      </c>
      <c r="G120" s="245" t="s">
        <v>142</v>
      </c>
      <c r="H120" s="238">
        <v>7</v>
      </c>
      <c r="I120" s="238">
        <v>7</v>
      </c>
      <c r="J120" s="238">
        <v>7</v>
      </c>
      <c r="K120" s="241">
        <v>8121.62</v>
      </c>
      <c r="L120" s="241">
        <v>7636.71</v>
      </c>
      <c r="M120" s="241">
        <v>484.91</v>
      </c>
      <c r="N120" s="238">
        <v>3</v>
      </c>
      <c r="O120" s="241">
        <v>3595.1</v>
      </c>
      <c r="P120" s="241">
        <v>1938.2</v>
      </c>
      <c r="Q120" s="241">
        <v>1656.9</v>
      </c>
    </row>
    <row r="121" spans="1:17" s="6" customFormat="1" ht="26.25" hidden="1" x14ac:dyDescent="0.25">
      <c r="A121" s="344">
        <f>A120+1</f>
        <v>5</v>
      </c>
      <c r="B121" s="243" t="s">
        <v>46</v>
      </c>
      <c r="C121" s="243" t="s">
        <v>62</v>
      </c>
      <c r="D121" s="235"/>
      <c r="E121" s="245" t="s">
        <v>452</v>
      </c>
      <c r="F121" s="236" t="s">
        <v>453</v>
      </c>
      <c r="G121" s="245" t="s">
        <v>142</v>
      </c>
      <c r="H121" s="238">
        <v>0</v>
      </c>
      <c r="I121" s="238">
        <v>0</v>
      </c>
      <c r="J121" s="238">
        <v>0</v>
      </c>
      <c r="K121" s="241">
        <v>0</v>
      </c>
      <c r="L121" s="241">
        <v>0</v>
      </c>
      <c r="M121" s="241">
        <v>0</v>
      </c>
      <c r="N121" s="238">
        <v>0</v>
      </c>
      <c r="O121" s="241">
        <v>0</v>
      </c>
      <c r="P121" s="241">
        <v>0</v>
      </c>
      <c r="Q121" s="241">
        <v>0</v>
      </c>
    </row>
    <row r="122" spans="1:17" s="6" customFormat="1" hidden="1" x14ac:dyDescent="0.25">
      <c r="A122" s="345">
        <v>6</v>
      </c>
      <c r="B122" s="245" t="s">
        <v>133</v>
      </c>
      <c r="C122" s="245" t="s">
        <v>67</v>
      </c>
      <c r="D122" s="245" t="s">
        <v>397</v>
      </c>
      <c r="E122" s="245" t="s">
        <v>74</v>
      </c>
      <c r="F122" s="236" t="s">
        <v>593</v>
      </c>
      <c r="G122" s="245" t="s">
        <v>142</v>
      </c>
      <c r="H122" s="238">
        <v>0</v>
      </c>
      <c r="I122" s="239">
        <v>0</v>
      </c>
      <c r="J122" s="239">
        <v>0</v>
      </c>
      <c r="K122" s="242">
        <v>0</v>
      </c>
      <c r="L122" s="242">
        <v>0</v>
      </c>
      <c r="M122" s="242">
        <v>0</v>
      </c>
      <c r="N122" s="238">
        <v>0</v>
      </c>
      <c r="O122" s="241">
        <v>0</v>
      </c>
      <c r="P122" s="241">
        <v>0</v>
      </c>
      <c r="Q122" s="241">
        <v>0</v>
      </c>
    </row>
    <row r="123" spans="1:17" s="6" customFormat="1" hidden="1" x14ac:dyDescent="0.25">
      <c r="A123" s="345">
        <v>7</v>
      </c>
      <c r="B123" s="245" t="s">
        <v>176</v>
      </c>
      <c r="C123" s="245" t="s">
        <v>62</v>
      </c>
      <c r="D123" s="236"/>
      <c r="E123" s="245" t="s">
        <v>141</v>
      </c>
      <c r="F123" s="236" t="s">
        <v>455</v>
      </c>
      <c r="G123" s="245" t="s">
        <v>142</v>
      </c>
      <c r="H123" s="238">
        <v>12</v>
      </c>
      <c r="I123" s="238">
        <v>9</v>
      </c>
      <c r="J123" s="238">
        <v>9</v>
      </c>
      <c r="K123" s="241">
        <v>10807.76</v>
      </c>
      <c r="L123" s="241">
        <v>8598.56</v>
      </c>
      <c r="M123" s="241">
        <v>2209.1999999999998</v>
      </c>
      <c r="N123" s="238">
        <v>0</v>
      </c>
      <c r="O123" s="241">
        <v>0</v>
      </c>
      <c r="P123" s="241">
        <v>0</v>
      </c>
      <c r="Q123" s="241">
        <v>0</v>
      </c>
    </row>
    <row r="124" spans="1:17" s="6" customFormat="1" hidden="1" x14ac:dyDescent="0.25">
      <c r="A124" s="345">
        <v>8</v>
      </c>
      <c r="B124" s="245" t="s">
        <v>235</v>
      </c>
      <c r="C124" s="245" t="s">
        <v>62</v>
      </c>
      <c r="D124" s="236"/>
      <c r="E124" s="245" t="s">
        <v>456</v>
      </c>
      <c r="F124" s="236" t="s">
        <v>457</v>
      </c>
      <c r="G124" s="245" t="s">
        <v>142</v>
      </c>
      <c r="H124" s="239">
        <v>3</v>
      </c>
      <c r="I124" s="239">
        <v>3</v>
      </c>
      <c r="J124" s="239">
        <v>3</v>
      </c>
      <c r="K124" s="242">
        <v>2269.65</v>
      </c>
      <c r="L124" s="242">
        <v>0</v>
      </c>
      <c r="M124" s="242">
        <v>2269.65</v>
      </c>
      <c r="N124" s="238">
        <v>0</v>
      </c>
      <c r="O124" s="241">
        <v>0</v>
      </c>
      <c r="P124" s="241">
        <v>0</v>
      </c>
      <c r="Q124" s="241">
        <v>0</v>
      </c>
    </row>
    <row r="125" spans="1:17" s="6" customFormat="1" hidden="1" x14ac:dyDescent="0.25">
      <c r="A125" s="345">
        <v>9</v>
      </c>
      <c r="B125" s="245" t="s">
        <v>251</v>
      </c>
      <c r="C125" s="245" t="s">
        <v>62</v>
      </c>
      <c r="D125" s="236"/>
      <c r="E125" s="245" t="s">
        <v>141</v>
      </c>
      <c r="F125" s="236" t="s">
        <v>458</v>
      </c>
      <c r="G125" s="245" t="s">
        <v>142</v>
      </c>
      <c r="H125" s="238">
        <v>5</v>
      </c>
      <c r="I125" s="238">
        <v>3</v>
      </c>
      <c r="J125" s="238">
        <v>3</v>
      </c>
      <c r="K125" s="241">
        <v>3434.7</v>
      </c>
      <c r="L125" s="241">
        <v>1409.6</v>
      </c>
      <c r="M125" s="241">
        <v>2025.1</v>
      </c>
      <c r="N125" s="238">
        <v>0</v>
      </c>
      <c r="O125" s="241">
        <v>0</v>
      </c>
      <c r="P125" s="241">
        <v>0</v>
      </c>
      <c r="Q125" s="241">
        <v>0</v>
      </c>
    </row>
    <row r="126" spans="1:17" s="6" customFormat="1" hidden="1" x14ac:dyDescent="0.25">
      <c r="A126" s="345">
        <v>10</v>
      </c>
      <c r="B126" s="245" t="s">
        <v>30</v>
      </c>
      <c r="C126" s="245" t="s">
        <v>62</v>
      </c>
      <c r="D126" s="236"/>
      <c r="E126" s="245" t="s">
        <v>459</v>
      </c>
      <c r="F126" s="236" t="s">
        <v>460</v>
      </c>
      <c r="G126" s="245" t="s">
        <v>142</v>
      </c>
      <c r="H126" s="238">
        <v>1</v>
      </c>
      <c r="I126" s="238">
        <v>0</v>
      </c>
      <c r="J126" s="238">
        <v>0</v>
      </c>
      <c r="K126" s="241">
        <v>0</v>
      </c>
      <c r="L126" s="241">
        <v>0</v>
      </c>
      <c r="M126" s="241">
        <v>0</v>
      </c>
      <c r="N126" s="238">
        <v>0</v>
      </c>
      <c r="O126" s="241">
        <v>0</v>
      </c>
      <c r="P126" s="241">
        <v>0</v>
      </c>
      <c r="Q126" s="241">
        <v>0</v>
      </c>
    </row>
    <row r="127" spans="1:17" s="6" customFormat="1" hidden="1" x14ac:dyDescent="0.25">
      <c r="A127" s="345">
        <v>11</v>
      </c>
      <c r="B127" s="245" t="s">
        <v>35</v>
      </c>
      <c r="C127" s="245" t="s">
        <v>62</v>
      </c>
      <c r="D127" s="236"/>
      <c r="E127" s="245" t="s">
        <v>461</v>
      </c>
      <c r="F127" s="236" t="s">
        <v>462</v>
      </c>
      <c r="G127" s="245" t="s">
        <v>142</v>
      </c>
      <c r="H127" s="238">
        <v>1</v>
      </c>
      <c r="I127" s="238">
        <v>0</v>
      </c>
      <c r="J127" s="238">
        <v>0</v>
      </c>
      <c r="K127" s="241">
        <v>0</v>
      </c>
      <c r="L127" s="241">
        <v>0</v>
      </c>
      <c r="M127" s="241">
        <v>0</v>
      </c>
      <c r="N127" s="238">
        <v>0</v>
      </c>
      <c r="O127" s="241">
        <v>0</v>
      </c>
      <c r="P127" s="241">
        <v>0</v>
      </c>
      <c r="Q127" s="241">
        <v>0</v>
      </c>
    </row>
    <row r="128" spans="1:17" s="6" customFormat="1" hidden="1" x14ac:dyDescent="0.25">
      <c r="A128" s="47">
        <v>1</v>
      </c>
      <c r="B128" s="1" t="s">
        <v>19</v>
      </c>
      <c r="C128" s="1" t="s">
        <v>62</v>
      </c>
      <c r="D128" s="48"/>
      <c r="E128" s="1" t="s">
        <v>71</v>
      </c>
      <c r="F128" s="1" t="s">
        <v>394</v>
      </c>
      <c r="G128" s="48" t="s">
        <v>395</v>
      </c>
      <c r="H128" s="48">
        <v>1</v>
      </c>
      <c r="I128" s="289">
        <v>0</v>
      </c>
      <c r="J128" s="290">
        <v>0</v>
      </c>
      <c r="K128" s="28">
        <v>0</v>
      </c>
      <c r="L128" s="28">
        <v>0</v>
      </c>
      <c r="M128" s="28">
        <v>0</v>
      </c>
      <c r="N128" s="291">
        <v>0</v>
      </c>
      <c r="O128" s="292">
        <v>0</v>
      </c>
      <c r="P128" s="292">
        <v>0</v>
      </c>
      <c r="Q128" s="337">
        <f t="shared" ref="Q128:Q135" si="5">O128-P128</f>
        <v>0</v>
      </c>
    </row>
    <row r="129" spans="1:18" s="6" customFormat="1" ht="51" hidden="1" x14ac:dyDescent="0.25">
      <c r="A129" s="56">
        <f>A128+1</f>
        <v>2</v>
      </c>
      <c r="B129" s="1" t="s">
        <v>90</v>
      </c>
      <c r="C129" s="1" t="s">
        <v>62</v>
      </c>
      <c r="D129" s="1" t="s">
        <v>63</v>
      </c>
      <c r="E129" s="1" t="s">
        <v>205</v>
      </c>
      <c r="F129" s="1" t="s">
        <v>396</v>
      </c>
      <c r="G129" s="27" t="s">
        <v>395</v>
      </c>
      <c r="H129" s="27">
        <v>0</v>
      </c>
      <c r="I129" s="27">
        <v>9</v>
      </c>
      <c r="J129" s="27">
        <v>9</v>
      </c>
      <c r="K129" s="28">
        <v>11276.8</v>
      </c>
      <c r="L129" s="28">
        <v>7400.4</v>
      </c>
      <c r="M129" s="28">
        <f t="shared" ref="M129:M186" si="6">K129-L129</f>
        <v>3876.3999999999996</v>
      </c>
      <c r="N129" s="27">
        <v>20</v>
      </c>
      <c r="O129" s="28">
        <v>28791.88</v>
      </c>
      <c r="P129" s="28">
        <v>23170.3</v>
      </c>
      <c r="Q129" s="337">
        <f t="shared" si="5"/>
        <v>5621.5800000000017</v>
      </c>
    </row>
    <row r="130" spans="1:18" s="6" customFormat="1" hidden="1" x14ac:dyDescent="0.25">
      <c r="A130" s="56">
        <f>A129+1</f>
        <v>3</v>
      </c>
      <c r="B130" s="48" t="s">
        <v>133</v>
      </c>
      <c r="C130" s="48" t="s">
        <v>67</v>
      </c>
      <c r="D130" s="48" t="s">
        <v>397</v>
      </c>
      <c r="E130" s="48" t="s">
        <v>74</v>
      </c>
      <c r="F130" s="1" t="s">
        <v>398</v>
      </c>
      <c r="G130" s="27" t="s">
        <v>395</v>
      </c>
      <c r="H130" s="27">
        <v>11</v>
      </c>
      <c r="I130" s="27">
        <v>1</v>
      </c>
      <c r="J130" s="27">
        <v>1</v>
      </c>
      <c r="K130" s="28">
        <v>1057.2</v>
      </c>
      <c r="L130" s="28">
        <v>1057.2</v>
      </c>
      <c r="M130" s="28">
        <f t="shared" si="6"/>
        <v>0</v>
      </c>
      <c r="N130" s="27">
        <v>8</v>
      </c>
      <c r="O130" s="28">
        <v>11920.73</v>
      </c>
      <c r="P130" s="28">
        <v>11920.73</v>
      </c>
      <c r="Q130" s="337">
        <f t="shared" si="5"/>
        <v>0</v>
      </c>
    </row>
    <row r="131" spans="1:18" s="6" customFormat="1" ht="25.5" hidden="1" x14ac:dyDescent="0.25">
      <c r="A131" s="56">
        <v>4</v>
      </c>
      <c r="B131" s="1" t="s">
        <v>399</v>
      </c>
      <c r="C131" s="1" t="s">
        <v>62</v>
      </c>
      <c r="D131" s="1"/>
      <c r="E131" s="1" t="s">
        <v>400</v>
      </c>
      <c r="F131" s="1" t="s">
        <v>401</v>
      </c>
      <c r="G131" s="27" t="s">
        <v>395</v>
      </c>
      <c r="H131" s="27">
        <v>29</v>
      </c>
      <c r="I131" s="27">
        <v>8</v>
      </c>
      <c r="J131" s="27">
        <v>8</v>
      </c>
      <c r="K131" s="28">
        <v>9441.2999999999993</v>
      </c>
      <c r="L131" s="28">
        <v>1762</v>
      </c>
      <c r="M131" s="28">
        <f t="shared" si="6"/>
        <v>7679.2999999999993</v>
      </c>
      <c r="N131" s="27">
        <v>0</v>
      </c>
      <c r="O131" s="28">
        <v>0</v>
      </c>
      <c r="P131" s="28">
        <v>0</v>
      </c>
      <c r="Q131" s="337">
        <f t="shared" si="5"/>
        <v>0</v>
      </c>
    </row>
    <row r="132" spans="1:18" s="6" customFormat="1" hidden="1" x14ac:dyDescent="0.25">
      <c r="A132" s="56">
        <v>5</v>
      </c>
      <c r="B132" s="1" t="s">
        <v>402</v>
      </c>
      <c r="C132" s="1" t="s">
        <v>62</v>
      </c>
      <c r="D132" s="1"/>
      <c r="E132" s="48" t="s">
        <v>74</v>
      </c>
      <c r="F132" s="1" t="s">
        <v>403</v>
      </c>
      <c r="G132" s="27" t="s">
        <v>395</v>
      </c>
      <c r="H132" s="27">
        <v>2</v>
      </c>
      <c r="I132" s="27">
        <v>2</v>
      </c>
      <c r="J132" s="27">
        <v>2</v>
      </c>
      <c r="K132" s="28">
        <v>3815.6</v>
      </c>
      <c r="L132" s="28">
        <v>0</v>
      </c>
      <c r="M132" s="28">
        <f t="shared" si="6"/>
        <v>3815.6</v>
      </c>
      <c r="N132" s="27">
        <v>0</v>
      </c>
      <c r="O132" s="28">
        <v>0</v>
      </c>
      <c r="P132" s="28">
        <v>0</v>
      </c>
      <c r="Q132" s="337">
        <f t="shared" si="5"/>
        <v>0</v>
      </c>
    </row>
    <row r="133" spans="1:18" s="6" customFormat="1" ht="25.5" hidden="1" x14ac:dyDescent="0.25">
      <c r="A133" s="56">
        <v>6</v>
      </c>
      <c r="B133" s="1" t="s">
        <v>48</v>
      </c>
      <c r="C133" s="1" t="s">
        <v>62</v>
      </c>
      <c r="D133" s="1"/>
      <c r="E133" s="1" t="s">
        <v>81</v>
      </c>
      <c r="F133" s="1" t="s">
        <v>404</v>
      </c>
      <c r="G133" s="27" t="s">
        <v>395</v>
      </c>
      <c r="H133" s="27">
        <v>27</v>
      </c>
      <c r="I133" s="27">
        <v>4</v>
      </c>
      <c r="J133" s="27">
        <v>4</v>
      </c>
      <c r="K133" s="28">
        <v>4581.2</v>
      </c>
      <c r="L133" s="28">
        <v>528.6</v>
      </c>
      <c r="M133" s="28">
        <f t="shared" si="6"/>
        <v>4052.6</v>
      </c>
      <c r="N133" s="27">
        <v>17</v>
      </c>
      <c r="O133" s="28">
        <v>43761.64</v>
      </c>
      <c r="P133" s="28">
        <v>11738.47</v>
      </c>
      <c r="Q133" s="337">
        <f t="shared" si="5"/>
        <v>32023.17</v>
      </c>
    </row>
    <row r="134" spans="1:18" s="6" customFormat="1" hidden="1" x14ac:dyDescent="0.25">
      <c r="A134" s="56">
        <v>7</v>
      </c>
      <c r="B134" s="1" t="s">
        <v>39</v>
      </c>
      <c r="C134" s="1" t="s">
        <v>62</v>
      </c>
      <c r="D134" s="1"/>
      <c r="E134" s="1" t="s">
        <v>77</v>
      </c>
      <c r="F134" s="1" t="s">
        <v>405</v>
      </c>
      <c r="G134" s="27" t="s">
        <v>395</v>
      </c>
      <c r="H134" s="27">
        <v>30</v>
      </c>
      <c r="I134" s="27">
        <v>0</v>
      </c>
      <c r="J134" s="27">
        <v>0</v>
      </c>
      <c r="K134" s="28">
        <v>0</v>
      </c>
      <c r="L134" s="28">
        <v>0</v>
      </c>
      <c r="M134" s="28">
        <f t="shared" si="6"/>
        <v>0</v>
      </c>
      <c r="N134" s="27">
        <v>12</v>
      </c>
      <c r="O134" s="28">
        <v>19910.599999999999</v>
      </c>
      <c r="P134" s="28">
        <v>15858</v>
      </c>
      <c r="Q134" s="337">
        <f t="shared" si="5"/>
        <v>4052.5999999999985</v>
      </c>
    </row>
    <row r="135" spans="1:18" s="6" customFormat="1" hidden="1" x14ac:dyDescent="0.25">
      <c r="A135" s="56">
        <v>8</v>
      </c>
      <c r="B135" s="1" t="s">
        <v>127</v>
      </c>
      <c r="C135" s="1" t="s">
        <v>62</v>
      </c>
      <c r="D135" s="1"/>
      <c r="E135" s="48" t="s">
        <v>74</v>
      </c>
      <c r="F135" s="1" t="s">
        <v>406</v>
      </c>
      <c r="G135" s="27" t="s">
        <v>395</v>
      </c>
      <c r="H135" s="27">
        <v>0</v>
      </c>
      <c r="I135" s="27">
        <v>0</v>
      </c>
      <c r="J135" s="27">
        <v>0</v>
      </c>
      <c r="K135" s="28">
        <v>0</v>
      </c>
      <c r="L135" s="28">
        <v>0</v>
      </c>
      <c r="M135" s="28">
        <f t="shared" si="6"/>
        <v>0</v>
      </c>
      <c r="N135" s="27">
        <v>1</v>
      </c>
      <c r="O135" s="28">
        <v>264.3</v>
      </c>
      <c r="P135" s="28">
        <v>264.3</v>
      </c>
      <c r="Q135" s="337">
        <f t="shared" si="5"/>
        <v>0</v>
      </c>
    </row>
    <row r="136" spans="1:18" s="6" customFormat="1" ht="25.5" hidden="1" x14ac:dyDescent="0.25">
      <c r="A136" s="56">
        <v>9</v>
      </c>
      <c r="B136" s="1" t="s">
        <v>561</v>
      </c>
      <c r="C136" s="1" t="s">
        <v>62</v>
      </c>
      <c r="D136" s="1"/>
      <c r="E136" s="1" t="s">
        <v>81</v>
      </c>
      <c r="F136" s="1" t="s">
        <v>562</v>
      </c>
      <c r="G136" s="27" t="s">
        <v>395</v>
      </c>
      <c r="H136" s="27">
        <v>30</v>
      </c>
      <c r="I136" s="27">
        <v>0</v>
      </c>
      <c r="J136" s="27">
        <v>0</v>
      </c>
      <c r="K136" s="28">
        <v>0</v>
      </c>
      <c r="L136" s="28">
        <v>0</v>
      </c>
      <c r="M136" s="28">
        <f t="shared" si="6"/>
        <v>0</v>
      </c>
      <c r="N136" s="27">
        <v>0</v>
      </c>
      <c r="O136" s="28">
        <v>0</v>
      </c>
      <c r="P136" s="28">
        <v>0</v>
      </c>
      <c r="Q136" s="28">
        <v>0</v>
      </c>
    </row>
    <row r="137" spans="1:18" s="6" customFormat="1" ht="25.5" hidden="1" x14ac:dyDescent="0.25">
      <c r="A137" s="56">
        <v>10</v>
      </c>
      <c r="B137" s="1" t="s">
        <v>563</v>
      </c>
      <c r="C137" s="1" t="s">
        <v>62</v>
      </c>
      <c r="D137" s="1"/>
      <c r="E137" s="1" t="s">
        <v>81</v>
      </c>
      <c r="F137" s="1" t="s">
        <v>564</v>
      </c>
      <c r="G137" s="27" t="s">
        <v>395</v>
      </c>
      <c r="H137" s="27">
        <v>27</v>
      </c>
      <c r="I137" s="27">
        <v>0</v>
      </c>
      <c r="J137" s="27">
        <v>1</v>
      </c>
      <c r="K137" s="28">
        <v>2643</v>
      </c>
      <c r="L137" s="28">
        <v>0</v>
      </c>
      <c r="M137" s="28">
        <f t="shared" si="6"/>
        <v>2643</v>
      </c>
      <c r="N137" s="27">
        <v>0</v>
      </c>
      <c r="O137" s="28">
        <v>0</v>
      </c>
      <c r="P137" s="28">
        <v>0</v>
      </c>
      <c r="Q137" s="28">
        <v>0</v>
      </c>
    </row>
    <row r="138" spans="1:18" ht="25.5" x14ac:dyDescent="0.25">
      <c r="A138" s="190">
        <v>1</v>
      </c>
      <c r="B138" s="136" t="s">
        <v>134</v>
      </c>
      <c r="C138" s="134" t="s">
        <v>62</v>
      </c>
      <c r="D138" s="136"/>
      <c r="E138" s="134" t="s">
        <v>74</v>
      </c>
      <c r="F138" s="134" t="s">
        <v>408</v>
      </c>
      <c r="G138" s="136" t="s">
        <v>409</v>
      </c>
      <c r="H138" s="191">
        <v>25</v>
      </c>
      <c r="I138" s="191">
        <v>9</v>
      </c>
      <c r="J138" s="191">
        <v>9</v>
      </c>
      <c r="K138" s="192">
        <v>9901.2000000000007</v>
      </c>
      <c r="L138" s="192">
        <v>9901.2000000000007</v>
      </c>
      <c r="M138" s="193">
        <f t="shared" si="6"/>
        <v>0</v>
      </c>
      <c r="N138" s="191">
        <v>7</v>
      </c>
      <c r="O138" s="192">
        <v>16876.099999999999</v>
      </c>
      <c r="P138" s="192">
        <v>16876.099999999999</v>
      </c>
      <c r="Q138" s="192">
        <f t="shared" ref="Q138:Q186" si="7">O138-P138</f>
        <v>0</v>
      </c>
      <c r="R138" s="6"/>
    </row>
    <row r="139" spans="1:18" ht="25.5" x14ac:dyDescent="0.25">
      <c r="A139" s="190">
        <v>2</v>
      </c>
      <c r="B139" s="136" t="s">
        <v>335</v>
      </c>
      <c r="C139" s="134" t="s">
        <v>62</v>
      </c>
      <c r="D139" s="136"/>
      <c r="E139" s="134" t="s">
        <v>74</v>
      </c>
      <c r="F139" s="134" t="s">
        <v>410</v>
      </c>
      <c r="G139" s="136" t="s">
        <v>409</v>
      </c>
      <c r="H139" s="191">
        <v>12</v>
      </c>
      <c r="I139" s="191">
        <v>4</v>
      </c>
      <c r="J139" s="191">
        <v>4</v>
      </c>
      <c r="K139" s="192">
        <v>5675.4</v>
      </c>
      <c r="L139" s="192">
        <v>5675.4</v>
      </c>
      <c r="M139" s="193">
        <f t="shared" si="6"/>
        <v>0</v>
      </c>
      <c r="N139" s="191">
        <v>11</v>
      </c>
      <c r="O139" s="192">
        <v>16642.8</v>
      </c>
      <c r="P139" s="192">
        <v>16642.8</v>
      </c>
      <c r="Q139" s="192">
        <f t="shared" si="7"/>
        <v>0</v>
      </c>
      <c r="R139" s="6"/>
    </row>
    <row r="140" spans="1:18" ht="38.25" x14ac:dyDescent="0.25">
      <c r="A140" s="190">
        <v>3</v>
      </c>
      <c r="B140" s="136" t="s">
        <v>46</v>
      </c>
      <c r="C140" s="134" t="s">
        <v>62</v>
      </c>
      <c r="D140" s="136"/>
      <c r="E140" s="134" t="s">
        <v>267</v>
      </c>
      <c r="F140" s="134" t="s">
        <v>411</v>
      </c>
      <c r="G140" s="136" t="s">
        <v>409</v>
      </c>
      <c r="H140" s="191">
        <v>33</v>
      </c>
      <c r="I140" s="191">
        <v>19</v>
      </c>
      <c r="J140" s="191">
        <v>19</v>
      </c>
      <c r="K140" s="192">
        <v>32587.4</v>
      </c>
      <c r="L140" s="192">
        <v>32587.4</v>
      </c>
      <c r="M140" s="193">
        <f t="shared" si="6"/>
        <v>0</v>
      </c>
      <c r="N140" s="191">
        <v>19</v>
      </c>
      <c r="O140" s="192">
        <v>28461.05</v>
      </c>
      <c r="P140" s="192">
        <v>28461.05</v>
      </c>
      <c r="Q140" s="192">
        <f t="shared" si="7"/>
        <v>0</v>
      </c>
      <c r="R140" s="6"/>
    </row>
    <row r="141" spans="1:18" ht="25.5" x14ac:dyDescent="0.25">
      <c r="A141" s="190">
        <v>4</v>
      </c>
      <c r="B141" s="136" t="s">
        <v>36</v>
      </c>
      <c r="C141" s="134" t="s">
        <v>62</v>
      </c>
      <c r="D141" s="136"/>
      <c r="E141" s="134" t="s">
        <v>74</v>
      </c>
      <c r="F141" s="134" t="s">
        <v>412</v>
      </c>
      <c r="G141" s="136" t="s">
        <v>409</v>
      </c>
      <c r="H141" s="191">
        <v>25</v>
      </c>
      <c r="I141" s="191">
        <v>15</v>
      </c>
      <c r="J141" s="191">
        <v>15</v>
      </c>
      <c r="K141" s="192">
        <v>24127.25</v>
      </c>
      <c r="L141" s="192">
        <v>24127.25</v>
      </c>
      <c r="M141" s="193">
        <f t="shared" si="6"/>
        <v>0</v>
      </c>
      <c r="N141" s="191">
        <v>21</v>
      </c>
      <c r="O141" s="192">
        <v>60084.82</v>
      </c>
      <c r="P141" s="192">
        <v>60084.82</v>
      </c>
      <c r="Q141" s="192">
        <f t="shared" si="7"/>
        <v>0</v>
      </c>
      <c r="R141" s="6"/>
    </row>
    <row r="142" spans="1:18" ht="25.5" x14ac:dyDescent="0.25">
      <c r="A142" s="190">
        <v>5</v>
      </c>
      <c r="B142" s="136" t="s">
        <v>27</v>
      </c>
      <c r="C142" s="134" t="s">
        <v>62</v>
      </c>
      <c r="D142" s="136"/>
      <c r="E142" s="134" t="s">
        <v>74</v>
      </c>
      <c r="F142" s="134" t="s">
        <v>413</v>
      </c>
      <c r="G142" s="136" t="s">
        <v>409</v>
      </c>
      <c r="H142" s="191">
        <v>10</v>
      </c>
      <c r="I142" s="191">
        <v>6</v>
      </c>
      <c r="J142" s="191">
        <v>6</v>
      </c>
      <c r="K142" s="192">
        <v>11514.02</v>
      </c>
      <c r="L142" s="192">
        <v>11514.02</v>
      </c>
      <c r="M142" s="193">
        <f t="shared" si="6"/>
        <v>0</v>
      </c>
      <c r="N142" s="191">
        <v>10</v>
      </c>
      <c r="O142" s="192">
        <v>19563.2</v>
      </c>
      <c r="P142" s="192">
        <v>19563.2</v>
      </c>
      <c r="Q142" s="192">
        <f t="shared" si="7"/>
        <v>0</v>
      </c>
      <c r="R142" s="6"/>
    </row>
    <row r="143" spans="1:18" ht="25.5" x14ac:dyDescent="0.25">
      <c r="A143" s="190">
        <v>6</v>
      </c>
      <c r="B143" s="136" t="s">
        <v>28</v>
      </c>
      <c r="C143" s="134" t="s">
        <v>62</v>
      </c>
      <c r="D143" s="136"/>
      <c r="E143" s="134" t="s">
        <v>74</v>
      </c>
      <c r="F143" s="134" t="s">
        <v>414</v>
      </c>
      <c r="G143" s="136" t="s">
        <v>409</v>
      </c>
      <c r="H143" s="191">
        <v>27</v>
      </c>
      <c r="I143" s="191">
        <v>16</v>
      </c>
      <c r="J143" s="191">
        <v>16</v>
      </c>
      <c r="K143" s="192">
        <v>24310.37</v>
      </c>
      <c r="L143" s="192">
        <v>24310.37</v>
      </c>
      <c r="M143" s="193">
        <f t="shared" si="6"/>
        <v>0</v>
      </c>
      <c r="N143" s="191">
        <v>11</v>
      </c>
      <c r="O143" s="192">
        <v>18572.099999999999</v>
      </c>
      <c r="P143" s="192">
        <v>18572.099999999999</v>
      </c>
      <c r="Q143" s="192">
        <f t="shared" si="7"/>
        <v>0</v>
      </c>
      <c r="R143" s="6"/>
    </row>
    <row r="144" spans="1:18" ht="25.5" x14ac:dyDescent="0.25">
      <c r="A144" s="190">
        <v>7</v>
      </c>
      <c r="B144" s="298" t="s">
        <v>246</v>
      </c>
      <c r="C144" s="190" t="s">
        <v>62</v>
      </c>
      <c r="D144" s="298"/>
      <c r="E144" s="134" t="s">
        <v>74</v>
      </c>
      <c r="F144" s="190" t="s">
        <v>415</v>
      </c>
      <c r="G144" s="136" t="s">
        <v>409</v>
      </c>
      <c r="H144" s="191">
        <v>26</v>
      </c>
      <c r="I144" s="191">
        <v>5</v>
      </c>
      <c r="J144" s="191">
        <v>5</v>
      </c>
      <c r="K144" s="192">
        <v>5673.64</v>
      </c>
      <c r="L144" s="192">
        <v>5673.64</v>
      </c>
      <c r="M144" s="193">
        <f t="shared" si="6"/>
        <v>0</v>
      </c>
      <c r="N144" s="191">
        <v>0</v>
      </c>
      <c r="O144" s="192">
        <v>0</v>
      </c>
      <c r="P144" s="192">
        <v>0</v>
      </c>
      <c r="Q144" s="192">
        <f t="shared" si="7"/>
        <v>0</v>
      </c>
      <c r="R144" s="6"/>
    </row>
    <row r="145" spans="1:18" ht="25.5" x14ac:dyDescent="0.25">
      <c r="A145" s="203">
        <v>8</v>
      </c>
      <c r="B145" s="195" t="s">
        <v>330</v>
      </c>
      <c r="C145" s="190" t="s">
        <v>62</v>
      </c>
      <c r="D145" s="298"/>
      <c r="E145" s="134" t="s">
        <v>74</v>
      </c>
      <c r="F145" s="190" t="s">
        <v>416</v>
      </c>
      <c r="G145" s="136" t="s">
        <v>409</v>
      </c>
      <c r="H145" s="191">
        <v>5</v>
      </c>
      <c r="I145" s="191">
        <v>0</v>
      </c>
      <c r="J145" s="191">
        <v>0</v>
      </c>
      <c r="K145" s="192">
        <v>0</v>
      </c>
      <c r="L145" s="192">
        <v>0</v>
      </c>
      <c r="M145" s="193">
        <f t="shared" si="6"/>
        <v>0</v>
      </c>
      <c r="N145" s="191">
        <v>0</v>
      </c>
      <c r="O145" s="192">
        <v>0</v>
      </c>
      <c r="P145" s="192">
        <v>0</v>
      </c>
      <c r="Q145" s="192">
        <f t="shared" si="7"/>
        <v>0</v>
      </c>
      <c r="R145" s="6"/>
    </row>
    <row r="146" spans="1:18" ht="25.5" x14ac:dyDescent="0.25">
      <c r="A146" s="203">
        <v>9</v>
      </c>
      <c r="B146" s="195" t="s">
        <v>402</v>
      </c>
      <c r="C146" s="190" t="s">
        <v>62</v>
      </c>
      <c r="D146" s="298"/>
      <c r="E146" s="134" t="s">
        <v>74</v>
      </c>
      <c r="F146" s="190" t="s">
        <v>417</v>
      </c>
      <c r="G146" s="136" t="s">
        <v>409</v>
      </c>
      <c r="H146" s="191">
        <v>19</v>
      </c>
      <c r="I146" s="191">
        <v>8</v>
      </c>
      <c r="J146" s="191">
        <v>8</v>
      </c>
      <c r="K146" s="192">
        <v>10254.82</v>
      </c>
      <c r="L146" s="192">
        <v>10254.82</v>
      </c>
      <c r="M146" s="193">
        <f t="shared" si="6"/>
        <v>0</v>
      </c>
      <c r="N146" s="191">
        <v>0</v>
      </c>
      <c r="O146" s="192">
        <v>0</v>
      </c>
      <c r="P146" s="192">
        <v>0</v>
      </c>
      <c r="Q146" s="192">
        <f t="shared" si="7"/>
        <v>0</v>
      </c>
      <c r="R146" s="6"/>
    </row>
    <row r="147" spans="1:18" ht="25.5" x14ac:dyDescent="0.25">
      <c r="A147" s="203">
        <v>10</v>
      </c>
      <c r="B147" s="195" t="s">
        <v>154</v>
      </c>
      <c r="C147" s="190" t="s">
        <v>62</v>
      </c>
      <c r="D147" s="298"/>
      <c r="E147" s="134" t="s">
        <v>72</v>
      </c>
      <c r="F147" s="190" t="s">
        <v>418</v>
      </c>
      <c r="G147" s="136" t="s">
        <v>409</v>
      </c>
      <c r="H147" s="191">
        <v>8</v>
      </c>
      <c r="I147" s="191">
        <v>1</v>
      </c>
      <c r="J147" s="191">
        <v>1</v>
      </c>
      <c r="K147" s="192">
        <v>925.05</v>
      </c>
      <c r="L147" s="192">
        <v>925.05</v>
      </c>
      <c r="M147" s="193">
        <f t="shared" si="6"/>
        <v>0</v>
      </c>
      <c r="N147" s="191">
        <v>8</v>
      </c>
      <c r="O147" s="192">
        <v>13569.2</v>
      </c>
      <c r="P147" s="192">
        <v>13569.2</v>
      </c>
      <c r="Q147" s="192">
        <f t="shared" si="7"/>
        <v>0</v>
      </c>
      <c r="R147" s="6"/>
    </row>
    <row r="148" spans="1:18" ht="25.5" x14ac:dyDescent="0.25">
      <c r="A148" s="203">
        <v>11</v>
      </c>
      <c r="B148" s="195" t="s">
        <v>153</v>
      </c>
      <c r="C148" s="190" t="s">
        <v>62</v>
      </c>
      <c r="D148" s="298"/>
      <c r="E148" s="134" t="s">
        <v>74</v>
      </c>
      <c r="F148" s="190" t="s">
        <v>419</v>
      </c>
      <c r="G148" s="136" t="s">
        <v>409</v>
      </c>
      <c r="H148" s="191">
        <v>4</v>
      </c>
      <c r="I148" s="191">
        <v>1</v>
      </c>
      <c r="J148" s="191">
        <v>1</v>
      </c>
      <c r="K148" s="192">
        <v>1635.8</v>
      </c>
      <c r="L148" s="192">
        <v>1635.8</v>
      </c>
      <c r="M148" s="193">
        <f t="shared" si="6"/>
        <v>0</v>
      </c>
      <c r="N148" s="191">
        <v>16</v>
      </c>
      <c r="O148" s="192">
        <v>54035.01</v>
      </c>
      <c r="P148" s="192">
        <v>54035.01</v>
      </c>
      <c r="Q148" s="192">
        <f t="shared" si="7"/>
        <v>0</v>
      </c>
      <c r="R148" s="6"/>
    </row>
    <row r="149" spans="1:18" ht="25.5" x14ac:dyDescent="0.25">
      <c r="A149" s="203">
        <v>12</v>
      </c>
      <c r="B149" s="195" t="s">
        <v>89</v>
      </c>
      <c r="C149" s="190" t="s">
        <v>62</v>
      </c>
      <c r="D149" s="298"/>
      <c r="E149" s="134" t="s">
        <v>74</v>
      </c>
      <c r="F149" s="190" t="s">
        <v>420</v>
      </c>
      <c r="G149" s="136" t="s">
        <v>409</v>
      </c>
      <c r="H149" s="191">
        <v>12</v>
      </c>
      <c r="I149" s="191">
        <v>6</v>
      </c>
      <c r="J149" s="191">
        <v>6</v>
      </c>
      <c r="K149" s="192">
        <v>9804.5499999999993</v>
      </c>
      <c r="L149" s="192">
        <v>9804.5499999999993</v>
      </c>
      <c r="M149" s="193">
        <f t="shared" si="6"/>
        <v>0</v>
      </c>
      <c r="N149" s="191">
        <v>4</v>
      </c>
      <c r="O149" s="192">
        <v>12828.6</v>
      </c>
      <c r="P149" s="192">
        <v>12828.6</v>
      </c>
      <c r="Q149" s="192">
        <f t="shared" si="7"/>
        <v>0</v>
      </c>
      <c r="R149" s="6"/>
    </row>
    <row r="150" spans="1:18" ht="25.5" x14ac:dyDescent="0.25">
      <c r="A150" s="203">
        <v>13</v>
      </c>
      <c r="B150" s="195" t="s">
        <v>379</v>
      </c>
      <c r="C150" s="190" t="s">
        <v>62</v>
      </c>
      <c r="D150" s="298"/>
      <c r="E150" s="134" t="s">
        <v>74</v>
      </c>
      <c r="F150" s="190" t="s">
        <v>421</v>
      </c>
      <c r="G150" s="136" t="s">
        <v>409</v>
      </c>
      <c r="H150" s="191">
        <v>7</v>
      </c>
      <c r="I150" s="191">
        <v>2</v>
      </c>
      <c r="J150" s="191">
        <v>2</v>
      </c>
      <c r="K150" s="192">
        <v>1409.6</v>
      </c>
      <c r="L150" s="192">
        <v>1409.6</v>
      </c>
      <c r="M150" s="193">
        <f t="shared" si="6"/>
        <v>0</v>
      </c>
      <c r="N150" s="191">
        <v>0</v>
      </c>
      <c r="O150" s="192">
        <v>0</v>
      </c>
      <c r="P150" s="192">
        <v>0</v>
      </c>
      <c r="Q150" s="192">
        <f t="shared" si="7"/>
        <v>0</v>
      </c>
      <c r="R150" s="6"/>
    </row>
    <row r="151" spans="1:18" ht="25.5" x14ac:dyDescent="0.25">
      <c r="A151" s="203">
        <v>14</v>
      </c>
      <c r="B151" s="195" t="s">
        <v>264</v>
      </c>
      <c r="C151" s="190" t="s">
        <v>62</v>
      </c>
      <c r="D151" s="298"/>
      <c r="E151" s="134" t="s">
        <v>74</v>
      </c>
      <c r="F151" s="190" t="s">
        <v>422</v>
      </c>
      <c r="G151" s="136" t="s">
        <v>409</v>
      </c>
      <c r="H151" s="191">
        <v>3</v>
      </c>
      <c r="I151" s="191">
        <v>0</v>
      </c>
      <c r="J151" s="191">
        <v>0</v>
      </c>
      <c r="K151" s="192">
        <v>0</v>
      </c>
      <c r="L151" s="192">
        <v>0</v>
      </c>
      <c r="M151" s="193">
        <f t="shared" si="6"/>
        <v>0</v>
      </c>
      <c r="N151" s="191">
        <v>0</v>
      </c>
      <c r="O151" s="192">
        <v>0</v>
      </c>
      <c r="P151" s="192">
        <v>0</v>
      </c>
      <c r="Q151" s="192">
        <f t="shared" si="7"/>
        <v>0</v>
      </c>
      <c r="R151" s="6"/>
    </row>
    <row r="152" spans="1:18" ht="25.5" x14ac:dyDescent="0.25">
      <c r="A152" s="203">
        <v>15</v>
      </c>
      <c r="B152" s="195" t="s">
        <v>475</v>
      </c>
      <c r="C152" s="190" t="s">
        <v>67</v>
      </c>
      <c r="D152" s="136" t="s">
        <v>123</v>
      </c>
      <c r="E152" s="134" t="s">
        <v>82</v>
      </c>
      <c r="F152" s="190" t="s">
        <v>423</v>
      </c>
      <c r="G152" s="136" t="s">
        <v>409</v>
      </c>
      <c r="H152" s="191">
        <v>3</v>
      </c>
      <c r="I152" s="191">
        <v>0</v>
      </c>
      <c r="J152" s="191">
        <v>0</v>
      </c>
      <c r="K152" s="192">
        <v>0</v>
      </c>
      <c r="L152" s="192">
        <v>0</v>
      </c>
      <c r="M152" s="193">
        <f t="shared" si="6"/>
        <v>0</v>
      </c>
      <c r="N152" s="191">
        <v>0</v>
      </c>
      <c r="O152" s="192">
        <v>0</v>
      </c>
      <c r="P152" s="192">
        <v>0</v>
      </c>
      <c r="Q152" s="192">
        <f t="shared" si="7"/>
        <v>0</v>
      </c>
      <c r="R152" s="6"/>
    </row>
    <row r="153" spans="1:18" ht="25.5" x14ac:dyDescent="0.25">
      <c r="A153" s="203">
        <v>16</v>
      </c>
      <c r="B153" s="195" t="s">
        <v>137</v>
      </c>
      <c r="C153" s="190" t="s">
        <v>62</v>
      </c>
      <c r="D153" s="298"/>
      <c r="E153" s="134" t="s">
        <v>78</v>
      </c>
      <c r="F153" s="190" t="s">
        <v>424</v>
      </c>
      <c r="G153" s="136" t="s">
        <v>409</v>
      </c>
      <c r="H153" s="191">
        <v>4</v>
      </c>
      <c r="I153" s="191">
        <v>1</v>
      </c>
      <c r="J153" s="191">
        <v>1</v>
      </c>
      <c r="K153" s="192">
        <v>1691.52</v>
      </c>
      <c r="L153" s="192">
        <v>1691.52</v>
      </c>
      <c r="M153" s="193">
        <f t="shared" si="6"/>
        <v>0</v>
      </c>
      <c r="N153" s="191">
        <v>0</v>
      </c>
      <c r="O153" s="192">
        <v>0</v>
      </c>
      <c r="P153" s="192">
        <v>0</v>
      </c>
      <c r="Q153" s="192">
        <f t="shared" si="7"/>
        <v>0</v>
      </c>
      <c r="R153" s="6"/>
    </row>
    <row r="154" spans="1:18" ht="25.5" x14ac:dyDescent="0.25">
      <c r="A154" s="203">
        <v>17</v>
      </c>
      <c r="B154" s="195" t="s">
        <v>173</v>
      </c>
      <c r="C154" s="190" t="s">
        <v>67</v>
      </c>
      <c r="D154" s="298" t="s">
        <v>425</v>
      </c>
      <c r="E154" s="134" t="s">
        <v>74</v>
      </c>
      <c r="F154" s="190" t="s">
        <v>426</v>
      </c>
      <c r="G154" s="136" t="s">
        <v>409</v>
      </c>
      <c r="H154" s="191">
        <v>13</v>
      </c>
      <c r="I154" s="191">
        <v>5</v>
      </c>
      <c r="J154" s="191">
        <v>5</v>
      </c>
      <c r="K154" s="192">
        <v>7429.36</v>
      </c>
      <c r="L154" s="192">
        <v>7429.36</v>
      </c>
      <c r="M154" s="193">
        <f t="shared" si="6"/>
        <v>0</v>
      </c>
      <c r="N154" s="191">
        <v>0</v>
      </c>
      <c r="O154" s="192">
        <v>0</v>
      </c>
      <c r="P154" s="192">
        <v>0</v>
      </c>
      <c r="Q154" s="192">
        <f t="shared" si="7"/>
        <v>0</v>
      </c>
      <c r="R154" s="6"/>
    </row>
    <row r="155" spans="1:18" ht="25.5" x14ac:dyDescent="0.25">
      <c r="A155" s="203">
        <v>18</v>
      </c>
      <c r="B155" s="195" t="s">
        <v>135</v>
      </c>
      <c r="C155" s="190" t="s">
        <v>62</v>
      </c>
      <c r="D155" s="298"/>
      <c r="E155" s="134" t="s">
        <v>74</v>
      </c>
      <c r="F155" s="190" t="s">
        <v>427</v>
      </c>
      <c r="G155" s="136" t="s">
        <v>409</v>
      </c>
      <c r="H155" s="191">
        <v>4</v>
      </c>
      <c r="I155" s="191">
        <v>2</v>
      </c>
      <c r="J155" s="191">
        <v>2</v>
      </c>
      <c r="K155" s="192">
        <v>2396.3200000000002</v>
      </c>
      <c r="L155" s="192">
        <v>2396.3200000000002</v>
      </c>
      <c r="M155" s="193">
        <f t="shared" si="6"/>
        <v>0</v>
      </c>
      <c r="N155" s="191">
        <v>4</v>
      </c>
      <c r="O155" s="192">
        <v>12758.52</v>
      </c>
      <c r="P155" s="192">
        <v>12758.52</v>
      </c>
      <c r="Q155" s="192">
        <f t="shared" si="7"/>
        <v>0</v>
      </c>
      <c r="R155" s="6"/>
    </row>
    <row r="156" spans="1:18" ht="25.5" x14ac:dyDescent="0.25">
      <c r="A156" s="203">
        <v>19</v>
      </c>
      <c r="B156" s="195" t="s">
        <v>148</v>
      </c>
      <c r="C156" s="190" t="s">
        <v>62</v>
      </c>
      <c r="D156" s="298"/>
      <c r="E156" s="134" t="s">
        <v>149</v>
      </c>
      <c r="F156" s="190" t="s">
        <v>375</v>
      </c>
      <c r="G156" s="136" t="s">
        <v>409</v>
      </c>
      <c r="H156" s="191">
        <v>22</v>
      </c>
      <c r="I156" s="191">
        <v>9</v>
      </c>
      <c r="J156" s="191">
        <v>9</v>
      </c>
      <c r="K156" s="192">
        <v>25443.599999999999</v>
      </c>
      <c r="L156" s="192">
        <v>25443.599999999999</v>
      </c>
      <c r="M156" s="193">
        <f t="shared" si="6"/>
        <v>0</v>
      </c>
      <c r="N156" s="191">
        <v>24</v>
      </c>
      <c r="O156" s="192">
        <v>71983.490000000005</v>
      </c>
      <c r="P156" s="192">
        <v>71983.490000000005</v>
      </c>
      <c r="Q156" s="192">
        <f t="shared" si="7"/>
        <v>0</v>
      </c>
      <c r="R156" s="6"/>
    </row>
    <row r="157" spans="1:18" ht="25.5" x14ac:dyDescent="0.25">
      <c r="A157" s="203">
        <v>20</v>
      </c>
      <c r="B157" s="195" t="s">
        <v>147</v>
      </c>
      <c r="C157" s="190" t="s">
        <v>62</v>
      </c>
      <c r="D157" s="298"/>
      <c r="E157" s="134" t="s">
        <v>74</v>
      </c>
      <c r="F157" s="190" t="s">
        <v>331</v>
      </c>
      <c r="G157" s="136" t="s">
        <v>409</v>
      </c>
      <c r="H157" s="191">
        <v>6</v>
      </c>
      <c r="I157" s="191">
        <v>2</v>
      </c>
      <c r="J157" s="191">
        <v>2</v>
      </c>
      <c r="K157" s="192">
        <v>4915.3999999999996</v>
      </c>
      <c r="L157" s="192">
        <v>4915.3999999999996</v>
      </c>
      <c r="M157" s="193">
        <f t="shared" si="6"/>
        <v>0</v>
      </c>
      <c r="N157" s="191">
        <v>10</v>
      </c>
      <c r="O157" s="192">
        <v>22395.4</v>
      </c>
      <c r="P157" s="192">
        <v>22395.4</v>
      </c>
      <c r="Q157" s="192">
        <f t="shared" si="7"/>
        <v>0</v>
      </c>
      <c r="R157" s="6"/>
    </row>
    <row r="158" spans="1:18" ht="25.5" x14ac:dyDescent="0.25">
      <c r="A158" s="203">
        <v>21</v>
      </c>
      <c r="B158" s="195" t="s">
        <v>124</v>
      </c>
      <c r="C158" s="190" t="s">
        <v>62</v>
      </c>
      <c r="D158" s="298"/>
      <c r="E158" s="134" t="s">
        <v>428</v>
      </c>
      <c r="F158" s="190" t="s">
        <v>329</v>
      </c>
      <c r="G158" s="136" t="s">
        <v>409</v>
      </c>
      <c r="H158" s="191">
        <v>17</v>
      </c>
      <c r="I158" s="191">
        <v>9</v>
      </c>
      <c r="J158" s="191">
        <v>9</v>
      </c>
      <c r="K158" s="192">
        <v>10997.84</v>
      </c>
      <c r="L158" s="192">
        <v>10997.84</v>
      </c>
      <c r="M158" s="193">
        <f t="shared" si="6"/>
        <v>0</v>
      </c>
      <c r="N158" s="191">
        <v>24</v>
      </c>
      <c r="O158" s="192">
        <v>34496.1</v>
      </c>
      <c r="P158" s="192">
        <v>34496.1</v>
      </c>
      <c r="Q158" s="192">
        <f t="shared" si="7"/>
        <v>0</v>
      </c>
      <c r="R158" s="6"/>
    </row>
    <row r="159" spans="1:18" ht="25.5" x14ac:dyDescent="0.25">
      <c r="A159" s="203">
        <v>22</v>
      </c>
      <c r="B159" s="195" t="s">
        <v>168</v>
      </c>
      <c r="C159" s="190" t="s">
        <v>62</v>
      </c>
      <c r="D159" s="298"/>
      <c r="E159" s="190" t="s">
        <v>371</v>
      </c>
      <c r="F159" s="190" t="s">
        <v>353</v>
      </c>
      <c r="G159" s="136" t="s">
        <v>409</v>
      </c>
      <c r="H159" s="191">
        <v>6</v>
      </c>
      <c r="I159" s="191">
        <v>1</v>
      </c>
      <c r="J159" s="191">
        <v>1</v>
      </c>
      <c r="K159" s="192">
        <v>1409.6</v>
      </c>
      <c r="L159" s="192">
        <v>1409.6</v>
      </c>
      <c r="M159" s="193">
        <f t="shared" si="6"/>
        <v>0</v>
      </c>
      <c r="N159" s="191">
        <v>0</v>
      </c>
      <c r="O159" s="192">
        <v>0</v>
      </c>
      <c r="P159" s="192">
        <v>0</v>
      </c>
      <c r="Q159" s="192">
        <f t="shared" si="7"/>
        <v>0</v>
      </c>
      <c r="R159" s="6"/>
    </row>
    <row r="160" spans="1:18" ht="25.5" x14ac:dyDescent="0.25">
      <c r="A160" s="203">
        <v>23</v>
      </c>
      <c r="B160" s="195" t="s">
        <v>429</v>
      </c>
      <c r="C160" s="190" t="s">
        <v>62</v>
      </c>
      <c r="D160" s="298"/>
      <c r="E160" s="134" t="s">
        <v>74</v>
      </c>
      <c r="F160" s="190" t="s">
        <v>430</v>
      </c>
      <c r="G160" s="136" t="s">
        <v>409</v>
      </c>
      <c r="H160" s="191">
        <v>7</v>
      </c>
      <c r="I160" s="191">
        <v>3</v>
      </c>
      <c r="J160" s="191">
        <v>3</v>
      </c>
      <c r="K160" s="192">
        <v>5178.84</v>
      </c>
      <c r="L160" s="192">
        <v>5178.84</v>
      </c>
      <c r="M160" s="193">
        <f t="shared" si="6"/>
        <v>0</v>
      </c>
      <c r="N160" s="191">
        <v>7</v>
      </c>
      <c r="O160" s="192">
        <v>6995.76</v>
      </c>
      <c r="P160" s="192">
        <v>6995.76</v>
      </c>
      <c r="Q160" s="192">
        <f t="shared" si="7"/>
        <v>0</v>
      </c>
      <c r="R160" s="6"/>
    </row>
    <row r="161" spans="1:18" ht="25.5" x14ac:dyDescent="0.25">
      <c r="A161" s="203">
        <v>24</v>
      </c>
      <c r="B161" s="195" t="s">
        <v>130</v>
      </c>
      <c r="C161" s="190" t="s">
        <v>62</v>
      </c>
      <c r="D161" s="298"/>
      <c r="E161" s="134" t="s">
        <v>74</v>
      </c>
      <c r="F161" s="190" t="s">
        <v>431</v>
      </c>
      <c r="G161" s="136" t="s">
        <v>409</v>
      </c>
      <c r="H161" s="191">
        <v>4</v>
      </c>
      <c r="I161" s="191">
        <v>4</v>
      </c>
      <c r="J161" s="191">
        <v>4</v>
      </c>
      <c r="K161" s="192">
        <v>5204.28</v>
      </c>
      <c r="L161" s="192">
        <v>5204.2</v>
      </c>
      <c r="M161" s="193">
        <f t="shared" si="6"/>
        <v>7.999999999992724E-2</v>
      </c>
      <c r="N161" s="191">
        <v>5</v>
      </c>
      <c r="O161" s="192">
        <v>10391.459999999999</v>
      </c>
      <c r="P161" s="192">
        <v>10391.459999999999</v>
      </c>
      <c r="Q161" s="192">
        <f t="shared" si="7"/>
        <v>0</v>
      </c>
      <c r="R161" s="6"/>
    </row>
    <row r="162" spans="1:18" ht="25.5" x14ac:dyDescent="0.25">
      <c r="A162" s="203">
        <v>25</v>
      </c>
      <c r="B162" s="195" t="s">
        <v>32</v>
      </c>
      <c r="C162" s="190" t="s">
        <v>62</v>
      </c>
      <c r="D162" s="298"/>
      <c r="E162" s="134" t="s">
        <v>74</v>
      </c>
      <c r="F162" s="190" t="s">
        <v>432</v>
      </c>
      <c r="G162" s="136" t="s">
        <v>409</v>
      </c>
      <c r="H162" s="191">
        <v>12</v>
      </c>
      <c r="I162" s="191">
        <v>5</v>
      </c>
      <c r="J162" s="191">
        <v>5</v>
      </c>
      <c r="K162" s="192">
        <v>7823.28</v>
      </c>
      <c r="L162" s="192">
        <v>7823.28</v>
      </c>
      <c r="M162" s="193">
        <f t="shared" si="6"/>
        <v>0</v>
      </c>
      <c r="N162" s="191">
        <v>8</v>
      </c>
      <c r="O162" s="192">
        <v>17086.599999999999</v>
      </c>
      <c r="P162" s="192">
        <v>17086.599999999999</v>
      </c>
      <c r="Q162" s="192">
        <f t="shared" si="7"/>
        <v>0</v>
      </c>
      <c r="R162" s="6"/>
    </row>
    <row r="163" spans="1:18" ht="25.5" x14ac:dyDescent="0.25">
      <c r="A163" s="203">
        <v>26</v>
      </c>
      <c r="B163" s="195" t="s">
        <v>343</v>
      </c>
      <c r="C163" s="190" t="s">
        <v>62</v>
      </c>
      <c r="D163" s="298"/>
      <c r="E163" s="134" t="s">
        <v>74</v>
      </c>
      <c r="F163" s="190" t="s">
        <v>433</v>
      </c>
      <c r="G163" s="136" t="s">
        <v>409</v>
      </c>
      <c r="H163" s="191">
        <v>12</v>
      </c>
      <c r="I163" s="191">
        <v>10</v>
      </c>
      <c r="J163" s="191">
        <v>10</v>
      </c>
      <c r="K163" s="192">
        <v>18037.599999999999</v>
      </c>
      <c r="L163" s="192">
        <v>18037.599999999999</v>
      </c>
      <c r="M163" s="193">
        <f t="shared" si="6"/>
        <v>0</v>
      </c>
      <c r="N163" s="191">
        <v>0</v>
      </c>
      <c r="O163" s="192">
        <v>0</v>
      </c>
      <c r="P163" s="192">
        <v>0</v>
      </c>
      <c r="Q163" s="192">
        <f t="shared" si="7"/>
        <v>0</v>
      </c>
      <c r="R163" s="6"/>
    </row>
    <row r="164" spans="1:18" ht="25.5" x14ac:dyDescent="0.25">
      <c r="A164" s="203">
        <v>27</v>
      </c>
      <c r="B164" s="195" t="s">
        <v>290</v>
      </c>
      <c r="C164" s="190" t="s">
        <v>62</v>
      </c>
      <c r="D164" s="298"/>
      <c r="E164" s="190" t="s">
        <v>371</v>
      </c>
      <c r="F164" s="190" t="s">
        <v>434</v>
      </c>
      <c r="G164" s="136" t="s">
        <v>409</v>
      </c>
      <c r="H164" s="191">
        <v>4</v>
      </c>
      <c r="I164" s="191">
        <v>1</v>
      </c>
      <c r="J164" s="191">
        <v>1</v>
      </c>
      <c r="K164" s="192">
        <v>1585.8</v>
      </c>
      <c r="L164" s="192">
        <v>1585.8</v>
      </c>
      <c r="M164" s="193">
        <f t="shared" si="6"/>
        <v>0</v>
      </c>
      <c r="N164" s="191">
        <v>0</v>
      </c>
      <c r="O164" s="192">
        <v>0</v>
      </c>
      <c r="P164" s="192">
        <v>0</v>
      </c>
      <c r="Q164" s="192">
        <f t="shared" si="7"/>
        <v>0</v>
      </c>
      <c r="R164" s="6"/>
    </row>
    <row r="165" spans="1:18" ht="25.5" x14ac:dyDescent="0.25">
      <c r="A165" s="203">
        <v>28</v>
      </c>
      <c r="B165" s="195" t="s">
        <v>315</v>
      </c>
      <c r="C165" s="190" t="s">
        <v>62</v>
      </c>
      <c r="D165" s="298"/>
      <c r="E165" s="134" t="s">
        <v>74</v>
      </c>
      <c r="F165" s="190" t="s">
        <v>435</v>
      </c>
      <c r="G165" s="136" t="s">
        <v>409</v>
      </c>
      <c r="H165" s="191">
        <v>13</v>
      </c>
      <c r="I165" s="191">
        <v>3</v>
      </c>
      <c r="J165" s="191">
        <v>3</v>
      </c>
      <c r="K165" s="192">
        <v>4741</v>
      </c>
      <c r="L165" s="192">
        <v>4741</v>
      </c>
      <c r="M165" s="193">
        <f t="shared" si="6"/>
        <v>0</v>
      </c>
      <c r="N165" s="191">
        <v>5</v>
      </c>
      <c r="O165" s="192">
        <v>7208.02</v>
      </c>
      <c r="P165" s="192">
        <v>7208.02</v>
      </c>
      <c r="Q165" s="192">
        <f t="shared" si="7"/>
        <v>0</v>
      </c>
      <c r="R165" s="6"/>
    </row>
    <row r="166" spans="1:18" ht="25.5" x14ac:dyDescent="0.25">
      <c r="A166" s="203">
        <v>29</v>
      </c>
      <c r="B166" s="195" t="s">
        <v>216</v>
      </c>
      <c r="C166" s="190" t="s">
        <v>67</v>
      </c>
      <c r="D166" s="298" t="s">
        <v>436</v>
      </c>
      <c r="E166" s="134" t="s">
        <v>74</v>
      </c>
      <c r="F166" s="190" t="s">
        <v>437</v>
      </c>
      <c r="G166" s="136" t="s">
        <v>409</v>
      </c>
      <c r="H166" s="191">
        <v>18</v>
      </c>
      <c r="I166" s="191">
        <v>6</v>
      </c>
      <c r="J166" s="191">
        <v>6</v>
      </c>
      <c r="K166" s="192">
        <v>12747.36</v>
      </c>
      <c r="L166" s="192">
        <v>12747.36</v>
      </c>
      <c r="M166" s="193">
        <f t="shared" si="6"/>
        <v>0</v>
      </c>
      <c r="N166" s="191">
        <v>0</v>
      </c>
      <c r="O166" s="192">
        <v>0</v>
      </c>
      <c r="P166" s="192">
        <v>0</v>
      </c>
      <c r="Q166" s="192">
        <f t="shared" si="7"/>
        <v>0</v>
      </c>
      <c r="R166" s="6"/>
    </row>
    <row r="167" spans="1:18" ht="25.5" x14ac:dyDescent="0.25">
      <c r="A167" s="203">
        <v>30</v>
      </c>
      <c r="B167" s="195" t="s">
        <v>438</v>
      </c>
      <c r="C167" s="190" t="s">
        <v>62</v>
      </c>
      <c r="D167" s="298"/>
      <c r="E167" s="134" t="s">
        <v>74</v>
      </c>
      <c r="F167" s="190" t="s">
        <v>439</v>
      </c>
      <c r="G167" s="136" t="s">
        <v>409</v>
      </c>
      <c r="H167" s="191">
        <v>7</v>
      </c>
      <c r="I167" s="191">
        <v>0</v>
      </c>
      <c r="J167" s="191">
        <v>0</v>
      </c>
      <c r="K167" s="192">
        <v>0</v>
      </c>
      <c r="L167" s="192">
        <v>0</v>
      </c>
      <c r="M167" s="193">
        <f t="shared" si="6"/>
        <v>0</v>
      </c>
      <c r="N167" s="191">
        <v>0</v>
      </c>
      <c r="O167" s="192">
        <v>0</v>
      </c>
      <c r="P167" s="192">
        <v>0</v>
      </c>
      <c r="Q167" s="192">
        <f t="shared" si="7"/>
        <v>0</v>
      </c>
      <c r="R167" s="6"/>
    </row>
    <row r="168" spans="1:18" ht="25.5" x14ac:dyDescent="0.25">
      <c r="A168" s="203">
        <v>31</v>
      </c>
      <c r="B168" s="195" t="s">
        <v>440</v>
      </c>
      <c r="C168" s="190" t="s">
        <v>62</v>
      </c>
      <c r="D168" s="298"/>
      <c r="E168" s="134" t="s">
        <v>74</v>
      </c>
      <c r="F168" s="190" t="s">
        <v>441</v>
      </c>
      <c r="G168" s="136" t="s">
        <v>409</v>
      </c>
      <c r="H168" s="191">
        <v>7</v>
      </c>
      <c r="I168" s="191">
        <v>3</v>
      </c>
      <c r="J168" s="191">
        <v>3</v>
      </c>
      <c r="K168" s="192">
        <v>3171.6</v>
      </c>
      <c r="L168" s="192">
        <v>3171.6</v>
      </c>
      <c r="M168" s="193">
        <f t="shared" si="6"/>
        <v>0</v>
      </c>
      <c r="N168" s="191">
        <v>0</v>
      </c>
      <c r="O168" s="192">
        <v>0</v>
      </c>
      <c r="P168" s="192">
        <v>0</v>
      </c>
      <c r="Q168" s="192">
        <f t="shared" si="7"/>
        <v>0</v>
      </c>
      <c r="R168" s="6"/>
    </row>
    <row r="169" spans="1:18" ht="25.5" x14ac:dyDescent="0.25">
      <c r="A169" s="203">
        <v>32</v>
      </c>
      <c r="B169" s="195" t="s">
        <v>222</v>
      </c>
      <c r="C169" s="190" t="s">
        <v>64</v>
      </c>
      <c r="D169" s="136" t="s">
        <v>442</v>
      </c>
      <c r="E169" s="134" t="s">
        <v>74</v>
      </c>
      <c r="F169" s="190" t="s">
        <v>443</v>
      </c>
      <c r="G169" s="136" t="s">
        <v>409</v>
      </c>
      <c r="H169" s="191">
        <v>1</v>
      </c>
      <c r="I169" s="191">
        <v>0</v>
      </c>
      <c r="J169" s="191">
        <v>0</v>
      </c>
      <c r="K169" s="192">
        <v>0</v>
      </c>
      <c r="L169" s="192">
        <v>0</v>
      </c>
      <c r="M169" s="193">
        <f t="shared" si="6"/>
        <v>0</v>
      </c>
      <c r="N169" s="191">
        <v>0</v>
      </c>
      <c r="O169" s="192">
        <v>0</v>
      </c>
      <c r="P169" s="192">
        <v>0</v>
      </c>
      <c r="Q169" s="192">
        <f t="shared" si="7"/>
        <v>0</v>
      </c>
      <c r="R169" s="6"/>
    </row>
    <row r="170" spans="1:18" ht="25.5" x14ac:dyDescent="0.25">
      <c r="A170" s="203">
        <v>33</v>
      </c>
      <c r="B170" s="195" t="s">
        <v>444</v>
      </c>
      <c r="C170" s="190" t="s">
        <v>62</v>
      </c>
      <c r="D170" s="298"/>
      <c r="E170" s="134" t="s">
        <v>74</v>
      </c>
      <c r="F170" s="190" t="s">
        <v>445</v>
      </c>
      <c r="G170" s="136" t="s">
        <v>409</v>
      </c>
      <c r="H170" s="191">
        <v>5</v>
      </c>
      <c r="I170" s="191">
        <v>2</v>
      </c>
      <c r="J170" s="191">
        <v>2</v>
      </c>
      <c r="K170" s="192">
        <v>1409.6</v>
      </c>
      <c r="L170" s="192">
        <v>1409.6</v>
      </c>
      <c r="M170" s="193">
        <f t="shared" si="6"/>
        <v>0</v>
      </c>
      <c r="N170" s="191">
        <v>0</v>
      </c>
      <c r="O170" s="192">
        <v>0</v>
      </c>
      <c r="P170" s="192">
        <v>0</v>
      </c>
      <c r="Q170" s="192">
        <f t="shared" si="7"/>
        <v>0</v>
      </c>
      <c r="R170" s="6"/>
    </row>
    <row r="171" spans="1:18" ht="25.5" x14ac:dyDescent="0.25">
      <c r="A171" s="203">
        <v>34</v>
      </c>
      <c r="B171" s="195" t="s">
        <v>129</v>
      </c>
      <c r="C171" s="190" t="s">
        <v>62</v>
      </c>
      <c r="D171" s="298"/>
      <c r="E171" s="134" t="s">
        <v>74</v>
      </c>
      <c r="F171" s="190" t="s">
        <v>446</v>
      </c>
      <c r="G171" s="136" t="s">
        <v>409</v>
      </c>
      <c r="H171" s="191">
        <v>7</v>
      </c>
      <c r="I171" s="191">
        <v>3</v>
      </c>
      <c r="J171" s="191">
        <v>3</v>
      </c>
      <c r="K171" s="192">
        <v>3015.4</v>
      </c>
      <c r="L171" s="192">
        <v>3015.4</v>
      </c>
      <c r="M171" s="193">
        <f t="shared" si="6"/>
        <v>0</v>
      </c>
      <c r="N171" s="191">
        <v>10</v>
      </c>
      <c r="O171" s="192">
        <v>16183.86</v>
      </c>
      <c r="P171" s="192">
        <v>16183.86</v>
      </c>
      <c r="Q171" s="192">
        <f t="shared" si="7"/>
        <v>0</v>
      </c>
      <c r="R171" s="6"/>
    </row>
    <row r="172" spans="1:18" ht="25.5" x14ac:dyDescent="0.25">
      <c r="A172" s="203">
        <v>35</v>
      </c>
      <c r="B172" s="299" t="s">
        <v>104</v>
      </c>
      <c r="C172" s="190" t="s">
        <v>62</v>
      </c>
      <c r="D172" s="298"/>
      <c r="E172" s="134" t="s">
        <v>105</v>
      </c>
      <c r="F172" s="190" t="s">
        <v>447</v>
      </c>
      <c r="G172" s="136" t="s">
        <v>409</v>
      </c>
      <c r="H172" s="191">
        <v>0</v>
      </c>
      <c r="I172" s="191">
        <v>0</v>
      </c>
      <c r="J172" s="191">
        <v>0</v>
      </c>
      <c r="K172" s="192">
        <v>0</v>
      </c>
      <c r="L172" s="192">
        <v>0</v>
      </c>
      <c r="M172" s="193">
        <f t="shared" si="6"/>
        <v>0</v>
      </c>
      <c r="N172" s="191">
        <v>7</v>
      </c>
      <c r="O172" s="192">
        <v>5726.5</v>
      </c>
      <c r="P172" s="192">
        <v>5726.5</v>
      </c>
      <c r="Q172" s="192">
        <f t="shared" si="7"/>
        <v>0</v>
      </c>
      <c r="R172" s="6"/>
    </row>
    <row r="173" spans="1:18" ht="25.5" x14ac:dyDescent="0.25">
      <c r="A173" s="190">
        <v>36</v>
      </c>
      <c r="B173" s="298" t="s">
        <v>156</v>
      </c>
      <c r="C173" s="190" t="s">
        <v>67</v>
      </c>
      <c r="D173" s="298" t="s">
        <v>501</v>
      </c>
      <c r="E173" s="134" t="s">
        <v>74</v>
      </c>
      <c r="F173" s="190" t="s">
        <v>502</v>
      </c>
      <c r="G173" s="136" t="s">
        <v>409</v>
      </c>
      <c r="H173" s="191">
        <v>3</v>
      </c>
      <c r="I173" s="191">
        <v>0</v>
      </c>
      <c r="J173" s="191">
        <v>0</v>
      </c>
      <c r="K173" s="192">
        <v>0</v>
      </c>
      <c r="L173" s="192">
        <v>0</v>
      </c>
      <c r="M173" s="193">
        <f t="shared" si="6"/>
        <v>0</v>
      </c>
      <c r="N173" s="191">
        <v>5</v>
      </c>
      <c r="O173" s="192">
        <v>8865.2999999999993</v>
      </c>
      <c r="P173" s="192">
        <v>8865.2999999999993</v>
      </c>
      <c r="Q173" s="192">
        <f t="shared" si="7"/>
        <v>0</v>
      </c>
      <c r="R173" s="6"/>
    </row>
    <row r="174" spans="1:18" ht="25.5" x14ac:dyDescent="0.25">
      <c r="A174" s="190">
        <v>37</v>
      </c>
      <c r="B174" s="298" t="s">
        <v>133</v>
      </c>
      <c r="C174" s="190" t="s">
        <v>67</v>
      </c>
      <c r="D174" s="298" t="s">
        <v>397</v>
      </c>
      <c r="E174" s="134" t="s">
        <v>74</v>
      </c>
      <c r="F174" s="190" t="s">
        <v>503</v>
      </c>
      <c r="G174" s="136" t="s">
        <v>409</v>
      </c>
      <c r="H174" s="191">
        <v>11</v>
      </c>
      <c r="I174" s="191">
        <v>2</v>
      </c>
      <c r="J174" s="191">
        <v>2</v>
      </c>
      <c r="K174" s="192">
        <v>3080.5</v>
      </c>
      <c r="L174" s="192">
        <v>3080.5</v>
      </c>
      <c r="M174" s="193">
        <f t="shared" si="6"/>
        <v>0</v>
      </c>
      <c r="N174" s="191">
        <v>16</v>
      </c>
      <c r="O174" s="192">
        <v>40414.080000000002</v>
      </c>
      <c r="P174" s="192">
        <v>40414.080000000002</v>
      </c>
      <c r="Q174" s="192">
        <f t="shared" si="7"/>
        <v>0</v>
      </c>
      <c r="R174" s="6"/>
    </row>
    <row r="175" spans="1:18" ht="25.5" x14ac:dyDescent="0.25">
      <c r="A175" s="190">
        <v>38</v>
      </c>
      <c r="B175" s="298" t="s">
        <v>114</v>
      </c>
      <c r="C175" s="190" t="s">
        <v>62</v>
      </c>
      <c r="D175" s="298"/>
      <c r="E175" s="134" t="s">
        <v>115</v>
      </c>
      <c r="F175" s="190" t="s">
        <v>504</v>
      </c>
      <c r="G175" s="136" t="s">
        <v>409</v>
      </c>
      <c r="H175" s="191">
        <v>0</v>
      </c>
      <c r="I175" s="191">
        <v>0</v>
      </c>
      <c r="J175" s="191">
        <v>0</v>
      </c>
      <c r="K175" s="192">
        <v>0</v>
      </c>
      <c r="L175" s="192">
        <v>0</v>
      </c>
      <c r="M175" s="193">
        <f t="shared" si="6"/>
        <v>0</v>
      </c>
      <c r="N175" s="191">
        <v>4</v>
      </c>
      <c r="O175" s="192">
        <v>3524</v>
      </c>
      <c r="P175" s="192">
        <v>3524</v>
      </c>
      <c r="Q175" s="192">
        <f t="shared" si="7"/>
        <v>0</v>
      </c>
      <c r="R175" s="6"/>
    </row>
    <row r="176" spans="1:18" ht="25.5" x14ac:dyDescent="0.25">
      <c r="A176" s="190">
        <v>39</v>
      </c>
      <c r="B176" s="298" t="s">
        <v>505</v>
      </c>
      <c r="C176" s="190" t="s">
        <v>62</v>
      </c>
      <c r="D176" s="298"/>
      <c r="E176" s="134" t="s">
        <v>74</v>
      </c>
      <c r="F176" s="190" t="s">
        <v>506</v>
      </c>
      <c r="G176" s="136" t="s">
        <v>409</v>
      </c>
      <c r="H176" s="191">
        <v>1</v>
      </c>
      <c r="I176" s="191">
        <v>0</v>
      </c>
      <c r="J176" s="191">
        <v>0</v>
      </c>
      <c r="K176" s="192">
        <v>0</v>
      </c>
      <c r="L176" s="192">
        <v>0</v>
      </c>
      <c r="M176" s="193">
        <f t="shared" si="6"/>
        <v>0</v>
      </c>
      <c r="N176" s="191">
        <v>0</v>
      </c>
      <c r="O176" s="192">
        <v>0</v>
      </c>
      <c r="P176" s="192">
        <v>0</v>
      </c>
      <c r="Q176" s="192">
        <f t="shared" si="7"/>
        <v>0</v>
      </c>
      <c r="R176" s="6"/>
    </row>
    <row r="177" spans="1:18" ht="25.5" x14ac:dyDescent="0.25">
      <c r="A177" s="190">
        <v>40</v>
      </c>
      <c r="B177" s="298" t="s">
        <v>473</v>
      </c>
      <c r="C177" s="190" t="s">
        <v>62</v>
      </c>
      <c r="D177" s="298"/>
      <c r="E177" s="190" t="s">
        <v>74</v>
      </c>
      <c r="F177" s="190" t="s">
        <v>558</v>
      </c>
      <c r="G177" s="136" t="s">
        <v>409</v>
      </c>
      <c r="H177" s="191">
        <v>0</v>
      </c>
      <c r="I177" s="191">
        <v>0</v>
      </c>
      <c r="J177" s="191">
        <v>0</v>
      </c>
      <c r="K177" s="192">
        <v>0</v>
      </c>
      <c r="L177" s="192">
        <v>0</v>
      </c>
      <c r="M177" s="193">
        <f t="shared" si="6"/>
        <v>0</v>
      </c>
      <c r="N177" s="191">
        <v>0</v>
      </c>
      <c r="O177" s="192">
        <v>0</v>
      </c>
      <c r="P177" s="192">
        <v>0</v>
      </c>
      <c r="Q177" s="192">
        <f t="shared" si="7"/>
        <v>0</v>
      </c>
      <c r="R177" s="6"/>
    </row>
    <row r="178" spans="1:18" ht="25.5" x14ac:dyDescent="0.25">
      <c r="A178" s="190">
        <v>41</v>
      </c>
      <c r="B178" s="298" t="s">
        <v>376</v>
      </c>
      <c r="C178" s="190" t="s">
        <v>62</v>
      </c>
      <c r="D178" s="298"/>
      <c r="E178" s="190" t="s">
        <v>74</v>
      </c>
      <c r="F178" s="190" t="s">
        <v>559</v>
      </c>
      <c r="G178" s="136" t="s">
        <v>409</v>
      </c>
      <c r="H178" s="191">
        <v>0</v>
      </c>
      <c r="I178" s="191">
        <v>0</v>
      </c>
      <c r="J178" s="191">
        <v>0</v>
      </c>
      <c r="K178" s="192">
        <v>0</v>
      </c>
      <c r="L178" s="192">
        <v>0</v>
      </c>
      <c r="M178" s="193">
        <f t="shared" si="6"/>
        <v>0</v>
      </c>
      <c r="N178" s="191">
        <v>0</v>
      </c>
      <c r="O178" s="192">
        <v>0</v>
      </c>
      <c r="P178" s="192">
        <v>0</v>
      </c>
      <c r="Q178" s="192">
        <f t="shared" si="7"/>
        <v>0</v>
      </c>
      <c r="R178" s="6"/>
    </row>
    <row r="179" spans="1:18" ht="25.5" x14ac:dyDescent="0.25">
      <c r="A179" s="190">
        <v>42</v>
      </c>
      <c r="B179" s="298" t="s">
        <v>119</v>
      </c>
      <c r="C179" s="190" t="s">
        <v>62</v>
      </c>
      <c r="D179" s="298"/>
      <c r="E179" s="190" t="s">
        <v>74</v>
      </c>
      <c r="F179" s="190" t="s">
        <v>560</v>
      </c>
      <c r="G179" s="136" t="s">
        <v>409</v>
      </c>
      <c r="H179" s="191">
        <v>6</v>
      </c>
      <c r="I179" s="191">
        <v>1</v>
      </c>
      <c r="J179" s="191">
        <v>1</v>
      </c>
      <c r="K179" s="192">
        <v>1691.52</v>
      </c>
      <c r="L179" s="192">
        <v>1691.52</v>
      </c>
      <c r="M179" s="193">
        <f t="shared" si="6"/>
        <v>0</v>
      </c>
      <c r="N179" s="191">
        <v>14</v>
      </c>
      <c r="O179" s="192">
        <v>20900.5</v>
      </c>
      <c r="P179" s="192">
        <v>20900.5</v>
      </c>
      <c r="Q179" s="192">
        <f t="shared" si="7"/>
        <v>0</v>
      </c>
      <c r="R179" s="6"/>
    </row>
    <row r="180" spans="1:18" ht="25.5" x14ac:dyDescent="0.25">
      <c r="A180" s="190">
        <v>43</v>
      </c>
      <c r="B180" s="298" t="s">
        <v>47</v>
      </c>
      <c r="C180" s="190" t="s">
        <v>62</v>
      </c>
      <c r="D180" s="298"/>
      <c r="E180" s="190" t="s">
        <v>141</v>
      </c>
      <c r="F180" s="190" t="s">
        <v>589</v>
      </c>
      <c r="G180" s="136" t="s">
        <v>409</v>
      </c>
      <c r="H180" s="191">
        <v>0</v>
      </c>
      <c r="I180" s="191">
        <v>0</v>
      </c>
      <c r="J180" s="191">
        <v>0</v>
      </c>
      <c r="K180" s="192">
        <v>0</v>
      </c>
      <c r="L180" s="192">
        <v>0</v>
      </c>
      <c r="M180" s="193">
        <f t="shared" si="6"/>
        <v>0</v>
      </c>
      <c r="N180" s="191">
        <v>1</v>
      </c>
      <c r="O180" s="192">
        <v>6554.64</v>
      </c>
      <c r="P180" s="192">
        <v>6554.64</v>
      </c>
      <c r="Q180" s="192">
        <f t="shared" si="7"/>
        <v>0</v>
      </c>
      <c r="R180" s="6"/>
    </row>
    <row r="181" spans="1:18" ht="25.5" x14ac:dyDescent="0.25">
      <c r="A181" s="190">
        <v>44</v>
      </c>
      <c r="B181" s="298" t="s">
        <v>37</v>
      </c>
      <c r="C181" s="190" t="s">
        <v>62</v>
      </c>
      <c r="D181" s="190"/>
      <c r="E181" s="190" t="s">
        <v>74</v>
      </c>
      <c r="F181" s="190" t="s">
        <v>590</v>
      </c>
      <c r="G181" s="136" t="s">
        <v>409</v>
      </c>
      <c r="H181" s="191">
        <v>1</v>
      </c>
      <c r="I181" s="191">
        <v>0</v>
      </c>
      <c r="J181" s="191">
        <v>0</v>
      </c>
      <c r="K181" s="192">
        <v>0</v>
      </c>
      <c r="L181" s="192">
        <v>0</v>
      </c>
      <c r="M181" s="193">
        <f t="shared" si="6"/>
        <v>0</v>
      </c>
      <c r="N181" s="191">
        <v>0</v>
      </c>
      <c r="O181" s="192">
        <v>0</v>
      </c>
      <c r="P181" s="192">
        <v>0</v>
      </c>
      <c r="Q181" s="192">
        <f t="shared" si="7"/>
        <v>0</v>
      </c>
      <c r="R181" s="6"/>
    </row>
    <row r="182" spans="1:18" ht="25.5" x14ac:dyDescent="0.25">
      <c r="A182" s="190">
        <v>45</v>
      </c>
      <c r="B182" s="298" t="s">
        <v>97</v>
      </c>
      <c r="C182" s="190" t="s">
        <v>62</v>
      </c>
      <c r="D182" s="190"/>
      <c r="E182" s="190" t="s">
        <v>74</v>
      </c>
      <c r="F182" s="190" t="s">
        <v>591</v>
      </c>
      <c r="G182" s="136" t="s">
        <v>409</v>
      </c>
      <c r="H182" s="191">
        <v>4</v>
      </c>
      <c r="I182" s="191">
        <v>2</v>
      </c>
      <c r="J182" s="191">
        <v>2</v>
      </c>
      <c r="K182" s="192">
        <v>3626.7</v>
      </c>
      <c r="L182" s="192">
        <v>3626.7</v>
      </c>
      <c r="M182" s="193">
        <f t="shared" si="6"/>
        <v>0</v>
      </c>
      <c r="N182" s="191">
        <v>2</v>
      </c>
      <c r="O182" s="192">
        <v>704.8</v>
      </c>
      <c r="P182" s="192">
        <v>704.8</v>
      </c>
      <c r="Q182" s="192">
        <f t="shared" si="7"/>
        <v>0</v>
      </c>
      <c r="R182" s="6"/>
    </row>
    <row r="183" spans="1:18" ht="25.5" x14ac:dyDescent="0.25">
      <c r="A183" s="190">
        <v>46</v>
      </c>
      <c r="B183" s="298" t="s">
        <v>613</v>
      </c>
      <c r="C183" s="190" t="s">
        <v>62</v>
      </c>
      <c r="D183" s="190"/>
      <c r="E183" s="190" t="s">
        <v>74</v>
      </c>
      <c r="F183" s="190" t="s">
        <v>614</v>
      </c>
      <c r="G183" s="136" t="s">
        <v>409</v>
      </c>
      <c r="H183" s="191">
        <v>4</v>
      </c>
      <c r="I183" s="191">
        <v>2</v>
      </c>
      <c r="J183" s="191">
        <v>2</v>
      </c>
      <c r="K183" s="192">
        <v>1585.8</v>
      </c>
      <c r="L183" s="192">
        <v>1585.8</v>
      </c>
      <c r="M183" s="193">
        <f t="shared" si="6"/>
        <v>0</v>
      </c>
      <c r="N183" s="191">
        <v>3</v>
      </c>
      <c r="O183" s="192">
        <v>616.70000000000005</v>
      </c>
      <c r="P183" s="192">
        <v>616.70000000000005</v>
      </c>
      <c r="Q183" s="192">
        <f t="shared" si="7"/>
        <v>0</v>
      </c>
      <c r="R183" s="6"/>
    </row>
    <row r="184" spans="1:18" ht="25.5" x14ac:dyDescent="0.25">
      <c r="A184" s="190">
        <v>47</v>
      </c>
      <c r="B184" s="298" t="s">
        <v>615</v>
      </c>
      <c r="C184" s="190" t="s">
        <v>62</v>
      </c>
      <c r="D184" s="190"/>
      <c r="E184" s="190" t="s">
        <v>74</v>
      </c>
      <c r="F184" s="190" t="s">
        <v>616</v>
      </c>
      <c r="G184" s="136" t="s">
        <v>409</v>
      </c>
      <c r="H184" s="191">
        <v>5</v>
      </c>
      <c r="I184" s="191">
        <v>0</v>
      </c>
      <c r="J184" s="191">
        <v>0</v>
      </c>
      <c r="K184" s="192">
        <v>0</v>
      </c>
      <c r="L184" s="192">
        <v>0</v>
      </c>
      <c r="M184" s="193">
        <f t="shared" si="6"/>
        <v>0</v>
      </c>
      <c r="N184" s="191">
        <v>0</v>
      </c>
      <c r="O184" s="192">
        <v>0</v>
      </c>
      <c r="P184" s="192">
        <v>0</v>
      </c>
      <c r="Q184" s="192">
        <f t="shared" si="7"/>
        <v>0</v>
      </c>
      <c r="R184" s="6"/>
    </row>
    <row r="185" spans="1:18" ht="25.5" x14ac:dyDescent="0.25">
      <c r="A185" s="190">
        <v>48</v>
      </c>
      <c r="B185" s="298" t="s">
        <v>357</v>
      </c>
      <c r="C185" s="300" t="s">
        <v>64</v>
      </c>
      <c r="D185" s="134" t="s">
        <v>617</v>
      </c>
      <c r="E185" s="190" t="s">
        <v>74</v>
      </c>
      <c r="F185" s="190" t="s">
        <v>618</v>
      </c>
      <c r="G185" s="136" t="s">
        <v>409</v>
      </c>
      <c r="H185" s="191">
        <v>2</v>
      </c>
      <c r="I185" s="191">
        <v>0</v>
      </c>
      <c r="J185" s="191">
        <v>0</v>
      </c>
      <c r="K185" s="192">
        <v>0</v>
      </c>
      <c r="L185" s="192">
        <v>0</v>
      </c>
      <c r="M185" s="193">
        <f t="shared" si="6"/>
        <v>0</v>
      </c>
      <c r="N185" s="191">
        <v>1</v>
      </c>
      <c r="O185" s="192">
        <v>1762</v>
      </c>
      <c r="P185" s="192">
        <v>1762</v>
      </c>
      <c r="Q185" s="192">
        <f t="shared" si="7"/>
        <v>0</v>
      </c>
      <c r="R185" s="6"/>
    </row>
    <row r="186" spans="1:18" ht="25.5" x14ac:dyDescent="0.25">
      <c r="A186" s="190">
        <v>49</v>
      </c>
      <c r="B186" s="298" t="s">
        <v>621</v>
      </c>
      <c r="C186" s="190" t="s">
        <v>62</v>
      </c>
      <c r="D186" s="190"/>
      <c r="E186" s="190" t="s">
        <v>74</v>
      </c>
      <c r="F186" s="190" t="s">
        <v>625</v>
      </c>
      <c r="G186" s="136" t="s">
        <v>409</v>
      </c>
      <c r="H186" s="191">
        <v>8</v>
      </c>
      <c r="I186" s="191">
        <v>0</v>
      </c>
      <c r="J186" s="191">
        <v>0</v>
      </c>
      <c r="K186" s="192">
        <v>0</v>
      </c>
      <c r="L186" s="192">
        <v>0</v>
      </c>
      <c r="M186" s="193">
        <f t="shared" si="6"/>
        <v>0</v>
      </c>
      <c r="N186" s="191">
        <v>0</v>
      </c>
      <c r="O186" s="192">
        <v>0</v>
      </c>
      <c r="P186" s="192">
        <v>0</v>
      </c>
      <c r="Q186" s="192">
        <f t="shared" si="7"/>
        <v>0</v>
      </c>
      <c r="R186" s="6"/>
    </row>
    <row r="187" spans="1:18" x14ac:dyDescent="0.25">
      <c r="A187" s="349">
        <v>1</v>
      </c>
      <c r="B187" s="350" t="s">
        <v>146</v>
      </c>
      <c r="C187" s="351" t="s">
        <v>62</v>
      </c>
      <c r="D187" s="351"/>
      <c r="E187" s="351" t="s">
        <v>74</v>
      </c>
      <c r="F187" s="350" t="s">
        <v>325</v>
      </c>
      <c r="G187" s="352" t="s">
        <v>326</v>
      </c>
      <c r="H187" s="352">
        <v>15</v>
      </c>
      <c r="I187" s="352">
        <v>6</v>
      </c>
      <c r="J187" s="352">
        <v>6</v>
      </c>
      <c r="K187" s="353">
        <f>2643+2466.8+2554.9</f>
        <v>7664.7000000000007</v>
      </c>
      <c r="L187" s="353">
        <f>5109.8+2554.9</f>
        <v>7664.7000000000007</v>
      </c>
      <c r="M187" s="353">
        <f>K187-L187</f>
        <v>0</v>
      </c>
      <c r="N187" s="354">
        <v>6</v>
      </c>
      <c r="O187" s="353">
        <v>5374.1</v>
      </c>
      <c r="P187" s="355">
        <f>2378.7+2995.4</f>
        <v>5374.1</v>
      </c>
      <c r="Q187" s="355">
        <f>O187-P187</f>
        <v>0</v>
      </c>
      <c r="R187" s="6"/>
    </row>
    <row r="188" spans="1:18" x14ac:dyDescent="0.25">
      <c r="A188" s="349">
        <v>2</v>
      </c>
      <c r="B188" s="350" t="s">
        <v>166</v>
      </c>
      <c r="C188" s="351" t="s">
        <v>62</v>
      </c>
      <c r="D188" s="351"/>
      <c r="E188" s="351" t="s">
        <v>158</v>
      </c>
      <c r="F188" s="350" t="s">
        <v>327</v>
      </c>
      <c r="G188" s="350" t="s">
        <v>326</v>
      </c>
      <c r="H188" s="352">
        <v>4</v>
      </c>
      <c r="I188" s="352">
        <v>2</v>
      </c>
      <c r="J188" s="352">
        <v>2</v>
      </c>
      <c r="K188" s="353">
        <f>1233.4+4228.8</f>
        <v>5462.2000000000007</v>
      </c>
      <c r="L188" s="353">
        <f>73.95+1159.45+4228.8</f>
        <v>5462.2000000000007</v>
      </c>
      <c r="M188" s="353">
        <f>K188-L188</f>
        <v>0</v>
      </c>
      <c r="N188" s="354">
        <v>0</v>
      </c>
      <c r="O188" s="353">
        <v>0</v>
      </c>
      <c r="P188" s="355">
        <v>0</v>
      </c>
      <c r="Q188" s="355">
        <f>O188-P188</f>
        <v>0</v>
      </c>
      <c r="R188" s="6"/>
    </row>
    <row r="189" spans="1:18" x14ac:dyDescent="0.25">
      <c r="A189" s="349">
        <v>3</v>
      </c>
      <c r="B189" s="350" t="s">
        <v>173</v>
      </c>
      <c r="C189" s="351" t="s">
        <v>67</v>
      </c>
      <c r="D189" s="351" t="s">
        <v>328</v>
      </c>
      <c r="E189" s="351" t="s">
        <v>158</v>
      </c>
      <c r="F189" s="350" t="s">
        <v>329</v>
      </c>
      <c r="G189" s="350" t="s">
        <v>326</v>
      </c>
      <c r="H189" s="352">
        <v>8</v>
      </c>
      <c r="I189" s="352">
        <v>3</v>
      </c>
      <c r="J189" s="352">
        <v>3</v>
      </c>
      <c r="K189" s="353">
        <f>704.8+2945.6</f>
        <v>3650.3999999999996</v>
      </c>
      <c r="L189" s="353">
        <f>704.8+2945.6</f>
        <v>3650.3999999999996</v>
      </c>
      <c r="M189" s="353">
        <f>K189-L189</f>
        <v>0</v>
      </c>
      <c r="N189" s="354">
        <v>0</v>
      </c>
      <c r="O189" s="353">
        <v>0</v>
      </c>
      <c r="P189" s="355">
        <v>0</v>
      </c>
      <c r="Q189" s="355">
        <f>O189-P189</f>
        <v>0</v>
      </c>
      <c r="R189" s="6"/>
    </row>
    <row r="190" spans="1:18" x14ac:dyDescent="0.25">
      <c r="A190" s="349">
        <v>4</v>
      </c>
      <c r="B190" s="350" t="s">
        <v>330</v>
      </c>
      <c r="C190" s="351" t="s">
        <v>62</v>
      </c>
      <c r="D190" s="351"/>
      <c r="E190" s="351" t="s">
        <v>158</v>
      </c>
      <c r="F190" s="350" t="s">
        <v>331</v>
      </c>
      <c r="G190" s="350" t="s">
        <v>326</v>
      </c>
      <c r="H190" s="352">
        <v>15</v>
      </c>
      <c r="I190" s="352">
        <v>9</v>
      </c>
      <c r="J190" s="352">
        <v>9</v>
      </c>
      <c r="K190" s="353">
        <f>704.8+11276.8</f>
        <v>11981.599999999999</v>
      </c>
      <c r="L190" s="353">
        <f>704.8+11276.8</f>
        <v>11981.599999999999</v>
      </c>
      <c r="M190" s="353">
        <f>K190-L190</f>
        <v>0</v>
      </c>
      <c r="N190" s="354">
        <v>0</v>
      </c>
      <c r="O190" s="353">
        <v>0</v>
      </c>
      <c r="P190" s="355">
        <v>0</v>
      </c>
      <c r="Q190" s="355">
        <f>O190-P190</f>
        <v>0</v>
      </c>
      <c r="R190" s="6"/>
    </row>
    <row r="191" spans="1:18" x14ac:dyDescent="0.25">
      <c r="A191" s="349">
        <v>5</v>
      </c>
      <c r="B191" s="350" t="s">
        <v>147</v>
      </c>
      <c r="C191" s="351" t="s">
        <v>62</v>
      </c>
      <c r="D191" s="362"/>
      <c r="E191" s="351" t="s">
        <v>74</v>
      </c>
      <c r="F191" s="350" t="s">
        <v>332</v>
      </c>
      <c r="G191" s="350" t="s">
        <v>326</v>
      </c>
      <c r="H191" s="356">
        <v>15</v>
      </c>
      <c r="I191" s="356">
        <v>5</v>
      </c>
      <c r="J191" s="356">
        <v>5</v>
      </c>
      <c r="K191" s="357">
        <f>1409.6+1762+3347.8+2209.2</f>
        <v>8728.5999999999985</v>
      </c>
      <c r="L191" s="353">
        <f>1409.6+1762+3347.8+2209.2</f>
        <v>8728.5999999999985</v>
      </c>
      <c r="M191" s="353">
        <f>K191-L191</f>
        <v>0</v>
      </c>
      <c r="N191" s="354">
        <v>4</v>
      </c>
      <c r="O191" s="358">
        <f>4757.4+5523</f>
        <v>10280.4</v>
      </c>
      <c r="P191" s="359">
        <f>4052.6+704.8+5523</f>
        <v>10280.4</v>
      </c>
      <c r="Q191" s="355">
        <f>O191-P191</f>
        <v>0</v>
      </c>
      <c r="R191" s="6"/>
    </row>
    <row r="192" spans="1:18" ht="25.5" x14ac:dyDescent="0.25">
      <c r="A192" s="349">
        <v>6</v>
      </c>
      <c r="B192" s="350" t="s">
        <v>554</v>
      </c>
      <c r="C192" s="351" t="s">
        <v>67</v>
      </c>
      <c r="D192" s="363" t="s">
        <v>555</v>
      </c>
      <c r="E192" s="351" t="s">
        <v>74</v>
      </c>
      <c r="F192" s="350" t="s">
        <v>556</v>
      </c>
      <c r="G192" s="350" t="s">
        <v>326</v>
      </c>
      <c r="H192" s="356">
        <v>2</v>
      </c>
      <c r="I192" s="356">
        <v>0</v>
      </c>
      <c r="J192" s="356">
        <v>0</v>
      </c>
      <c r="K192" s="357">
        <v>0</v>
      </c>
      <c r="L192" s="353">
        <v>0</v>
      </c>
      <c r="M192" s="353">
        <v>0</v>
      </c>
      <c r="N192" s="354">
        <v>0</v>
      </c>
      <c r="O192" s="353">
        <v>0</v>
      </c>
      <c r="P192" s="355">
        <v>0</v>
      </c>
      <c r="Q192" s="355">
        <v>0</v>
      </c>
      <c r="R192" s="6"/>
    </row>
    <row r="193" spans="1:18" x14ac:dyDescent="0.25">
      <c r="A193" s="349">
        <v>7</v>
      </c>
      <c r="B193" s="350" t="s">
        <v>88</v>
      </c>
      <c r="C193" s="351" t="s">
        <v>62</v>
      </c>
      <c r="D193" s="362"/>
      <c r="E193" s="351" t="s">
        <v>74</v>
      </c>
      <c r="F193" s="350" t="s">
        <v>333</v>
      </c>
      <c r="G193" s="350" t="s">
        <v>326</v>
      </c>
      <c r="H193" s="356">
        <v>2</v>
      </c>
      <c r="I193" s="356">
        <v>2</v>
      </c>
      <c r="J193" s="356">
        <v>2</v>
      </c>
      <c r="K193" s="357">
        <f>704.8+1585.8</f>
        <v>2290.6</v>
      </c>
      <c r="L193" s="353">
        <f>704.8+1585.8</f>
        <v>2290.6</v>
      </c>
      <c r="M193" s="353">
        <f t="shared" ref="M193:M233" si="8">K193-L193</f>
        <v>0</v>
      </c>
      <c r="N193" s="354">
        <v>1</v>
      </c>
      <c r="O193" s="358">
        <v>1145.3</v>
      </c>
      <c r="P193" s="355">
        <v>1145.3</v>
      </c>
      <c r="Q193" s="355">
        <f t="shared" ref="Q193:Q216" si="9">O193-P193</f>
        <v>0</v>
      </c>
      <c r="R193" s="6"/>
    </row>
    <row r="194" spans="1:18" x14ac:dyDescent="0.25">
      <c r="A194" s="349">
        <v>8</v>
      </c>
      <c r="B194" s="350" t="s">
        <v>182</v>
      </c>
      <c r="C194" s="351" t="s">
        <v>62</v>
      </c>
      <c r="D194" s="362"/>
      <c r="E194" s="351" t="s">
        <v>158</v>
      </c>
      <c r="F194" s="350" t="s">
        <v>334</v>
      </c>
      <c r="G194" s="350" t="s">
        <v>326</v>
      </c>
      <c r="H194" s="356">
        <v>5</v>
      </c>
      <c r="I194" s="356">
        <v>1</v>
      </c>
      <c r="J194" s="356">
        <v>1</v>
      </c>
      <c r="K194" s="357">
        <f>1233.4</f>
        <v>1233.4000000000001</v>
      </c>
      <c r="L194" s="353">
        <f>1233.4</f>
        <v>1233.4000000000001</v>
      </c>
      <c r="M194" s="353">
        <f t="shared" si="8"/>
        <v>0</v>
      </c>
      <c r="N194" s="354">
        <v>0</v>
      </c>
      <c r="O194" s="358">
        <v>0</v>
      </c>
      <c r="P194" s="355">
        <v>0</v>
      </c>
      <c r="Q194" s="355">
        <f t="shared" si="9"/>
        <v>0</v>
      </c>
      <c r="R194" s="6"/>
    </row>
    <row r="195" spans="1:18" x14ac:dyDescent="0.25">
      <c r="A195" s="349">
        <v>9</v>
      </c>
      <c r="B195" s="350" t="s">
        <v>335</v>
      </c>
      <c r="C195" s="351" t="s">
        <v>62</v>
      </c>
      <c r="D195" s="364"/>
      <c r="E195" s="351" t="s">
        <v>74</v>
      </c>
      <c r="F195" s="350" t="s">
        <v>336</v>
      </c>
      <c r="G195" s="350" t="s">
        <v>326</v>
      </c>
      <c r="H195" s="356">
        <v>15</v>
      </c>
      <c r="I195" s="356">
        <v>7</v>
      </c>
      <c r="J195" s="356">
        <v>7</v>
      </c>
      <c r="K195" s="357">
        <f>3700.2+704.8+2114.4+2819.2</f>
        <v>9338.5999999999985</v>
      </c>
      <c r="L195" s="353">
        <f>3700.2+704.8+2114.4+2819.2</f>
        <v>9338.5999999999985</v>
      </c>
      <c r="M195" s="353">
        <f t="shared" si="8"/>
        <v>0</v>
      </c>
      <c r="N195" s="354">
        <v>8</v>
      </c>
      <c r="O195" s="353">
        <f>3435.9+3171.6+132.15</f>
        <v>6739.65</v>
      </c>
      <c r="P195" s="355">
        <f>3435.9+3171.6+132.15</f>
        <v>6739.65</v>
      </c>
      <c r="Q195" s="355">
        <f t="shared" si="9"/>
        <v>0</v>
      </c>
      <c r="R195" s="6"/>
    </row>
    <row r="196" spans="1:18" x14ac:dyDescent="0.25">
      <c r="A196" s="349">
        <v>10</v>
      </c>
      <c r="B196" s="350" t="s">
        <v>27</v>
      </c>
      <c r="C196" s="351" t="s">
        <v>62</v>
      </c>
      <c r="D196" s="362"/>
      <c r="E196" s="351" t="s">
        <v>158</v>
      </c>
      <c r="F196" s="350" t="s">
        <v>337</v>
      </c>
      <c r="G196" s="350" t="s">
        <v>326</v>
      </c>
      <c r="H196" s="356">
        <v>13</v>
      </c>
      <c r="I196" s="356">
        <v>11</v>
      </c>
      <c r="J196" s="356">
        <v>11</v>
      </c>
      <c r="K196" s="357">
        <f>5638.4+2819.2+528.6+1964.2</f>
        <v>10950.4</v>
      </c>
      <c r="L196" s="353">
        <f>1233.4+4405+2819.2+528.6+1964.2</f>
        <v>10950.4</v>
      </c>
      <c r="M196" s="353">
        <f t="shared" si="8"/>
        <v>0</v>
      </c>
      <c r="N196" s="354">
        <v>0</v>
      </c>
      <c r="O196" s="358">
        <v>0</v>
      </c>
      <c r="P196" s="359">
        <v>0</v>
      </c>
      <c r="Q196" s="355">
        <f t="shared" si="9"/>
        <v>0</v>
      </c>
      <c r="R196" s="6"/>
    </row>
    <row r="197" spans="1:18" x14ac:dyDescent="0.25">
      <c r="A197" s="365">
        <v>11</v>
      </c>
      <c r="B197" s="350" t="s">
        <v>190</v>
      </c>
      <c r="C197" s="351" t="s">
        <v>62</v>
      </c>
      <c r="D197" s="362"/>
      <c r="E197" s="351" t="s">
        <v>338</v>
      </c>
      <c r="F197" s="350" t="s">
        <v>339</v>
      </c>
      <c r="G197" s="350" t="s">
        <v>326</v>
      </c>
      <c r="H197" s="356">
        <v>20</v>
      </c>
      <c r="I197" s="356">
        <v>10</v>
      </c>
      <c r="J197" s="356">
        <v>10</v>
      </c>
      <c r="K197" s="357">
        <f>1938.2+2819.2+2819.2+2290.6+1862+2543.3+552.3</f>
        <v>14824.8</v>
      </c>
      <c r="L197" s="353">
        <f>704.8+704.8+528.6+2819.2+2819.2+2290.6+1592.92+3364.68</f>
        <v>14824.8</v>
      </c>
      <c r="M197" s="353">
        <f t="shared" si="8"/>
        <v>0</v>
      </c>
      <c r="N197" s="354">
        <v>0</v>
      </c>
      <c r="O197" s="358">
        <v>0</v>
      </c>
      <c r="P197" s="355">
        <v>0</v>
      </c>
      <c r="Q197" s="355">
        <f t="shared" si="9"/>
        <v>0</v>
      </c>
      <c r="R197" s="6"/>
    </row>
    <row r="198" spans="1:18" x14ac:dyDescent="0.25">
      <c r="A198" s="365">
        <v>12</v>
      </c>
      <c r="B198" s="350" t="s">
        <v>89</v>
      </c>
      <c r="C198" s="351" t="s">
        <v>62</v>
      </c>
      <c r="D198" s="362"/>
      <c r="E198" s="351" t="s">
        <v>74</v>
      </c>
      <c r="F198" s="350" t="s">
        <v>340</v>
      </c>
      <c r="G198" s="350" t="s">
        <v>326</v>
      </c>
      <c r="H198" s="356">
        <v>6</v>
      </c>
      <c r="I198" s="356">
        <v>6</v>
      </c>
      <c r="J198" s="356">
        <v>6</v>
      </c>
      <c r="K198" s="357">
        <f>1762+3876.4+2995.4</f>
        <v>8633.7999999999993</v>
      </c>
      <c r="L198" s="353">
        <f>1762+3876.4+2995.4</f>
        <v>8633.7999999999993</v>
      </c>
      <c r="M198" s="353">
        <f t="shared" si="8"/>
        <v>0</v>
      </c>
      <c r="N198" s="354">
        <v>4</v>
      </c>
      <c r="O198" s="358">
        <f>440.5+5990.8+2819.2</f>
        <v>9250.5</v>
      </c>
      <c r="P198" s="355">
        <f>440.5+5990.8+2819.2</f>
        <v>9250.5</v>
      </c>
      <c r="Q198" s="355">
        <f t="shared" si="9"/>
        <v>0</v>
      </c>
      <c r="R198" s="6"/>
    </row>
    <row r="199" spans="1:18" x14ac:dyDescent="0.25">
      <c r="A199" s="365">
        <v>13</v>
      </c>
      <c r="B199" s="350" t="s">
        <v>196</v>
      </c>
      <c r="C199" s="351" t="s">
        <v>62</v>
      </c>
      <c r="D199" s="362"/>
      <c r="E199" s="351" t="s">
        <v>341</v>
      </c>
      <c r="F199" s="350" t="s">
        <v>342</v>
      </c>
      <c r="G199" s="350" t="s">
        <v>326</v>
      </c>
      <c r="H199" s="356">
        <v>7</v>
      </c>
      <c r="I199" s="356">
        <v>5</v>
      </c>
      <c r="J199" s="356">
        <v>5</v>
      </c>
      <c r="K199" s="357">
        <v>4933.6000000000004</v>
      </c>
      <c r="L199" s="353">
        <f>4933.6</f>
        <v>4933.6000000000004</v>
      </c>
      <c r="M199" s="353">
        <f t="shared" si="8"/>
        <v>0</v>
      </c>
      <c r="N199" s="354">
        <v>0</v>
      </c>
      <c r="O199" s="358">
        <v>0</v>
      </c>
      <c r="P199" s="355">
        <v>0</v>
      </c>
      <c r="Q199" s="355">
        <f t="shared" si="9"/>
        <v>0</v>
      </c>
      <c r="R199" s="6"/>
    </row>
    <row r="200" spans="1:18" x14ac:dyDescent="0.25">
      <c r="A200" s="365">
        <v>14</v>
      </c>
      <c r="B200" s="350" t="s">
        <v>628</v>
      </c>
      <c r="C200" s="351" t="s">
        <v>62</v>
      </c>
      <c r="D200" s="362"/>
      <c r="E200" s="351" t="s">
        <v>74</v>
      </c>
      <c r="F200" s="350" t="s">
        <v>629</v>
      </c>
      <c r="G200" s="350" t="s">
        <v>326</v>
      </c>
      <c r="H200" s="356">
        <v>0</v>
      </c>
      <c r="I200" s="356">
        <v>0</v>
      </c>
      <c r="J200" s="356">
        <v>0</v>
      </c>
      <c r="K200" s="357">
        <v>0</v>
      </c>
      <c r="L200" s="353">
        <v>0</v>
      </c>
      <c r="M200" s="353">
        <v>0</v>
      </c>
      <c r="N200" s="354">
        <v>0</v>
      </c>
      <c r="O200" s="358">
        <v>0</v>
      </c>
      <c r="P200" s="355">
        <v>0</v>
      </c>
      <c r="Q200" s="355">
        <f t="shared" si="9"/>
        <v>0</v>
      </c>
      <c r="R200" s="6"/>
    </row>
    <row r="201" spans="1:18" x14ac:dyDescent="0.25">
      <c r="A201" s="365">
        <v>15</v>
      </c>
      <c r="B201" s="350" t="s">
        <v>343</v>
      </c>
      <c r="C201" s="351" t="s">
        <v>62</v>
      </c>
      <c r="D201" s="362"/>
      <c r="E201" s="351" t="s">
        <v>74</v>
      </c>
      <c r="F201" s="350" t="s">
        <v>344</v>
      </c>
      <c r="G201" s="350" t="s">
        <v>326</v>
      </c>
      <c r="H201" s="356">
        <v>9</v>
      </c>
      <c r="I201" s="356">
        <v>2</v>
      </c>
      <c r="J201" s="356">
        <v>2</v>
      </c>
      <c r="K201" s="357">
        <f>2466.8</f>
        <v>2466.8000000000002</v>
      </c>
      <c r="L201" s="353">
        <f>2466.8</f>
        <v>2466.8000000000002</v>
      </c>
      <c r="M201" s="353">
        <f t="shared" si="8"/>
        <v>0</v>
      </c>
      <c r="N201" s="354">
        <v>0</v>
      </c>
      <c r="O201" s="358">
        <v>0</v>
      </c>
      <c r="P201" s="355">
        <v>0</v>
      </c>
      <c r="Q201" s="355">
        <f t="shared" si="9"/>
        <v>0</v>
      </c>
      <c r="R201" s="6"/>
    </row>
    <row r="202" spans="1:18" x14ac:dyDescent="0.25">
      <c r="A202" s="365">
        <v>16</v>
      </c>
      <c r="B202" s="350" t="s">
        <v>154</v>
      </c>
      <c r="C202" s="351" t="s">
        <v>62</v>
      </c>
      <c r="D202" s="362"/>
      <c r="E202" s="351" t="s">
        <v>74</v>
      </c>
      <c r="F202" s="350" t="s">
        <v>345</v>
      </c>
      <c r="G202" s="350" t="s">
        <v>326</v>
      </c>
      <c r="H202" s="356">
        <v>6</v>
      </c>
      <c r="I202" s="356">
        <v>3</v>
      </c>
      <c r="J202" s="356">
        <v>3</v>
      </c>
      <c r="K202" s="357">
        <f>1497.7+1288.7</f>
        <v>2786.4</v>
      </c>
      <c r="L202" s="353">
        <f>1497.7+1288.7</f>
        <v>2786.4</v>
      </c>
      <c r="M202" s="353">
        <f t="shared" si="8"/>
        <v>0</v>
      </c>
      <c r="N202" s="354">
        <v>6</v>
      </c>
      <c r="O202" s="358">
        <f>4228.8+3700.2+552.3</f>
        <v>8481.2999999999993</v>
      </c>
      <c r="P202" s="359">
        <f>4228.8+3700.2+552.3</f>
        <v>8481.2999999999993</v>
      </c>
      <c r="Q202" s="355">
        <f t="shared" si="9"/>
        <v>0</v>
      </c>
      <c r="R202" s="6"/>
    </row>
    <row r="203" spans="1:18" x14ac:dyDescent="0.25">
      <c r="A203" s="365">
        <v>17</v>
      </c>
      <c r="B203" s="350" t="s">
        <v>346</v>
      </c>
      <c r="C203" s="351" t="s">
        <v>62</v>
      </c>
      <c r="D203" s="362"/>
      <c r="E203" s="351" t="s">
        <v>158</v>
      </c>
      <c r="F203" s="350" t="s">
        <v>347</v>
      </c>
      <c r="G203" s="350" t="s">
        <v>326</v>
      </c>
      <c r="H203" s="356">
        <v>2</v>
      </c>
      <c r="I203" s="356">
        <v>0</v>
      </c>
      <c r="J203" s="356">
        <v>0</v>
      </c>
      <c r="K203" s="357">
        <v>0</v>
      </c>
      <c r="L203" s="353">
        <v>0</v>
      </c>
      <c r="M203" s="353">
        <f t="shared" si="8"/>
        <v>0</v>
      </c>
      <c r="N203" s="354">
        <v>0</v>
      </c>
      <c r="O203" s="358">
        <v>0</v>
      </c>
      <c r="P203" s="355">
        <v>0</v>
      </c>
      <c r="Q203" s="355">
        <f t="shared" si="9"/>
        <v>0</v>
      </c>
      <c r="R203" s="6"/>
    </row>
    <row r="204" spans="1:18" x14ac:dyDescent="0.25">
      <c r="A204" s="365">
        <v>18</v>
      </c>
      <c r="B204" s="350" t="s">
        <v>348</v>
      </c>
      <c r="C204" s="351" t="s">
        <v>62</v>
      </c>
      <c r="D204" s="362"/>
      <c r="E204" s="351" t="s">
        <v>158</v>
      </c>
      <c r="F204" s="350" t="s">
        <v>349</v>
      </c>
      <c r="G204" s="350" t="s">
        <v>326</v>
      </c>
      <c r="H204" s="356">
        <v>6</v>
      </c>
      <c r="I204" s="356">
        <v>0</v>
      </c>
      <c r="J204" s="356">
        <v>0</v>
      </c>
      <c r="K204" s="357">
        <v>0</v>
      </c>
      <c r="L204" s="353">
        <v>0</v>
      </c>
      <c r="M204" s="353">
        <f t="shared" si="8"/>
        <v>0</v>
      </c>
      <c r="N204" s="354">
        <v>0</v>
      </c>
      <c r="O204" s="358">
        <v>0</v>
      </c>
      <c r="P204" s="355">
        <v>0</v>
      </c>
      <c r="Q204" s="355">
        <f t="shared" si="9"/>
        <v>0</v>
      </c>
      <c r="R204" s="6"/>
    </row>
    <row r="205" spans="1:18" x14ac:dyDescent="0.25">
      <c r="A205" s="365">
        <v>19</v>
      </c>
      <c r="B205" s="350" t="s">
        <v>350</v>
      </c>
      <c r="C205" s="351" t="s">
        <v>62</v>
      </c>
      <c r="D205" s="362"/>
      <c r="E205" s="351" t="s">
        <v>74</v>
      </c>
      <c r="F205" s="350" t="s">
        <v>351</v>
      </c>
      <c r="G205" s="350" t="s">
        <v>326</v>
      </c>
      <c r="H205" s="356">
        <v>1</v>
      </c>
      <c r="I205" s="356">
        <v>1</v>
      </c>
      <c r="J205" s="356">
        <v>1</v>
      </c>
      <c r="K205" s="357">
        <f>528.6</f>
        <v>528.6</v>
      </c>
      <c r="L205" s="353">
        <f>528.6</f>
        <v>528.6</v>
      </c>
      <c r="M205" s="353">
        <f t="shared" si="8"/>
        <v>0</v>
      </c>
      <c r="N205" s="354">
        <v>4</v>
      </c>
      <c r="O205" s="358">
        <v>5065.75</v>
      </c>
      <c r="P205" s="355">
        <f>1894.15+3171.6</f>
        <v>5065.75</v>
      </c>
      <c r="Q205" s="355">
        <f t="shared" si="9"/>
        <v>0</v>
      </c>
      <c r="R205" s="6"/>
    </row>
    <row r="206" spans="1:18" ht="39" x14ac:dyDescent="0.25">
      <c r="A206" s="366">
        <v>20</v>
      </c>
      <c r="B206" s="350" t="s">
        <v>222</v>
      </c>
      <c r="C206" s="351" t="s">
        <v>64</v>
      </c>
      <c r="D206" s="367" t="s">
        <v>352</v>
      </c>
      <c r="E206" s="351" t="s">
        <v>158</v>
      </c>
      <c r="F206" s="350" t="s">
        <v>353</v>
      </c>
      <c r="G206" s="350" t="s">
        <v>326</v>
      </c>
      <c r="H206" s="356">
        <v>6</v>
      </c>
      <c r="I206" s="356">
        <v>2</v>
      </c>
      <c r="J206" s="356">
        <v>2</v>
      </c>
      <c r="K206" s="357">
        <f>1233.4+2290.6</f>
        <v>3524</v>
      </c>
      <c r="L206" s="353">
        <f>1233.4+2290.6</f>
        <v>3524</v>
      </c>
      <c r="M206" s="353">
        <f t="shared" si="8"/>
        <v>0</v>
      </c>
      <c r="N206" s="354">
        <v>0</v>
      </c>
      <c r="O206" s="353">
        <v>0</v>
      </c>
      <c r="P206" s="355">
        <v>0</v>
      </c>
      <c r="Q206" s="355">
        <f t="shared" si="9"/>
        <v>0</v>
      </c>
      <c r="R206" s="6"/>
    </row>
    <row r="207" spans="1:18" x14ac:dyDescent="0.25">
      <c r="A207" s="365">
        <v>21</v>
      </c>
      <c r="B207" s="350" t="s">
        <v>238</v>
      </c>
      <c r="C207" s="351" t="s">
        <v>62</v>
      </c>
      <c r="D207" s="362"/>
      <c r="E207" s="351" t="s">
        <v>158</v>
      </c>
      <c r="F207" s="350" t="s">
        <v>354</v>
      </c>
      <c r="G207" s="350" t="s">
        <v>326</v>
      </c>
      <c r="H207" s="356">
        <v>8</v>
      </c>
      <c r="I207" s="356">
        <v>6</v>
      </c>
      <c r="J207" s="356">
        <v>6</v>
      </c>
      <c r="K207" s="357">
        <f>2466.8+4581.2+1012.55</f>
        <v>8060.55</v>
      </c>
      <c r="L207" s="353">
        <f>1233.4+1233.4+4581.2+1012.55</f>
        <v>8060.55</v>
      </c>
      <c r="M207" s="353">
        <f t="shared" si="8"/>
        <v>0</v>
      </c>
      <c r="N207" s="354">
        <v>0</v>
      </c>
      <c r="O207" s="358">
        <v>0</v>
      </c>
      <c r="P207" s="355">
        <v>0</v>
      </c>
      <c r="Q207" s="355">
        <f t="shared" si="9"/>
        <v>0</v>
      </c>
      <c r="R207" s="6"/>
    </row>
    <row r="208" spans="1:18" x14ac:dyDescent="0.25">
      <c r="A208" s="365">
        <v>22</v>
      </c>
      <c r="B208" s="350" t="s">
        <v>355</v>
      </c>
      <c r="C208" s="351" t="s">
        <v>62</v>
      </c>
      <c r="D208" s="362"/>
      <c r="E208" s="351" t="s">
        <v>158</v>
      </c>
      <c r="F208" s="350" t="s">
        <v>356</v>
      </c>
      <c r="G208" s="350" t="s">
        <v>326</v>
      </c>
      <c r="H208" s="356">
        <v>7</v>
      </c>
      <c r="I208" s="356">
        <v>2</v>
      </c>
      <c r="J208" s="356">
        <v>2</v>
      </c>
      <c r="K208" s="357">
        <v>1762</v>
      </c>
      <c r="L208" s="353">
        <f>1233.4+528.6</f>
        <v>1762</v>
      </c>
      <c r="M208" s="353">
        <f t="shared" si="8"/>
        <v>0</v>
      </c>
      <c r="N208" s="354">
        <v>0</v>
      </c>
      <c r="O208" s="358">
        <v>0</v>
      </c>
      <c r="P208" s="355">
        <v>0</v>
      </c>
      <c r="Q208" s="355">
        <f t="shared" si="9"/>
        <v>0</v>
      </c>
      <c r="R208" s="6"/>
    </row>
    <row r="209" spans="1:18" ht="38.25" x14ac:dyDescent="0.25">
      <c r="A209" s="366">
        <v>23</v>
      </c>
      <c r="B209" s="350" t="s">
        <v>357</v>
      </c>
      <c r="C209" s="351" t="s">
        <v>64</v>
      </c>
      <c r="D209" s="349" t="s">
        <v>358</v>
      </c>
      <c r="E209" s="351" t="s">
        <v>158</v>
      </c>
      <c r="F209" s="351" t="s">
        <v>507</v>
      </c>
      <c r="G209" s="350" t="s">
        <v>326</v>
      </c>
      <c r="H209" s="356">
        <v>3</v>
      </c>
      <c r="I209" s="364">
        <v>1</v>
      </c>
      <c r="J209" s="364">
        <v>1</v>
      </c>
      <c r="K209" s="357">
        <f>1288.7</f>
        <v>1288.7</v>
      </c>
      <c r="L209" s="353">
        <f>1288.7</f>
        <v>1288.7</v>
      </c>
      <c r="M209" s="353">
        <f t="shared" si="8"/>
        <v>0</v>
      </c>
      <c r="N209" s="354">
        <v>0</v>
      </c>
      <c r="O209" s="353">
        <v>0</v>
      </c>
      <c r="P209" s="355">
        <v>0</v>
      </c>
      <c r="Q209" s="355">
        <f t="shared" si="9"/>
        <v>0</v>
      </c>
      <c r="R209" s="6"/>
    </row>
    <row r="210" spans="1:18" x14ac:dyDescent="0.25">
      <c r="A210" s="366">
        <v>24</v>
      </c>
      <c r="B210" s="350" t="s">
        <v>36</v>
      </c>
      <c r="C210" s="351" t="s">
        <v>62</v>
      </c>
      <c r="D210" s="349"/>
      <c r="E210" s="351" t="s">
        <v>74</v>
      </c>
      <c r="F210" s="360" t="s">
        <v>630</v>
      </c>
      <c r="G210" s="350" t="s">
        <v>326</v>
      </c>
      <c r="H210" s="356">
        <v>0</v>
      </c>
      <c r="I210" s="364">
        <v>0</v>
      </c>
      <c r="J210" s="364">
        <v>0</v>
      </c>
      <c r="K210" s="357">
        <v>0</v>
      </c>
      <c r="L210" s="353">
        <v>0</v>
      </c>
      <c r="M210" s="353">
        <v>0</v>
      </c>
      <c r="N210" s="354">
        <v>0</v>
      </c>
      <c r="O210" s="353">
        <v>0</v>
      </c>
      <c r="P210" s="355">
        <v>0</v>
      </c>
      <c r="Q210" s="355">
        <f t="shared" si="9"/>
        <v>0</v>
      </c>
      <c r="R210" s="6"/>
    </row>
    <row r="211" spans="1:18" x14ac:dyDescent="0.25">
      <c r="A211" s="365">
        <v>25</v>
      </c>
      <c r="B211" s="350" t="s">
        <v>359</v>
      </c>
      <c r="C211" s="351" t="s">
        <v>62</v>
      </c>
      <c r="D211" s="349"/>
      <c r="E211" s="351" t="s">
        <v>158</v>
      </c>
      <c r="F211" s="351" t="s">
        <v>360</v>
      </c>
      <c r="G211" s="350" t="s">
        <v>326</v>
      </c>
      <c r="H211" s="356">
        <v>5</v>
      </c>
      <c r="I211" s="356">
        <v>5</v>
      </c>
      <c r="J211" s="356">
        <v>5</v>
      </c>
      <c r="K211" s="357">
        <f>1409.6+704.8+528.6+2290.6</f>
        <v>4933.5999999999995</v>
      </c>
      <c r="L211" s="353">
        <f>704.8+704.8+704.8+9.97+518.63+2290.6</f>
        <v>4933.5999999999995</v>
      </c>
      <c r="M211" s="353">
        <f t="shared" si="8"/>
        <v>0</v>
      </c>
      <c r="N211" s="354">
        <v>0</v>
      </c>
      <c r="O211" s="358">
        <v>0</v>
      </c>
      <c r="P211" s="359">
        <v>0</v>
      </c>
      <c r="Q211" s="355">
        <f t="shared" si="9"/>
        <v>0</v>
      </c>
      <c r="R211" s="6"/>
    </row>
    <row r="212" spans="1:18" x14ac:dyDescent="0.25">
      <c r="A212" s="365">
        <v>26</v>
      </c>
      <c r="B212" s="350" t="s">
        <v>118</v>
      </c>
      <c r="C212" s="351" t="s">
        <v>62</v>
      </c>
      <c r="D212" s="362"/>
      <c r="E212" s="351" t="s">
        <v>338</v>
      </c>
      <c r="F212" s="350" t="s">
        <v>361</v>
      </c>
      <c r="G212" s="350" t="s">
        <v>326</v>
      </c>
      <c r="H212" s="356">
        <v>1</v>
      </c>
      <c r="I212" s="356">
        <v>1</v>
      </c>
      <c r="J212" s="356">
        <v>1</v>
      </c>
      <c r="K212" s="357">
        <f>1012.55</f>
        <v>1012.55</v>
      </c>
      <c r="L212" s="353">
        <f>1012.55</f>
        <v>1012.55</v>
      </c>
      <c r="M212" s="353">
        <f t="shared" si="8"/>
        <v>0</v>
      </c>
      <c r="N212" s="354">
        <v>0</v>
      </c>
      <c r="O212" s="358">
        <v>0</v>
      </c>
      <c r="P212" s="355">
        <v>0</v>
      </c>
      <c r="Q212" s="355">
        <f t="shared" si="9"/>
        <v>0</v>
      </c>
      <c r="R212" s="6"/>
    </row>
    <row r="213" spans="1:18" x14ac:dyDescent="0.25">
      <c r="A213" s="365">
        <v>27</v>
      </c>
      <c r="B213" s="350" t="s">
        <v>246</v>
      </c>
      <c r="C213" s="351" t="s">
        <v>62</v>
      </c>
      <c r="D213" s="362"/>
      <c r="E213" s="351" t="s">
        <v>158</v>
      </c>
      <c r="F213" s="350" t="s">
        <v>362</v>
      </c>
      <c r="G213" s="350" t="s">
        <v>326</v>
      </c>
      <c r="H213" s="356">
        <v>5</v>
      </c>
      <c r="I213" s="356">
        <v>3</v>
      </c>
      <c r="J213" s="356">
        <v>3</v>
      </c>
      <c r="K213" s="357">
        <f>1233.4</f>
        <v>1233.4000000000001</v>
      </c>
      <c r="L213" s="353">
        <f>1233.4</f>
        <v>1233.4000000000001</v>
      </c>
      <c r="M213" s="353">
        <f t="shared" si="8"/>
        <v>0</v>
      </c>
      <c r="N213" s="354">
        <v>0</v>
      </c>
      <c r="O213" s="358">
        <v>0</v>
      </c>
      <c r="P213" s="355">
        <v>0</v>
      </c>
      <c r="Q213" s="355">
        <f t="shared" si="9"/>
        <v>0</v>
      </c>
      <c r="R213" s="6"/>
    </row>
    <row r="214" spans="1:18" x14ac:dyDescent="0.25">
      <c r="A214" s="365">
        <v>28</v>
      </c>
      <c r="B214" s="350" t="s">
        <v>43</v>
      </c>
      <c r="C214" s="351" t="s">
        <v>62</v>
      </c>
      <c r="D214" s="362"/>
      <c r="E214" s="351" t="s">
        <v>74</v>
      </c>
      <c r="F214" s="350" t="s">
        <v>363</v>
      </c>
      <c r="G214" s="350" t="s">
        <v>326</v>
      </c>
      <c r="H214" s="356">
        <v>4</v>
      </c>
      <c r="I214" s="356">
        <v>1</v>
      </c>
      <c r="J214" s="356">
        <v>1</v>
      </c>
      <c r="K214" s="357">
        <v>660.75</v>
      </c>
      <c r="L214" s="353">
        <f>660.75</f>
        <v>660.75</v>
      </c>
      <c r="M214" s="353">
        <f t="shared" si="8"/>
        <v>0</v>
      </c>
      <c r="N214" s="354">
        <v>0</v>
      </c>
      <c r="O214" s="358">
        <v>0</v>
      </c>
      <c r="P214" s="355">
        <v>0</v>
      </c>
      <c r="Q214" s="355">
        <f t="shared" si="9"/>
        <v>0</v>
      </c>
      <c r="R214" s="6"/>
    </row>
    <row r="215" spans="1:18" x14ac:dyDescent="0.25">
      <c r="A215" s="365">
        <v>29</v>
      </c>
      <c r="B215" s="350" t="s">
        <v>364</v>
      </c>
      <c r="C215" s="351" t="s">
        <v>62</v>
      </c>
      <c r="D215" s="362"/>
      <c r="E215" s="351" t="s">
        <v>74</v>
      </c>
      <c r="F215" s="350" t="s">
        <v>365</v>
      </c>
      <c r="G215" s="350" t="s">
        <v>326</v>
      </c>
      <c r="H215" s="356">
        <v>8</v>
      </c>
      <c r="I215" s="356">
        <v>2</v>
      </c>
      <c r="J215" s="356">
        <v>2</v>
      </c>
      <c r="K215" s="357">
        <v>2466.8000000000002</v>
      </c>
      <c r="L215" s="353">
        <v>2466.8000000000002</v>
      </c>
      <c r="M215" s="353">
        <f t="shared" si="8"/>
        <v>0</v>
      </c>
      <c r="N215" s="354">
        <v>3</v>
      </c>
      <c r="O215" s="358">
        <f>3524+2671.06+3497.9</f>
        <v>9692.9599999999991</v>
      </c>
      <c r="P215" s="355">
        <f>3524+6168.96</f>
        <v>9692.9599999999991</v>
      </c>
      <c r="Q215" s="355">
        <f t="shared" si="9"/>
        <v>0</v>
      </c>
      <c r="R215" s="6"/>
    </row>
    <row r="216" spans="1:18" x14ac:dyDescent="0.25">
      <c r="A216" s="365">
        <v>30</v>
      </c>
      <c r="B216" s="350" t="s">
        <v>46</v>
      </c>
      <c r="C216" s="351" t="s">
        <v>62</v>
      </c>
      <c r="D216" s="362"/>
      <c r="E216" s="351" t="s">
        <v>366</v>
      </c>
      <c r="F216" s="350" t="s">
        <v>367</v>
      </c>
      <c r="G216" s="350" t="s">
        <v>326</v>
      </c>
      <c r="H216" s="356">
        <v>0</v>
      </c>
      <c r="I216" s="356">
        <v>0</v>
      </c>
      <c r="J216" s="356">
        <v>0</v>
      </c>
      <c r="K216" s="357">
        <v>0</v>
      </c>
      <c r="L216" s="353">
        <v>0</v>
      </c>
      <c r="M216" s="353">
        <f t="shared" si="8"/>
        <v>0</v>
      </c>
      <c r="N216" s="354">
        <v>2</v>
      </c>
      <c r="O216" s="358">
        <f>4140.7+528.6</f>
        <v>4669.3</v>
      </c>
      <c r="P216" s="359">
        <f>4140.7+528.6</f>
        <v>4669.3</v>
      </c>
      <c r="Q216" s="355">
        <f t="shared" si="9"/>
        <v>0</v>
      </c>
      <c r="R216" s="6"/>
    </row>
    <row r="217" spans="1:18" x14ac:dyDescent="0.25">
      <c r="A217" s="365">
        <v>31</v>
      </c>
      <c r="B217" s="350" t="s">
        <v>270</v>
      </c>
      <c r="C217" s="351" t="s">
        <v>62</v>
      </c>
      <c r="D217" s="362"/>
      <c r="E217" s="351" t="s">
        <v>74</v>
      </c>
      <c r="F217" s="350" t="s">
        <v>539</v>
      </c>
      <c r="G217" s="350" t="s">
        <v>326</v>
      </c>
      <c r="H217" s="356">
        <v>2</v>
      </c>
      <c r="I217" s="356">
        <v>0</v>
      </c>
      <c r="J217" s="356">
        <v>0</v>
      </c>
      <c r="K217" s="357">
        <v>0</v>
      </c>
      <c r="L217" s="353">
        <v>0</v>
      </c>
      <c r="M217" s="353">
        <f t="shared" si="8"/>
        <v>0</v>
      </c>
      <c r="N217" s="354">
        <v>0</v>
      </c>
      <c r="O217" s="358">
        <v>0</v>
      </c>
      <c r="P217" s="359">
        <v>0</v>
      </c>
      <c r="Q217" s="355">
        <v>0</v>
      </c>
      <c r="R217" s="6"/>
    </row>
    <row r="218" spans="1:18" x14ac:dyDescent="0.25">
      <c r="A218" s="365">
        <v>32</v>
      </c>
      <c r="B218" s="350" t="s">
        <v>621</v>
      </c>
      <c r="C218" s="351" t="s">
        <v>62</v>
      </c>
      <c r="D218" s="362"/>
      <c r="E218" s="351" t="s">
        <v>74</v>
      </c>
      <c r="F218" s="350" t="s">
        <v>622</v>
      </c>
      <c r="G218" s="350" t="s">
        <v>326</v>
      </c>
      <c r="H218" s="356">
        <v>2</v>
      </c>
      <c r="I218" s="356">
        <v>0</v>
      </c>
      <c r="J218" s="356">
        <v>0</v>
      </c>
      <c r="K218" s="357">
        <v>0</v>
      </c>
      <c r="L218" s="353">
        <v>0</v>
      </c>
      <c r="M218" s="353">
        <f t="shared" si="8"/>
        <v>0</v>
      </c>
      <c r="N218" s="354">
        <v>0</v>
      </c>
      <c r="O218" s="358">
        <v>0</v>
      </c>
      <c r="P218" s="359">
        <v>0</v>
      </c>
      <c r="Q218" s="355">
        <v>0</v>
      </c>
      <c r="R218" s="6"/>
    </row>
    <row r="219" spans="1:18" x14ac:dyDescent="0.25">
      <c r="A219" s="365">
        <v>33</v>
      </c>
      <c r="B219" s="350" t="s">
        <v>96</v>
      </c>
      <c r="C219" s="351" t="s">
        <v>62</v>
      </c>
      <c r="D219" s="362"/>
      <c r="E219" s="351" t="s">
        <v>98</v>
      </c>
      <c r="F219" s="350" t="s">
        <v>540</v>
      </c>
      <c r="G219" s="350" t="s">
        <v>326</v>
      </c>
      <c r="H219" s="356">
        <v>1</v>
      </c>
      <c r="I219" s="356">
        <v>0</v>
      </c>
      <c r="J219" s="356">
        <v>0</v>
      </c>
      <c r="K219" s="357">
        <v>0</v>
      </c>
      <c r="L219" s="353">
        <v>0</v>
      </c>
      <c r="M219" s="353">
        <f t="shared" si="8"/>
        <v>0</v>
      </c>
      <c r="N219" s="354">
        <v>1</v>
      </c>
      <c r="O219" s="358">
        <v>0</v>
      </c>
      <c r="P219" s="359">
        <v>0</v>
      </c>
      <c r="Q219" s="355">
        <v>0</v>
      </c>
      <c r="R219" s="6"/>
    </row>
    <row r="220" spans="1:18" x14ac:dyDescent="0.25">
      <c r="A220" s="365">
        <v>34</v>
      </c>
      <c r="B220" s="350" t="s">
        <v>124</v>
      </c>
      <c r="C220" s="351" t="s">
        <v>62</v>
      </c>
      <c r="D220" s="362"/>
      <c r="E220" s="351" t="s">
        <v>74</v>
      </c>
      <c r="F220" s="350" t="s">
        <v>368</v>
      </c>
      <c r="G220" s="350" t="s">
        <v>326</v>
      </c>
      <c r="H220" s="356">
        <v>27</v>
      </c>
      <c r="I220" s="356">
        <v>15</v>
      </c>
      <c r="J220" s="356">
        <v>15</v>
      </c>
      <c r="K220" s="357">
        <f>6343.2+3700.2+4326.35</f>
        <v>14369.75</v>
      </c>
      <c r="L220" s="353">
        <f>1762+1762+2819.2+3700.2+4326.35</f>
        <v>14369.75</v>
      </c>
      <c r="M220" s="353">
        <f t="shared" si="8"/>
        <v>0</v>
      </c>
      <c r="N220" s="354">
        <v>8</v>
      </c>
      <c r="O220" s="358">
        <f>3171.6+88+1493.8-704.8+704.8</f>
        <v>4753.3999999999996</v>
      </c>
      <c r="P220" s="355">
        <f>1765.8+1493.8+789+704.8</f>
        <v>4753.3999999999996</v>
      </c>
      <c r="Q220" s="353">
        <f>O220-P220</f>
        <v>0</v>
      </c>
      <c r="R220" s="6"/>
    </row>
    <row r="221" spans="1:18" x14ac:dyDescent="0.25">
      <c r="A221" s="365">
        <v>35</v>
      </c>
      <c r="B221" s="350" t="s">
        <v>51</v>
      </c>
      <c r="C221" s="351" t="s">
        <v>62</v>
      </c>
      <c r="D221" s="362"/>
      <c r="E221" s="351" t="s">
        <v>74</v>
      </c>
      <c r="F221" s="350" t="s">
        <v>369</v>
      </c>
      <c r="G221" s="350" t="s">
        <v>326</v>
      </c>
      <c r="H221" s="356">
        <v>0</v>
      </c>
      <c r="I221" s="356">
        <v>0</v>
      </c>
      <c r="J221" s="356">
        <v>0</v>
      </c>
      <c r="K221" s="357">
        <v>0</v>
      </c>
      <c r="L221" s="353">
        <v>0</v>
      </c>
      <c r="M221" s="353">
        <f t="shared" si="8"/>
        <v>0</v>
      </c>
      <c r="N221" s="354">
        <v>1</v>
      </c>
      <c r="O221" s="358">
        <v>2290.6</v>
      </c>
      <c r="P221" s="355">
        <v>2290.6</v>
      </c>
      <c r="Q221" s="355">
        <f>O221-P221</f>
        <v>0</v>
      </c>
      <c r="R221" s="6"/>
    </row>
    <row r="222" spans="1:18" x14ac:dyDescent="0.25">
      <c r="A222" s="365">
        <v>36</v>
      </c>
      <c r="B222" s="350" t="s">
        <v>286</v>
      </c>
      <c r="C222" s="351" t="s">
        <v>62</v>
      </c>
      <c r="D222" s="362"/>
      <c r="E222" s="351" t="s">
        <v>74</v>
      </c>
      <c r="F222" s="350" t="s">
        <v>476</v>
      </c>
      <c r="G222" s="350" t="s">
        <v>326</v>
      </c>
      <c r="H222" s="356">
        <v>8</v>
      </c>
      <c r="I222" s="356">
        <v>4</v>
      </c>
      <c r="J222" s="356">
        <v>4</v>
      </c>
      <c r="K222" s="357">
        <f>1233.4+1409.6</f>
        <v>2643</v>
      </c>
      <c r="L222" s="353">
        <f>1233.4+1409.6</f>
        <v>2643</v>
      </c>
      <c r="M222" s="353">
        <f t="shared" si="8"/>
        <v>0</v>
      </c>
      <c r="N222" s="354">
        <v>0</v>
      </c>
      <c r="O222" s="358">
        <v>0</v>
      </c>
      <c r="P222" s="355">
        <v>0</v>
      </c>
      <c r="Q222" s="355">
        <v>0</v>
      </c>
      <c r="R222" s="6"/>
    </row>
    <row r="223" spans="1:18" x14ac:dyDescent="0.25">
      <c r="A223" s="365">
        <v>37</v>
      </c>
      <c r="B223" s="350" t="s">
        <v>290</v>
      </c>
      <c r="C223" s="351" t="s">
        <v>62</v>
      </c>
      <c r="D223" s="362"/>
      <c r="E223" s="351" t="s">
        <v>371</v>
      </c>
      <c r="F223" s="350" t="s">
        <v>372</v>
      </c>
      <c r="G223" s="350" t="s">
        <v>326</v>
      </c>
      <c r="H223" s="356">
        <v>9</v>
      </c>
      <c r="I223" s="356">
        <v>6</v>
      </c>
      <c r="J223" s="356">
        <v>6</v>
      </c>
      <c r="K223" s="357">
        <f>1409.6+704.8</f>
        <v>2114.3999999999996</v>
      </c>
      <c r="L223" s="353">
        <f>1409.6+704.8</f>
        <v>2114.3999999999996</v>
      </c>
      <c r="M223" s="353">
        <f t="shared" si="8"/>
        <v>0</v>
      </c>
      <c r="N223" s="354">
        <v>0</v>
      </c>
      <c r="O223" s="358">
        <v>0</v>
      </c>
      <c r="P223" s="359">
        <v>0</v>
      </c>
      <c r="Q223" s="355">
        <f>O223-P223</f>
        <v>0</v>
      </c>
      <c r="R223" s="6"/>
    </row>
    <row r="224" spans="1:18" x14ac:dyDescent="0.25">
      <c r="A224" s="365">
        <v>38</v>
      </c>
      <c r="B224" s="350" t="s">
        <v>134</v>
      </c>
      <c r="C224" s="351" t="s">
        <v>62</v>
      </c>
      <c r="D224" s="362"/>
      <c r="E224" s="351" t="s">
        <v>74</v>
      </c>
      <c r="F224" s="350" t="s">
        <v>373</v>
      </c>
      <c r="G224" s="350" t="s">
        <v>326</v>
      </c>
      <c r="H224" s="356">
        <v>3</v>
      </c>
      <c r="I224" s="356">
        <v>1</v>
      </c>
      <c r="J224" s="356">
        <v>1</v>
      </c>
      <c r="K224" s="357">
        <f>1938.2</f>
        <v>1938.2</v>
      </c>
      <c r="L224" s="353">
        <v>1938.2</v>
      </c>
      <c r="M224" s="353">
        <f t="shared" si="8"/>
        <v>0</v>
      </c>
      <c r="N224" s="354">
        <v>2</v>
      </c>
      <c r="O224" s="358">
        <v>2643</v>
      </c>
      <c r="P224" s="355">
        <f>881+1762</f>
        <v>2643</v>
      </c>
      <c r="Q224" s="355">
        <f>O224-P224</f>
        <v>0</v>
      </c>
      <c r="R224" s="6"/>
    </row>
    <row r="225" spans="1:18" x14ac:dyDescent="0.25">
      <c r="A225" s="365">
        <v>39</v>
      </c>
      <c r="B225" s="350" t="s">
        <v>135</v>
      </c>
      <c r="C225" s="351" t="s">
        <v>62</v>
      </c>
      <c r="D225" s="362"/>
      <c r="E225" s="351" t="s">
        <v>74</v>
      </c>
      <c r="F225" s="350" t="s">
        <v>374</v>
      </c>
      <c r="G225" s="350" t="s">
        <v>326</v>
      </c>
      <c r="H225" s="356">
        <v>19</v>
      </c>
      <c r="I225" s="356">
        <v>4</v>
      </c>
      <c r="J225" s="356">
        <v>4</v>
      </c>
      <c r="K225" s="357">
        <f>5109.8+881</f>
        <v>5990.8</v>
      </c>
      <c r="L225" s="353">
        <f>2290.6+2819.2+881</f>
        <v>5990.7999999999993</v>
      </c>
      <c r="M225" s="353">
        <f t="shared" si="8"/>
        <v>0</v>
      </c>
      <c r="N225" s="354">
        <v>38</v>
      </c>
      <c r="O225" s="358">
        <f>15109.16+9717+2845.2+3774.05</f>
        <v>31445.41</v>
      </c>
      <c r="P225" s="355">
        <f>14228.16+881+9717+2845.2+3774.05</f>
        <v>31445.41</v>
      </c>
      <c r="Q225" s="353">
        <f>O225-P225</f>
        <v>0</v>
      </c>
      <c r="R225" s="6"/>
    </row>
    <row r="226" spans="1:18" ht="25.5" x14ac:dyDescent="0.25">
      <c r="A226" s="366">
        <v>40</v>
      </c>
      <c r="B226" s="350" t="s">
        <v>508</v>
      </c>
      <c r="C226" s="351" t="s">
        <v>64</v>
      </c>
      <c r="D226" s="349" t="s">
        <v>509</v>
      </c>
      <c r="E226" s="351" t="s">
        <v>74</v>
      </c>
      <c r="F226" s="350" t="s">
        <v>510</v>
      </c>
      <c r="G226" s="350" t="s">
        <v>326</v>
      </c>
      <c r="H226" s="356">
        <v>3</v>
      </c>
      <c r="I226" s="356">
        <v>2</v>
      </c>
      <c r="J226" s="356">
        <v>2</v>
      </c>
      <c r="K226" s="357">
        <f>4418.4</f>
        <v>4418.3999999999996</v>
      </c>
      <c r="L226" s="353">
        <f>4418.4</f>
        <v>4418.3999999999996</v>
      </c>
      <c r="M226" s="353">
        <f t="shared" si="8"/>
        <v>0</v>
      </c>
      <c r="N226" s="354">
        <v>0</v>
      </c>
      <c r="O226" s="353">
        <v>0</v>
      </c>
      <c r="P226" s="355">
        <v>0</v>
      </c>
      <c r="Q226" s="355">
        <v>0</v>
      </c>
      <c r="R226" s="6"/>
    </row>
    <row r="227" spans="1:18" x14ac:dyDescent="0.25">
      <c r="A227" s="365">
        <v>41</v>
      </c>
      <c r="B227" s="350" t="s">
        <v>299</v>
      </c>
      <c r="C227" s="351" t="s">
        <v>62</v>
      </c>
      <c r="D227" s="362"/>
      <c r="E227" s="351" t="s">
        <v>158</v>
      </c>
      <c r="F227" s="350" t="s">
        <v>375</v>
      </c>
      <c r="G227" s="350" t="s">
        <v>326</v>
      </c>
      <c r="H227" s="356">
        <v>3</v>
      </c>
      <c r="I227" s="356">
        <v>1</v>
      </c>
      <c r="J227" s="356">
        <v>1</v>
      </c>
      <c r="K227" s="357">
        <f>704.8</f>
        <v>704.8</v>
      </c>
      <c r="L227" s="353">
        <f>704.8</f>
        <v>704.8</v>
      </c>
      <c r="M227" s="353">
        <f t="shared" si="8"/>
        <v>0</v>
      </c>
      <c r="N227" s="354">
        <v>0</v>
      </c>
      <c r="O227" s="358">
        <v>0</v>
      </c>
      <c r="P227" s="355">
        <v>0</v>
      </c>
      <c r="Q227" s="355">
        <f t="shared" ref="Q227:Q233" si="10">O227-P227</f>
        <v>0</v>
      </c>
      <c r="R227" s="6"/>
    </row>
    <row r="228" spans="1:18" x14ac:dyDescent="0.25">
      <c r="A228" s="365">
        <v>42</v>
      </c>
      <c r="B228" s="350" t="s">
        <v>376</v>
      </c>
      <c r="C228" s="351" t="s">
        <v>62</v>
      </c>
      <c r="D228" s="362"/>
      <c r="E228" s="351" t="s">
        <v>74</v>
      </c>
      <c r="F228" s="350" t="s">
        <v>377</v>
      </c>
      <c r="G228" s="350" t="s">
        <v>326</v>
      </c>
      <c r="H228" s="356">
        <v>6</v>
      </c>
      <c r="I228" s="356">
        <v>3</v>
      </c>
      <c r="J228" s="356">
        <v>3</v>
      </c>
      <c r="K228" s="357">
        <f>1409.6+2643</f>
        <v>4052.6</v>
      </c>
      <c r="L228" s="353">
        <f>1409.6+2339.82+303.18</f>
        <v>4052.6</v>
      </c>
      <c r="M228" s="353">
        <f t="shared" si="8"/>
        <v>0</v>
      </c>
      <c r="N228" s="354">
        <v>0</v>
      </c>
      <c r="O228" s="358">
        <v>0</v>
      </c>
      <c r="P228" s="355">
        <v>0</v>
      </c>
      <c r="Q228" s="355">
        <f t="shared" si="10"/>
        <v>0</v>
      </c>
      <c r="R228" s="6"/>
    </row>
    <row r="229" spans="1:18" x14ac:dyDescent="0.25">
      <c r="A229" s="365">
        <v>43</v>
      </c>
      <c r="B229" s="350" t="s">
        <v>129</v>
      </c>
      <c r="C229" s="351" t="s">
        <v>62</v>
      </c>
      <c r="D229" s="362"/>
      <c r="E229" s="351" t="s">
        <v>74</v>
      </c>
      <c r="F229" s="350" t="s">
        <v>378</v>
      </c>
      <c r="G229" s="350" t="s">
        <v>326</v>
      </c>
      <c r="H229" s="356">
        <v>43</v>
      </c>
      <c r="I229" s="356">
        <v>29</v>
      </c>
      <c r="J229" s="356">
        <v>29</v>
      </c>
      <c r="K229" s="357">
        <f>7355.96+1306.55+4415.93+5710.35+1310.55+10196.79+4488.25</f>
        <v>34784.380000000005</v>
      </c>
      <c r="L229" s="353">
        <f>3615.96+5046.55+4415.93+2821.97+2888.38+15995.59</f>
        <v>34784.380000000005</v>
      </c>
      <c r="M229" s="353">
        <f t="shared" si="8"/>
        <v>0</v>
      </c>
      <c r="N229" s="354">
        <v>37</v>
      </c>
      <c r="O229" s="358">
        <f>28417.04+2923.96+3402.23+528.6+3259.4+1369.4+10104.55+4063.86+3819.85</f>
        <v>57888.890000000007</v>
      </c>
      <c r="P229" s="359">
        <f>22002.43+5101.53+1313.08+2923.96+3402.23+528.6+3259.4+19357.66</f>
        <v>57888.89</v>
      </c>
      <c r="Q229" s="355">
        <f t="shared" si="10"/>
        <v>0</v>
      </c>
      <c r="R229" s="6"/>
    </row>
    <row r="230" spans="1:18" x14ac:dyDescent="0.25">
      <c r="A230" s="365">
        <v>44</v>
      </c>
      <c r="B230" s="350" t="s">
        <v>379</v>
      </c>
      <c r="C230" s="351" t="s">
        <v>62</v>
      </c>
      <c r="D230" s="362"/>
      <c r="E230" s="351" t="s">
        <v>158</v>
      </c>
      <c r="F230" s="350" t="s">
        <v>380</v>
      </c>
      <c r="G230" s="350" t="s">
        <v>326</v>
      </c>
      <c r="H230" s="356">
        <v>3</v>
      </c>
      <c r="I230" s="356">
        <v>2</v>
      </c>
      <c r="J230" s="356">
        <v>2</v>
      </c>
      <c r="K230" s="357">
        <f>704.8+1012.55</f>
        <v>1717.35</v>
      </c>
      <c r="L230" s="353">
        <f>704.8+1012.55</f>
        <v>1717.35</v>
      </c>
      <c r="M230" s="353">
        <f t="shared" si="8"/>
        <v>0</v>
      </c>
      <c r="N230" s="354">
        <v>0</v>
      </c>
      <c r="O230" s="358">
        <v>0</v>
      </c>
      <c r="P230" s="355">
        <v>0</v>
      </c>
      <c r="Q230" s="355">
        <f t="shared" si="10"/>
        <v>0</v>
      </c>
      <c r="R230" s="6"/>
    </row>
    <row r="231" spans="1:18" x14ac:dyDescent="0.25">
      <c r="A231" s="365">
        <v>45</v>
      </c>
      <c r="B231" s="350" t="s">
        <v>130</v>
      </c>
      <c r="C231" s="351" t="s">
        <v>62</v>
      </c>
      <c r="D231" s="362"/>
      <c r="E231" s="351" t="s">
        <v>74</v>
      </c>
      <c r="F231" s="350" t="s">
        <v>557</v>
      </c>
      <c r="G231" s="350" t="s">
        <v>326</v>
      </c>
      <c r="H231" s="356">
        <v>1</v>
      </c>
      <c r="I231" s="356">
        <v>0</v>
      </c>
      <c r="J231" s="356">
        <v>0</v>
      </c>
      <c r="K231" s="357">
        <v>0</v>
      </c>
      <c r="L231" s="353">
        <v>0</v>
      </c>
      <c r="M231" s="353">
        <f t="shared" si="8"/>
        <v>0</v>
      </c>
      <c r="N231" s="354">
        <v>2</v>
      </c>
      <c r="O231" s="358">
        <f>3700.2</f>
        <v>3700.2</v>
      </c>
      <c r="P231" s="355">
        <f>3700.2</f>
        <v>3700.2</v>
      </c>
      <c r="Q231" s="355">
        <f t="shared" si="10"/>
        <v>0</v>
      </c>
      <c r="R231" s="6"/>
    </row>
    <row r="232" spans="1:18" x14ac:dyDescent="0.25">
      <c r="A232" s="365">
        <v>46</v>
      </c>
      <c r="B232" s="350" t="s">
        <v>382</v>
      </c>
      <c r="C232" s="351" t="s">
        <v>62</v>
      </c>
      <c r="D232" s="362"/>
      <c r="E232" s="351" t="s">
        <v>383</v>
      </c>
      <c r="F232" s="350" t="s">
        <v>384</v>
      </c>
      <c r="G232" s="350" t="s">
        <v>326</v>
      </c>
      <c r="H232" s="356">
        <v>1</v>
      </c>
      <c r="I232" s="356">
        <v>1</v>
      </c>
      <c r="J232" s="356">
        <v>1</v>
      </c>
      <c r="K232" s="357">
        <v>704.8</v>
      </c>
      <c r="L232" s="353">
        <f>187.75+517.05</f>
        <v>704.8</v>
      </c>
      <c r="M232" s="353">
        <f t="shared" si="8"/>
        <v>0</v>
      </c>
      <c r="N232" s="354">
        <v>0</v>
      </c>
      <c r="O232" s="358">
        <v>0</v>
      </c>
      <c r="P232" s="355">
        <v>0</v>
      </c>
      <c r="Q232" s="355">
        <f t="shared" si="10"/>
        <v>0</v>
      </c>
      <c r="R232" s="6"/>
    </row>
    <row r="233" spans="1:18" x14ac:dyDescent="0.25">
      <c r="A233" s="365">
        <v>47</v>
      </c>
      <c r="B233" s="350" t="s">
        <v>385</v>
      </c>
      <c r="C233" s="351" t="s">
        <v>62</v>
      </c>
      <c r="D233" s="362"/>
      <c r="E233" s="362" t="s">
        <v>145</v>
      </c>
      <c r="F233" s="350" t="s">
        <v>386</v>
      </c>
      <c r="G233" s="350" t="s">
        <v>326</v>
      </c>
      <c r="H233" s="356">
        <v>12</v>
      </c>
      <c r="I233" s="356">
        <v>6</v>
      </c>
      <c r="J233" s="356">
        <v>6</v>
      </c>
      <c r="K233" s="357">
        <f>1762+2422.75</f>
        <v>4184.75</v>
      </c>
      <c r="L233" s="353">
        <f>1057.2+704.8+2422.75</f>
        <v>4184.75</v>
      </c>
      <c r="M233" s="353">
        <f t="shared" si="8"/>
        <v>0</v>
      </c>
      <c r="N233" s="354">
        <v>18</v>
      </c>
      <c r="O233" s="358">
        <v>9602.9</v>
      </c>
      <c r="P233" s="359">
        <f>9074.3+528.6</f>
        <v>9602.9</v>
      </c>
      <c r="Q233" s="355">
        <f t="shared" si="10"/>
        <v>0</v>
      </c>
      <c r="R233" s="6"/>
    </row>
    <row r="234" spans="1:18" x14ac:dyDescent="0.25">
      <c r="A234" s="365">
        <v>48</v>
      </c>
      <c r="B234" s="350" t="s">
        <v>150</v>
      </c>
      <c r="C234" s="351" t="s">
        <v>62</v>
      </c>
      <c r="D234" s="362"/>
      <c r="E234" s="351" t="s">
        <v>74</v>
      </c>
      <c r="F234" s="350" t="s">
        <v>370</v>
      </c>
      <c r="G234" s="350" t="s">
        <v>326</v>
      </c>
      <c r="H234" s="356">
        <v>0</v>
      </c>
      <c r="I234" s="356">
        <v>0</v>
      </c>
      <c r="J234" s="356">
        <v>0</v>
      </c>
      <c r="K234" s="357">
        <v>0</v>
      </c>
      <c r="L234" s="353">
        <v>0</v>
      </c>
      <c r="M234" s="353">
        <v>0</v>
      </c>
      <c r="N234" s="354">
        <v>0</v>
      </c>
      <c r="O234" s="358">
        <v>0</v>
      </c>
      <c r="P234" s="359">
        <v>0</v>
      </c>
      <c r="Q234" s="355">
        <v>0</v>
      </c>
      <c r="R234" s="6"/>
    </row>
    <row r="235" spans="1:18" x14ac:dyDescent="0.25">
      <c r="A235" s="365">
        <v>49</v>
      </c>
      <c r="B235" s="350" t="s">
        <v>387</v>
      </c>
      <c r="C235" s="351" t="s">
        <v>62</v>
      </c>
      <c r="D235" s="362"/>
      <c r="E235" s="351" t="s">
        <v>157</v>
      </c>
      <c r="F235" s="350" t="s">
        <v>388</v>
      </c>
      <c r="G235" s="350" t="s">
        <v>326</v>
      </c>
      <c r="H235" s="356">
        <v>0</v>
      </c>
      <c r="I235" s="356">
        <v>0</v>
      </c>
      <c r="J235" s="356">
        <v>0</v>
      </c>
      <c r="K235" s="368">
        <v>0</v>
      </c>
      <c r="L235" s="353">
        <v>0</v>
      </c>
      <c r="M235" s="353">
        <f>K235-L235</f>
        <v>0</v>
      </c>
      <c r="N235" s="354">
        <v>0</v>
      </c>
      <c r="O235" s="358">
        <v>0</v>
      </c>
      <c r="P235" s="355">
        <v>0</v>
      </c>
      <c r="Q235" s="355">
        <f>O235-P235</f>
        <v>0</v>
      </c>
      <c r="R235" s="6"/>
    </row>
    <row r="236" spans="1:18" x14ac:dyDescent="0.25">
      <c r="A236" s="365">
        <v>50</v>
      </c>
      <c r="B236" s="350" t="s">
        <v>54</v>
      </c>
      <c r="C236" s="351" t="s">
        <v>62</v>
      </c>
      <c r="D236" s="362"/>
      <c r="E236" s="351" t="s">
        <v>338</v>
      </c>
      <c r="F236" s="350" t="s">
        <v>391</v>
      </c>
      <c r="G236" s="350" t="s">
        <v>326</v>
      </c>
      <c r="H236" s="356">
        <v>0</v>
      </c>
      <c r="I236" s="356">
        <v>0</v>
      </c>
      <c r="J236" s="362">
        <v>0</v>
      </c>
      <c r="K236" s="368">
        <v>0</v>
      </c>
      <c r="L236" s="353">
        <v>0</v>
      </c>
      <c r="M236" s="353">
        <f>K236-L236</f>
        <v>0</v>
      </c>
      <c r="N236" s="354">
        <v>0</v>
      </c>
      <c r="O236" s="358">
        <v>0</v>
      </c>
      <c r="P236" s="359">
        <v>0</v>
      </c>
      <c r="Q236" s="355">
        <f>O236-P236</f>
        <v>0</v>
      </c>
      <c r="R236" s="6"/>
    </row>
    <row r="237" spans="1:18" ht="39" x14ac:dyDescent="0.25">
      <c r="A237" s="366">
        <v>51</v>
      </c>
      <c r="B237" s="350" t="s">
        <v>131</v>
      </c>
      <c r="C237" s="351" t="s">
        <v>64</v>
      </c>
      <c r="D237" s="361" t="s">
        <v>392</v>
      </c>
      <c r="E237" s="351" t="s">
        <v>158</v>
      </c>
      <c r="F237" s="352" t="s">
        <v>393</v>
      </c>
      <c r="G237" s="350" t="s">
        <v>326</v>
      </c>
      <c r="H237" s="356">
        <v>0</v>
      </c>
      <c r="I237" s="356">
        <v>0</v>
      </c>
      <c r="J237" s="364">
        <v>0</v>
      </c>
      <c r="K237" s="369">
        <v>0</v>
      </c>
      <c r="L237" s="355">
        <v>0</v>
      </c>
      <c r="M237" s="355">
        <f>K237-L237</f>
        <v>0</v>
      </c>
      <c r="N237" s="352">
        <v>0</v>
      </c>
      <c r="O237" s="355">
        <v>0</v>
      </c>
      <c r="P237" s="355">
        <v>0</v>
      </c>
      <c r="Q237" s="355">
        <f>O237-P237</f>
        <v>0</v>
      </c>
      <c r="R237" s="6"/>
    </row>
    <row r="238" spans="1:18" ht="25.5" x14ac:dyDescent="0.25">
      <c r="A238" s="63">
        <v>1</v>
      </c>
      <c r="B238" s="100" t="s">
        <v>21</v>
      </c>
      <c r="C238" s="100" t="s">
        <v>62</v>
      </c>
      <c r="D238" s="100"/>
      <c r="E238" s="100" t="s">
        <v>157</v>
      </c>
      <c r="F238" s="100" t="s">
        <v>523</v>
      </c>
      <c r="G238" s="100" t="s">
        <v>524</v>
      </c>
      <c r="H238" s="234">
        <v>1</v>
      </c>
      <c r="I238" s="234">
        <v>0</v>
      </c>
      <c r="J238" s="234">
        <v>0</v>
      </c>
      <c r="K238" s="215">
        <v>0</v>
      </c>
      <c r="L238" s="215">
        <v>0</v>
      </c>
      <c r="M238" s="215">
        <v>0</v>
      </c>
      <c r="N238" s="234">
        <v>1</v>
      </c>
      <c r="O238" s="215">
        <v>1233.4000000000001</v>
      </c>
      <c r="P238" s="215">
        <v>1233.4000000000001</v>
      </c>
      <c r="Q238" s="215">
        <v>0</v>
      </c>
      <c r="R238" s="6"/>
    </row>
    <row r="239" spans="1:18" ht="25.5" x14ac:dyDescent="0.25">
      <c r="A239" s="63">
        <v>2</v>
      </c>
      <c r="B239" s="100" t="s">
        <v>147</v>
      </c>
      <c r="C239" s="100" t="s">
        <v>62</v>
      </c>
      <c r="D239" s="100"/>
      <c r="E239" s="100" t="s">
        <v>158</v>
      </c>
      <c r="F239" s="100" t="s">
        <v>525</v>
      </c>
      <c r="G239" s="100" t="s">
        <v>524</v>
      </c>
      <c r="H239" s="234">
        <v>1</v>
      </c>
      <c r="I239" s="234">
        <v>1</v>
      </c>
      <c r="J239" s="234">
        <v>1</v>
      </c>
      <c r="K239" s="215">
        <v>1762</v>
      </c>
      <c r="L239" s="215">
        <v>1762</v>
      </c>
      <c r="M239" s="215">
        <v>0</v>
      </c>
      <c r="N239" s="234">
        <v>2</v>
      </c>
      <c r="O239" s="215">
        <v>10751.3</v>
      </c>
      <c r="P239" s="215">
        <v>8805.4</v>
      </c>
      <c r="Q239" s="215">
        <v>1945.9</v>
      </c>
      <c r="R239" s="6"/>
    </row>
    <row r="240" spans="1:18" ht="25.5" x14ac:dyDescent="0.25">
      <c r="A240" s="63">
        <v>3</v>
      </c>
      <c r="B240" s="232" t="s">
        <v>526</v>
      </c>
      <c r="C240" s="100" t="s">
        <v>62</v>
      </c>
      <c r="D240" s="100"/>
      <c r="E240" s="100" t="s">
        <v>527</v>
      </c>
      <c r="F240" s="100" t="s">
        <v>528</v>
      </c>
      <c r="G240" s="100" t="s">
        <v>524</v>
      </c>
      <c r="H240" s="234">
        <v>0</v>
      </c>
      <c r="I240" s="234">
        <v>0</v>
      </c>
      <c r="J240" s="234">
        <v>0</v>
      </c>
      <c r="K240" s="215">
        <v>0</v>
      </c>
      <c r="L240" s="215">
        <v>0</v>
      </c>
      <c r="M240" s="215">
        <v>0</v>
      </c>
      <c r="N240" s="234">
        <v>0</v>
      </c>
      <c r="O240" s="218">
        <v>0</v>
      </c>
      <c r="P240" s="215">
        <v>0</v>
      </c>
      <c r="Q240" s="215">
        <v>0</v>
      </c>
      <c r="R240" s="6"/>
    </row>
    <row r="241" spans="1:18" ht="25.5" x14ac:dyDescent="0.25">
      <c r="A241" s="63">
        <v>4</v>
      </c>
      <c r="B241" s="100" t="s">
        <v>305</v>
      </c>
      <c r="C241" s="100" t="s">
        <v>62</v>
      </c>
      <c r="D241" s="100"/>
      <c r="E241" s="100" t="s">
        <v>157</v>
      </c>
      <c r="F241" s="100" t="s">
        <v>531</v>
      </c>
      <c r="G241" s="100" t="s">
        <v>524</v>
      </c>
      <c r="H241" s="234">
        <v>4</v>
      </c>
      <c r="I241" s="234">
        <v>4</v>
      </c>
      <c r="J241" s="234">
        <v>4</v>
      </c>
      <c r="K241" s="215">
        <v>4107.8999999999996</v>
      </c>
      <c r="L241" s="215">
        <v>2819.2</v>
      </c>
      <c r="M241" s="215">
        <v>1288.7</v>
      </c>
      <c r="N241" s="234">
        <v>0</v>
      </c>
      <c r="O241" s="215">
        <v>0</v>
      </c>
      <c r="P241" s="215">
        <v>0</v>
      </c>
      <c r="Q241" s="215">
        <v>0</v>
      </c>
      <c r="R241" s="6"/>
    </row>
    <row r="242" spans="1:18" ht="25.5" x14ac:dyDescent="0.25">
      <c r="A242" s="63">
        <v>5</v>
      </c>
      <c r="B242" s="100" t="s">
        <v>407</v>
      </c>
      <c r="C242" s="100" t="s">
        <v>62</v>
      </c>
      <c r="D242" s="100"/>
      <c r="E242" s="100" t="s">
        <v>157</v>
      </c>
      <c r="F242" s="100" t="s">
        <v>532</v>
      </c>
      <c r="G242" s="100" t="s">
        <v>524</v>
      </c>
      <c r="H242" s="234">
        <v>4</v>
      </c>
      <c r="I242" s="234">
        <v>1</v>
      </c>
      <c r="J242" s="234">
        <v>1</v>
      </c>
      <c r="K242" s="215">
        <v>3866.1</v>
      </c>
      <c r="L242" s="215">
        <v>0</v>
      </c>
      <c r="M242" s="215">
        <v>3866.1</v>
      </c>
      <c r="N242" s="234">
        <v>0</v>
      </c>
      <c r="O242" s="215">
        <v>0</v>
      </c>
      <c r="P242" s="215">
        <v>0</v>
      </c>
      <c r="Q242" s="215">
        <v>0</v>
      </c>
      <c r="R242" s="6"/>
    </row>
    <row r="243" spans="1:18" ht="25.5" x14ac:dyDescent="0.25">
      <c r="A243" s="63">
        <v>6</v>
      </c>
      <c r="B243" s="100" t="s">
        <v>185</v>
      </c>
      <c r="C243" s="100" t="s">
        <v>62</v>
      </c>
      <c r="D243" s="100"/>
      <c r="E243" s="100" t="s">
        <v>157</v>
      </c>
      <c r="F243" s="100" t="s">
        <v>533</v>
      </c>
      <c r="G243" s="100" t="s">
        <v>524</v>
      </c>
      <c r="H243" s="234">
        <v>4</v>
      </c>
      <c r="I243" s="234">
        <v>3</v>
      </c>
      <c r="J243" s="234">
        <v>3</v>
      </c>
      <c r="K243" s="215">
        <v>12249.46</v>
      </c>
      <c r="L243" s="215">
        <v>0</v>
      </c>
      <c r="M243" s="215">
        <v>12249.46</v>
      </c>
      <c r="N243" s="234">
        <v>0</v>
      </c>
      <c r="O243" s="215">
        <v>0</v>
      </c>
      <c r="P243" s="215">
        <v>0</v>
      </c>
      <c r="Q243" s="215">
        <v>0</v>
      </c>
      <c r="R243" s="6"/>
    </row>
    <row r="244" spans="1:18" ht="25.5" x14ac:dyDescent="0.25">
      <c r="A244" s="63">
        <v>7</v>
      </c>
      <c r="B244" s="100" t="s">
        <v>534</v>
      </c>
      <c r="C244" s="100" t="s">
        <v>62</v>
      </c>
      <c r="D244" s="100"/>
      <c r="E244" s="100" t="s">
        <v>157</v>
      </c>
      <c r="F244" s="100" t="s">
        <v>535</v>
      </c>
      <c r="G244" s="100" t="s">
        <v>524</v>
      </c>
      <c r="H244" s="234">
        <v>1</v>
      </c>
      <c r="I244" s="234">
        <v>0</v>
      </c>
      <c r="J244" s="234">
        <v>0</v>
      </c>
      <c r="K244" s="215">
        <v>0</v>
      </c>
      <c r="L244" s="215">
        <v>0</v>
      </c>
      <c r="M244" s="215">
        <v>0</v>
      </c>
      <c r="N244" s="234">
        <v>0</v>
      </c>
      <c r="O244" s="215">
        <v>0</v>
      </c>
      <c r="P244" s="215">
        <v>0</v>
      </c>
      <c r="Q244" s="215">
        <v>0</v>
      </c>
      <c r="R244" s="6"/>
    </row>
    <row r="245" spans="1:18" ht="25.5" x14ac:dyDescent="0.25">
      <c r="A245" s="63">
        <v>8</v>
      </c>
      <c r="B245" s="100" t="s">
        <v>104</v>
      </c>
      <c r="C245" s="100" t="s">
        <v>62</v>
      </c>
      <c r="D245" s="100"/>
      <c r="E245" s="100" t="s">
        <v>158</v>
      </c>
      <c r="F245" s="233" t="s">
        <v>536</v>
      </c>
      <c r="G245" s="100" t="s">
        <v>524</v>
      </c>
      <c r="H245" s="234">
        <v>0</v>
      </c>
      <c r="I245" s="234">
        <v>0</v>
      </c>
      <c r="J245" s="234">
        <v>0</v>
      </c>
      <c r="K245" s="215">
        <v>0</v>
      </c>
      <c r="L245" s="215">
        <v>0</v>
      </c>
      <c r="M245" s="215">
        <v>0</v>
      </c>
      <c r="N245" s="234">
        <v>1</v>
      </c>
      <c r="O245" s="215">
        <v>3187.89</v>
      </c>
      <c r="P245" s="215">
        <v>0</v>
      </c>
      <c r="Q245" s="215">
        <v>3187.89</v>
      </c>
      <c r="R245" s="6"/>
    </row>
    <row r="246" spans="1:18" ht="25.5" x14ac:dyDescent="0.25">
      <c r="A246" s="63">
        <v>9</v>
      </c>
      <c r="B246" s="100" t="s">
        <v>30</v>
      </c>
      <c r="C246" s="100" t="s">
        <v>62</v>
      </c>
      <c r="D246" s="100"/>
      <c r="E246" s="100" t="s">
        <v>537</v>
      </c>
      <c r="F246" s="100" t="s">
        <v>592</v>
      </c>
      <c r="G246" s="100" t="s">
        <v>524</v>
      </c>
      <c r="H246" s="234">
        <v>0</v>
      </c>
      <c r="I246" s="234">
        <v>0</v>
      </c>
      <c r="J246" s="234">
        <v>0</v>
      </c>
      <c r="K246" s="215">
        <v>0</v>
      </c>
      <c r="L246" s="215">
        <v>0</v>
      </c>
      <c r="M246" s="215">
        <v>0</v>
      </c>
      <c r="N246" s="234">
        <v>0</v>
      </c>
      <c r="O246" s="215">
        <v>0</v>
      </c>
      <c r="P246" s="215">
        <v>0</v>
      </c>
      <c r="Q246" s="215">
        <v>0</v>
      </c>
      <c r="R246" s="6"/>
    </row>
    <row r="247" spans="1:18" x14ac:dyDescent="0.25">
      <c r="A247" s="235">
        <v>1</v>
      </c>
      <c r="B247" s="243" t="s">
        <v>47</v>
      </c>
      <c r="C247" s="243" t="s">
        <v>62</v>
      </c>
      <c r="D247" s="235"/>
      <c r="E247" s="245" t="s">
        <v>141</v>
      </c>
      <c r="F247" s="236" t="s">
        <v>448</v>
      </c>
      <c r="G247" s="245" t="s">
        <v>142</v>
      </c>
      <c r="H247" s="238">
        <v>7</v>
      </c>
      <c r="I247" s="238">
        <v>1</v>
      </c>
      <c r="J247" s="238">
        <v>1</v>
      </c>
      <c r="K247" s="241">
        <v>1233.4000000000001</v>
      </c>
      <c r="L247" s="241">
        <v>1233.4000000000001</v>
      </c>
      <c r="M247" s="241">
        <v>0</v>
      </c>
      <c r="N247" s="238">
        <v>22</v>
      </c>
      <c r="O247" s="241">
        <v>37867.42</v>
      </c>
      <c r="P247" s="241">
        <v>37867.42</v>
      </c>
      <c r="Q247" s="241">
        <v>0</v>
      </c>
      <c r="R247" s="6"/>
    </row>
    <row r="248" spans="1:18" x14ac:dyDescent="0.25">
      <c r="A248" s="235">
        <f>A247+1</f>
        <v>2</v>
      </c>
      <c r="B248" s="243" t="s">
        <v>55</v>
      </c>
      <c r="C248" s="243" t="s">
        <v>62</v>
      </c>
      <c r="D248" s="235"/>
      <c r="E248" s="245" t="s">
        <v>141</v>
      </c>
      <c r="F248" s="236" t="s">
        <v>449</v>
      </c>
      <c r="G248" s="245" t="s">
        <v>142</v>
      </c>
      <c r="H248" s="238">
        <v>8</v>
      </c>
      <c r="I248" s="238">
        <v>4</v>
      </c>
      <c r="J248" s="238">
        <v>4</v>
      </c>
      <c r="K248" s="241">
        <v>4284.1000000000004</v>
      </c>
      <c r="L248" s="241">
        <v>4284.1000000000004</v>
      </c>
      <c r="M248" s="241">
        <v>0</v>
      </c>
      <c r="N248" s="238">
        <v>14</v>
      </c>
      <c r="O248" s="241">
        <v>29300.9</v>
      </c>
      <c r="P248" s="241">
        <v>29300.9</v>
      </c>
      <c r="Q248" s="241">
        <v>0</v>
      </c>
      <c r="R248" s="6"/>
    </row>
    <row r="249" spans="1:18" x14ac:dyDescent="0.25">
      <c r="A249" s="235">
        <f>A248+1</f>
        <v>3</v>
      </c>
      <c r="B249" s="243" t="s">
        <v>122</v>
      </c>
      <c r="C249" s="243" t="s">
        <v>62</v>
      </c>
      <c r="D249" s="235"/>
      <c r="E249" s="245" t="s">
        <v>143</v>
      </c>
      <c r="F249" s="236" t="s">
        <v>450</v>
      </c>
      <c r="G249" s="245" t="s">
        <v>142</v>
      </c>
      <c r="H249" s="238">
        <v>5</v>
      </c>
      <c r="I249" s="238">
        <v>1</v>
      </c>
      <c r="J249" s="238">
        <v>1</v>
      </c>
      <c r="K249" s="241">
        <v>1012.55</v>
      </c>
      <c r="L249" s="241">
        <v>1012.55</v>
      </c>
      <c r="M249" s="241">
        <v>0</v>
      </c>
      <c r="N249" s="238">
        <v>6</v>
      </c>
      <c r="O249" s="241">
        <v>13201.89</v>
      </c>
      <c r="P249" s="241">
        <v>13201.89</v>
      </c>
      <c r="Q249" s="241">
        <v>0</v>
      </c>
      <c r="R249" s="6"/>
    </row>
    <row r="250" spans="1:18" x14ac:dyDescent="0.25">
      <c r="A250" s="235">
        <f>A249+1</f>
        <v>4</v>
      </c>
      <c r="B250" s="243" t="s">
        <v>144</v>
      </c>
      <c r="C250" s="243" t="s">
        <v>62</v>
      </c>
      <c r="D250" s="235"/>
      <c r="E250" s="245" t="s">
        <v>141</v>
      </c>
      <c r="F250" s="236" t="s">
        <v>451</v>
      </c>
      <c r="G250" s="245" t="s">
        <v>142</v>
      </c>
      <c r="H250" s="238">
        <v>7</v>
      </c>
      <c r="I250" s="238">
        <v>7</v>
      </c>
      <c r="J250" s="238">
        <v>7</v>
      </c>
      <c r="K250" s="241">
        <v>8121.62</v>
      </c>
      <c r="L250" s="241">
        <v>8121.62</v>
      </c>
      <c r="M250" s="241">
        <v>0</v>
      </c>
      <c r="N250" s="238">
        <v>3</v>
      </c>
      <c r="O250" s="241">
        <v>3595.1</v>
      </c>
      <c r="P250" s="241">
        <v>3595.1</v>
      </c>
      <c r="Q250" s="241">
        <v>0</v>
      </c>
      <c r="R250" s="6"/>
    </row>
    <row r="251" spans="1:18" ht="26.25" x14ac:dyDescent="0.25">
      <c r="A251" s="235">
        <f>A250+1</f>
        <v>5</v>
      </c>
      <c r="B251" s="243" t="s">
        <v>46</v>
      </c>
      <c r="C251" s="243" t="s">
        <v>62</v>
      </c>
      <c r="D251" s="235"/>
      <c r="E251" s="245" t="s">
        <v>452</v>
      </c>
      <c r="F251" s="236" t="s">
        <v>453</v>
      </c>
      <c r="G251" s="245" t="s">
        <v>142</v>
      </c>
      <c r="H251" s="238">
        <v>0</v>
      </c>
      <c r="I251" s="238">
        <v>0</v>
      </c>
      <c r="J251" s="238">
        <v>0</v>
      </c>
      <c r="K251" s="241">
        <v>0</v>
      </c>
      <c r="L251" s="241">
        <v>0</v>
      </c>
      <c r="M251" s="241">
        <v>0</v>
      </c>
      <c r="N251" s="238">
        <v>0</v>
      </c>
      <c r="O251" s="241">
        <v>0</v>
      </c>
      <c r="P251" s="241">
        <v>0</v>
      </c>
      <c r="Q251" s="241">
        <v>0</v>
      </c>
      <c r="R251" s="6"/>
    </row>
    <row r="252" spans="1:18" x14ac:dyDescent="0.25">
      <c r="A252" s="236">
        <v>6</v>
      </c>
      <c r="B252" s="245" t="s">
        <v>133</v>
      </c>
      <c r="C252" s="245" t="s">
        <v>67</v>
      </c>
      <c r="D252" s="245" t="s">
        <v>397</v>
      </c>
      <c r="E252" s="245" t="s">
        <v>74</v>
      </c>
      <c r="F252" s="236" t="s">
        <v>593</v>
      </c>
      <c r="G252" s="245" t="s">
        <v>142</v>
      </c>
      <c r="H252" s="238">
        <v>0</v>
      </c>
      <c r="I252" s="239">
        <v>0</v>
      </c>
      <c r="J252" s="239">
        <v>0</v>
      </c>
      <c r="K252" s="242">
        <v>0</v>
      </c>
      <c r="L252" s="242">
        <v>0</v>
      </c>
      <c r="M252" s="242">
        <v>0</v>
      </c>
      <c r="N252" s="238">
        <v>0</v>
      </c>
      <c r="O252" s="241">
        <v>0</v>
      </c>
      <c r="P252" s="241">
        <v>0</v>
      </c>
      <c r="Q252" s="241">
        <v>0</v>
      </c>
      <c r="R252" s="6"/>
    </row>
    <row r="253" spans="1:18" x14ac:dyDescent="0.25">
      <c r="A253" s="236">
        <v>7</v>
      </c>
      <c r="B253" s="245" t="s">
        <v>176</v>
      </c>
      <c r="C253" s="245" t="s">
        <v>62</v>
      </c>
      <c r="D253" s="236"/>
      <c r="E253" s="245" t="s">
        <v>141</v>
      </c>
      <c r="F253" s="236" t="s">
        <v>455</v>
      </c>
      <c r="G253" s="245" t="s">
        <v>142</v>
      </c>
      <c r="H253" s="238">
        <v>12</v>
      </c>
      <c r="I253" s="238">
        <v>9</v>
      </c>
      <c r="J253" s="238">
        <v>9</v>
      </c>
      <c r="K253" s="241">
        <v>10807.76</v>
      </c>
      <c r="L253" s="241">
        <v>10807.76</v>
      </c>
      <c r="M253" s="241">
        <v>0</v>
      </c>
      <c r="N253" s="238">
        <v>0</v>
      </c>
      <c r="O253" s="241">
        <v>0</v>
      </c>
      <c r="P253" s="241">
        <v>0</v>
      </c>
      <c r="Q253" s="241">
        <v>0</v>
      </c>
      <c r="R253" s="6"/>
    </row>
    <row r="254" spans="1:18" x14ac:dyDescent="0.25">
      <c r="A254" s="236">
        <v>8</v>
      </c>
      <c r="B254" s="245" t="s">
        <v>235</v>
      </c>
      <c r="C254" s="245" t="s">
        <v>62</v>
      </c>
      <c r="D254" s="236"/>
      <c r="E254" s="245" t="s">
        <v>456</v>
      </c>
      <c r="F254" s="236" t="s">
        <v>457</v>
      </c>
      <c r="G254" s="245" t="s">
        <v>142</v>
      </c>
      <c r="H254" s="239">
        <v>3</v>
      </c>
      <c r="I254" s="239">
        <v>3</v>
      </c>
      <c r="J254" s="239">
        <v>3</v>
      </c>
      <c r="K254" s="242">
        <v>2269.65</v>
      </c>
      <c r="L254" s="242">
        <v>2269.65</v>
      </c>
      <c r="M254" s="242">
        <v>0</v>
      </c>
      <c r="N254" s="238">
        <v>0</v>
      </c>
      <c r="O254" s="241">
        <v>0</v>
      </c>
      <c r="P254" s="241">
        <v>0</v>
      </c>
      <c r="Q254" s="241">
        <v>0</v>
      </c>
      <c r="R254" s="6"/>
    </row>
    <row r="255" spans="1:18" x14ac:dyDescent="0.25">
      <c r="A255" s="236">
        <v>9</v>
      </c>
      <c r="B255" s="245" t="s">
        <v>251</v>
      </c>
      <c r="C255" s="245" t="s">
        <v>62</v>
      </c>
      <c r="D255" s="236"/>
      <c r="E255" s="245" t="s">
        <v>141</v>
      </c>
      <c r="F255" s="236" t="s">
        <v>458</v>
      </c>
      <c r="G255" s="245" t="s">
        <v>142</v>
      </c>
      <c r="H255" s="238">
        <v>5</v>
      </c>
      <c r="I255" s="238">
        <v>3</v>
      </c>
      <c r="J255" s="238">
        <v>3</v>
      </c>
      <c r="K255" s="241">
        <v>3434.7</v>
      </c>
      <c r="L255" s="241">
        <v>3434.7</v>
      </c>
      <c r="M255" s="241">
        <v>0</v>
      </c>
      <c r="N255" s="238">
        <v>0</v>
      </c>
      <c r="O255" s="241">
        <v>0</v>
      </c>
      <c r="P255" s="241">
        <v>0</v>
      </c>
      <c r="Q255" s="241">
        <v>0</v>
      </c>
      <c r="R255" s="6"/>
    </row>
    <row r="256" spans="1:18" x14ac:dyDescent="0.25">
      <c r="A256" s="236">
        <v>10</v>
      </c>
      <c r="B256" s="245" t="s">
        <v>30</v>
      </c>
      <c r="C256" s="245" t="s">
        <v>62</v>
      </c>
      <c r="D256" s="236"/>
      <c r="E256" s="245" t="s">
        <v>459</v>
      </c>
      <c r="F256" s="236" t="s">
        <v>460</v>
      </c>
      <c r="G256" s="245" t="s">
        <v>142</v>
      </c>
      <c r="H256" s="238">
        <v>1</v>
      </c>
      <c r="I256" s="238">
        <v>0</v>
      </c>
      <c r="J256" s="238">
        <v>0</v>
      </c>
      <c r="K256" s="241">
        <v>0</v>
      </c>
      <c r="L256" s="241">
        <v>0</v>
      </c>
      <c r="M256" s="241">
        <v>0</v>
      </c>
      <c r="N256" s="238">
        <v>0</v>
      </c>
      <c r="O256" s="241">
        <v>0</v>
      </c>
      <c r="P256" s="241">
        <v>0</v>
      </c>
      <c r="Q256" s="241">
        <v>0</v>
      </c>
      <c r="R256" s="6"/>
    </row>
    <row r="257" spans="1:18" x14ac:dyDescent="0.25">
      <c r="A257" s="236">
        <v>11</v>
      </c>
      <c r="B257" s="245" t="s">
        <v>35</v>
      </c>
      <c r="C257" s="245" t="s">
        <v>62</v>
      </c>
      <c r="D257" s="236"/>
      <c r="E257" s="245" t="s">
        <v>461</v>
      </c>
      <c r="F257" s="236" t="s">
        <v>462</v>
      </c>
      <c r="G257" s="245" t="s">
        <v>142</v>
      </c>
      <c r="H257" s="238">
        <v>1</v>
      </c>
      <c r="I257" s="238">
        <v>0</v>
      </c>
      <c r="J257" s="238">
        <v>0</v>
      </c>
      <c r="K257" s="241">
        <v>0</v>
      </c>
      <c r="L257" s="241">
        <v>0</v>
      </c>
      <c r="M257" s="241">
        <v>0</v>
      </c>
      <c r="N257" s="238">
        <v>0</v>
      </c>
      <c r="O257" s="241">
        <v>0</v>
      </c>
      <c r="P257" s="241">
        <v>0</v>
      </c>
      <c r="Q257" s="241">
        <v>0</v>
      </c>
      <c r="R257" s="6"/>
    </row>
    <row r="258" spans="1:18" x14ac:dyDescent="0.25">
      <c r="A258" s="370">
        <v>1</v>
      </c>
      <c r="B258" s="1" t="s">
        <v>19</v>
      </c>
      <c r="C258" s="1" t="s">
        <v>62</v>
      </c>
      <c r="D258" s="291"/>
      <c r="E258" s="1" t="s">
        <v>71</v>
      </c>
      <c r="F258" s="1" t="s">
        <v>394</v>
      </c>
      <c r="G258" s="291" t="s">
        <v>395</v>
      </c>
      <c r="H258" s="291">
        <v>1</v>
      </c>
      <c r="I258" s="371">
        <v>0</v>
      </c>
      <c r="J258" s="291">
        <v>0</v>
      </c>
      <c r="K258" s="28">
        <v>0</v>
      </c>
      <c r="L258" s="28">
        <v>0</v>
      </c>
      <c r="M258" s="28">
        <v>0</v>
      </c>
      <c r="N258" s="291">
        <v>0</v>
      </c>
      <c r="O258" s="292">
        <v>0</v>
      </c>
      <c r="P258" s="292">
        <v>0</v>
      </c>
      <c r="Q258" s="292">
        <f t="shared" ref="Q258:Q265" si="11">O258-P258</f>
        <v>0</v>
      </c>
      <c r="R258" s="6"/>
    </row>
    <row r="259" spans="1:18" ht="51" x14ac:dyDescent="0.25">
      <c r="A259" s="56">
        <f>A258+1</f>
        <v>2</v>
      </c>
      <c r="B259" s="1" t="s">
        <v>90</v>
      </c>
      <c r="C259" s="1" t="s">
        <v>62</v>
      </c>
      <c r="D259" s="1" t="s">
        <v>63</v>
      </c>
      <c r="E259" s="1" t="s">
        <v>205</v>
      </c>
      <c r="F259" s="1" t="s">
        <v>396</v>
      </c>
      <c r="G259" s="27" t="s">
        <v>395</v>
      </c>
      <c r="H259" s="27">
        <v>9</v>
      </c>
      <c r="I259" s="27">
        <v>9</v>
      </c>
      <c r="J259" s="27">
        <v>9</v>
      </c>
      <c r="K259" s="28">
        <v>11276.8</v>
      </c>
      <c r="L259" s="28">
        <v>11276.8</v>
      </c>
      <c r="M259" s="28">
        <f t="shared" ref="M259:M267" si="12">K259-L259</f>
        <v>0</v>
      </c>
      <c r="N259" s="27">
        <v>20</v>
      </c>
      <c r="O259" s="28">
        <v>28791.88</v>
      </c>
      <c r="P259" s="28">
        <v>28791.88</v>
      </c>
      <c r="Q259" s="292">
        <f t="shared" si="11"/>
        <v>0</v>
      </c>
      <c r="R259" s="6"/>
    </row>
    <row r="260" spans="1:18" x14ac:dyDescent="0.25">
      <c r="A260" s="56">
        <f>A259+1</f>
        <v>3</v>
      </c>
      <c r="B260" s="291" t="s">
        <v>133</v>
      </c>
      <c r="C260" s="291" t="s">
        <v>67</v>
      </c>
      <c r="D260" s="291" t="s">
        <v>397</v>
      </c>
      <c r="E260" s="291" t="s">
        <v>74</v>
      </c>
      <c r="F260" s="1" t="s">
        <v>398</v>
      </c>
      <c r="G260" s="27" t="s">
        <v>395</v>
      </c>
      <c r="H260" s="27">
        <v>11</v>
      </c>
      <c r="I260" s="27">
        <v>1</v>
      </c>
      <c r="J260" s="27">
        <v>1</v>
      </c>
      <c r="K260" s="28">
        <v>1057.2</v>
      </c>
      <c r="L260" s="28">
        <v>1057.2</v>
      </c>
      <c r="M260" s="28">
        <f t="shared" si="12"/>
        <v>0</v>
      </c>
      <c r="N260" s="27">
        <v>8</v>
      </c>
      <c r="O260" s="28">
        <v>11920.73</v>
      </c>
      <c r="P260" s="28">
        <v>11920.73</v>
      </c>
      <c r="Q260" s="292">
        <f t="shared" si="11"/>
        <v>0</v>
      </c>
      <c r="R260" s="6"/>
    </row>
    <row r="261" spans="1:18" ht="25.5" x14ac:dyDescent="0.25">
      <c r="A261" s="56">
        <v>4</v>
      </c>
      <c r="B261" s="1" t="s">
        <v>399</v>
      </c>
      <c r="C261" s="1" t="s">
        <v>62</v>
      </c>
      <c r="D261" s="1"/>
      <c r="E261" s="1" t="s">
        <v>400</v>
      </c>
      <c r="F261" s="1" t="s">
        <v>401</v>
      </c>
      <c r="G261" s="27" t="s">
        <v>395</v>
      </c>
      <c r="H261" s="27">
        <v>29</v>
      </c>
      <c r="I261" s="27">
        <v>8</v>
      </c>
      <c r="J261" s="27">
        <v>8</v>
      </c>
      <c r="K261" s="28">
        <v>9411.2999999999993</v>
      </c>
      <c r="L261" s="28">
        <v>9411.2999999999993</v>
      </c>
      <c r="M261" s="28">
        <f t="shared" si="12"/>
        <v>0</v>
      </c>
      <c r="N261" s="27">
        <v>0</v>
      </c>
      <c r="O261" s="28">
        <v>0</v>
      </c>
      <c r="P261" s="28">
        <v>0</v>
      </c>
      <c r="Q261" s="292">
        <f t="shared" si="11"/>
        <v>0</v>
      </c>
      <c r="R261" s="6"/>
    </row>
    <row r="262" spans="1:18" x14ac:dyDescent="0.25">
      <c r="A262" s="56">
        <v>5</v>
      </c>
      <c r="B262" s="1" t="s">
        <v>402</v>
      </c>
      <c r="C262" s="1" t="s">
        <v>62</v>
      </c>
      <c r="D262" s="1"/>
      <c r="E262" s="291" t="s">
        <v>74</v>
      </c>
      <c r="F262" s="1" t="s">
        <v>403</v>
      </c>
      <c r="G262" s="27" t="s">
        <v>395</v>
      </c>
      <c r="H262" s="27">
        <v>2</v>
      </c>
      <c r="I262" s="27">
        <v>2</v>
      </c>
      <c r="J262" s="27">
        <v>2</v>
      </c>
      <c r="K262" s="28">
        <v>3815.6</v>
      </c>
      <c r="L262" s="28">
        <v>3815.6</v>
      </c>
      <c r="M262" s="28">
        <f t="shared" si="12"/>
        <v>0</v>
      </c>
      <c r="N262" s="27">
        <v>0</v>
      </c>
      <c r="O262" s="28">
        <v>0</v>
      </c>
      <c r="P262" s="28">
        <v>0</v>
      </c>
      <c r="Q262" s="292">
        <f t="shared" si="11"/>
        <v>0</v>
      </c>
      <c r="R262" s="6"/>
    </row>
    <row r="263" spans="1:18" ht="25.5" x14ac:dyDescent="0.25">
      <c r="A263" s="56">
        <v>6</v>
      </c>
      <c r="B263" s="1" t="s">
        <v>48</v>
      </c>
      <c r="C263" s="1" t="s">
        <v>62</v>
      </c>
      <c r="D263" s="1"/>
      <c r="E263" s="1" t="s">
        <v>81</v>
      </c>
      <c r="F263" s="1" t="s">
        <v>404</v>
      </c>
      <c r="G263" s="27" t="s">
        <v>395</v>
      </c>
      <c r="H263" s="27">
        <v>29</v>
      </c>
      <c r="I263" s="27">
        <v>4</v>
      </c>
      <c r="J263" s="27">
        <v>4</v>
      </c>
      <c r="K263" s="28">
        <v>4581.2</v>
      </c>
      <c r="L263" s="28">
        <v>4581.2</v>
      </c>
      <c r="M263" s="28">
        <f t="shared" si="12"/>
        <v>0</v>
      </c>
      <c r="N263" s="27">
        <v>17</v>
      </c>
      <c r="O263" s="28">
        <v>43761.64</v>
      </c>
      <c r="P263" s="28">
        <v>39997.040000000001</v>
      </c>
      <c r="Q263" s="292">
        <f t="shared" si="11"/>
        <v>3764.5999999999985</v>
      </c>
      <c r="R263" s="6"/>
    </row>
    <row r="264" spans="1:18" x14ac:dyDescent="0.25">
      <c r="A264" s="56">
        <v>7</v>
      </c>
      <c r="B264" s="1" t="s">
        <v>39</v>
      </c>
      <c r="C264" s="1" t="s">
        <v>62</v>
      </c>
      <c r="D264" s="1"/>
      <c r="E264" s="1" t="s">
        <v>77</v>
      </c>
      <c r="F264" s="1" t="s">
        <v>405</v>
      </c>
      <c r="G264" s="27" t="s">
        <v>395</v>
      </c>
      <c r="H264" s="27">
        <v>32</v>
      </c>
      <c r="I264" s="27">
        <v>0</v>
      </c>
      <c r="J264" s="27">
        <v>0</v>
      </c>
      <c r="K264" s="28">
        <v>0</v>
      </c>
      <c r="L264" s="28">
        <v>0</v>
      </c>
      <c r="M264" s="28">
        <f t="shared" si="12"/>
        <v>0</v>
      </c>
      <c r="N264" s="27">
        <v>12</v>
      </c>
      <c r="O264" s="28">
        <v>19910.599999999999</v>
      </c>
      <c r="P264" s="28">
        <v>19910.599999999999</v>
      </c>
      <c r="Q264" s="292">
        <f t="shared" si="11"/>
        <v>0</v>
      </c>
      <c r="R264" s="6"/>
    </row>
    <row r="265" spans="1:18" x14ac:dyDescent="0.25">
      <c r="A265" s="56">
        <v>8</v>
      </c>
      <c r="B265" s="1" t="s">
        <v>127</v>
      </c>
      <c r="C265" s="1" t="s">
        <v>62</v>
      </c>
      <c r="D265" s="1"/>
      <c r="E265" s="291" t="s">
        <v>74</v>
      </c>
      <c r="F265" s="1" t="s">
        <v>406</v>
      </c>
      <c r="G265" s="27" t="s">
        <v>395</v>
      </c>
      <c r="H265" s="27">
        <v>0</v>
      </c>
      <c r="I265" s="27">
        <v>0</v>
      </c>
      <c r="J265" s="27">
        <v>0</v>
      </c>
      <c r="K265" s="28">
        <v>0</v>
      </c>
      <c r="L265" s="28">
        <v>0</v>
      </c>
      <c r="M265" s="28">
        <f t="shared" si="12"/>
        <v>0</v>
      </c>
      <c r="N265" s="27">
        <v>1</v>
      </c>
      <c r="O265" s="28">
        <v>264.3</v>
      </c>
      <c r="P265" s="28">
        <v>264.3</v>
      </c>
      <c r="Q265" s="292">
        <f t="shared" si="11"/>
        <v>0</v>
      </c>
      <c r="R265" s="6"/>
    </row>
    <row r="266" spans="1:18" ht="25.5" x14ac:dyDescent="0.25">
      <c r="A266" s="56">
        <v>9</v>
      </c>
      <c r="B266" s="1" t="s">
        <v>561</v>
      </c>
      <c r="C266" s="1" t="s">
        <v>62</v>
      </c>
      <c r="D266" s="1"/>
      <c r="E266" s="1" t="s">
        <v>81</v>
      </c>
      <c r="F266" s="1" t="s">
        <v>562</v>
      </c>
      <c r="G266" s="27" t="s">
        <v>395</v>
      </c>
      <c r="H266" s="27">
        <v>28</v>
      </c>
      <c r="I266" s="27">
        <v>0</v>
      </c>
      <c r="J266" s="27">
        <v>0</v>
      </c>
      <c r="K266" s="28">
        <v>0</v>
      </c>
      <c r="L266" s="28">
        <v>0</v>
      </c>
      <c r="M266" s="28">
        <f t="shared" si="12"/>
        <v>0</v>
      </c>
      <c r="N266" s="27">
        <v>0</v>
      </c>
      <c r="O266" s="28">
        <v>0</v>
      </c>
      <c r="P266" s="28">
        <v>0</v>
      </c>
      <c r="Q266" s="28">
        <v>0</v>
      </c>
      <c r="R266" s="6"/>
    </row>
    <row r="267" spans="1:18" ht="25.5" x14ac:dyDescent="0.25">
      <c r="A267" s="56">
        <v>10</v>
      </c>
      <c r="B267" s="1" t="s">
        <v>563</v>
      </c>
      <c r="C267" s="1" t="s">
        <v>62</v>
      </c>
      <c r="D267" s="1"/>
      <c r="E267" s="1" t="s">
        <v>81</v>
      </c>
      <c r="F267" s="1" t="s">
        <v>564</v>
      </c>
      <c r="G267" s="27" t="s">
        <v>395</v>
      </c>
      <c r="H267" s="27">
        <v>28</v>
      </c>
      <c r="I267" s="27">
        <v>0</v>
      </c>
      <c r="J267" s="27">
        <v>1</v>
      </c>
      <c r="K267" s="28">
        <v>2643</v>
      </c>
      <c r="L267" s="28">
        <v>2643</v>
      </c>
      <c r="M267" s="28">
        <f t="shared" si="12"/>
        <v>0</v>
      </c>
      <c r="N267" s="27">
        <v>0</v>
      </c>
      <c r="O267" s="28">
        <v>0</v>
      </c>
      <c r="P267" s="28">
        <v>0</v>
      </c>
      <c r="Q267" s="28">
        <v>0</v>
      </c>
      <c r="R267" s="6"/>
    </row>
    <row r="268" spans="1:18" ht="25.5" x14ac:dyDescent="0.25">
      <c r="A268" s="56">
        <v>11</v>
      </c>
      <c r="B268" s="1" t="s">
        <v>53</v>
      </c>
      <c r="C268" s="1" t="s">
        <v>62</v>
      </c>
      <c r="D268" s="1"/>
      <c r="E268" s="291" t="s">
        <v>74</v>
      </c>
      <c r="F268" s="1" t="s">
        <v>634</v>
      </c>
      <c r="G268" s="27" t="s">
        <v>395</v>
      </c>
      <c r="H268" s="27">
        <v>11</v>
      </c>
      <c r="I268" s="27">
        <v>0</v>
      </c>
      <c r="J268" s="27">
        <v>0</v>
      </c>
      <c r="K268" s="28">
        <v>0</v>
      </c>
      <c r="L268" s="28">
        <v>0</v>
      </c>
      <c r="M268" s="28">
        <v>0</v>
      </c>
      <c r="N268" s="291">
        <v>0</v>
      </c>
      <c r="O268" s="292">
        <v>0</v>
      </c>
      <c r="P268" s="292">
        <v>0</v>
      </c>
      <c r="Q268" s="292">
        <f t="shared" ref="Q268" si="13">O268-P268</f>
        <v>0</v>
      </c>
      <c r="R268" s="6"/>
    </row>
    <row r="269" spans="1:18" ht="25.5" x14ac:dyDescent="0.25">
      <c r="A269" s="4">
        <v>1</v>
      </c>
      <c r="B269" s="3" t="s">
        <v>159</v>
      </c>
      <c r="C269" s="3" t="s">
        <v>62</v>
      </c>
      <c r="D269" s="3" t="s">
        <v>63</v>
      </c>
      <c r="E269" s="3" t="s">
        <v>121</v>
      </c>
      <c r="F269" s="3" t="s">
        <v>160</v>
      </c>
      <c r="G269" s="4" t="s">
        <v>85</v>
      </c>
      <c r="H269" s="4">
        <v>3</v>
      </c>
      <c r="I269" s="4">
        <v>3</v>
      </c>
      <c r="J269" s="4">
        <v>3</v>
      </c>
      <c r="K269" s="5">
        <f>L269+M269</f>
        <v>1493.3</v>
      </c>
      <c r="L269" s="5">
        <v>1493.3</v>
      </c>
      <c r="M269" s="5">
        <v>0</v>
      </c>
      <c r="N269" s="4">
        <v>8</v>
      </c>
      <c r="O269" s="5">
        <f>P269+Q269</f>
        <v>26421.62</v>
      </c>
      <c r="P269" s="5">
        <f>27914.92-1493.3</f>
        <v>26421.62</v>
      </c>
      <c r="Q269" s="5">
        <v>0</v>
      </c>
      <c r="R269" s="6"/>
    </row>
    <row r="270" spans="1:18" x14ac:dyDescent="0.25">
      <c r="A270" s="4">
        <f>A269+1</f>
        <v>2</v>
      </c>
      <c r="B270" s="3" t="s">
        <v>581</v>
      </c>
      <c r="C270" s="3" t="s">
        <v>62</v>
      </c>
      <c r="D270" s="3" t="s">
        <v>63</v>
      </c>
      <c r="E270" s="3" t="s">
        <v>74</v>
      </c>
      <c r="F270" s="3" t="s">
        <v>582</v>
      </c>
      <c r="G270" s="4" t="s">
        <v>85</v>
      </c>
      <c r="H270" s="4">
        <v>0</v>
      </c>
      <c r="I270" s="4">
        <v>0</v>
      </c>
      <c r="J270" s="4">
        <v>0</v>
      </c>
      <c r="K270" s="5">
        <f t="shared" ref="K270:K333" si="14">L270+M270</f>
        <v>0</v>
      </c>
      <c r="L270" s="5">
        <v>0</v>
      </c>
      <c r="M270" s="5">
        <v>0</v>
      </c>
      <c r="N270" s="4">
        <v>2</v>
      </c>
      <c r="O270" s="5">
        <f t="shared" ref="O270:O333" si="15">P270+Q270</f>
        <v>0</v>
      </c>
      <c r="P270" s="5">
        <v>0</v>
      </c>
      <c r="Q270" s="5">
        <v>0</v>
      </c>
      <c r="R270" s="6"/>
    </row>
    <row r="271" spans="1:18" ht="25.5" x14ac:dyDescent="0.25">
      <c r="A271" s="4">
        <f t="shared" ref="A271:A334" si="16">A270+1</f>
        <v>3</v>
      </c>
      <c r="B271" s="3" t="s">
        <v>18</v>
      </c>
      <c r="C271" s="3" t="s">
        <v>62</v>
      </c>
      <c r="D271" s="3" t="s">
        <v>63</v>
      </c>
      <c r="E271" s="3" t="s">
        <v>70</v>
      </c>
      <c r="F271" s="3" t="s">
        <v>565</v>
      </c>
      <c r="G271" s="4" t="s">
        <v>85</v>
      </c>
      <c r="H271" s="4">
        <v>5</v>
      </c>
      <c r="I271" s="4">
        <v>0</v>
      </c>
      <c r="J271" s="4">
        <v>0</v>
      </c>
      <c r="K271" s="5">
        <f t="shared" si="14"/>
        <v>0</v>
      </c>
      <c r="L271" s="5">
        <v>0</v>
      </c>
      <c r="M271" s="5">
        <v>0</v>
      </c>
      <c r="N271" s="4">
        <v>1</v>
      </c>
      <c r="O271" s="5">
        <f t="shared" si="15"/>
        <v>1585.8</v>
      </c>
      <c r="P271" s="5">
        <v>1585.8</v>
      </c>
      <c r="Q271" s="5">
        <v>0</v>
      </c>
      <c r="R271" s="6"/>
    </row>
    <row r="272" spans="1:18" x14ac:dyDescent="0.25">
      <c r="A272" s="4">
        <f t="shared" si="16"/>
        <v>4</v>
      </c>
      <c r="B272" s="3" t="s">
        <v>19</v>
      </c>
      <c r="C272" s="3" t="s">
        <v>62</v>
      </c>
      <c r="D272" s="3" t="s">
        <v>63</v>
      </c>
      <c r="E272" s="3" t="s">
        <v>71</v>
      </c>
      <c r="F272" s="3" t="s">
        <v>162</v>
      </c>
      <c r="G272" s="4" t="s">
        <v>85</v>
      </c>
      <c r="H272" s="4">
        <v>97</v>
      </c>
      <c r="I272" s="4">
        <v>82</v>
      </c>
      <c r="J272" s="4">
        <v>108</v>
      </c>
      <c r="K272" s="5">
        <f t="shared" si="14"/>
        <v>98370.900000000009</v>
      </c>
      <c r="L272" s="5">
        <f>70165.41+13102.74</f>
        <v>83268.150000000009</v>
      </c>
      <c r="M272" s="5">
        <f>28205.49-13102.74</f>
        <v>15102.750000000002</v>
      </c>
      <c r="N272" s="4">
        <v>26</v>
      </c>
      <c r="O272" s="5">
        <f t="shared" si="15"/>
        <v>81565.89</v>
      </c>
      <c r="P272" s="5">
        <v>69975.22</v>
      </c>
      <c r="Q272" s="5">
        <v>11590.67</v>
      </c>
      <c r="R272" s="6"/>
    </row>
    <row r="273" spans="1:18" x14ac:dyDescent="0.25">
      <c r="A273" s="4">
        <f t="shared" si="16"/>
        <v>5</v>
      </c>
      <c r="B273" s="3" t="s">
        <v>86</v>
      </c>
      <c r="C273" s="3" t="s">
        <v>62</v>
      </c>
      <c r="D273" s="3" t="s">
        <v>63</v>
      </c>
      <c r="E273" s="3" t="s">
        <v>74</v>
      </c>
      <c r="F273" s="3" t="s">
        <v>165</v>
      </c>
      <c r="G273" s="4" t="s">
        <v>85</v>
      </c>
      <c r="H273" s="4">
        <v>48</v>
      </c>
      <c r="I273" s="4">
        <v>31</v>
      </c>
      <c r="J273" s="4">
        <v>33</v>
      </c>
      <c r="K273" s="5">
        <f t="shared" si="14"/>
        <v>25129.11</v>
      </c>
      <c r="L273" s="5">
        <f>24521.22+607.89</f>
        <v>25129.11</v>
      </c>
      <c r="M273" s="5">
        <v>0</v>
      </c>
      <c r="N273" s="4">
        <v>20</v>
      </c>
      <c r="O273" s="5">
        <f t="shared" si="15"/>
        <v>49473.84</v>
      </c>
      <c r="P273" s="5">
        <v>49473.84</v>
      </c>
      <c r="Q273" s="5">
        <v>0</v>
      </c>
      <c r="R273" s="6"/>
    </row>
    <row r="274" spans="1:18" x14ac:dyDescent="0.25">
      <c r="A274" s="4">
        <f t="shared" si="16"/>
        <v>6</v>
      </c>
      <c r="B274" s="3" t="s">
        <v>166</v>
      </c>
      <c r="C274" s="3" t="s">
        <v>62</v>
      </c>
      <c r="D274" s="3" t="s">
        <v>63</v>
      </c>
      <c r="E274" s="3" t="s">
        <v>63</v>
      </c>
      <c r="F274" s="3" t="s">
        <v>167</v>
      </c>
      <c r="G274" s="4" t="s">
        <v>85</v>
      </c>
      <c r="H274" s="4">
        <v>19</v>
      </c>
      <c r="I274" s="4">
        <v>11</v>
      </c>
      <c r="J274" s="4">
        <v>11</v>
      </c>
      <c r="K274" s="5">
        <f t="shared" si="14"/>
        <v>12377.17</v>
      </c>
      <c r="L274" s="5">
        <v>12377.17</v>
      </c>
      <c r="M274" s="5">
        <v>0</v>
      </c>
      <c r="N274" s="4">
        <v>0</v>
      </c>
      <c r="O274" s="5">
        <f t="shared" si="15"/>
        <v>0</v>
      </c>
      <c r="P274" s="5">
        <v>0</v>
      </c>
      <c r="Q274" s="5">
        <v>0</v>
      </c>
      <c r="R274" s="6"/>
    </row>
    <row r="275" spans="1:18" x14ac:dyDescent="0.25">
      <c r="A275" s="4">
        <f t="shared" si="16"/>
        <v>7</v>
      </c>
      <c r="B275" s="3" t="s">
        <v>168</v>
      </c>
      <c r="C275" s="3" t="s">
        <v>62</v>
      </c>
      <c r="D275" s="3" t="s">
        <v>63</v>
      </c>
      <c r="E275" s="3" t="s">
        <v>63</v>
      </c>
      <c r="F275" s="3" t="s">
        <v>169</v>
      </c>
      <c r="G275" s="4" t="s">
        <v>85</v>
      </c>
      <c r="H275" s="4">
        <v>36</v>
      </c>
      <c r="I275" s="4">
        <v>28</v>
      </c>
      <c r="J275" s="4">
        <v>32</v>
      </c>
      <c r="K275" s="5">
        <f t="shared" si="14"/>
        <v>16491.64</v>
      </c>
      <c r="L275" s="5">
        <v>16491.64</v>
      </c>
      <c r="M275" s="5">
        <v>0</v>
      </c>
      <c r="N275" s="4">
        <v>0</v>
      </c>
      <c r="O275" s="5">
        <f t="shared" si="15"/>
        <v>0</v>
      </c>
      <c r="P275" s="5">
        <v>0</v>
      </c>
      <c r="Q275" s="5">
        <v>0</v>
      </c>
      <c r="R275" s="6"/>
    </row>
    <row r="276" spans="1:18" x14ac:dyDescent="0.25">
      <c r="A276" s="4">
        <f t="shared" si="16"/>
        <v>8</v>
      </c>
      <c r="B276" s="3" t="s">
        <v>21</v>
      </c>
      <c r="C276" s="3" t="s">
        <v>62</v>
      </c>
      <c r="D276" s="3" t="s">
        <v>63</v>
      </c>
      <c r="E276" s="3" t="s">
        <v>73</v>
      </c>
      <c r="F276" s="3" t="s">
        <v>170</v>
      </c>
      <c r="G276" s="4" t="s">
        <v>85</v>
      </c>
      <c r="H276" s="4">
        <v>47</v>
      </c>
      <c r="I276" s="4">
        <v>41</v>
      </c>
      <c r="J276" s="4">
        <v>50</v>
      </c>
      <c r="K276" s="5">
        <f t="shared" si="14"/>
        <v>61003.199999999997</v>
      </c>
      <c r="L276" s="5">
        <f>48661.43+12341.77</f>
        <v>61003.199999999997</v>
      </c>
      <c r="M276" s="5">
        <v>0</v>
      </c>
      <c r="N276" s="4">
        <v>40</v>
      </c>
      <c r="O276" s="5">
        <f t="shared" si="15"/>
        <v>119439.81</v>
      </c>
      <c r="P276" s="5">
        <v>119439.81</v>
      </c>
      <c r="Q276" s="5">
        <v>0</v>
      </c>
      <c r="R276" s="6"/>
    </row>
    <row r="277" spans="1:18" x14ac:dyDescent="0.25">
      <c r="A277" s="4">
        <f t="shared" si="16"/>
        <v>9</v>
      </c>
      <c r="B277" s="3" t="s">
        <v>22</v>
      </c>
      <c r="C277" s="3" t="s">
        <v>62</v>
      </c>
      <c r="D277" s="3" t="s">
        <v>63</v>
      </c>
      <c r="E277" s="3" t="s">
        <v>74</v>
      </c>
      <c r="F277" s="3" t="s">
        <v>171</v>
      </c>
      <c r="G277" s="4" t="s">
        <v>85</v>
      </c>
      <c r="H277" s="4">
        <v>34</v>
      </c>
      <c r="I277" s="4">
        <v>28</v>
      </c>
      <c r="J277" s="4">
        <v>36</v>
      </c>
      <c r="K277" s="5">
        <f t="shared" si="14"/>
        <v>38617.07</v>
      </c>
      <c r="L277" s="5">
        <v>38617.07</v>
      </c>
      <c r="M277" s="5">
        <v>0</v>
      </c>
      <c r="N277" s="4">
        <v>42</v>
      </c>
      <c r="O277" s="5">
        <f t="shared" si="15"/>
        <v>92524.41</v>
      </c>
      <c r="P277" s="5">
        <v>92524.41</v>
      </c>
      <c r="Q277" s="5">
        <v>0</v>
      </c>
      <c r="R277" s="6"/>
    </row>
    <row r="278" spans="1:18" ht="25.5" x14ac:dyDescent="0.25">
      <c r="A278" s="4">
        <f t="shared" si="16"/>
        <v>10</v>
      </c>
      <c r="B278" s="3" t="s">
        <v>20</v>
      </c>
      <c r="C278" s="3" t="s">
        <v>62</v>
      </c>
      <c r="D278" s="3" t="s">
        <v>63</v>
      </c>
      <c r="E278" s="3" t="s">
        <v>72</v>
      </c>
      <c r="F278" s="3" t="s">
        <v>163</v>
      </c>
      <c r="G278" s="4" t="s">
        <v>85</v>
      </c>
      <c r="H278" s="4">
        <v>0</v>
      </c>
      <c r="I278" s="4">
        <v>0</v>
      </c>
      <c r="J278" s="4">
        <v>0</v>
      </c>
      <c r="K278" s="5">
        <f t="shared" si="14"/>
        <v>0</v>
      </c>
      <c r="L278" s="5">
        <v>0</v>
      </c>
      <c r="M278" s="5">
        <v>0</v>
      </c>
      <c r="N278" s="4">
        <v>0</v>
      </c>
      <c r="O278" s="5">
        <f t="shared" si="15"/>
        <v>6138.73</v>
      </c>
      <c r="P278" s="5">
        <v>6138.73</v>
      </c>
      <c r="Q278" s="5">
        <v>0</v>
      </c>
      <c r="R278" s="6"/>
    </row>
    <row r="279" spans="1:18" ht="25.5" x14ac:dyDescent="0.25">
      <c r="A279" s="4">
        <f t="shared" si="16"/>
        <v>11</v>
      </c>
      <c r="B279" s="3" t="s">
        <v>100</v>
      </c>
      <c r="C279" s="3" t="s">
        <v>62</v>
      </c>
      <c r="D279" s="3" t="s">
        <v>63</v>
      </c>
      <c r="E279" s="3" t="s">
        <v>101</v>
      </c>
      <c r="F279" s="3" t="s">
        <v>164</v>
      </c>
      <c r="G279" s="4" t="s">
        <v>85</v>
      </c>
      <c r="H279" s="4">
        <v>16</v>
      </c>
      <c r="I279" s="4">
        <v>13</v>
      </c>
      <c r="J279" s="4">
        <v>17</v>
      </c>
      <c r="K279" s="5">
        <f t="shared" si="14"/>
        <v>20976.730000000003</v>
      </c>
      <c r="L279" s="5">
        <f>20983.24-6.51</f>
        <v>20976.730000000003</v>
      </c>
      <c r="M279" s="5">
        <v>0</v>
      </c>
      <c r="N279" s="4">
        <v>12</v>
      </c>
      <c r="O279" s="5">
        <f t="shared" si="15"/>
        <v>40299.47</v>
      </c>
      <c r="P279" s="5">
        <v>40299.47</v>
      </c>
      <c r="Q279" s="5">
        <v>0</v>
      </c>
      <c r="R279" s="6"/>
    </row>
    <row r="280" spans="1:18" ht="25.5" x14ac:dyDescent="0.25">
      <c r="A280" s="4">
        <f t="shared" si="16"/>
        <v>12</v>
      </c>
      <c r="B280" s="3" t="s">
        <v>23</v>
      </c>
      <c r="C280" s="3" t="s">
        <v>62</v>
      </c>
      <c r="D280" s="3" t="s">
        <v>63</v>
      </c>
      <c r="E280" s="3" t="s">
        <v>75</v>
      </c>
      <c r="F280" s="3" t="s">
        <v>136</v>
      </c>
      <c r="G280" s="4" t="s">
        <v>85</v>
      </c>
      <c r="H280" s="4">
        <v>2</v>
      </c>
      <c r="I280" s="4">
        <v>0</v>
      </c>
      <c r="J280" s="4">
        <v>0</v>
      </c>
      <c r="K280" s="5">
        <f t="shared" si="14"/>
        <v>0</v>
      </c>
      <c r="L280" s="5">
        <v>0</v>
      </c>
      <c r="M280" s="5">
        <v>0</v>
      </c>
      <c r="N280" s="4">
        <v>0</v>
      </c>
      <c r="O280" s="5">
        <f t="shared" si="15"/>
        <v>0</v>
      </c>
      <c r="P280" s="5">
        <v>0</v>
      </c>
      <c r="Q280" s="5">
        <v>0</v>
      </c>
      <c r="R280" s="6"/>
    </row>
    <row r="281" spans="1:18" x14ac:dyDescent="0.25">
      <c r="A281" s="4">
        <f t="shared" si="16"/>
        <v>13</v>
      </c>
      <c r="B281" s="3" t="s">
        <v>24</v>
      </c>
      <c r="C281" s="3" t="s">
        <v>62</v>
      </c>
      <c r="D281" s="3" t="s">
        <v>63</v>
      </c>
      <c r="E281" s="3" t="s">
        <v>74</v>
      </c>
      <c r="F281" s="3" t="s">
        <v>172</v>
      </c>
      <c r="G281" s="4" t="s">
        <v>85</v>
      </c>
      <c r="H281" s="4">
        <v>43</v>
      </c>
      <c r="I281" s="4">
        <v>33</v>
      </c>
      <c r="J281" s="4">
        <v>42</v>
      </c>
      <c r="K281" s="5">
        <f t="shared" si="14"/>
        <v>34717.26</v>
      </c>
      <c r="L281" s="5">
        <v>34717.26</v>
      </c>
      <c r="M281" s="5">
        <v>0</v>
      </c>
      <c r="N281" s="4">
        <v>26</v>
      </c>
      <c r="O281" s="5">
        <f t="shared" si="15"/>
        <v>89876.9</v>
      </c>
      <c r="P281" s="5">
        <v>89876.9</v>
      </c>
      <c r="Q281" s="5">
        <v>0</v>
      </c>
      <c r="R281" s="6"/>
    </row>
    <row r="282" spans="1:18" ht="25.5" x14ac:dyDescent="0.25">
      <c r="A282" s="4">
        <f t="shared" si="16"/>
        <v>14</v>
      </c>
      <c r="B282" s="3" t="s">
        <v>102</v>
      </c>
      <c r="C282" s="3" t="s">
        <v>67</v>
      </c>
      <c r="D282" s="3" t="s">
        <v>594</v>
      </c>
      <c r="E282" s="3" t="s">
        <v>74</v>
      </c>
      <c r="F282" s="3" t="s">
        <v>477</v>
      </c>
      <c r="G282" s="4" t="s">
        <v>85</v>
      </c>
      <c r="H282" s="4">
        <v>3</v>
      </c>
      <c r="I282" s="4">
        <v>1</v>
      </c>
      <c r="J282" s="4">
        <v>1</v>
      </c>
      <c r="K282" s="5">
        <f t="shared" si="14"/>
        <v>528.6</v>
      </c>
      <c r="L282" s="5">
        <v>528.6</v>
      </c>
      <c r="M282" s="5">
        <v>0</v>
      </c>
      <c r="N282" s="4">
        <v>4</v>
      </c>
      <c r="O282" s="5">
        <f t="shared" si="15"/>
        <v>9770.18</v>
      </c>
      <c r="P282" s="5">
        <v>9770.18</v>
      </c>
      <c r="Q282" s="5">
        <v>0</v>
      </c>
      <c r="R282" s="6"/>
    </row>
    <row r="283" spans="1:18" ht="25.5" x14ac:dyDescent="0.25">
      <c r="A283" s="4">
        <f t="shared" si="16"/>
        <v>15</v>
      </c>
      <c r="B283" s="3" t="s">
        <v>173</v>
      </c>
      <c r="C283" s="3" t="s">
        <v>67</v>
      </c>
      <c r="D283" s="3" t="s">
        <v>478</v>
      </c>
      <c r="E283" s="3" t="s">
        <v>174</v>
      </c>
      <c r="F283" s="3" t="s">
        <v>175</v>
      </c>
      <c r="G283" s="4" t="s">
        <v>85</v>
      </c>
      <c r="H283" s="4">
        <v>26</v>
      </c>
      <c r="I283" s="4">
        <v>19</v>
      </c>
      <c r="J283" s="4">
        <v>20</v>
      </c>
      <c r="K283" s="5">
        <f t="shared" si="14"/>
        <v>13307.42</v>
      </c>
      <c r="L283" s="5">
        <v>7354.87</v>
      </c>
      <c r="M283" s="5">
        <v>5952.55</v>
      </c>
      <c r="N283" s="4">
        <v>0</v>
      </c>
      <c r="O283" s="5">
        <f t="shared" si="15"/>
        <v>0</v>
      </c>
      <c r="P283" s="5">
        <v>0</v>
      </c>
      <c r="Q283" s="5">
        <v>0</v>
      </c>
      <c r="R283" s="6"/>
    </row>
    <row r="284" spans="1:18" ht="25.5" x14ac:dyDescent="0.25">
      <c r="A284" s="4">
        <f t="shared" si="16"/>
        <v>16</v>
      </c>
      <c r="B284" s="3" t="s">
        <v>595</v>
      </c>
      <c r="C284" s="3" t="s">
        <v>64</v>
      </c>
      <c r="D284" s="3" t="s">
        <v>596</v>
      </c>
      <c r="E284" s="3" t="s">
        <v>597</v>
      </c>
      <c r="F284" s="3" t="s">
        <v>598</v>
      </c>
      <c r="G284" s="4" t="s">
        <v>85</v>
      </c>
      <c r="H284" s="4">
        <v>1</v>
      </c>
      <c r="I284" s="4">
        <v>1</v>
      </c>
      <c r="J284" s="4">
        <v>1</v>
      </c>
      <c r="K284" s="5">
        <f t="shared" si="14"/>
        <v>3600.4</v>
      </c>
      <c r="L284" s="5">
        <v>3600.4</v>
      </c>
      <c r="M284" s="5">
        <v>0</v>
      </c>
      <c r="N284" s="4">
        <v>0</v>
      </c>
      <c r="O284" s="5">
        <f t="shared" si="15"/>
        <v>0</v>
      </c>
      <c r="P284" s="5">
        <v>0</v>
      </c>
      <c r="Q284" s="5">
        <v>0</v>
      </c>
      <c r="R284" s="6"/>
    </row>
    <row r="285" spans="1:18" ht="25.5" x14ac:dyDescent="0.25">
      <c r="A285" s="4">
        <f t="shared" si="16"/>
        <v>17</v>
      </c>
      <c r="B285" s="3" t="s">
        <v>25</v>
      </c>
      <c r="C285" s="3" t="s">
        <v>62</v>
      </c>
      <c r="D285" s="3" t="s">
        <v>63</v>
      </c>
      <c r="E285" s="3" t="s">
        <v>76</v>
      </c>
      <c r="F285" s="3" t="s">
        <v>543</v>
      </c>
      <c r="G285" s="4" t="s">
        <v>85</v>
      </c>
      <c r="H285" s="4">
        <v>42</v>
      </c>
      <c r="I285" s="4">
        <v>0</v>
      </c>
      <c r="J285" s="4">
        <v>0</v>
      </c>
      <c r="K285" s="5">
        <f t="shared" si="14"/>
        <v>0</v>
      </c>
      <c r="L285" s="5">
        <v>0</v>
      </c>
      <c r="M285" s="5">
        <v>0</v>
      </c>
      <c r="N285" s="4">
        <v>0</v>
      </c>
      <c r="O285" s="5">
        <f t="shared" si="15"/>
        <v>0</v>
      </c>
      <c r="P285" s="5">
        <v>0</v>
      </c>
      <c r="Q285" s="5">
        <v>0</v>
      </c>
      <c r="R285" s="6"/>
    </row>
    <row r="286" spans="1:18" ht="25.5" x14ac:dyDescent="0.25">
      <c r="A286" s="4">
        <f t="shared" si="16"/>
        <v>18</v>
      </c>
      <c r="B286" s="3" t="s">
        <v>600</v>
      </c>
      <c r="C286" s="3" t="s">
        <v>62</v>
      </c>
      <c r="D286" s="3" t="s">
        <v>63</v>
      </c>
      <c r="E286" s="3" t="s">
        <v>75</v>
      </c>
      <c r="F286" s="3" t="s">
        <v>103</v>
      </c>
      <c r="G286" s="4" t="s">
        <v>85</v>
      </c>
      <c r="H286" s="4">
        <v>0</v>
      </c>
      <c r="I286" s="4">
        <v>0</v>
      </c>
      <c r="J286" s="4">
        <v>0</v>
      </c>
      <c r="K286" s="5">
        <f t="shared" si="14"/>
        <v>0</v>
      </c>
      <c r="L286" s="5">
        <v>0</v>
      </c>
      <c r="M286" s="5">
        <v>0</v>
      </c>
      <c r="N286" s="4">
        <v>15</v>
      </c>
      <c r="O286" s="5">
        <f t="shared" si="15"/>
        <v>62481.86</v>
      </c>
      <c r="P286" s="5">
        <v>62481.86</v>
      </c>
      <c r="Q286" s="5">
        <v>0</v>
      </c>
      <c r="R286" s="6"/>
    </row>
    <row r="287" spans="1:18" ht="25.5" x14ac:dyDescent="0.25">
      <c r="A287" s="4">
        <f t="shared" si="16"/>
        <v>19</v>
      </c>
      <c r="B287" s="3" t="s">
        <v>479</v>
      </c>
      <c r="C287" s="3" t="s">
        <v>67</v>
      </c>
      <c r="D287" s="3" t="s">
        <v>480</v>
      </c>
      <c r="E287" s="3" t="s">
        <v>271</v>
      </c>
      <c r="F287" s="3" t="s">
        <v>481</v>
      </c>
      <c r="G287" s="4" t="s">
        <v>85</v>
      </c>
      <c r="H287" s="4">
        <v>13</v>
      </c>
      <c r="I287" s="4">
        <v>5</v>
      </c>
      <c r="J287" s="4">
        <v>5</v>
      </c>
      <c r="K287" s="5">
        <f t="shared" si="14"/>
        <v>1902.96</v>
      </c>
      <c r="L287" s="5">
        <v>1902.96</v>
      </c>
      <c r="M287" s="5">
        <v>0</v>
      </c>
      <c r="N287" s="4">
        <v>0</v>
      </c>
      <c r="O287" s="5">
        <f t="shared" si="15"/>
        <v>0</v>
      </c>
      <c r="P287" s="5">
        <v>0</v>
      </c>
      <c r="Q287" s="5">
        <v>0</v>
      </c>
      <c r="R287" s="6"/>
    </row>
    <row r="288" spans="1:18" ht="25.5" x14ac:dyDescent="0.25">
      <c r="A288" s="4">
        <f t="shared" si="16"/>
        <v>20</v>
      </c>
      <c r="B288" s="3" t="s">
        <v>176</v>
      </c>
      <c r="C288" s="3" t="s">
        <v>62</v>
      </c>
      <c r="D288" s="3" t="s">
        <v>63</v>
      </c>
      <c r="E288" s="3" t="s">
        <v>177</v>
      </c>
      <c r="F288" s="3" t="s">
        <v>178</v>
      </c>
      <c r="G288" s="4" t="s">
        <v>85</v>
      </c>
      <c r="H288" s="4">
        <v>18</v>
      </c>
      <c r="I288" s="4">
        <v>13</v>
      </c>
      <c r="J288" s="4">
        <v>14</v>
      </c>
      <c r="K288" s="5">
        <f t="shared" si="14"/>
        <v>7259.44</v>
      </c>
      <c r="L288" s="5">
        <v>7259.44</v>
      </c>
      <c r="M288" s="5">
        <v>0</v>
      </c>
      <c r="N288" s="4">
        <v>0</v>
      </c>
      <c r="O288" s="5">
        <f t="shared" si="15"/>
        <v>0</v>
      </c>
      <c r="P288" s="5">
        <v>0</v>
      </c>
      <c r="Q288" s="5">
        <v>0</v>
      </c>
      <c r="R288" s="6"/>
    </row>
    <row r="289" spans="1:18" x14ac:dyDescent="0.25">
      <c r="A289" s="4">
        <f t="shared" si="16"/>
        <v>21</v>
      </c>
      <c r="B289" s="3" t="s">
        <v>152</v>
      </c>
      <c r="C289" s="3" t="s">
        <v>62</v>
      </c>
      <c r="D289" s="3" t="s">
        <v>63</v>
      </c>
      <c r="E289" s="3" t="s">
        <v>63</v>
      </c>
      <c r="F289" s="3" t="s">
        <v>179</v>
      </c>
      <c r="G289" s="4" t="s">
        <v>85</v>
      </c>
      <c r="H289" s="4">
        <v>30</v>
      </c>
      <c r="I289" s="4">
        <v>13</v>
      </c>
      <c r="J289" s="4">
        <v>15</v>
      </c>
      <c r="K289" s="5">
        <f t="shared" si="14"/>
        <v>9467.91</v>
      </c>
      <c r="L289" s="5">
        <v>9467.91</v>
      </c>
      <c r="M289" s="5">
        <v>0</v>
      </c>
      <c r="N289" s="4">
        <v>16</v>
      </c>
      <c r="O289" s="5">
        <f t="shared" si="15"/>
        <v>10875.99</v>
      </c>
      <c r="P289" s="5">
        <v>10875.99</v>
      </c>
      <c r="Q289" s="5">
        <v>0</v>
      </c>
      <c r="R289" s="6"/>
    </row>
    <row r="290" spans="1:18" x14ac:dyDescent="0.25">
      <c r="A290" s="4">
        <f t="shared" si="16"/>
        <v>22</v>
      </c>
      <c r="B290" s="3" t="s">
        <v>88</v>
      </c>
      <c r="C290" s="3" t="s">
        <v>62</v>
      </c>
      <c r="D290" s="3" t="s">
        <v>63</v>
      </c>
      <c r="E290" s="3" t="s">
        <v>74</v>
      </c>
      <c r="F290" s="3" t="s">
        <v>180</v>
      </c>
      <c r="G290" s="4" t="s">
        <v>85</v>
      </c>
      <c r="H290" s="4">
        <v>9</v>
      </c>
      <c r="I290" s="4">
        <v>2</v>
      </c>
      <c r="J290" s="4">
        <v>2</v>
      </c>
      <c r="K290" s="5">
        <f t="shared" si="14"/>
        <v>2706.43</v>
      </c>
      <c r="L290" s="5">
        <v>2706.43</v>
      </c>
      <c r="M290" s="5">
        <v>0</v>
      </c>
      <c r="N290" s="4">
        <v>2</v>
      </c>
      <c r="O290" s="5">
        <f t="shared" si="15"/>
        <v>22884.99</v>
      </c>
      <c r="P290" s="5">
        <v>22884.99</v>
      </c>
      <c r="Q290" s="5">
        <v>0</v>
      </c>
      <c r="R290" s="6"/>
    </row>
    <row r="291" spans="1:18" x14ac:dyDescent="0.25">
      <c r="A291" s="4">
        <f t="shared" si="16"/>
        <v>23</v>
      </c>
      <c r="B291" s="3" t="s">
        <v>26</v>
      </c>
      <c r="C291" s="3" t="s">
        <v>62</v>
      </c>
      <c r="D291" s="3" t="s">
        <v>63</v>
      </c>
      <c r="E291" s="3" t="s">
        <v>74</v>
      </c>
      <c r="F291" s="3" t="s">
        <v>181</v>
      </c>
      <c r="G291" s="4" t="s">
        <v>85</v>
      </c>
      <c r="H291" s="4">
        <v>28</v>
      </c>
      <c r="I291" s="4">
        <v>22</v>
      </c>
      <c r="J291" s="4">
        <v>31</v>
      </c>
      <c r="K291" s="5">
        <f t="shared" si="14"/>
        <v>54084.65</v>
      </c>
      <c r="L291" s="5">
        <v>54084.65</v>
      </c>
      <c r="M291" s="5">
        <v>0</v>
      </c>
      <c r="N291" s="4">
        <v>12</v>
      </c>
      <c r="O291" s="5">
        <f t="shared" si="15"/>
        <v>23585.53</v>
      </c>
      <c r="P291" s="5">
        <v>23585.53</v>
      </c>
      <c r="Q291" s="5">
        <v>0</v>
      </c>
      <c r="R291" s="6"/>
    </row>
    <row r="292" spans="1:18" ht="25.5" x14ac:dyDescent="0.25">
      <c r="A292" s="4">
        <f t="shared" si="16"/>
        <v>24</v>
      </c>
      <c r="B292" s="3" t="s">
        <v>182</v>
      </c>
      <c r="C292" s="3" t="s">
        <v>62</v>
      </c>
      <c r="D292" s="3" t="s">
        <v>63</v>
      </c>
      <c r="E292" s="3" t="s">
        <v>174</v>
      </c>
      <c r="F292" s="3" t="s">
        <v>183</v>
      </c>
      <c r="G292" s="4" t="s">
        <v>85</v>
      </c>
      <c r="H292" s="4">
        <v>39</v>
      </c>
      <c r="I292" s="4">
        <v>23</v>
      </c>
      <c r="J292" s="4">
        <v>28</v>
      </c>
      <c r="K292" s="5">
        <f t="shared" si="14"/>
        <v>23283.040000000001</v>
      </c>
      <c r="L292" s="5">
        <v>23283.040000000001</v>
      </c>
      <c r="M292" s="5">
        <v>0</v>
      </c>
      <c r="N292" s="4">
        <v>0</v>
      </c>
      <c r="O292" s="5">
        <f t="shared" si="15"/>
        <v>0</v>
      </c>
      <c r="P292" s="5">
        <v>0</v>
      </c>
      <c r="Q292" s="5">
        <v>0</v>
      </c>
      <c r="R292" s="6"/>
    </row>
    <row r="293" spans="1:18" ht="25.5" x14ac:dyDescent="0.25">
      <c r="A293" s="4">
        <f t="shared" si="16"/>
        <v>25</v>
      </c>
      <c r="B293" s="3" t="s">
        <v>137</v>
      </c>
      <c r="C293" s="3" t="s">
        <v>62</v>
      </c>
      <c r="D293" s="3" t="s">
        <v>63</v>
      </c>
      <c r="E293" s="3" t="s">
        <v>78</v>
      </c>
      <c r="F293" s="3" t="s">
        <v>184</v>
      </c>
      <c r="G293" s="4" t="s">
        <v>85</v>
      </c>
      <c r="H293" s="4">
        <v>9</v>
      </c>
      <c r="I293" s="4">
        <v>4</v>
      </c>
      <c r="J293" s="4">
        <v>4</v>
      </c>
      <c r="K293" s="5">
        <f t="shared" si="14"/>
        <v>2678.24</v>
      </c>
      <c r="L293" s="5">
        <v>2678.24</v>
      </c>
      <c r="M293" s="5">
        <v>0</v>
      </c>
      <c r="N293" s="4">
        <v>5</v>
      </c>
      <c r="O293" s="5">
        <f t="shared" si="15"/>
        <v>9148.83</v>
      </c>
      <c r="P293" s="5">
        <v>9148.83</v>
      </c>
      <c r="Q293" s="5">
        <v>0</v>
      </c>
      <c r="R293" s="6"/>
    </row>
    <row r="294" spans="1:18" ht="25.5" x14ac:dyDescent="0.25">
      <c r="A294" s="4">
        <f t="shared" si="16"/>
        <v>26</v>
      </c>
      <c r="B294" s="3" t="s">
        <v>185</v>
      </c>
      <c r="C294" s="3" t="s">
        <v>62</v>
      </c>
      <c r="D294" s="3" t="s">
        <v>63</v>
      </c>
      <c r="E294" s="3" t="s">
        <v>186</v>
      </c>
      <c r="F294" s="3" t="s">
        <v>463</v>
      </c>
      <c r="G294" s="4" t="s">
        <v>85</v>
      </c>
      <c r="H294" s="4">
        <v>11</v>
      </c>
      <c r="I294" s="4">
        <v>6</v>
      </c>
      <c r="J294" s="4">
        <v>7</v>
      </c>
      <c r="K294" s="5">
        <f t="shared" si="14"/>
        <v>1409.6</v>
      </c>
      <c r="L294" s="5">
        <v>1409.6</v>
      </c>
      <c r="M294" s="5">
        <v>0</v>
      </c>
      <c r="N294" s="4">
        <v>0</v>
      </c>
      <c r="O294" s="5">
        <f t="shared" si="15"/>
        <v>0</v>
      </c>
      <c r="P294" s="5">
        <v>0</v>
      </c>
      <c r="Q294" s="5">
        <v>0</v>
      </c>
      <c r="R294" s="6"/>
    </row>
    <row r="295" spans="1:18" x14ac:dyDescent="0.25">
      <c r="A295" s="4">
        <f t="shared" si="16"/>
        <v>27</v>
      </c>
      <c r="B295" s="3" t="s">
        <v>27</v>
      </c>
      <c r="C295" s="3" t="s">
        <v>62</v>
      </c>
      <c r="D295" s="3" t="s">
        <v>63</v>
      </c>
      <c r="E295" s="3" t="s">
        <v>74</v>
      </c>
      <c r="F295" s="3" t="s">
        <v>187</v>
      </c>
      <c r="G295" s="4" t="s">
        <v>85</v>
      </c>
      <c r="H295" s="4">
        <v>16</v>
      </c>
      <c r="I295" s="4">
        <v>10</v>
      </c>
      <c r="J295" s="4">
        <v>11</v>
      </c>
      <c r="K295" s="5">
        <f t="shared" si="14"/>
        <v>10791.82</v>
      </c>
      <c r="L295" s="5">
        <v>10791.82</v>
      </c>
      <c r="M295" s="5">
        <v>0</v>
      </c>
      <c r="N295" s="4">
        <v>5</v>
      </c>
      <c r="O295" s="5">
        <f t="shared" si="15"/>
        <v>32217.82</v>
      </c>
      <c r="P295" s="5">
        <v>32217.82</v>
      </c>
      <c r="Q295" s="5">
        <v>0</v>
      </c>
      <c r="R295" s="6"/>
    </row>
    <row r="296" spans="1:18" x14ac:dyDescent="0.25">
      <c r="A296" s="4">
        <f t="shared" si="16"/>
        <v>28</v>
      </c>
      <c r="B296" s="3" t="s">
        <v>601</v>
      </c>
      <c r="C296" s="3" t="s">
        <v>62</v>
      </c>
      <c r="D296" s="3" t="s">
        <v>63</v>
      </c>
      <c r="E296" s="3" t="s">
        <v>366</v>
      </c>
      <c r="F296" s="3" t="s">
        <v>63</v>
      </c>
      <c r="G296" s="4" t="s">
        <v>85</v>
      </c>
      <c r="H296" s="4">
        <v>3</v>
      </c>
      <c r="I296" s="4">
        <v>0</v>
      </c>
      <c r="J296" s="4">
        <v>0</v>
      </c>
      <c r="K296" s="5">
        <f t="shared" si="14"/>
        <v>0</v>
      </c>
      <c r="L296" s="5">
        <v>0</v>
      </c>
      <c r="M296" s="5">
        <v>0</v>
      </c>
      <c r="N296" s="4">
        <v>0</v>
      </c>
      <c r="O296" s="5">
        <f t="shared" si="15"/>
        <v>0</v>
      </c>
      <c r="P296" s="5">
        <v>0</v>
      </c>
      <c r="Q296" s="5">
        <v>0</v>
      </c>
      <c r="R296" s="6"/>
    </row>
    <row r="297" spans="1:18" ht="25.5" x14ac:dyDescent="0.25">
      <c r="A297" s="4">
        <f t="shared" si="16"/>
        <v>29</v>
      </c>
      <c r="B297" s="3" t="s">
        <v>482</v>
      </c>
      <c r="C297" s="3" t="s">
        <v>64</v>
      </c>
      <c r="D297" s="3" t="s">
        <v>483</v>
      </c>
      <c r="E297" s="3" t="s">
        <v>313</v>
      </c>
      <c r="F297" s="3" t="s">
        <v>484</v>
      </c>
      <c r="G297" s="4" t="s">
        <v>85</v>
      </c>
      <c r="H297" s="4">
        <v>10</v>
      </c>
      <c r="I297" s="4">
        <v>0</v>
      </c>
      <c r="J297" s="4">
        <v>0</v>
      </c>
      <c r="K297" s="5">
        <f t="shared" si="14"/>
        <v>0</v>
      </c>
      <c r="L297" s="5">
        <v>0</v>
      </c>
      <c r="M297" s="5">
        <v>0</v>
      </c>
      <c r="N297" s="4">
        <v>0</v>
      </c>
      <c r="O297" s="5">
        <f t="shared" si="15"/>
        <v>0</v>
      </c>
      <c r="P297" s="5">
        <v>0</v>
      </c>
      <c r="Q297" s="5">
        <v>0</v>
      </c>
      <c r="R297" s="6"/>
    </row>
    <row r="298" spans="1:18" ht="25.5" x14ac:dyDescent="0.25">
      <c r="A298" s="4">
        <f t="shared" si="16"/>
        <v>30</v>
      </c>
      <c r="B298" s="3" t="s">
        <v>104</v>
      </c>
      <c r="C298" s="3" t="s">
        <v>62</v>
      </c>
      <c r="D298" s="3" t="s">
        <v>63</v>
      </c>
      <c r="E298" s="3" t="s">
        <v>105</v>
      </c>
      <c r="F298" s="3" t="s">
        <v>188</v>
      </c>
      <c r="G298" s="4" t="s">
        <v>85</v>
      </c>
      <c r="H298" s="4">
        <v>9</v>
      </c>
      <c r="I298" s="4">
        <v>7</v>
      </c>
      <c r="J298" s="4">
        <v>9</v>
      </c>
      <c r="K298" s="5">
        <f t="shared" si="14"/>
        <v>19587.169999999998</v>
      </c>
      <c r="L298" s="5">
        <v>19587.169999999998</v>
      </c>
      <c r="M298" s="5">
        <v>0</v>
      </c>
      <c r="N298" s="4">
        <v>24</v>
      </c>
      <c r="O298" s="5">
        <f t="shared" si="15"/>
        <v>48438</v>
      </c>
      <c r="P298" s="5">
        <f>43574.88+4863.12</f>
        <v>48438</v>
      </c>
      <c r="Q298" s="5">
        <v>0</v>
      </c>
      <c r="R298" s="6"/>
    </row>
    <row r="299" spans="1:18" ht="25.5" x14ac:dyDescent="0.25">
      <c r="A299" s="4">
        <f t="shared" si="16"/>
        <v>31</v>
      </c>
      <c r="B299" s="3" t="s">
        <v>517</v>
      </c>
      <c r="C299" s="3" t="s">
        <v>62</v>
      </c>
      <c r="D299" s="3" t="s">
        <v>63</v>
      </c>
      <c r="E299" s="3" t="s">
        <v>239</v>
      </c>
      <c r="F299" s="3" t="s">
        <v>63</v>
      </c>
      <c r="G299" s="4" t="s">
        <v>85</v>
      </c>
      <c r="H299" s="4">
        <v>18</v>
      </c>
      <c r="I299" s="4">
        <v>12</v>
      </c>
      <c r="J299" s="4">
        <v>12</v>
      </c>
      <c r="K299" s="5">
        <f t="shared" si="14"/>
        <v>5799.1</v>
      </c>
      <c r="L299" s="5">
        <v>5799.1</v>
      </c>
      <c r="M299" s="5">
        <v>0</v>
      </c>
      <c r="N299" s="4">
        <v>0</v>
      </c>
      <c r="O299" s="5">
        <f t="shared" si="15"/>
        <v>0</v>
      </c>
      <c r="P299" s="5">
        <v>0</v>
      </c>
      <c r="Q299" s="5">
        <v>0</v>
      </c>
      <c r="R299" s="6"/>
    </row>
    <row r="300" spans="1:18" x14ac:dyDescent="0.25">
      <c r="A300" s="4">
        <f t="shared" si="16"/>
        <v>32</v>
      </c>
      <c r="B300" s="3" t="s">
        <v>28</v>
      </c>
      <c r="C300" s="3" t="s">
        <v>62</v>
      </c>
      <c r="D300" s="3" t="s">
        <v>63</v>
      </c>
      <c r="E300" s="3" t="s">
        <v>74</v>
      </c>
      <c r="F300" s="3" t="s">
        <v>189</v>
      </c>
      <c r="G300" s="4" t="s">
        <v>85</v>
      </c>
      <c r="H300" s="4">
        <v>9</v>
      </c>
      <c r="I300" s="4">
        <v>6</v>
      </c>
      <c r="J300" s="4">
        <v>6</v>
      </c>
      <c r="K300" s="5">
        <f t="shared" si="14"/>
        <v>10155.84</v>
      </c>
      <c r="L300" s="5">
        <f>1004.34+9151.5</f>
        <v>10155.84</v>
      </c>
      <c r="M300" s="5">
        <v>0</v>
      </c>
      <c r="N300" s="4">
        <v>6</v>
      </c>
      <c r="O300" s="5">
        <f t="shared" si="15"/>
        <v>18393.25</v>
      </c>
      <c r="P300" s="5">
        <f>10985.45+7407.8</f>
        <v>18393.25</v>
      </c>
      <c r="Q300" s="5">
        <v>0</v>
      </c>
      <c r="R300" s="6"/>
    </row>
    <row r="301" spans="1:18" x14ac:dyDescent="0.25">
      <c r="A301" s="4">
        <f t="shared" si="16"/>
        <v>33</v>
      </c>
      <c r="B301" s="3" t="s">
        <v>190</v>
      </c>
      <c r="C301" s="3" t="s">
        <v>62</v>
      </c>
      <c r="D301" s="3" t="s">
        <v>63</v>
      </c>
      <c r="E301" s="3" t="s">
        <v>63</v>
      </c>
      <c r="F301" s="3" t="s">
        <v>191</v>
      </c>
      <c r="G301" s="4" t="s">
        <v>85</v>
      </c>
      <c r="H301" s="4">
        <v>18</v>
      </c>
      <c r="I301" s="4">
        <v>13</v>
      </c>
      <c r="J301" s="4">
        <v>13</v>
      </c>
      <c r="K301" s="5">
        <f t="shared" si="14"/>
        <v>10947.63</v>
      </c>
      <c r="L301" s="5">
        <v>10947.63</v>
      </c>
      <c r="M301" s="5">
        <v>0</v>
      </c>
      <c r="N301" s="4">
        <v>0</v>
      </c>
      <c r="O301" s="5">
        <f t="shared" si="15"/>
        <v>0</v>
      </c>
      <c r="P301" s="5">
        <v>0</v>
      </c>
      <c r="Q301" s="5">
        <v>0</v>
      </c>
      <c r="R301" s="6"/>
    </row>
    <row r="302" spans="1:18" ht="38.25" x14ac:dyDescent="0.25">
      <c r="A302" s="4">
        <f t="shared" si="16"/>
        <v>34</v>
      </c>
      <c r="B302" s="3" t="s">
        <v>192</v>
      </c>
      <c r="C302" s="3" t="s">
        <v>64</v>
      </c>
      <c r="D302" s="3" t="s">
        <v>193</v>
      </c>
      <c r="E302" s="3" t="s">
        <v>74</v>
      </c>
      <c r="F302" s="3" t="s">
        <v>194</v>
      </c>
      <c r="G302" s="4" t="s">
        <v>85</v>
      </c>
      <c r="H302" s="4">
        <v>1</v>
      </c>
      <c r="I302" s="4">
        <v>0</v>
      </c>
      <c r="J302" s="4">
        <v>0</v>
      </c>
      <c r="K302" s="5">
        <f t="shared" si="14"/>
        <v>0</v>
      </c>
      <c r="L302" s="5">
        <v>0</v>
      </c>
      <c r="M302" s="5">
        <v>0</v>
      </c>
      <c r="N302" s="4">
        <v>0</v>
      </c>
      <c r="O302" s="5">
        <f t="shared" si="15"/>
        <v>0</v>
      </c>
      <c r="P302" s="5">
        <v>0</v>
      </c>
      <c r="Q302" s="5">
        <v>0</v>
      </c>
      <c r="R302" s="6"/>
    </row>
    <row r="303" spans="1:18" x14ac:dyDescent="0.25">
      <c r="A303" s="4">
        <f t="shared" si="16"/>
        <v>35</v>
      </c>
      <c r="B303" s="3" t="s">
        <v>89</v>
      </c>
      <c r="C303" s="3" t="s">
        <v>62</v>
      </c>
      <c r="D303" s="3" t="s">
        <v>63</v>
      </c>
      <c r="E303" s="3" t="s">
        <v>74</v>
      </c>
      <c r="F303" s="3" t="s">
        <v>195</v>
      </c>
      <c r="G303" s="4" t="s">
        <v>85</v>
      </c>
      <c r="H303" s="4">
        <v>32</v>
      </c>
      <c r="I303" s="4">
        <v>27</v>
      </c>
      <c r="J303" s="4">
        <v>29</v>
      </c>
      <c r="K303" s="5">
        <f t="shared" si="14"/>
        <v>17979.099999999999</v>
      </c>
      <c r="L303" s="5">
        <v>17979.099999999999</v>
      </c>
      <c r="M303" s="5">
        <v>0</v>
      </c>
      <c r="N303" s="4">
        <v>7</v>
      </c>
      <c r="O303" s="5">
        <f t="shared" si="15"/>
        <v>32869.550000000003</v>
      </c>
      <c r="P303" s="5">
        <v>32869.550000000003</v>
      </c>
      <c r="Q303" s="5">
        <v>0</v>
      </c>
      <c r="R303" s="6"/>
    </row>
    <row r="304" spans="1:18" ht="25.5" x14ac:dyDescent="0.25">
      <c r="A304" s="4">
        <f t="shared" si="16"/>
        <v>36</v>
      </c>
      <c r="B304" s="3" t="s">
        <v>196</v>
      </c>
      <c r="C304" s="3" t="s">
        <v>62</v>
      </c>
      <c r="D304" s="3" t="s">
        <v>63</v>
      </c>
      <c r="E304" s="3" t="s">
        <v>197</v>
      </c>
      <c r="F304" s="3" t="s">
        <v>198</v>
      </c>
      <c r="G304" s="4" t="s">
        <v>85</v>
      </c>
      <c r="H304" s="4">
        <v>21</v>
      </c>
      <c r="I304" s="4">
        <v>16</v>
      </c>
      <c r="J304" s="4">
        <v>17</v>
      </c>
      <c r="K304" s="5">
        <f t="shared" si="14"/>
        <v>14928.060000000001</v>
      </c>
      <c r="L304" s="5">
        <f>7931+6997.06</f>
        <v>14928.060000000001</v>
      </c>
      <c r="M304" s="5">
        <v>0</v>
      </c>
      <c r="N304" s="4">
        <v>0</v>
      </c>
      <c r="O304" s="5">
        <f t="shared" si="15"/>
        <v>0</v>
      </c>
      <c r="P304" s="5">
        <v>0</v>
      </c>
      <c r="Q304" s="5">
        <v>0</v>
      </c>
      <c r="R304" s="6"/>
    </row>
    <row r="305" spans="1:18" x14ac:dyDescent="0.25">
      <c r="A305" s="4">
        <f t="shared" si="16"/>
        <v>37</v>
      </c>
      <c r="B305" s="3" t="s">
        <v>106</v>
      </c>
      <c r="C305" s="3" t="s">
        <v>62</v>
      </c>
      <c r="D305" s="3" t="s">
        <v>63</v>
      </c>
      <c r="E305" s="3" t="s">
        <v>74</v>
      </c>
      <c r="F305" s="3" t="s">
        <v>199</v>
      </c>
      <c r="G305" s="4" t="s">
        <v>85</v>
      </c>
      <c r="H305" s="4">
        <v>48</v>
      </c>
      <c r="I305" s="4">
        <v>35</v>
      </c>
      <c r="J305" s="4">
        <v>44</v>
      </c>
      <c r="K305" s="5">
        <f t="shared" si="14"/>
        <v>66272.990000000005</v>
      </c>
      <c r="L305" s="5">
        <f>38286.08+27986.91</f>
        <v>66272.990000000005</v>
      </c>
      <c r="M305" s="5">
        <v>0</v>
      </c>
      <c r="N305" s="4">
        <v>26</v>
      </c>
      <c r="O305" s="5">
        <f t="shared" si="15"/>
        <v>150774.94</v>
      </c>
      <c r="P305" s="5">
        <f>122226.76+28548.18</f>
        <v>150774.94</v>
      </c>
      <c r="Q305" s="5">
        <v>0</v>
      </c>
      <c r="R305" s="6"/>
    </row>
    <row r="306" spans="1:18" x14ac:dyDescent="0.25">
      <c r="A306" s="4">
        <f t="shared" si="16"/>
        <v>38</v>
      </c>
      <c r="B306" s="3" t="s">
        <v>107</v>
      </c>
      <c r="C306" s="3" t="s">
        <v>62</v>
      </c>
      <c r="D306" s="3" t="s">
        <v>63</v>
      </c>
      <c r="E306" s="3" t="s">
        <v>74</v>
      </c>
      <c r="F306" s="3" t="s">
        <v>138</v>
      </c>
      <c r="G306" s="4" t="s">
        <v>85</v>
      </c>
      <c r="H306" s="4">
        <v>2</v>
      </c>
      <c r="I306" s="4">
        <v>0</v>
      </c>
      <c r="J306" s="4">
        <v>0</v>
      </c>
      <c r="K306" s="5">
        <f t="shared" si="14"/>
        <v>0</v>
      </c>
      <c r="L306" s="5">
        <v>0</v>
      </c>
      <c r="M306" s="5">
        <v>0</v>
      </c>
      <c r="N306" s="4">
        <v>0</v>
      </c>
      <c r="O306" s="5">
        <f t="shared" si="15"/>
        <v>0</v>
      </c>
      <c r="P306" s="5">
        <v>0</v>
      </c>
      <c r="Q306" s="5">
        <v>0</v>
      </c>
      <c r="R306" s="6"/>
    </row>
    <row r="307" spans="1:18" x14ac:dyDescent="0.25">
      <c r="A307" s="4">
        <f t="shared" si="16"/>
        <v>39</v>
      </c>
      <c r="B307" s="3" t="s">
        <v>29</v>
      </c>
      <c r="C307" s="3" t="s">
        <v>62</v>
      </c>
      <c r="D307" s="3" t="s">
        <v>63</v>
      </c>
      <c r="E307" s="3" t="s">
        <v>74</v>
      </c>
      <c r="F307" s="3" t="s">
        <v>200</v>
      </c>
      <c r="G307" s="4" t="s">
        <v>85</v>
      </c>
      <c r="H307" s="4">
        <v>26</v>
      </c>
      <c r="I307" s="4">
        <v>19</v>
      </c>
      <c r="J307" s="4">
        <v>28</v>
      </c>
      <c r="K307" s="5">
        <f t="shared" si="14"/>
        <v>38092.21</v>
      </c>
      <c r="L307" s="5">
        <v>38092.21</v>
      </c>
      <c r="M307" s="5">
        <v>0</v>
      </c>
      <c r="N307" s="4">
        <v>17</v>
      </c>
      <c r="O307" s="5">
        <f t="shared" si="15"/>
        <v>27388.87</v>
      </c>
      <c r="P307" s="5">
        <v>27388.87</v>
      </c>
      <c r="Q307" s="5">
        <v>0</v>
      </c>
      <c r="R307" s="6"/>
    </row>
    <row r="308" spans="1:18" x14ac:dyDescent="0.25">
      <c r="A308" s="4">
        <f t="shared" si="16"/>
        <v>40</v>
      </c>
      <c r="B308" s="3" t="s">
        <v>201</v>
      </c>
      <c r="C308" s="3" t="s">
        <v>67</v>
      </c>
      <c r="D308" s="3" t="s">
        <v>485</v>
      </c>
      <c r="E308" s="3" t="s">
        <v>74</v>
      </c>
      <c r="F308" s="3" t="s">
        <v>202</v>
      </c>
      <c r="G308" s="4" t="s">
        <v>85</v>
      </c>
      <c r="H308" s="4">
        <v>23</v>
      </c>
      <c r="I308" s="4">
        <v>16</v>
      </c>
      <c r="J308" s="4">
        <v>16</v>
      </c>
      <c r="K308" s="5">
        <f t="shared" si="14"/>
        <v>41529.740000000005</v>
      </c>
      <c r="L308" s="5">
        <f>18972.31+6359.09</f>
        <v>25331.4</v>
      </c>
      <c r="M308" s="5">
        <v>16198.34</v>
      </c>
      <c r="N308" s="4">
        <v>1</v>
      </c>
      <c r="O308" s="5">
        <f t="shared" si="15"/>
        <v>1717.95</v>
      </c>
      <c r="P308" s="5">
        <v>1717.95</v>
      </c>
      <c r="Q308" s="5">
        <v>0</v>
      </c>
      <c r="R308" s="6"/>
    </row>
    <row r="309" spans="1:18" x14ac:dyDescent="0.25">
      <c r="A309" s="4">
        <f t="shared" si="16"/>
        <v>41</v>
      </c>
      <c r="B309" s="3" t="s">
        <v>95</v>
      </c>
      <c r="C309" s="3" t="s">
        <v>62</v>
      </c>
      <c r="D309" s="3" t="s">
        <v>63</v>
      </c>
      <c r="E309" s="3" t="s">
        <v>74</v>
      </c>
      <c r="F309" s="3" t="s">
        <v>161</v>
      </c>
      <c r="G309" s="4" t="s">
        <v>85</v>
      </c>
      <c r="H309" s="4">
        <v>42</v>
      </c>
      <c r="I309" s="4">
        <v>35</v>
      </c>
      <c r="J309" s="4">
        <v>46</v>
      </c>
      <c r="K309" s="5">
        <f t="shared" si="14"/>
        <v>57829.71</v>
      </c>
      <c r="L309" s="5">
        <f>46387.11+11442.6</f>
        <v>57829.71</v>
      </c>
      <c r="M309" s="5">
        <v>0</v>
      </c>
      <c r="N309" s="4">
        <v>26</v>
      </c>
      <c r="O309" s="5">
        <f t="shared" si="15"/>
        <v>82085.72</v>
      </c>
      <c r="P309" s="5">
        <f>74616.39+7469.33</f>
        <v>82085.72</v>
      </c>
      <c r="Q309" s="5">
        <v>0</v>
      </c>
      <c r="R309" s="6"/>
    </row>
    <row r="310" spans="1:18" ht="25.5" x14ac:dyDescent="0.25">
      <c r="A310" s="4">
        <f t="shared" si="16"/>
        <v>42</v>
      </c>
      <c r="B310" s="3" t="s">
        <v>30</v>
      </c>
      <c r="C310" s="3" t="s">
        <v>62</v>
      </c>
      <c r="D310" s="3" t="s">
        <v>63</v>
      </c>
      <c r="E310" s="3" t="s">
        <v>203</v>
      </c>
      <c r="F310" s="3" t="s">
        <v>204</v>
      </c>
      <c r="G310" s="4" t="s">
        <v>85</v>
      </c>
      <c r="H310" s="4">
        <v>21</v>
      </c>
      <c r="I310" s="4">
        <v>15</v>
      </c>
      <c r="J310" s="4">
        <v>22</v>
      </c>
      <c r="K310" s="5">
        <f t="shared" si="14"/>
        <v>61941.799999999996</v>
      </c>
      <c r="L310" s="5">
        <v>49286.17</v>
      </c>
      <c r="M310" s="5">
        <v>12655.63</v>
      </c>
      <c r="N310" s="4">
        <v>19</v>
      </c>
      <c r="O310" s="5">
        <f t="shared" si="15"/>
        <v>69063.23</v>
      </c>
      <c r="P310" s="5">
        <v>52499.71</v>
      </c>
      <c r="Q310" s="5">
        <v>16563.52</v>
      </c>
      <c r="R310" s="6"/>
    </row>
    <row r="311" spans="1:18" x14ac:dyDescent="0.25">
      <c r="A311" s="4">
        <f t="shared" si="16"/>
        <v>43</v>
      </c>
      <c r="B311" s="3" t="s">
        <v>31</v>
      </c>
      <c r="C311" s="3" t="s">
        <v>62</v>
      </c>
      <c r="D311" s="3" t="s">
        <v>63</v>
      </c>
      <c r="E311" s="3" t="s">
        <v>74</v>
      </c>
      <c r="F311" s="3" t="s">
        <v>206</v>
      </c>
      <c r="G311" s="4" t="s">
        <v>85</v>
      </c>
      <c r="H311" s="4">
        <v>52</v>
      </c>
      <c r="I311" s="4">
        <v>46</v>
      </c>
      <c r="J311" s="4">
        <v>56</v>
      </c>
      <c r="K311" s="5">
        <f t="shared" si="14"/>
        <v>87971.77</v>
      </c>
      <c r="L311" s="5">
        <v>87971.77</v>
      </c>
      <c r="M311" s="5">
        <v>0</v>
      </c>
      <c r="N311" s="4">
        <v>21</v>
      </c>
      <c r="O311" s="5">
        <f t="shared" si="15"/>
        <v>85171.839999999997</v>
      </c>
      <c r="P311" s="5">
        <v>85171.839999999997</v>
      </c>
      <c r="Q311" s="5">
        <v>0</v>
      </c>
      <c r="R311" s="6"/>
    </row>
    <row r="312" spans="1:18" ht="25.5" x14ac:dyDescent="0.25">
      <c r="A312" s="4">
        <f t="shared" si="16"/>
        <v>44</v>
      </c>
      <c r="B312" s="3" t="s">
        <v>605</v>
      </c>
      <c r="C312" s="3" t="s">
        <v>62</v>
      </c>
      <c r="D312" s="3" t="s">
        <v>63</v>
      </c>
      <c r="E312" s="3" t="s">
        <v>108</v>
      </c>
      <c r="F312" s="3" t="s">
        <v>619</v>
      </c>
      <c r="G312" s="4" t="s">
        <v>85</v>
      </c>
      <c r="H312" s="4">
        <v>2</v>
      </c>
      <c r="I312" s="4">
        <v>0</v>
      </c>
      <c r="J312" s="4">
        <v>0</v>
      </c>
      <c r="K312" s="5">
        <f t="shared" si="14"/>
        <v>0</v>
      </c>
      <c r="L312" s="5">
        <v>0</v>
      </c>
      <c r="M312" s="5">
        <v>0</v>
      </c>
      <c r="N312" s="4">
        <v>0</v>
      </c>
      <c r="O312" s="5">
        <f t="shared" si="15"/>
        <v>1200.69</v>
      </c>
      <c r="P312" s="5">
        <v>1200.69</v>
      </c>
      <c r="Q312" s="5">
        <v>0</v>
      </c>
      <c r="R312" s="6"/>
    </row>
    <row r="313" spans="1:18" x14ac:dyDescent="0.25">
      <c r="A313" s="4">
        <f t="shared" si="16"/>
        <v>45</v>
      </c>
      <c r="B313" s="3" t="s">
        <v>631</v>
      </c>
      <c r="C313" s="3" t="s">
        <v>62</v>
      </c>
      <c r="D313" s="3" t="s">
        <v>63</v>
      </c>
      <c r="E313" s="3" t="s">
        <v>63</v>
      </c>
      <c r="F313" s="3" t="s">
        <v>63</v>
      </c>
      <c r="G313" s="4" t="s">
        <v>85</v>
      </c>
      <c r="H313" s="4">
        <v>3</v>
      </c>
      <c r="I313" s="4">
        <v>0</v>
      </c>
      <c r="J313" s="4">
        <v>0</v>
      </c>
      <c r="K313" s="5">
        <f t="shared" si="14"/>
        <v>0</v>
      </c>
      <c r="L313" s="5">
        <v>0</v>
      </c>
      <c r="M313" s="5">
        <v>0</v>
      </c>
      <c r="N313" s="4">
        <v>0</v>
      </c>
      <c r="O313" s="5">
        <f t="shared" si="15"/>
        <v>0</v>
      </c>
      <c r="P313" s="5">
        <v>0</v>
      </c>
      <c r="Q313" s="5">
        <v>0</v>
      </c>
      <c r="R313" s="6"/>
    </row>
    <row r="314" spans="1:18" ht="51" x14ac:dyDescent="0.25">
      <c r="A314" s="4">
        <f t="shared" si="16"/>
        <v>46</v>
      </c>
      <c r="B314" s="3" t="s">
        <v>90</v>
      </c>
      <c r="C314" s="3" t="s">
        <v>62</v>
      </c>
      <c r="D314" s="3" t="s">
        <v>63</v>
      </c>
      <c r="E314" s="3" t="s">
        <v>205</v>
      </c>
      <c r="F314" s="3" t="s">
        <v>464</v>
      </c>
      <c r="G314" s="4" t="s">
        <v>85</v>
      </c>
      <c r="H314" s="4">
        <v>20</v>
      </c>
      <c r="I314" s="4">
        <v>13</v>
      </c>
      <c r="J314" s="4">
        <v>19</v>
      </c>
      <c r="K314" s="5">
        <f t="shared" si="14"/>
        <v>35238.51</v>
      </c>
      <c r="L314" s="5">
        <f>12138.06+10466.27</f>
        <v>22604.33</v>
      </c>
      <c r="M314" s="5">
        <f>23100.45-10466.27</f>
        <v>12634.18</v>
      </c>
      <c r="N314" s="4">
        <v>17</v>
      </c>
      <c r="O314" s="5">
        <f t="shared" si="15"/>
        <v>23475.1</v>
      </c>
      <c r="P314" s="5">
        <v>23475.1</v>
      </c>
      <c r="Q314" s="5">
        <v>0</v>
      </c>
      <c r="R314" s="6"/>
    </row>
    <row r="315" spans="1:18" x14ac:dyDescent="0.25">
      <c r="A315" s="4">
        <f t="shared" si="16"/>
        <v>47</v>
      </c>
      <c r="B315" s="3" t="s">
        <v>91</v>
      </c>
      <c r="C315" s="3" t="s">
        <v>62</v>
      </c>
      <c r="D315" s="3" t="s">
        <v>63</v>
      </c>
      <c r="E315" s="3" t="s">
        <v>63</v>
      </c>
      <c r="F315" s="3" t="s">
        <v>208</v>
      </c>
      <c r="G315" s="4" t="s">
        <v>85</v>
      </c>
      <c r="H315" s="4">
        <v>15</v>
      </c>
      <c r="I315" s="4">
        <v>11</v>
      </c>
      <c r="J315" s="4">
        <v>11</v>
      </c>
      <c r="K315" s="5">
        <f t="shared" si="14"/>
        <v>5992.57</v>
      </c>
      <c r="L315" s="5">
        <v>5992.57</v>
      </c>
      <c r="M315" s="5">
        <v>0</v>
      </c>
      <c r="N315" s="4">
        <v>2</v>
      </c>
      <c r="O315" s="5">
        <f t="shared" si="15"/>
        <v>17381.23</v>
      </c>
      <c r="P315" s="5">
        <v>17381.23</v>
      </c>
      <c r="Q315" s="5">
        <v>0</v>
      </c>
      <c r="R315" s="6"/>
    </row>
    <row r="316" spans="1:18" x14ac:dyDescent="0.25">
      <c r="A316" s="4">
        <f t="shared" si="16"/>
        <v>48</v>
      </c>
      <c r="B316" s="3" t="s">
        <v>33</v>
      </c>
      <c r="C316" s="3" t="s">
        <v>62</v>
      </c>
      <c r="D316" s="3" t="s">
        <v>63</v>
      </c>
      <c r="E316" s="3" t="s">
        <v>74</v>
      </c>
      <c r="F316" s="3" t="s">
        <v>209</v>
      </c>
      <c r="G316" s="4" t="s">
        <v>85</v>
      </c>
      <c r="H316" s="4">
        <v>37</v>
      </c>
      <c r="I316" s="4">
        <v>29</v>
      </c>
      <c r="J316" s="4">
        <v>40</v>
      </c>
      <c r="K316" s="5">
        <f t="shared" si="14"/>
        <v>55347.69</v>
      </c>
      <c r="L316" s="5">
        <f>31117.84+15918.76+8311.09</f>
        <v>55347.69</v>
      </c>
      <c r="M316" s="5">
        <v>0</v>
      </c>
      <c r="N316" s="4">
        <v>38</v>
      </c>
      <c r="O316" s="5">
        <f t="shared" si="15"/>
        <v>107522.26000000001</v>
      </c>
      <c r="P316" s="5">
        <f>81981.71+17540.55+8000</f>
        <v>107522.26000000001</v>
      </c>
      <c r="Q316" s="5">
        <v>0</v>
      </c>
      <c r="R316" s="6"/>
    </row>
    <row r="317" spans="1:18" x14ac:dyDescent="0.25">
      <c r="A317" s="4">
        <f t="shared" si="16"/>
        <v>49</v>
      </c>
      <c r="B317" s="3" t="s">
        <v>32</v>
      </c>
      <c r="C317" s="3" t="s">
        <v>62</v>
      </c>
      <c r="D317" s="3" t="s">
        <v>63</v>
      </c>
      <c r="E317" s="3" t="s">
        <v>74</v>
      </c>
      <c r="F317" s="3" t="s">
        <v>207</v>
      </c>
      <c r="G317" s="4" t="s">
        <v>85</v>
      </c>
      <c r="H317" s="4">
        <v>47</v>
      </c>
      <c r="I317" s="4">
        <v>37</v>
      </c>
      <c r="J317" s="4">
        <v>40</v>
      </c>
      <c r="K317" s="5">
        <f t="shared" si="14"/>
        <v>21751.89</v>
      </c>
      <c r="L317" s="5">
        <f>19498.47+2253.42</f>
        <v>21751.89</v>
      </c>
      <c r="M317" s="5">
        <v>0</v>
      </c>
      <c r="N317" s="4">
        <v>33</v>
      </c>
      <c r="O317" s="5">
        <f t="shared" si="15"/>
        <v>98620.51</v>
      </c>
      <c r="P317" s="5">
        <f>89431.18+9189.33</f>
        <v>98620.51</v>
      </c>
      <c r="Q317" s="5">
        <v>0</v>
      </c>
      <c r="R317" s="6"/>
    </row>
    <row r="318" spans="1:18" ht="25.5" x14ac:dyDescent="0.25">
      <c r="A318" s="4">
        <f t="shared" si="16"/>
        <v>50</v>
      </c>
      <c r="B318" s="3" t="s">
        <v>541</v>
      </c>
      <c r="C318" s="3" t="s">
        <v>62</v>
      </c>
      <c r="D318" s="3" t="s">
        <v>63</v>
      </c>
      <c r="E318" s="3" t="s">
        <v>177</v>
      </c>
      <c r="F318" s="3" t="s">
        <v>542</v>
      </c>
      <c r="G318" s="4" t="s">
        <v>85</v>
      </c>
      <c r="H318" s="4">
        <v>21</v>
      </c>
      <c r="I318" s="4">
        <v>12</v>
      </c>
      <c r="J318" s="4">
        <v>16</v>
      </c>
      <c r="K318" s="5">
        <f t="shared" si="14"/>
        <v>16190.579999999998</v>
      </c>
      <c r="L318" s="5">
        <v>7289.61</v>
      </c>
      <c r="M318" s="5">
        <v>8900.9699999999993</v>
      </c>
      <c r="N318" s="4">
        <v>0</v>
      </c>
      <c r="O318" s="5">
        <f t="shared" si="15"/>
        <v>0</v>
      </c>
      <c r="P318" s="5">
        <v>0</v>
      </c>
      <c r="Q318" s="5">
        <v>0</v>
      </c>
      <c r="R318" s="6"/>
    </row>
    <row r="319" spans="1:18" x14ac:dyDescent="0.25">
      <c r="A319" s="4">
        <f t="shared" si="16"/>
        <v>51</v>
      </c>
      <c r="B319" s="3" t="s">
        <v>34</v>
      </c>
      <c r="C319" s="3" t="s">
        <v>62</v>
      </c>
      <c r="D319" s="3" t="s">
        <v>63</v>
      </c>
      <c r="E319" s="3" t="s">
        <v>74</v>
      </c>
      <c r="F319" s="3" t="s">
        <v>211</v>
      </c>
      <c r="G319" s="4" t="s">
        <v>85</v>
      </c>
      <c r="H319" s="4">
        <v>19</v>
      </c>
      <c r="I319" s="4">
        <v>11</v>
      </c>
      <c r="J319" s="4">
        <v>11</v>
      </c>
      <c r="K319" s="5">
        <f t="shared" si="14"/>
        <v>4532.5200000000004</v>
      </c>
      <c r="L319" s="5">
        <v>4532.5200000000004</v>
      </c>
      <c r="M319" s="5">
        <v>0</v>
      </c>
      <c r="N319" s="4">
        <v>25</v>
      </c>
      <c r="O319" s="5">
        <f t="shared" si="15"/>
        <v>94507.1</v>
      </c>
      <c r="P319" s="5">
        <v>94507.1</v>
      </c>
      <c r="Q319" s="5">
        <v>0</v>
      </c>
      <c r="R319" s="6"/>
    </row>
    <row r="320" spans="1:18" ht="25.5" x14ac:dyDescent="0.25">
      <c r="A320" s="4">
        <f t="shared" si="16"/>
        <v>52</v>
      </c>
      <c r="B320" s="3" t="s">
        <v>154</v>
      </c>
      <c r="C320" s="3" t="s">
        <v>62</v>
      </c>
      <c r="D320" s="3" t="s">
        <v>63</v>
      </c>
      <c r="E320" s="3" t="s">
        <v>72</v>
      </c>
      <c r="F320" s="3" t="s">
        <v>212</v>
      </c>
      <c r="G320" s="4" t="s">
        <v>85</v>
      </c>
      <c r="H320" s="4">
        <v>6</v>
      </c>
      <c r="I320" s="4">
        <v>2</v>
      </c>
      <c r="J320" s="4">
        <v>2</v>
      </c>
      <c r="K320" s="5">
        <f t="shared" si="14"/>
        <v>0</v>
      </c>
      <c r="L320" s="5">
        <v>0</v>
      </c>
      <c r="M320" s="5">
        <v>0</v>
      </c>
      <c r="N320" s="4">
        <v>2</v>
      </c>
      <c r="O320" s="5">
        <f t="shared" si="15"/>
        <v>7807.77</v>
      </c>
      <c r="P320" s="5">
        <f>4636.17+3171.6</f>
        <v>7807.77</v>
      </c>
      <c r="Q320" s="5">
        <v>0</v>
      </c>
      <c r="R320" s="6"/>
    </row>
    <row r="321" spans="1:18" x14ac:dyDescent="0.25">
      <c r="A321" s="4">
        <f t="shared" si="16"/>
        <v>53</v>
      </c>
      <c r="B321" s="3" t="s">
        <v>153</v>
      </c>
      <c r="C321" s="3" t="s">
        <v>62</v>
      </c>
      <c r="D321" s="3" t="s">
        <v>63</v>
      </c>
      <c r="E321" s="3" t="s">
        <v>74</v>
      </c>
      <c r="F321" s="3" t="s">
        <v>210</v>
      </c>
      <c r="G321" s="4" t="s">
        <v>85</v>
      </c>
      <c r="H321" s="4">
        <v>0</v>
      </c>
      <c r="I321" s="4">
        <v>0</v>
      </c>
      <c r="J321" s="4">
        <v>0</v>
      </c>
      <c r="K321" s="5">
        <f t="shared" si="14"/>
        <v>0</v>
      </c>
      <c r="L321" s="5">
        <v>0</v>
      </c>
      <c r="M321" s="5">
        <v>0</v>
      </c>
      <c r="N321" s="4">
        <v>3</v>
      </c>
      <c r="O321" s="5">
        <f t="shared" si="15"/>
        <v>27274.93</v>
      </c>
      <c r="P321" s="5">
        <f>17789.33+9485.6</f>
        <v>27274.93</v>
      </c>
      <c r="Q321" s="5">
        <v>0</v>
      </c>
      <c r="R321" s="6"/>
    </row>
    <row r="322" spans="1:18" x14ac:dyDescent="0.25">
      <c r="A322" s="4">
        <f t="shared" si="16"/>
        <v>54</v>
      </c>
      <c r="B322" s="3" t="s">
        <v>109</v>
      </c>
      <c r="C322" s="3" t="s">
        <v>62</v>
      </c>
      <c r="D322" s="3" t="s">
        <v>63</v>
      </c>
      <c r="E322" s="3" t="s">
        <v>74</v>
      </c>
      <c r="F322" s="3" t="s">
        <v>213</v>
      </c>
      <c r="G322" s="4" t="s">
        <v>85</v>
      </c>
      <c r="H322" s="4">
        <v>0</v>
      </c>
      <c r="I322" s="4">
        <v>0</v>
      </c>
      <c r="J322" s="4">
        <v>0</v>
      </c>
      <c r="K322" s="5">
        <f t="shared" si="14"/>
        <v>0</v>
      </c>
      <c r="L322" s="5">
        <v>0</v>
      </c>
      <c r="M322" s="5">
        <v>0</v>
      </c>
      <c r="N322" s="4">
        <v>2</v>
      </c>
      <c r="O322" s="5">
        <f t="shared" si="15"/>
        <v>3812.68</v>
      </c>
      <c r="P322" s="5">
        <v>3812.68</v>
      </c>
      <c r="Q322" s="5">
        <v>0</v>
      </c>
      <c r="R322" s="6"/>
    </row>
    <row r="323" spans="1:18" x14ac:dyDescent="0.25">
      <c r="A323" s="4">
        <f t="shared" si="16"/>
        <v>55</v>
      </c>
      <c r="B323" s="3" t="s">
        <v>110</v>
      </c>
      <c r="C323" s="3" t="s">
        <v>62</v>
      </c>
      <c r="D323" s="3" t="s">
        <v>63</v>
      </c>
      <c r="E323" s="3" t="s">
        <v>74</v>
      </c>
      <c r="F323" s="3" t="s">
        <v>214</v>
      </c>
      <c r="G323" s="4" t="s">
        <v>85</v>
      </c>
      <c r="H323" s="4">
        <v>0</v>
      </c>
      <c r="I323" s="4">
        <v>0</v>
      </c>
      <c r="J323" s="4">
        <v>0</v>
      </c>
      <c r="K323" s="5">
        <f t="shared" si="14"/>
        <v>0</v>
      </c>
      <c r="L323" s="5">
        <v>0</v>
      </c>
      <c r="M323" s="5">
        <v>0</v>
      </c>
      <c r="N323" s="4">
        <v>0</v>
      </c>
      <c r="O323" s="5">
        <f t="shared" si="15"/>
        <v>12489.14</v>
      </c>
      <c r="P323" s="5">
        <v>12489.14</v>
      </c>
      <c r="Q323" s="5">
        <v>0</v>
      </c>
      <c r="R323" s="6"/>
    </row>
    <row r="324" spans="1:18" x14ac:dyDescent="0.25">
      <c r="A324" s="4">
        <f t="shared" si="16"/>
        <v>56</v>
      </c>
      <c r="B324" s="3" t="s">
        <v>111</v>
      </c>
      <c r="C324" s="3" t="s">
        <v>112</v>
      </c>
      <c r="D324" s="3" t="s">
        <v>113</v>
      </c>
      <c r="E324" s="3" t="s">
        <v>63</v>
      </c>
      <c r="F324" s="3" t="s">
        <v>139</v>
      </c>
      <c r="G324" s="4" t="s">
        <v>85</v>
      </c>
      <c r="H324" s="4">
        <v>1</v>
      </c>
      <c r="I324" s="4">
        <v>0</v>
      </c>
      <c r="J324" s="4">
        <v>0</v>
      </c>
      <c r="K324" s="5">
        <f t="shared" si="14"/>
        <v>0</v>
      </c>
      <c r="L324" s="5">
        <v>0</v>
      </c>
      <c r="M324" s="5">
        <v>0</v>
      </c>
      <c r="N324" s="4">
        <v>0</v>
      </c>
      <c r="O324" s="5">
        <f t="shared" si="15"/>
        <v>0</v>
      </c>
      <c r="P324" s="5">
        <v>0</v>
      </c>
      <c r="Q324" s="5">
        <v>0</v>
      </c>
      <c r="R324" s="6"/>
    </row>
    <row r="325" spans="1:18" ht="25.5" x14ac:dyDescent="0.25">
      <c r="A325" s="4">
        <f t="shared" si="16"/>
        <v>57</v>
      </c>
      <c r="B325" s="3" t="s">
        <v>570</v>
      </c>
      <c r="C325" s="3" t="s">
        <v>62</v>
      </c>
      <c r="D325" s="3" t="s">
        <v>63</v>
      </c>
      <c r="E325" s="3" t="s">
        <v>223</v>
      </c>
      <c r="F325" s="3" t="s">
        <v>63</v>
      </c>
      <c r="G325" s="4" t="s">
        <v>85</v>
      </c>
      <c r="H325" s="4">
        <v>1</v>
      </c>
      <c r="I325" s="4">
        <v>0</v>
      </c>
      <c r="J325" s="4">
        <v>0</v>
      </c>
      <c r="K325" s="5">
        <f t="shared" si="14"/>
        <v>0</v>
      </c>
      <c r="L325" s="5">
        <v>0</v>
      </c>
      <c r="M325" s="5">
        <v>0</v>
      </c>
      <c r="N325" s="4">
        <v>0</v>
      </c>
      <c r="O325" s="5">
        <f t="shared" si="15"/>
        <v>0</v>
      </c>
      <c r="P325" s="5">
        <v>0</v>
      </c>
      <c r="Q325" s="5">
        <v>0</v>
      </c>
      <c r="R325" s="6"/>
    </row>
    <row r="326" spans="1:18" x14ac:dyDescent="0.25">
      <c r="A326" s="4">
        <f t="shared" si="16"/>
        <v>58</v>
      </c>
      <c r="B326" s="3" t="s">
        <v>92</v>
      </c>
      <c r="C326" s="3" t="s">
        <v>62</v>
      </c>
      <c r="D326" s="3" t="s">
        <v>63</v>
      </c>
      <c r="E326" s="3" t="s">
        <v>74</v>
      </c>
      <c r="F326" s="3" t="s">
        <v>215</v>
      </c>
      <c r="G326" s="4" t="s">
        <v>85</v>
      </c>
      <c r="H326" s="4">
        <v>34</v>
      </c>
      <c r="I326" s="4">
        <v>30</v>
      </c>
      <c r="J326" s="4">
        <v>38</v>
      </c>
      <c r="K326" s="5">
        <f t="shared" si="14"/>
        <v>50094.61</v>
      </c>
      <c r="L326" s="5">
        <v>44523.09</v>
      </c>
      <c r="M326" s="5">
        <v>5571.52</v>
      </c>
      <c r="N326" s="4">
        <v>13</v>
      </c>
      <c r="O326" s="5">
        <f t="shared" si="15"/>
        <v>45686.47</v>
      </c>
      <c r="P326" s="5">
        <f>26998.26+18688.21</f>
        <v>45686.47</v>
      </c>
      <c r="Q326" s="5">
        <v>0</v>
      </c>
      <c r="R326" s="6"/>
    </row>
    <row r="327" spans="1:18" ht="25.5" x14ac:dyDescent="0.25">
      <c r="A327" s="4">
        <f t="shared" si="16"/>
        <v>59</v>
      </c>
      <c r="B327" s="3" t="s">
        <v>216</v>
      </c>
      <c r="C327" s="3" t="s">
        <v>67</v>
      </c>
      <c r="D327" s="3" t="s">
        <v>436</v>
      </c>
      <c r="E327" s="3" t="s">
        <v>217</v>
      </c>
      <c r="F327" s="3" t="s">
        <v>218</v>
      </c>
      <c r="G327" s="4" t="s">
        <v>85</v>
      </c>
      <c r="H327" s="4">
        <v>13</v>
      </c>
      <c r="I327" s="4">
        <v>8</v>
      </c>
      <c r="J327" s="4">
        <v>8</v>
      </c>
      <c r="K327" s="5">
        <f t="shared" si="14"/>
        <v>6838.87</v>
      </c>
      <c r="L327" s="5">
        <v>6838.87</v>
      </c>
      <c r="M327" s="5">
        <v>0</v>
      </c>
      <c r="N327" s="4">
        <v>0</v>
      </c>
      <c r="O327" s="5">
        <f t="shared" si="15"/>
        <v>0</v>
      </c>
      <c r="P327" s="5">
        <v>0</v>
      </c>
      <c r="Q327" s="5">
        <v>0</v>
      </c>
      <c r="R327" s="6"/>
    </row>
    <row r="328" spans="1:18" ht="25.5" x14ac:dyDescent="0.25">
      <c r="A328" s="4">
        <f t="shared" si="16"/>
        <v>60</v>
      </c>
      <c r="B328" s="3" t="s">
        <v>35</v>
      </c>
      <c r="C328" s="3" t="s">
        <v>62</v>
      </c>
      <c r="D328" s="3" t="s">
        <v>63</v>
      </c>
      <c r="E328" s="3" t="s">
        <v>219</v>
      </c>
      <c r="F328" s="3" t="s">
        <v>220</v>
      </c>
      <c r="G328" s="4" t="s">
        <v>85</v>
      </c>
      <c r="H328" s="4">
        <v>53</v>
      </c>
      <c r="I328" s="4">
        <v>42</v>
      </c>
      <c r="J328" s="4">
        <v>49</v>
      </c>
      <c r="K328" s="5">
        <f t="shared" si="14"/>
        <v>78571.540000000008</v>
      </c>
      <c r="L328" s="5">
        <f>31130.07+28805.25</f>
        <v>59935.32</v>
      </c>
      <c r="M328" s="5">
        <f>47441.47-28805.25</f>
        <v>18636.22</v>
      </c>
      <c r="N328" s="4">
        <v>31</v>
      </c>
      <c r="O328" s="5">
        <f t="shared" si="15"/>
        <v>75066.61</v>
      </c>
      <c r="P328" s="5">
        <f>52287.51+22779.1</f>
        <v>75066.61</v>
      </c>
      <c r="Q328" s="5">
        <v>0</v>
      </c>
      <c r="R328" s="6"/>
    </row>
    <row r="329" spans="1:18" ht="25.5" x14ac:dyDescent="0.25">
      <c r="A329" s="4">
        <f t="shared" si="16"/>
        <v>61</v>
      </c>
      <c r="B329" s="3" t="s">
        <v>114</v>
      </c>
      <c r="C329" s="3" t="s">
        <v>62</v>
      </c>
      <c r="D329" s="3" t="s">
        <v>63</v>
      </c>
      <c r="E329" s="3" t="s">
        <v>115</v>
      </c>
      <c r="F329" s="3" t="s">
        <v>221</v>
      </c>
      <c r="G329" s="4" t="s">
        <v>85</v>
      </c>
      <c r="H329" s="4">
        <v>11</v>
      </c>
      <c r="I329" s="4">
        <v>2</v>
      </c>
      <c r="J329" s="4">
        <v>2</v>
      </c>
      <c r="K329" s="5">
        <f t="shared" si="14"/>
        <v>1887.36</v>
      </c>
      <c r="L329" s="5">
        <v>1887.36</v>
      </c>
      <c r="M329" s="5">
        <v>0</v>
      </c>
      <c r="N329" s="4">
        <v>0</v>
      </c>
      <c r="O329" s="5">
        <f t="shared" si="15"/>
        <v>1108.48</v>
      </c>
      <c r="P329" s="5">
        <v>1108.48</v>
      </c>
      <c r="Q329" s="5">
        <v>0</v>
      </c>
      <c r="R329" s="6"/>
    </row>
    <row r="330" spans="1:18" ht="25.5" x14ac:dyDescent="0.25">
      <c r="A330" s="4">
        <f t="shared" si="16"/>
        <v>62</v>
      </c>
      <c r="B330" s="3" t="s">
        <v>222</v>
      </c>
      <c r="C330" s="3" t="s">
        <v>64</v>
      </c>
      <c r="D330" s="3" t="s">
        <v>486</v>
      </c>
      <c r="E330" s="3" t="s">
        <v>223</v>
      </c>
      <c r="F330" s="3" t="s">
        <v>224</v>
      </c>
      <c r="G330" s="4" t="s">
        <v>85</v>
      </c>
      <c r="H330" s="4">
        <v>19</v>
      </c>
      <c r="I330" s="4">
        <v>13</v>
      </c>
      <c r="J330" s="4">
        <v>16</v>
      </c>
      <c r="K330" s="5">
        <f t="shared" si="14"/>
        <v>21690.91</v>
      </c>
      <c r="L330" s="5">
        <f>10358.92+11331.99</f>
        <v>21690.91</v>
      </c>
      <c r="M330" s="5">
        <v>0</v>
      </c>
      <c r="N330" s="4">
        <v>0</v>
      </c>
      <c r="O330" s="5">
        <f t="shared" si="15"/>
        <v>0</v>
      </c>
      <c r="P330" s="5">
        <v>0</v>
      </c>
      <c r="Q330" s="5">
        <v>0</v>
      </c>
      <c r="R330" s="6"/>
    </row>
    <row r="331" spans="1:18" x14ac:dyDescent="0.25">
      <c r="A331" s="4">
        <f t="shared" si="16"/>
        <v>63</v>
      </c>
      <c r="B331" s="3" t="s">
        <v>93</v>
      </c>
      <c r="C331" s="3" t="s">
        <v>62</v>
      </c>
      <c r="D331" s="3" t="s">
        <v>63</v>
      </c>
      <c r="E331" s="3" t="s">
        <v>74</v>
      </c>
      <c r="F331" s="3" t="s">
        <v>225</v>
      </c>
      <c r="G331" s="4" t="s">
        <v>85</v>
      </c>
      <c r="H331" s="4">
        <v>14</v>
      </c>
      <c r="I331" s="4">
        <v>6</v>
      </c>
      <c r="J331" s="4">
        <v>7</v>
      </c>
      <c r="K331" s="5">
        <f t="shared" si="14"/>
        <v>11798.3</v>
      </c>
      <c r="L331" s="5">
        <v>11798.3</v>
      </c>
      <c r="M331" s="5">
        <v>0</v>
      </c>
      <c r="N331" s="4">
        <v>7</v>
      </c>
      <c r="O331" s="5">
        <f t="shared" si="15"/>
        <v>10672.71</v>
      </c>
      <c r="P331" s="5">
        <v>10672.71</v>
      </c>
      <c r="Q331" s="5">
        <v>0</v>
      </c>
      <c r="R331" s="6"/>
    </row>
    <row r="332" spans="1:18" ht="25.5" x14ac:dyDescent="0.25">
      <c r="A332" s="4">
        <f t="shared" si="16"/>
        <v>64</v>
      </c>
      <c r="B332" s="3" t="s">
        <v>226</v>
      </c>
      <c r="C332" s="3" t="s">
        <v>62</v>
      </c>
      <c r="D332" s="3" t="s">
        <v>63</v>
      </c>
      <c r="E332" s="3" t="s">
        <v>174</v>
      </c>
      <c r="F332" s="3" t="s">
        <v>227</v>
      </c>
      <c r="G332" s="4" t="s">
        <v>85</v>
      </c>
      <c r="H332" s="4">
        <v>30</v>
      </c>
      <c r="I332" s="4">
        <v>11</v>
      </c>
      <c r="J332" s="4">
        <v>13</v>
      </c>
      <c r="K332" s="5">
        <f t="shared" si="14"/>
        <v>21991.78</v>
      </c>
      <c r="L332" s="5">
        <f>16022.52+5969.26</f>
        <v>21991.78</v>
      </c>
      <c r="M332" s="5">
        <v>0</v>
      </c>
      <c r="N332" s="4">
        <v>0</v>
      </c>
      <c r="O332" s="5">
        <f t="shared" si="15"/>
        <v>0</v>
      </c>
      <c r="P332" s="5">
        <v>0</v>
      </c>
      <c r="Q332" s="5">
        <v>0</v>
      </c>
      <c r="R332" s="6"/>
    </row>
    <row r="333" spans="1:18" ht="25.5" x14ac:dyDescent="0.25">
      <c r="A333" s="4">
        <f t="shared" si="16"/>
        <v>65</v>
      </c>
      <c r="B333" s="3" t="s">
        <v>228</v>
      </c>
      <c r="C333" s="3" t="s">
        <v>62</v>
      </c>
      <c r="D333" s="3" t="s">
        <v>63</v>
      </c>
      <c r="E333" s="3" t="s">
        <v>229</v>
      </c>
      <c r="F333" s="3" t="s">
        <v>230</v>
      </c>
      <c r="G333" s="4" t="s">
        <v>85</v>
      </c>
      <c r="H333" s="4">
        <v>30</v>
      </c>
      <c r="I333" s="4">
        <v>20</v>
      </c>
      <c r="J333" s="4">
        <v>22</v>
      </c>
      <c r="K333" s="5">
        <f t="shared" si="14"/>
        <v>34002.399999999994</v>
      </c>
      <c r="L333" s="5">
        <f>264.3+18990.98</f>
        <v>19255.28</v>
      </c>
      <c r="M333" s="5">
        <f>33738.1-18990.98</f>
        <v>14747.119999999999</v>
      </c>
      <c r="N333" s="4">
        <v>0</v>
      </c>
      <c r="O333" s="5">
        <f t="shared" si="15"/>
        <v>0</v>
      </c>
      <c r="P333" s="5">
        <v>0</v>
      </c>
      <c r="Q333" s="5">
        <v>0</v>
      </c>
      <c r="R333" s="6"/>
    </row>
    <row r="334" spans="1:18" ht="25.5" x14ac:dyDescent="0.25">
      <c r="A334" s="4">
        <f t="shared" si="16"/>
        <v>66</v>
      </c>
      <c r="B334" s="3" t="s">
        <v>232</v>
      </c>
      <c r="C334" s="3" t="s">
        <v>62</v>
      </c>
      <c r="D334" s="3" t="s">
        <v>63</v>
      </c>
      <c r="E334" s="3" t="s">
        <v>174</v>
      </c>
      <c r="F334" s="3" t="s">
        <v>233</v>
      </c>
      <c r="G334" s="4" t="s">
        <v>85</v>
      </c>
      <c r="H334" s="4">
        <v>14</v>
      </c>
      <c r="I334" s="4">
        <v>9</v>
      </c>
      <c r="J334" s="4">
        <v>10</v>
      </c>
      <c r="K334" s="5">
        <f t="shared" ref="K334:K397" si="17">L334+M334</f>
        <v>6197.22</v>
      </c>
      <c r="L334" s="5">
        <v>6197.22</v>
      </c>
      <c r="M334" s="5">
        <v>0</v>
      </c>
      <c r="N334" s="4">
        <v>0</v>
      </c>
      <c r="O334" s="5">
        <f t="shared" ref="O334:O397" si="18">P334+Q334</f>
        <v>0</v>
      </c>
      <c r="P334" s="5">
        <v>0</v>
      </c>
      <c r="Q334" s="5">
        <v>0</v>
      </c>
      <c r="R334" s="6"/>
    </row>
    <row r="335" spans="1:18" ht="25.5" x14ac:dyDescent="0.25">
      <c r="A335" s="4">
        <f t="shared" ref="A335:A398" si="19">A334+1</f>
        <v>67</v>
      </c>
      <c r="B335" s="3" t="s">
        <v>487</v>
      </c>
      <c r="C335" s="3" t="s">
        <v>62</v>
      </c>
      <c r="D335" s="3" t="s">
        <v>63</v>
      </c>
      <c r="E335" s="3" t="s">
        <v>282</v>
      </c>
      <c r="F335" s="3" t="s">
        <v>488</v>
      </c>
      <c r="G335" s="4" t="s">
        <v>85</v>
      </c>
      <c r="H335" s="4">
        <v>8</v>
      </c>
      <c r="I335" s="4">
        <v>3</v>
      </c>
      <c r="J335" s="4">
        <v>3</v>
      </c>
      <c r="K335" s="5">
        <f t="shared" si="17"/>
        <v>1999.87</v>
      </c>
      <c r="L335" s="5">
        <v>1999.87</v>
      </c>
      <c r="M335" s="5">
        <v>0</v>
      </c>
      <c r="N335" s="4">
        <v>0</v>
      </c>
      <c r="O335" s="5">
        <f t="shared" si="18"/>
        <v>0</v>
      </c>
      <c r="P335" s="5">
        <v>0</v>
      </c>
      <c r="Q335" s="5">
        <v>0</v>
      </c>
      <c r="R335" s="6"/>
    </row>
    <row r="336" spans="1:18" x14ac:dyDescent="0.25">
      <c r="A336" s="4">
        <f t="shared" si="19"/>
        <v>68</v>
      </c>
      <c r="B336" s="3" t="s">
        <v>116</v>
      </c>
      <c r="C336" s="3" t="s">
        <v>62</v>
      </c>
      <c r="D336" s="3" t="s">
        <v>63</v>
      </c>
      <c r="E336" s="3" t="s">
        <v>74</v>
      </c>
      <c r="F336" s="3" t="s">
        <v>231</v>
      </c>
      <c r="G336" s="4" t="s">
        <v>85</v>
      </c>
      <c r="H336" s="4">
        <v>34</v>
      </c>
      <c r="I336" s="4">
        <v>22</v>
      </c>
      <c r="J336" s="4">
        <v>24</v>
      </c>
      <c r="K336" s="5">
        <f t="shared" si="17"/>
        <v>36007.32</v>
      </c>
      <c r="L336" s="5">
        <v>36007.32</v>
      </c>
      <c r="M336" s="5">
        <v>0</v>
      </c>
      <c r="N336" s="4">
        <v>3</v>
      </c>
      <c r="O336" s="5">
        <f t="shared" si="18"/>
        <v>5058.49</v>
      </c>
      <c r="P336" s="5">
        <v>5058.49</v>
      </c>
      <c r="Q336" s="5">
        <v>0</v>
      </c>
      <c r="R336" s="6"/>
    </row>
    <row r="337" spans="1:18" ht="25.5" x14ac:dyDescent="0.25">
      <c r="A337" s="4">
        <f t="shared" si="19"/>
        <v>69</v>
      </c>
      <c r="B337" s="3" t="s">
        <v>37</v>
      </c>
      <c r="C337" s="3" t="s">
        <v>62</v>
      </c>
      <c r="D337" s="3" t="s">
        <v>63</v>
      </c>
      <c r="E337" s="3" t="s">
        <v>70</v>
      </c>
      <c r="F337" s="3" t="s">
        <v>234</v>
      </c>
      <c r="G337" s="4" t="s">
        <v>85</v>
      </c>
      <c r="H337" s="4">
        <v>15</v>
      </c>
      <c r="I337" s="4">
        <v>9</v>
      </c>
      <c r="J337" s="4">
        <v>9</v>
      </c>
      <c r="K337" s="5">
        <f t="shared" si="17"/>
        <v>11914.75</v>
      </c>
      <c r="L337" s="5">
        <f>5814.6+6100.15</f>
        <v>11914.75</v>
      </c>
      <c r="M337" s="5">
        <v>0</v>
      </c>
      <c r="N337" s="4">
        <v>3</v>
      </c>
      <c r="O337" s="5">
        <f t="shared" si="18"/>
        <v>19390.900000000001</v>
      </c>
      <c r="P337" s="5">
        <f>18731.91+658.99</f>
        <v>19390.900000000001</v>
      </c>
      <c r="Q337" s="5">
        <v>0</v>
      </c>
      <c r="R337" s="6"/>
    </row>
    <row r="338" spans="1:18" ht="38.25" x14ac:dyDescent="0.25">
      <c r="A338" s="4">
        <f t="shared" si="19"/>
        <v>70</v>
      </c>
      <c r="B338" s="3" t="s">
        <v>235</v>
      </c>
      <c r="C338" s="3" t="s">
        <v>62</v>
      </c>
      <c r="D338" s="3" t="s">
        <v>63</v>
      </c>
      <c r="E338" s="3" t="s">
        <v>236</v>
      </c>
      <c r="F338" s="3" t="s">
        <v>237</v>
      </c>
      <c r="G338" s="4" t="s">
        <v>85</v>
      </c>
      <c r="H338" s="4">
        <v>8</v>
      </c>
      <c r="I338" s="4">
        <v>6</v>
      </c>
      <c r="J338" s="4">
        <v>9</v>
      </c>
      <c r="K338" s="5">
        <f t="shared" si="17"/>
        <v>18943.79</v>
      </c>
      <c r="L338" s="5">
        <f>5077.31+13866.48</f>
        <v>18943.79</v>
      </c>
      <c r="M338" s="5">
        <v>0</v>
      </c>
      <c r="N338" s="4">
        <v>0</v>
      </c>
      <c r="O338" s="5">
        <f t="shared" si="18"/>
        <v>0</v>
      </c>
      <c r="P338" s="5">
        <v>0</v>
      </c>
      <c r="Q338" s="5">
        <v>0</v>
      </c>
      <c r="R338" s="6"/>
    </row>
    <row r="339" spans="1:18" ht="25.5" x14ac:dyDescent="0.25">
      <c r="A339" s="4">
        <f t="shared" si="19"/>
        <v>71</v>
      </c>
      <c r="B339" s="3" t="s">
        <v>238</v>
      </c>
      <c r="C339" s="3" t="s">
        <v>62</v>
      </c>
      <c r="D339" s="3" t="s">
        <v>63</v>
      </c>
      <c r="E339" s="3" t="s">
        <v>239</v>
      </c>
      <c r="F339" s="3" t="s">
        <v>240</v>
      </c>
      <c r="G339" s="4" t="s">
        <v>85</v>
      </c>
      <c r="H339" s="4">
        <v>14</v>
      </c>
      <c r="I339" s="4">
        <v>8</v>
      </c>
      <c r="J339" s="4">
        <v>9</v>
      </c>
      <c r="K339" s="5">
        <f t="shared" si="17"/>
        <v>8493.5499999999993</v>
      </c>
      <c r="L339" s="5">
        <v>8493.5499999999993</v>
      </c>
      <c r="M339" s="5">
        <v>0</v>
      </c>
      <c r="N339" s="4">
        <v>0</v>
      </c>
      <c r="O339" s="5">
        <f t="shared" si="18"/>
        <v>0</v>
      </c>
      <c r="P339" s="5">
        <v>0</v>
      </c>
      <c r="Q339" s="5">
        <v>0</v>
      </c>
      <c r="R339" s="6"/>
    </row>
    <row r="340" spans="1:18" ht="25.5" x14ac:dyDescent="0.25">
      <c r="A340" s="4">
        <f t="shared" si="19"/>
        <v>72</v>
      </c>
      <c r="B340" s="3" t="s">
        <v>357</v>
      </c>
      <c r="C340" s="3" t="s">
        <v>64</v>
      </c>
      <c r="D340" s="3" t="s">
        <v>585</v>
      </c>
      <c r="E340" s="3" t="s">
        <v>74</v>
      </c>
      <c r="F340" s="3" t="s">
        <v>573</v>
      </c>
      <c r="G340" s="4" t="s">
        <v>85</v>
      </c>
      <c r="H340" s="4">
        <v>6</v>
      </c>
      <c r="I340" s="4">
        <v>0</v>
      </c>
      <c r="J340" s="4">
        <v>0</v>
      </c>
      <c r="K340" s="5">
        <f t="shared" si="17"/>
        <v>0</v>
      </c>
      <c r="L340" s="5">
        <v>0</v>
      </c>
      <c r="M340" s="5">
        <v>0</v>
      </c>
      <c r="N340" s="4">
        <v>1</v>
      </c>
      <c r="O340" s="5">
        <f t="shared" si="18"/>
        <v>6753.85</v>
      </c>
      <c r="P340" s="5">
        <v>6753.85</v>
      </c>
      <c r="Q340" s="5">
        <v>0</v>
      </c>
      <c r="R340" s="6"/>
    </row>
    <row r="341" spans="1:18" x14ac:dyDescent="0.25">
      <c r="A341" s="4">
        <f t="shared" si="19"/>
        <v>73</v>
      </c>
      <c r="B341" s="3" t="s">
        <v>36</v>
      </c>
      <c r="C341" s="3" t="s">
        <v>62</v>
      </c>
      <c r="D341" s="3" t="s">
        <v>63</v>
      </c>
      <c r="E341" s="3" t="s">
        <v>74</v>
      </c>
      <c r="F341" s="3" t="s">
        <v>465</v>
      </c>
      <c r="G341" s="4" t="s">
        <v>85</v>
      </c>
      <c r="H341" s="4">
        <v>8</v>
      </c>
      <c r="I341" s="4">
        <v>1</v>
      </c>
      <c r="J341" s="4">
        <v>1</v>
      </c>
      <c r="K341" s="5">
        <f t="shared" si="17"/>
        <v>0</v>
      </c>
      <c r="L341" s="5">
        <v>0</v>
      </c>
      <c r="M341" s="5">
        <v>0</v>
      </c>
      <c r="N341" s="4">
        <v>4</v>
      </c>
      <c r="O341" s="5">
        <f t="shared" si="18"/>
        <v>18434.64</v>
      </c>
      <c r="P341" s="5">
        <f>5800.21+12017.73+616.7</f>
        <v>18434.64</v>
      </c>
      <c r="Q341" s="5">
        <v>0</v>
      </c>
      <c r="R341" s="6"/>
    </row>
    <row r="342" spans="1:18" x14ac:dyDescent="0.25">
      <c r="A342" s="4">
        <f t="shared" si="19"/>
        <v>74</v>
      </c>
      <c r="B342" s="3" t="s">
        <v>39</v>
      </c>
      <c r="C342" s="3" t="s">
        <v>62</v>
      </c>
      <c r="D342" s="3" t="s">
        <v>63</v>
      </c>
      <c r="E342" s="3" t="s">
        <v>77</v>
      </c>
      <c r="F342" s="3" t="s">
        <v>466</v>
      </c>
      <c r="G342" s="4" t="s">
        <v>85</v>
      </c>
      <c r="H342" s="4">
        <v>97</v>
      </c>
      <c r="I342" s="4">
        <v>81</v>
      </c>
      <c r="J342" s="4">
        <v>88</v>
      </c>
      <c r="K342" s="5">
        <f t="shared" si="17"/>
        <v>50451.94</v>
      </c>
      <c r="L342" s="5">
        <f>23581.85+26870.09</f>
        <v>50451.94</v>
      </c>
      <c r="M342" s="5">
        <v>0</v>
      </c>
      <c r="N342" s="4">
        <v>9</v>
      </c>
      <c r="O342" s="5">
        <f t="shared" si="18"/>
        <v>18898.939999999999</v>
      </c>
      <c r="P342" s="5">
        <f>16389.73+2509.21</f>
        <v>18898.939999999999</v>
      </c>
      <c r="Q342" s="5">
        <v>0</v>
      </c>
      <c r="R342" s="6"/>
    </row>
    <row r="343" spans="1:18" ht="38.25" x14ac:dyDescent="0.25">
      <c r="A343" s="4">
        <f t="shared" si="19"/>
        <v>75</v>
      </c>
      <c r="B343" s="3" t="s">
        <v>40</v>
      </c>
      <c r="C343" s="3" t="s">
        <v>62</v>
      </c>
      <c r="D343" s="3" t="s">
        <v>63</v>
      </c>
      <c r="E343" s="3" t="s">
        <v>249</v>
      </c>
      <c r="F343" s="3" t="s">
        <v>250</v>
      </c>
      <c r="G343" s="4" t="s">
        <v>85</v>
      </c>
      <c r="H343" s="4">
        <v>27</v>
      </c>
      <c r="I343" s="4">
        <v>25</v>
      </c>
      <c r="J343" s="4">
        <v>38</v>
      </c>
      <c r="K343" s="5">
        <f t="shared" si="17"/>
        <v>72302.81</v>
      </c>
      <c r="L343" s="5">
        <f>49023.22+2000</f>
        <v>51023.22</v>
      </c>
      <c r="M343" s="5">
        <f>23279.59-2000</f>
        <v>21279.59</v>
      </c>
      <c r="N343" s="4">
        <v>18</v>
      </c>
      <c r="O343" s="5">
        <f t="shared" si="18"/>
        <v>51901.91</v>
      </c>
      <c r="P343" s="5">
        <f>44654.28+5189.16</f>
        <v>49843.44</v>
      </c>
      <c r="Q343" s="5">
        <f>7247.63-5189.16</f>
        <v>2058.4700000000003</v>
      </c>
      <c r="R343" s="6"/>
    </row>
    <row r="344" spans="1:18" ht="25.5" x14ac:dyDescent="0.25">
      <c r="A344" s="4">
        <f t="shared" si="19"/>
        <v>76</v>
      </c>
      <c r="B344" s="3" t="s">
        <v>251</v>
      </c>
      <c r="C344" s="3" t="s">
        <v>62</v>
      </c>
      <c r="D344" s="3" t="s">
        <v>63</v>
      </c>
      <c r="E344" s="3" t="s">
        <v>177</v>
      </c>
      <c r="F344" s="3" t="s">
        <v>252</v>
      </c>
      <c r="G344" s="4" t="s">
        <v>85</v>
      </c>
      <c r="H344" s="4">
        <v>39</v>
      </c>
      <c r="I344" s="4">
        <v>27</v>
      </c>
      <c r="J344" s="4">
        <v>41</v>
      </c>
      <c r="K344" s="5">
        <f t="shared" si="17"/>
        <v>48986.76</v>
      </c>
      <c r="L344" s="5">
        <f>31584.45+17402.31</f>
        <v>48986.76</v>
      </c>
      <c r="M344" s="5">
        <v>0</v>
      </c>
      <c r="N344" s="4">
        <v>0</v>
      </c>
      <c r="O344" s="5">
        <f t="shared" si="18"/>
        <v>0</v>
      </c>
      <c r="P344" s="5">
        <v>0</v>
      </c>
      <c r="Q344" s="5">
        <v>0</v>
      </c>
      <c r="R344" s="6"/>
    </row>
    <row r="345" spans="1:18" x14ac:dyDescent="0.25">
      <c r="A345" s="4">
        <f t="shared" si="19"/>
        <v>77</v>
      </c>
      <c r="B345" s="3" t="s">
        <v>117</v>
      </c>
      <c r="C345" s="3" t="s">
        <v>62</v>
      </c>
      <c r="D345" s="3" t="s">
        <v>63</v>
      </c>
      <c r="E345" s="3" t="s">
        <v>74</v>
      </c>
      <c r="F345" s="3" t="s">
        <v>520</v>
      </c>
      <c r="G345" s="4" t="s">
        <v>85</v>
      </c>
      <c r="H345" s="4">
        <v>3</v>
      </c>
      <c r="I345" s="4">
        <v>1</v>
      </c>
      <c r="J345" s="4">
        <v>1</v>
      </c>
      <c r="K345" s="5">
        <f t="shared" si="17"/>
        <v>2616.5700000000002</v>
      </c>
      <c r="L345" s="5">
        <v>2616.5700000000002</v>
      </c>
      <c r="M345" s="5">
        <v>0</v>
      </c>
      <c r="N345" s="4">
        <v>3</v>
      </c>
      <c r="O345" s="5">
        <f t="shared" si="18"/>
        <v>9677.56</v>
      </c>
      <c r="P345" s="5">
        <v>1569.94</v>
      </c>
      <c r="Q345" s="5">
        <v>8107.62</v>
      </c>
      <c r="R345" s="6"/>
    </row>
    <row r="346" spans="1:18" ht="25.5" x14ac:dyDescent="0.25">
      <c r="A346" s="4">
        <f t="shared" si="19"/>
        <v>78</v>
      </c>
      <c r="B346" s="3" t="s">
        <v>41</v>
      </c>
      <c r="C346" s="3" t="s">
        <v>64</v>
      </c>
      <c r="D346" s="3" t="s">
        <v>65</v>
      </c>
      <c r="E346" s="3" t="s">
        <v>72</v>
      </c>
      <c r="F346" s="3" t="s">
        <v>253</v>
      </c>
      <c r="G346" s="4" t="s">
        <v>85</v>
      </c>
      <c r="H346" s="4">
        <v>2</v>
      </c>
      <c r="I346" s="4">
        <v>2</v>
      </c>
      <c r="J346" s="4">
        <v>2</v>
      </c>
      <c r="K346" s="5">
        <f t="shared" si="17"/>
        <v>1575.23</v>
      </c>
      <c r="L346" s="5">
        <v>1575.23</v>
      </c>
      <c r="M346" s="5">
        <v>0</v>
      </c>
      <c r="N346" s="4">
        <v>12</v>
      </c>
      <c r="O346" s="5">
        <f t="shared" si="18"/>
        <v>33315.620000000003</v>
      </c>
      <c r="P346" s="5">
        <v>33315.620000000003</v>
      </c>
      <c r="Q346" s="5">
        <v>0</v>
      </c>
      <c r="R346" s="6"/>
    </row>
    <row r="347" spans="1:18" x14ac:dyDescent="0.25">
      <c r="A347" s="4">
        <f t="shared" si="19"/>
        <v>79</v>
      </c>
      <c r="B347" s="3" t="s">
        <v>118</v>
      </c>
      <c r="C347" s="3" t="s">
        <v>62</v>
      </c>
      <c r="D347" s="3" t="s">
        <v>63</v>
      </c>
      <c r="E347" s="3" t="s">
        <v>63</v>
      </c>
      <c r="F347" s="3" t="s">
        <v>467</v>
      </c>
      <c r="G347" s="4" t="s">
        <v>85</v>
      </c>
      <c r="H347" s="4">
        <v>6</v>
      </c>
      <c r="I347" s="4">
        <v>1</v>
      </c>
      <c r="J347" s="4">
        <v>1</v>
      </c>
      <c r="K347" s="5">
        <f t="shared" si="17"/>
        <v>0</v>
      </c>
      <c r="L347" s="5">
        <v>0</v>
      </c>
      <c r="M347" s="5">
        <v>0</v>
      </c>
      <c r="N347" s="4">
        <v>1</v>
      </c>
      <c r="O347" s="5">
        <f t="shared" si="18"/>
        <v>15601.16</v>
      </c>
      <c r="P347" s="5">
        <f>10491.36+5109.8</f>
        <v>15601.16</v>
      </c>
      <c r="Q347" s="5">
        <v>0</v>
      </c>
      <c r="R347" s="6"/>
    </row>
    <row r="348" spans="1:18" ht="25.5" x14ac:dyDescent="0.25">
      <c r="A348" s="4">
        <f t="shared" si="19"/>
        <v>80</v>
      </c>
      <c r="B348" s="3" t="s">
        <v>548</v>
      </c>
      <c r="C348" s="3" t="s">
        <v>62</v>
      </c>
      <c r="D348" s="3" t="s">
        <v>63</v>
      </c>
      <c r="E348" s="3" t="s">
        <v>549</v>
      </c>
      <c r="F348" s="3" t="s">
        <v>550</v>
      </c>
      <c r="G348" s="4" t="s">
        <v>85</v>
      </c>
      <c r="H348" s="4">
        <v>3</v>
      </c>
      <c r="I348" s="4">
        <v>1</v>
      </c>
      <c r="J348" s="4">
        <v>1</v>
      </c>
      <c r="K348" s="5">
        <f t="shared" si="17"/>
        <v>654.14</v>
      </c>
      <c r="L348" s="5">
        <v>0</v>
      </c>
      <c r="M348" s="5">
        <v>654.14</v>
      </c>
      <c r="N348" s="4">
        <v>0</v>
      </c>
      <c r="O348" s="5">
        <f t="shared" si="18"/>
        <v>0</v>
      </c>
      <c r="P348" s="5">
        <v>0</v>
      </c>
      <c r="Q348" s="5">
        <v>0</v>
      </c>
      <c r="R348" s="6"/>
    </row>
    <row r="349" spans="1:18" ht="25.5" x14ac:dyDescent="0.25">
      <c r="A349" s="4">
        <f t="shared" si="19"/>
        <v>81</v>
      </c>
      <c r="B349" s="3" t="s">
        <v>254</v>
      </c>
      <c r="C349" s="3" t="s">
        <v>62</v>
      </c>
      <c r="D349" s="3" t="s">
        <v>63</v>
      </c>
      <c r="E349" s="3" t="s">
        <v>239</v>
      </c>
      <c r="F349" s="3" t="s">
        <v>255</v>
      </c>
      <c r="G349" s="4" t="s">
        <v>85</v>
      </c>
      <c r="H349" s="4">
        <v>10</v>
      </c>
      <c r="I349" s="4">
        <v>7</v>
      </c>
      <c r="J349" s="4">
        <v>8</v>
      </c>
      <c r="K349" s="5">
        <f t="shared" si="17"/>
        <v>8361.66</v>
      </c>
      <c r="L349" s="5">
        <f>775.28+7586.38</f>
        <v>8361.66</v>
      </c>
      <c r="M349" s="5">
        <v>0</v>
      </c>
      <c r="N349" s="4">
        <v>0</v>
      </c>
      <c r="O349" s="5">
        <f t="shared" si="18"/>
        <v>0</v>
      </c>
      <c r="P349" s="5">
        <v>0</v>
      </c>
      <c r="Q349" s="5">
        <v>0</v>
      </c>
      <c r="R349" s="6"/>
    </row>
    <row r="350" spans="1:18" x14ac:dyDescent="0.25">
      <c r="A350" s="4">
        <f t="shared" si="19"/>
        <v>82</v>
      </c>
      <c r="B350" s="3" t="s">
        <v>587</v>
      </c>
      <c r="C350" s="3" t="s">
        <v>62</v>
      </c>
      <c r="D350" s="3" t="s">
        <v>63</v>
      </c>
      <c r="E350" s="3" t="s">
        <v>63</v>
      </c>
      <c r="F350" s="3" t="s">
        <v>609</v>
      </c>
      <c r="G350" s="4" t="s">
        <v>85</v>
      </c>
      <c r="H350" s="4">
        <v>0</v>
      </c>
      <c r="I350" s="4">
        <v>0</v>
      </c>
      <c r="J350" s="4">
        <v>0</v>
      </c>
      <c r="K350" s="5">
        <f t="shared" si="17"/>
        <v>0</v>
      </c>
      <c r="L350" s="5">
        <v>0</v>
      </c>
      <c r="M350" s="5">
        <v>0</v>
      </c>
      <c r="N350" s="4">
        <v>1</v>
      </c>
      <c r="O350" s="5">
        <f t="shared" si="18"/>
        <v>3658.79</v>
      </c>
      <c r="P350" s="5">
        <v>3658.79</v>
      </c>
      <c r="Q350" s="5">
        <v>0</v>
      </c>
      <c r="R350" s="6"/>
    </row>
    <row r="351" spans="1:18" ht="25.5" x14ac:dyDescent="0.25">
      <c r="A351" s="4">
        <f t="shared" si="19"/>
        <v>83</v>
      </c>
      <c r="B351" s="3" t="s">
        <v>241</v>
      </c>
      <c r="C351" s="3" t="s">
        <v>62</v>
      </c>
      <c r="D351" s="3" t="s">
        <v>63</v>
      </c>
      <c r="E351" s="3" t="s">
        <v>242</v>
      </c>
      <c r="F351" s="3" t="s">
        <v>243</v>
      </c>
      <c r="G351" s="4" t="s">
        <v>85</v>
      </c>
      <c r="H351" s="4">
        <v>9</v>
      </c>
      <c r="I351" s="4">
        <v>9</v>
      </c>
      <c r="J351" s="4">
        <v>13</v>
      </c>
      <c r="K351" s="5">
        <f t="shared" si="17"/>
        <v>26884.58</v>
      </c>
      <c r="L351" s="5">
        <f>3433.01+13704.99</f>
        <v>17138</v>
      </c>
      <c r="M351" s="5">
        <f>23451.57-13704.99</f>
        <v>9746.58</v>
      </c>
      <c r="N351" s="4">
        <v>0</v>
      </c>
      <c r="O351" s="5">
        <f t="shared" si="18"/>
        <v>0</v>
      </c>
      <c r="P351" s="5">
        <v>0</v>
      </c>
      <c r="Q351" s="5">
        <v>0</v>
      </c>
      <c r="R351" s="6"/>
    </row>
    <row r="352" spans="1:18" ht="38.25" x14ac:dyDescent="0.25">
      <c r="A352" s="4">
        <f t="shared" si="19"/>
        <v>84</v>
      </c>
      <c r="B352" s="3" t="s">
        <v>38</v>
      </c>
      <c r="C352" s="3" t="s">
        <v>62</v>
      </c>
      <c r="D352" s="3" t="s">
        <v>63</v>
      </c>
      <c r="E352" s="3" t="s">
        <v>244</v>
      </c>
      <c r="F352" s="3" t="s">
        <v>245</v>
      </c>
      <c r="G352" s="4" t="s">
        <v>85</v>
      </c>
      <c r="H352" s="4">
        <v>82</v>
      </c>
      <c r="I352" s="4">
        <v>68</v>
      </c>
      <c r="J352" s="4">
        <v>104</v>
      </c>
      <c r="K352" s="5">
        <f t="shared" si="17"/>
        <v>177826.79</v>
      </c>
      <c r="L352" s="5">
        <f>119240.35+51377.01</f>
        <v>170617.36000000002</v>
      </c>
      <c r="M352" s="5">
        <f>58586.44-51377.01</f>
        <v>7209.43</v>
      </c>
      <c r="N352" s="4">
        <v>89</v>
      </c>
      <c r="O352" s="5">
        <f t="shared" si="18"/>
        <v>272452.59000000003</v>
      </c>
      <c r="P352" s="5">
        <f>211691.13+60761.46</f>
        <v>272452.59000000003</v>
      </c>
      <c r="Q352" s="5">
        <v>0</v>
      </c>
      <c r="R352" s="6"/>
    </row>
    <row r="353" spans="1:18" ht="25.5" x14ac:dyDescent="0.25">
      <c r="A353" s="4">
        <f t="shared" si="19"/>
        <v>85</v>
      </c>
      <c r="B353" s="3" t="s">
        <v>246</v>
      </c>
      <c r="C353" s="3" t="s">
        <v>62</v>
      </c>
      <c r="D353" s="3" t="s">
        <v>63</v>
      </c>
      <c r="E353" s="3" t="s">
        <v>247</v>
      </c>
      <c r="F353" s="3" t="s">
        <v>248</v>
      </c>
      <c r="G353" s="4" t="s">
        <v>85</v>
      </c>
      <c r="H353" s="4">
        <v>32</v>
      </c>
      <c r="I353" s="4">
        <v>21</v>
      </c>
      <c r="J353" s="4">
        <v>25</v>
      </c>
      <c r="K353" s="5">
        <f t="shared" si="17"/>
        <v>11281.81</v>
      </c>
      <c r="L353" s="5">
        <v>11281.81</v>
      </c>
      <c r="M353" s="5">
        <v>0</v>
      </c>
      <c r="N353" s="4">
        <v>0</v>
      </c>
      <c r="O353" s="5">
        <f t="shared" si="18"/>
        <v>0</v>
      </c>
      <c r="P353" s="5">
        <v>0</v>
      </c>
      <c r="Q353" s="5">
        <v>0</v>
      </c>
      <c r="R353" s="6"/>
    </row>
    <row r="354" spans="1:18" x14ac:dyDescent="0.25">
      <c r="A354" s="4">
        <f t="shared" si="19"/>
        <v>86</v>
      </c>
      <c r="B354" s="3" t="s">
        <v>256</v>
      </c>
      <c r="C354" s="3" t="s">
        <v>62</v>
      </c>
      <c r="D354" s="3" t="s">
        <v>63</v>
      </c>
      <c r="E354" s="3" t="s">
        <v>158</v>
      </c>
      <c r="F354" s="3" t="s">
        <v>257</v>
      </c>
      <c r="G354" s="4" t="s">
        <v>85</v>
      </c>
      <c r="H354" s="4">
        <v>9</v>
      </c>
      <c r="I354" s="4">
        <v>5</v>
      </c>
      <c r="J354" s="4">
        <v>5</v>
      </c>
      <c r="K354" s="5">
        <f t="shared" si="17"/>
        <v>3024.85</v>
      </c>
      <c r="L354" s="5">
        <v>3024.85</v>
      </c>
      <c r="M354" s="5">
        <v>0</v>
      </c>
      <c r="N354" s="4">
        <v>0</v>
      </c>
      <c r="O354" s="5">
        <f t="shared" si="18"/>
        <v>0</v>
      </c>
      <c r="P354" s="5">
        <v>0</v>
      </c>
      <c r="Q354" s="5">
        <v>0</v>
      </c>
      <c r="R354" s="6"/>
    </row>
    <row r="355" spans="1:18" ht="25.5" x14ac:dyDescent="0.25">
      <c r="A355" s="4">
        <f t="shared" si="19"/>
        <v>87</v>
      </c>
      <c r="B355" s="3" t="s">
        <v>258</v>
      </c>
      <c r="C355" s="3" t="s">
        <v>62</v>
      </c>
      <c r="D355" s="3" t="s">
        <v>63</v>
      </c>
      <c r="E355" s="3" t="s">
        <v>239</v>
      </c>
      <c r="F355" s="3" t="s">
        <v>259</v>
      </c>
      <c r="G355" s="4" t="s">
        <v>85</v>
      </c>
      <c r="H355" s="4">
        <v>29</v>
      </c>
      <c r="I355" s="4">
        <v>21</v>
      </c>
      <c r="J355" s="4">
        <v>21</v>
      </c>
      <c r="K355" s="5">
        <f t="shared" si="17"/>
        <v>39127.08</v>
      </c>
      <c r="L355" s="5">
        <f>8121.44+31005.64</f>
        <v>39127.08</v>
      </c>
      <c r="M355" s="5">
        <v>0</v>
      </c>
      <c r="N355" s="4">
        <v>0</v>
      </c>
      <c r="O355" s="5">
        <f t="shared" si="18"/>
        <v>0</v>
      </c>
      <c r="P355" s="5">
        <v>0</v>
      </c>
      <c r="Q355" s="5">
        <v>0</v>
      </c>
      <c r="R355" s="6"/>
    </row>
    <row r="356" spans="1:18" ht="25.5" x14ac:dyDescent="0.25">
      <c r="A356" s="4">
        <f t="shared" si="19"/>
        <v>88</v>
      </c>
      <c r="B356" s="3" t="s">
        <v>42</v>
      </c>
      <c r="C356" s="3" t="s">
        <v>62</v>
      </c>
      <c r="D356" s="3" t="s">
        <v>63</v>
      </c>
      <c r="E356" s="3" t="s">
        <v>78</v>
      </c>
      <c r="F356" s="3" t="s">
        <v>260</v>
      </c>
      <c r="G356" s="4" t="s">
        <v>85</v>
      </c>
      <c r="H356" s="4">
        <v>44</v>
      </c>
      <c r="I356" s="4">
        <v>34</v>
      </c>
      <c r="J356" s="4">
        <v>40</v>
      </c>
      <c r="K356" s="5">
        <f t="shared" si="17"/>
        <v>91702.68</v>
      </c>
      <c r="L356" s="5">
        <v>82548.67</v>
      </c>
      <c r="M356" s="5">
        <v>9154.01</v>
      </c>
      <c r="N356" s="4">
        <v>32</v>
      </c>
      <c r="O356" s="5">
        <f t="shared" si="18"/>
        <v>157669.38999999998</v>
      </c>
      <c r="P356" s="5">
        <f>142852.22+8735.93</f>
        <v>151588.15</v>
      </c>
      <c r="Q356" s="5">
        <f>14817.17-8735.93</f>
        <v>6081.24</v>
      </c>
      <c r="R356" s="6"/>
    </row>
    <row r="357" spans="1:18" ht="25.5" x14ac:dyDescent="0.25">
      <c r="A357" s="4">
        <f t="shared" si="19"/>
        <v>89</v>
      </c>
      <c r="B357" s="3" t="s">
        <v>43</v>
      </c>
      <c r="C357" s="3" t="s">
        <v>62</v>
      </c>
      <c r="D357" s="3" t="s">
        <v>63</v>
      </c>
      <c r="E357" s="3" t="s">
        <v>72</v>
      </c>
      <c r="F357" s="3" t="s">
        <v>261</v>
      </c>
      <c r="G357" s="4" t="s">
        <v>85</v>
      </c>
      <c r="H357" s="4">
        <v>23</v>
      </c>
      <c r="I357" s="4">
        <v>16</v>
      </c>
      <c r="J357" s="4">
        <v>22</v>
      </c>
      <c r="K357" s="5">
        <f t="shared" si="17"/>
        <v>38941.269999999997</v>
      </c>
      <c r="L357" s="5">
        <v>38941.269999999997</v>
      </c>
      <c r="M357" s="5">
        <v>0</v>
      </c>
      <c r="N357" s="4">
        <v>38</v>
      </c>
      <c r="O357" s="5">
        <f t="shared" si="18"/>
        <v>174165.66</v>
      </c>
      <c r="P357" s="5">
        <v>174165.66</v>
      </c>
      <c r="Q357" s="5">
        <v>0</v>
      </c>
      <c r="R357" s="6"/>
    </row>
    <row r="358" spans="1:18" x14ac:dyDescent="0.25">
      <c r="A358" s="4">
        <f t="shared" si="19"/>
        <v>90</v>
      </c>
      <c r="B358" s="3" t="s">
        <v>44</v>
      </c>
      <c r="C358" s="3" t="s">
        <v>62</v>
      </c>
      <c r="D358" s="3" t="s">
        <v>63</v>
      </c>
      <c r="E358" s="3" t="s">
        <v>74</v>
      </c>
      <c r="F358" s="3" t="s">
        <v>262</v>
      </c>
      <c r="G358" s="4" t="s">
        <v>85</v>
      </c>
      <c r="H358" s="4">
        <v>41</v>
      </c>
      <c r="I358" s="4">
        <v>32</v>
      </c>
      <c r="J358" s="4">
        <v>37</v>
      </c>
      <c r="K358" s="5">
        <f t="shared" si="17"/>
        <v>22540.809999999998</v>
      </c>
      <c r="L358" s="5">
        <f>16705.71+5835.1</f>
        <v>22540.809999999998</v>
      </c>
      <c r="M358" s="5">
        <v>0</v>
      </c>
      <c r="N358" s="4">
        <v>36</v>
      </c>
      <c r="O358" s="5">
        <f t="shared" si="18"/>
        <v>139624.70000000001</v>
      </c>
      <c r="P358" s="5">
        <f>104160.66+35464.04</f>
        <v>139624.70000000001</v>
      </c>
      <c r="Q358" s="5">
        <v>0</v>
      </c>
      <c r="R358" s="6"/>
    </row>
    <row r="359" spans="1:18" ht="25.5" x14ac:dyDescent="0.25">
      <c r="A359" s="4">
        <f t="shared" si="19"/>
        <v>91</v>
      </c>
      <c r="B359" s="3" t="s">
        <v>45</v>
      </c>
      <c r="C359" s="3" t="s">
        <v>62</v>
      </c>
      <c r="D359" s="3" t="s">
        <v>63</v>
      </c>
      <c r="E359" s="3" t="s">
        <v>79</v>
      </c>
      <c r="F359" s="3" t="s">
        <v>263</v>
      </c>
      <c r="G359" s="4" t="s">
        <v>85</v>
      </c>
      <c r="H359" s="4">
        <v>15</v>
      </c>
      <c r="I359" s="4">
        <v>11</v>
      </c>
      <c r="J359" s="4">
        <v>16</v>
      </c>
      <c r="K359" s="5">
        <f t="shared" si="17"/>
        <v>21822.1</v>
      </c>
      <c r="L359" s="5">
        <v>21822.1</v>
      </c>
      <c r="M359" s="5">
        <v>0</v>
      </c>
      <c r="N359" s="4">
        <v>3</v>
      </c>
      <c r="O359" s="5">
        <f t="shared" si="18"/>
        <v>18586.060000000001</v>
      </c>
      <c r="P359" s="5">
        <v>18586.060000000001</v>
      </c>
      <c r="Q359" s="5">
        <v>0</v>
      </c>
      <c r="R359" s="6"/>
    </row>
    <row r="360" spans="1:18" x14ac:dyDescent="0.25">
      <c r="A360" s="4">
        <f t="shared" si="19"/>
        <v>92</v>
      </c>
      <c r="B360" s="3" t="s">
        <v>264</v>
      </c>
      <c r="C360" s="3" t="s">
        <v>62</v>
      </c>
      <c r="D360" s="3" t="s">
        <v>63</v>
      </c>
      <c r="E360" s="3" t="s">
        <v>74</v>
      </c>
      <c r="F360" s="3" t="s">
        <v>265</v>
      </c>
      <c r="G360" s="4" t="s">
        <v>85</v>
      </c>
      <c r="H360" s="4">
        <v>23</v>
      </c>
      <c r="I360" s="4">
        <v>20</v>
      </c>
      <c r="J360" s="4">
        <v>22</v>
      </c>
      <c r="K360" s="5">
        <f t="shared" si="17"/>
        <v>15861.81</v>
      </c>
      <c r="L360" s="5">
        <v>15861.81</v>
      </c>
      <c r="M360" s="5">
        <v>0</v>
      </c>
      <c r="N360" s="4">
        <v>0</v>
      </c>
      <c r="O360" s="5">
        <f t="shared" si="18"/>
        <v>0</v>
      </c>
      <c r="P360" s="5">
        <v>0</v>
      </c>
      <c r="Q360" s="5">
        <v>0</v>
      </c>
      <c r="R360" s="6"/>
    </row>
    <row r="361" spans="1:18" ht="25.5" x14ac:dyDescent="0.25">
      <c r="A361" s="4">
        <f t="shared" si="19"/>
        <v>93</v>
      </c>
      <c r="B361" s="3" t="s">
        <v>119</v>
      </c>
      <c r="C361" s="3" t="s">
        <v>62</v>
      </c>
      <c r="D361" s="3" t="s">
        <v>63</v>
      </c>
      <c r="E361" s="3" t="s">
        <v>108</v>
      </c>
      <c r="F361" s="3" t="s">
        <v>266</v>
      </c>
      <c r="G361" s="4" t="s">
        <v>85</v>
      </c>
      <c r="H361" s="4">
        <v>16</v>
      </c>
      <c r="I361" s="4">
        <v>12</v>
      </c>
      <c r="J361" s="4">
        <v>14</v>
      </c>
      <c r="K361" s="5">
        <f t="shared" si="17"/>
        <v>18071.580000000002</v>
      </c>
      <c r="L361" s="5">
        <v>18071.580000000002</v>
      </c>
      <c r="M361" s="5">
        <v>0</v>
      </c>
      <c r="N361" s="4">
        <v>3</v>
      </c>
      <c r="O361" s="5">
        <f t="shared" si="18"/>
        <v>1881.62</v>
      </c>
      <c r="P361" s="5">
        <v>1881.62</v>
      </c>
      <c r="Q361" s="5">
        <v>0</v>
      </c>
      <c r="R361" s="6"/>
    </row>
    <row r="362" spans="1:18" ht="38.25" x14ac:dyDescent="0.25">
      <c r="A362" s="4">
        <f t="shared" si="19"/>
        <v>94</v>
      </c>
      <c r="B362" s="3" t="s">
        <v>46</v>
      </c>
      <c r="C362" s="3" t="s">
        <v>62</v>
      </c>
      <c r="D362" s="3" t="s">
        <v>63</v>
      </c>
      <c r="E362" s="3" t="s">
        <v>267</v>
      </c>
      <c r="F362" s="3" t="s">
        <v>268</v>
      </c>
      <c r="G362" s="4" t="s">
        <v>85</v>
      </c>
      <c r="H362" s="4">
        <v>20</v>
      </c>
      <c r="I362" s="4">
        <v>15</v>
      </c>
      <c r="J362" s="4">
        <v>24</v>
      </c>
      <c r="K362" s="5">
        <f t="shared" si="17"/>
        <v>59873.64</v>
      </c>
      <c r="L362" s="5">
        <f>40625.67+19247.97</f>
        <v>59873.64</v>
      </c>
      <c r="M362" s="5">
        <v>0</v>
      </c>
      <c r="N362" s="4">
        <v>24</v>
      </c>
      <c r="O362" s="5">
        <f t="shared" si="18"/>
        <v>125896.58</v>
      </c>
      <c r="P362" s="5">
        <v>115902.94</v>
      </c>
      <c r="Q362" s="5">
        <v>9993.64</v>
      </c>
      <c r="R362" s="6"/>
    </row>
    <row r="363" spans="1:18" ht="25.5" x14ac:dyDescent="0.25">
      <c r="A363" s="4">
        <f t="shared" si="19"/>
        <v>95</v>
      </c>
      <c r="B363" s="3" t="s">
        <v>47</v>
      </c>
      <c r="C363" s="3" t="s">
        <v>62</v>
      </c>
      <c r="D363" s="3" t="s">
        <v>63</v>
      </c>
      <c r="E363" s="3" t="s">
        <v>80</v>
      </c>
      <c r="F363" s="3" t="s">
        <v>269</v>
      </c>
      <c r="G363" s="4" t="s">
        <v>85</v>
      </c>
      <c r="H363" s="4">
        <v>73</v>
      </c>
      <c r="I363" s="4">
        <v>51</v>
      </c>
      <c r="J363" s="4">
        <v>77</v>
      </c>
      <c r="K363" s="5">
        <f t="shared" si="17"/>
        <v>120096.04000000001</v>
      </c>
      <c r="L363" s="5">
        <f>96454.75+23641.29</f>
        <v>120096.04000000001</v>
      </c>
      <c r="M363" s="5">
        <v>0</v>
      </c>
      <c r="N363" s="4">
        <v>110</v>
      </c>
      <c r="O363" s="5">
        <f t="shared" si="18"/>
        <v>430221.45</v>
      </c>
      <c r="P363" s="5">
        <f>399569.58+30651.87</f>
        <v>430221.45</v>
      </c>
      <c r="Q363" s="5">
        <v>0</v>
      </c>
      <c r="R363" s="6"/>
    </row>
    <row r="364" spans="1:18" ht="25.5" x14ac:dyDescent="0.25">
      <c r="A364" s="4">
        <f t="shared" si="19"/>
        <v>96</v>
      </c>
      <c r="B364" s="3" t="s">
        <v>270</v>
      </c>
      <c r="C364" s="3" t="s">
        <v>62</v>
      </c>
      <c r="D364" s="3" t="s">
        <v>63</v>
      </c>
      <c r="E364" s="3" t="s">
        <v>271</v>
      </c>
      <c r="F364" s="3" t="s">
        <v>272</v>
      </c>
      <c r="G364" s="4" t="s">
        <v>85</v>
      </c>
      <c r="H364" s="4">
        <v>14</v>
      </c>
      <c r="I364" s="4">
        <v>10</v>
      </c>
      <c r="J364" s="4">
        <v>12</v>
      </c>
      <c r="K364" s="5">
        <f t="shared" si="17"/>
        <v>18201.260000000002</v>
      </c>
      <c r="L364" s="5">
        <v>10887.7</v>
      </c>
      <c r="M364" s="5">
        <v>7313.56</v>
      </c>
      <c r="N364" s="4">
        <v>0</v>
      </c>
      <c r="O364" s="5">
        <f t="shared" si="18"/>
        <v>0</v>
      </c>
      <c r="P364" s="5">
        <v>0</v>
      </c>
      <c r="Q364" s="5">
        <v>0</v>
      </c>
      <c r="R364" s="6"/>
    </row>
    <row r="365" spans="1:18" ht="25.5" x14ac:dyDescent="0.25">
      <c r="A365" s="4">
        <f t="shared" si="19"/>
        <v>97</v>
      </c>
      <c r="B365" s="3" t="s">
        <v>273</v>
      </c>
      <c r="C365" s="3" t="s">
        <v>62</v>
      </c>
      <c r="D365" s="3" t="s">
        <v>63</v>
      </c>
      <c r="E365" s="3" t="s">
        <v>186</v>
      </c>
      <c r="F365" s="3" t="s">
        <v>511</v>
      </c>
      <c r="G365" s="4" t="s">
        <v>85</v>
      </c>
      <c r="H365" s="4">
        <v>7</v>
      </c>
      <c r="I365" s="4">
        <v>0</v>
      </c>
      <c r="J365" s="4">
        <v>0</v>
      </c>
      <c r="K365" s="5">
        <f t="shared" si="17"/>
        <v>0</v>
      </c>
      <c r="L365" s="5">
        <v>0</v>
      </c>
      <c r="M365" s="5">
        <v>0</v>
      </c>
      <c r="N365" s="4">
        <v>0</v>
      </c>
      <c r="O365" s="5">
        <f t="shared" si="18"/>
        <v>0</v>
      </c>
      <c r="P365" s="5">
        <v>0</v>
      </c>
      <c r="Q365" s="5">
        <v>0</v>
      </c>
      <c r="R365" s="6"/>
    </row>
    <row r="366" spans="1:18" x14ac:dyDescent="0.25">
      <c r="A366" s="4">
        <f t="shared" si="19"/>
        <v>98</v>
      </c>
      <c r="B366" s="3" t="s">
        <v>490</v>
      </c>
      <c r="C366" s="3" t="s">
        <v>62</v>
      </c>
      <c r="D366" s="3" t="s">
        <v>63</v>
      </c>
      <c r="E366" s="3" t="s">
        <v>491</v>
      </c>
      <c r="F366" s="3" t="s">
        <v>492</v>
      </c>
      <c r="G366" s="4" t="s">
        <v>85</v>
      </c>
      <c r="H366" s="4">
        <v>10</v>
      </c>
      <c r="I366" s="4">
        <v>7</v>
      </c>
      <c r="J366" s="4">
        <v>9</v>
      </c>
      <c r="K366" s="5">
        <f t="shared" si="17"/>
        <v>10195.18</v>
      </c>
      <c r="L366" s="5">
        <f>1351.45+8843.73</f>
        <v>10195.18</v>
      </c>
      <c r="M366" s="5">
        <v>0</v>
      </c>
      <c r="N366" s="4">
        <v>0</v>
      </c>
      <c r="O366" s="5">
        <f t="shared" si="18"/>
        <v>0</v>
      </c>
      <c r="P366" s="5">
        <v>0</v>
      </c>
      <c r="Q366" s="5">
        <v>0</v>
      </c>
      <c r="R366" s="6"/>
    </row>
    <row r="367" spans="1:18" x14ac:dyDescent="0.25">
      <c r="A367" s="4">
        <f t="shared" si="19"/>
        <v>99</v>
      </c>
      <c r="B367" s="3" t="s">
        <v>94</v>
      </c>
      <c r="C367" s="3" t="s">
        <v>62</v>
      </c>
      <c r="D367" s="3" t="s">
        <v>63</v>
      </c>
      <c r="E367" s="3" t="s">
        <v>74</v>
      </c>
      <c r="F367" s="3" t="s">
        <v>274</v>
      </c>
      <c r="G367" s="4" t="s">
        <v>85</v>
      </c>
      <c r="H367" s="4">
        <v>15</v>
      </c>
      <c r="I367" s="4">
        <v>2</v>
      </c>
      <c r="J367" s="4">
        <v>2</v>
      </c>
      <c r="K367" s="5">
        <f t="shared" si="17"/>
        <v>2990.36</v>
      </c>
      <c r="L367" s="5">
        <v>2990.36</v>
      </c>
      <c r="M367" s="5">
        <v>0</v>
      </c>
      <c r="N367" s="4">
        <v>6</v>
      </c>
      <c r="O367" s="5">
        <f t="shared" si="18"/>
        <v>9361.67</v>
      </c>
      <c r="P367" s="5">
        <v>9361.67</v>
      </c>
      <c r="Q367" s="5">
        <v>0</v>
      </c>
      <c r="R367" s="6"/>
    </row>
    <row r="368" spans="1:18" ht="25.5" x14ac:dyDescent="0.25">
      <c r="A368" s="4">
        <f t="shared" si="19"/>
        <v>100</v>
      </c>
      <c r="B368" s="3" t="s">
        <v>120</v>
      </c>
      <c r="C368" s="3" t="s">
        <v>67</v>
      </c>
      <c r="D368" s="3" t="s">
        <v>493</v>
      </c>
      <c r="E368" s="3" t="s">
        <v>121</v>
      </c>
      <c r="F368" s="3" t="s">
        <v>468</v>
      </c>
      <c r="G368" s="4" t="s">
        <v>85</v>
      </c>
      <c r="H368" s="4">
        <v>10</v>
      </c>
      <c r="I368" s="4">
        <v>6</v>
      </c>
      <c r="J368" s="4">
        <v>7</v>
      </c>
      <c r="K368" s="5">
        <f t="shared" si="17"/>
        <v>10284.11</v>
      </c>
      <c r="L368" s="5">
        <f>8651.79+1632.32</f>
        <v>10284.11</v>
      </c>
      <c r="M368" s="5">
        <v>0</v>
      </c>
      <c r="N368" s="4">
        <v>0</v>
      </c>
      <c r="O368" s="5">
        <f t="shared" si="18"/>
        <v>0</v>
      </c>
      <c r="P368" s="5">
        <v>0</v>
      </c>
      <c r="Q368" s="5">
        <v>0</v>
      </c>
      <c r="R368" s="6"/>
    </row>
    <row r="369" spans="1:18" ht="25.5" x14ac:dyDescent="0.25">
      <c r="A369" s="4">
        <f t="shared" si="19"/>
        <v>101</v>
      </c>
      <c r="B369" s="3" t="s">
        <v>407</v>
      </c>
      <c r="C369" s="3" t="s">
        <v>62</v>
      </c>
      <c r="D369" s="3" t="s">
        <v>63</v>
      </c>
      <c r="E369" s="3" t="s">
        <v>186</v>
      </c>
      <c r="F369" s="3" t="s">
        <v>512</v>
      </c>
      <c r="G369" s="4" t="s">
        <v>85</v>
      </c>
      <c r="H369" s="4">
        <v>4</v>
      </c>
      <c r="I369" s="4">
        <v>2</v>
      </c>
      <c r="J369" s="4">
        <v>2</v>
      </c>
      <c r="K369" s="5">
        <f t="shared" si="17"/>
        <v>0</v>
      </c>
      <c r="L369" s="5">
        <v>0</v>
      </c>
      <c r="M369" s="5">
        <v>0</v>
      </c>
      <c r="N369" s="4">
        <v>0</v>
      </c>
      <c r="O369" s="5">
        <f t="shared" si="18"/>
        <v>0</v>
      </c>
      <c r="P369" s="5">
        <v>0</v>
      </c>
      <c r="Q369" s="5">
        <v>0</v>
      </c>
      <c r="R369" s="6"/>
    </row>
    <row r="370" spans="1:18" ht="25.5" x14ac:dyDescent="0.25">
      <c r="A370" s="4">
        <f t="shared" si="19"/>
        <v>102</v>
      </c>
      <c r="B370" s="3" t="s">
        <v>122</v>
      </c>
      <c r="C370" s="3" t="s">
        <v>62</v>
      </c>
      <c r="D370" s="3" t="s">
        <v>63</v>
      </c>
      <c r="E370" s="3" t="s">
        <v>275</v>
      </c>
      <c r="F370" s="3" t="s">
        <v>276</v>
      </c>
      <c r="G370" s="4" t="s">
        <v>85</v>
      </c>
      <c r="H370" s="4">
        <v>12</v>
      </c>
      <c r="I370" s="4">
        <v>11</v>
      </c>
      <c r="J370" s="4">
        <v>17</v>
      </c>
      <c r="K370" s="5">
        <f t="shared" si="17"/>
        <v>14738.36</v>
      </c>
      <c r="L370" s="5">
        <v>14738.36</v>
      </c>
      <c r="M370" s="5">
        <v>0</v>
      </c>
      <c r="N370" s="4">
        <v>5</v>
      </c>
      <c r="O370" s="5">
        <f t="shared" si="18"/>
        <v>9159.1299999999992</v>
      </c>
      <c r="P370" s="5">
        <v>9159.1299999999992</v>
      </c>
      <c r="Q370" s="5">
        <v>0</v>
      </c>
      <c r="R370" s="6"/>
    </row>
    <row r="371" spans="1:18" x14ac:dyDescent="0.25">
      <c r="A371" s="4">
        <f t="shared" si="19"/>
        <v>103</v>
      </c>
      <c r="B371" s="3" t="s">
        <v>133</v>
      </c>
      <c r="C371" s="3" t="s">
        <v>67</v>
      </c>
      <c r="D371" s="3" t="s">
        <v>494</v>
      </c>
      <c r="E371" s="3" t="s">
        <v>74</v>
      </c>
      <c r="F371" s="3" t="s">
        <v>620</v>
      </c>
      <c r="G371" s="4" t="s">
        <v>85</v>
      </c>
      <c r="H371" s="4">
        <v>9</v>
      </c>
      <c r="I371" s="4">
        <v>5</v>
      </c>
      <c r="J371" s="4">
        <v>8</v>
      </c>
      <c r="K371" s="5">
        <f t="shared" si="17"/>
        <v>18470.009999999998</v>
      </c>
      <c r="L371" s="5">
        <v>18470.009999999998</v>
      </c>
      <c r="M371" s="5">
        <v>0</v>
      </c>
      <c r="N371" s="4">
        <v>0</v>
      </c>
      <c r="O371" s="5">
        <f t="shared" si="18"/>
        <v>0</v>
      </c>
      <c r="P371" s="5">
        <v>0</v>
      </c>
      <c r="Q371" s="5">
        <v>0</v>
      </c>
      <c r="R371" s="6"/>
    </row>
    <row r="372" spans="1:18" x14ac:dyDescent="0.25">
      <c r="A372" s="4">
        <f t="shared" si="19"/>
        <v>104</v>
      </c>
      <c r="B372" s="3" t="s">
        <v>96</v>
      </c>
      <c r="C372" s="3" t="s">
        <v>62</v>
      </c>
      <c r="D372" s="3" t="s">
        <v>63</v>
      </c>
      <c r="E372" s="3" t="s">
        <v>98</v>
      </c>
      <c r="F372" s="3" t="s">
        <v>277</v>
      </c>
      <c r="G372" s="4" t="s">
        <v>85</v>
      </c>
      <c r="H372" s="4">
        <v>37</v>
      </c>
      <c r="I372" s="4">
        <v>10</v>
      </c>
      <c r="J372" s="4">
        <v>12</v>
      </c>
      <c r="K372" s="5">
        <f t="shared" si="17"/>
        <v>18150.800000000003</v>
      </c>
      <c r="L372" s="5">
        <f>7539.6+10611.2</f>
        <v>18150.800000000003</v>
      </c>
      <c r="M372" s="5">
        <v>0</v>
      </c>
      <c r="N372" s="4">
        <v>11</v>
      </c>
      <c r="O372" s="5">
        <f t="shared" si="18"/>
        <v>47171.47</v>
      </c>
      <c r="P372" s="5">
        <f>24982.96+22188.51</f>
        <v>47171.47</v>
      </c>
      <c r="Q372" s="5">
        <v>0</v>
      </c>
      <c r="R372" s="6"/>
    </row>
    <row r="373" spans="1:18" ht="25.5" x14ac:dyDescent="0.25">
      <c r="A373" s="4">
        <f t="shared" si="19"/>
        <v>105</v>
      </c>
      <c r="B373" s="3" t="s">
        <v>48</v>
      </c>
      <c r="C373" s="3" t="s">
        <v>62</v>
      </c>
      <c r="D373" s="3" t="s">
        <v>63</v>
      </c>
      <c r="E373" s="3" t="s">
        <v>81</v>
      </c>
      <c r="F373" s="3" t="s">
        <v>278</v>
      </c>
      <c r="G373" s="4" t="s">
        <v>85</v>
      </c>
      <c r="H373" s="4">
        <v>44</v>
      </c>
      <c r="I373" s="4">
        <v>37</v>
      </c>
      <c r="J373" s="4">
        <v>52</v>
      </c>
      <c r="K373" s="5">
        <f t="shared" si="17"/>
        <v>79346.02</v>
      </c>
      <c r="L373" s="5">
        <f>62074.87+17271.15</f>
        <v>79346.02</v>
      </c>
      <c r="M373" s="5">
        <v>0</v>
      </c>
      <c r="N373" s="4">
        <v>14</v>
      </c>
      <c r="O373" s="5">
        <f t="shared" si="18"/>
        <v>56668.88</v>
      </c>
      <c r="P373" s="5">
        <f>51526.95+5141.93</f>
        <v>56668.88</v>
      </c>
      <c r="Q373" s="5">
        <v>0</v>
      </c>
      <c r="R373" s="6"/>
    </row>
    <row r="374" spans="1:18" ht="25.5" x14ac:dyDescent="0.25">
      <c r="A374" s="4">
        <f t="shared" si="19"/>
        <v>106</v>
      </c>
      <c r="B374" s="3" t="s">
        <v>50</v>
      </c>
      <c r="C374" s="3" t="s">
        <v>67</v>
      </c>
      <c r="D374" s="3" t="s">
        <v>123</v>
      </c>
      <c r="E374" s="3" t="s">
        <v>82</v>
      </c>
      <c r="F374" s="3" t="s">
        <v>280</v>
      </c>
      <c r="G374" s="4" t="s">
        <v>85</v>
      </c>
      <c r="H374" s="4">
        <v>7</v>
      </c>
      <c r="I374" s="4">
        <v>2</v>
      </c>
      <c r="J374" s="4">
        <v>2</v>
      </c>
      <c r="K374" s="5">
        <f t="shared" si="17"/>
        <v>1860.67</v>
      </c>
      <c r="L374" s="5">
        <v>1860.67</v>
      </c>
      <c r="M374" s="5">
        <v>0</v>
      </c>
      <c r="N374" s="4">
        <v>5</v>
      </c>
      <c r="O374" s="5">
        <f t="shared" si="18"/>
        <v>19968.23</v>
      </c>
      <c r="P374" s="5">
        <v>19968.23</v>
      </c>
      <c r="Q374" s="5">
        <v>0</v>
      </c>
      <c r="R374" s="6"/>
    </row>
    <row r="375" spans="1:18" ht="25.5" x14ac:dyDescent="0.25">
      <c r="A375" s="4">
        <f t="shared" si="19"/>
        <v>107</v>
      </c>
      <c r="B375" s="3" t="s">
        <v>281</v>
      </c>
      <c r="C375" s="3" t="s">
        <v>62</v>
      </c>
      <c r="D375" s="3" t="s">
        <v>63</v>
      </c>
      <c r="E375" s="3" t="s">
        <v>282</v>
      </c>
      <c r="F375" s="3" t="s">
        <v>283</v>
      </c>
      <c r="G375" s="4" t="s">
        <v>85</v>
      </c>
      <c r="H375" s="4">
        <v>25</v>
      </c>
      <c r="I375" s="4">
        <v>5</v>
      </c>
      <c r="J375" s="4">
        <v>5</v>
      </c>
      <c r="K375" s="5">
        <f t="shared" si="17"/>
        <v>2685.29</v>
      </c>
      <c r="L375" s="5">
        <v>2685.29</v>
      </c>
      <c r="M375" s="5">
        <v>0</v>
      </c>
      <c r="N375" s="4">
        <v>0</v>
      </c>
      <c r="O375" s="5">
        <f t="shared" si="18"/>
        <v>0</v>
      </c>
      <c r="P375" s="5">
        <v>0</v>
      </c>
      <c r="Q375" s="5">
        <v>0</v>
      </c>
      <c r="R375" s="6"/>
    </row>
    <row r="376" spans="1:18" x14ac:dyDescent="0.25">
      <c r="A376" s="4">
        <f t="shared" si="19"/>
        <v>108</v>
      </c>
      <c r="B376" s="3" t="s">
        <v>49</v>
      </c>
      <c r="C376" s="3" t="s">
        <v>62</v>
      </c>
      <c r="D376" s="3" t="s">
        <v>63</v>
      </c>
      <c r="E376" s="3" t="s">
        <v>74</v>
      </c>
      <c r="F376" s="3" t="s">
        <v>279</v>
      </c>
      <c r="G376" s="4" t="s">
        <v>85</v>
      </c>
      <c r="H376" s="4">
        <v>23</v>
      </c>
      <c r="I376" s="4">
        <v>18</v>
      </c>
      <c r="J376" s="4">
        <v>20</v>
      </c>
      <c r="K376" s="5">
        <f t="shared" si="17"/>
        <v>33016.22</v>
      </c>
      <c r="L376" s="5">
        <f>16429.5+13978.02+2608.7</f>
        <v>33016.22</v>
      </c>
      <c r="M376" s="5">
        <v>0</v>
      </c>
      <c r="N376" s="4">
        <v>6</v>
      </c>
      <c r="O376" s="5">
        <f t="shared" si="18"/>
        <v>37590.26</v>
      </c>
      <c r="P376" s="5">
        <v>37590.26</v>
      </c>
      <c r="Q376" s="5">
        <v>0</v>
      </c>
      <c r="R376" s="6"/>
    </row>
    <row r="377" spans="1:18" x14ac:dyDescent="0.25">
      <c r="A377" s="4">
        <f t="shared" si="19"/>
        <v>109</v>
      </c>
      <c r="B377" s="3" t="s">
        <v>124</v>
      </c>
      <c r="C377" s="3" t="s">
        <v>62</v>
      </c>
      <c r="D377" s="3" t="s">
        <v>63</v>
      </c>
      <c r="E377" s="3" t="s">
        <v>63</v>
      </c>
      <c r="F377" s="3" t="s">
        <v>284</v>
      </c>
      <c r="G377" s="4" t="s">
        <v>85</v>
      </c>
      <c r="H377" s="4">
        <v>31</v>
      </c>
      <c r="I377" s="4">
        <v>28</v>
      </c>
      <c r="J377" s="4">
        <v>38</v>
      </c>
      <c r="K377" s="5">
        <f t="shared" si="17"/>
        <v>40886.32</v>
      </c>
      <c r="L377" s="5">
        <f>29499.34+13201.84-1814.86</f>
        <v>40886.32</v>
      </c>
      <c r="M377" s="5">
        <v>0</v>
      </c>
      <c r="N377" s="4">
        <v>16</v>
      </c>
      <c r="O377" s="5">
        <f t="shared" si="18"/>
        <v>21019.739999999998</v>
      </c>
      <c r="P377" s="5">
        <f>18186.44+2833.3</f>
        <v>21019.739999999998</v>
      </c>
      <c r="Q377" s="5">
        <v>0</v>
      </c>
      <c r="R377" s="6"/>
    </row>
    <row r="378" spans="1:18" x14ac:dyDescent="0.25">
      <c r="A378" s="4">
        <f t="shared" si="19"/>
        <v>110</v>
      </c>
      <c r="B378" s="3" t="s">
        <v>51</v>
      </c>
      <c r="C378" s="3" t="s">
        <v>62</v>
      </c>
      <c r="D378" s="3" t="s">
        <v>63</v>
      </c>
      <c r="E378" s="3" t="s">
        <v>74</v>
      </c>
      <c r="F378" s="3" t="s">
        <v>285</v>
      </c>
      <c r="G378" s="4" t="s">
        <v>85</v>
      </c>
      <c r="H378" s="4">
        <v>17</v>
      </c>
      <c r="I378" s="4">
        <v>15</v>
      </c>
      <c r="J378" s="4">
        <v>15</v>
      </c>
      <c r="K378" s="5">
        <f t="shared" si="17"/>
        <v>5873.82</v>
      </c>
      <c r="L378" s="5">
        <v>5873.82</v>
      </c>
      <c r="M378" s="5">
        <v>0</v>
      </c>
      <c r="N378" s="4">
        <v>10</v>
      </c>
      <c r="O378" s="5">
        <f t="shared" si="18"/>
        <v>1797.24</v>
      </c>
      <c r="P378" s="5">
        <v>1797.24</v>
      </c>
      <c r="Q378" s="5">
        <v>0</v>
      </c>
      <c r="R378" s="6"/>
    </row>
    <row r="379" spans="1:18" ht="25.5" x14ac:dyDescent="0.25">
      <c r="A379" s="4">
        <f t="shared" si="19"/>
        <v>111</v>
      </c>
      <c r="B379" s="3" t="s">
        <v>286</v>
      </c>
      <c r="C379" s="3" t="s">
        <v>62</v>
      </c>
      <c r="D379" s="3" t="s">
        <v>63</v>
      </c>
      <c r="E379" s="3" t="s">
        <v>174</v>
      </c>
      <c r="F379" s="3" t="s">
        <v>287</v>
      </c>
      <c r="G379" s="4" t="s">
        <v>85</v>
      </c>
      <c r="H379" s="4">
        <v>14</v>
      </c>
      <c r="I379" s="4">
        <v>11</v>
      </c>
      <c r="J379" s="4">
        <v>13</v>
      </c>
      <c r="K379" s="5">
        <f t="shared" si="17"/>
        <v>11071.01</v>
      </c>
      <c r="L379" s="5">
        <v>2790.57</v>
      </c>
      <c r="M379" s="5">
        <v>8280.44</v>
      </c>
      <c r="N379" s="4">
        <v>0</v>
      </c>
      <c r="O379" s="5">
        <f t="shared" si="18"/>
        <v>0</v>
      </c>
      <c r="P379" s="5">
        <v>0</v>
      </c>
      <c r="Q379" s="5">
        <v>0</v>
      </c>
      <c r="R379" s="6"/>
    </row>
    <row r="380" spans="1:18" x14ac:dyDescent="0.25">
      <c r="A380" s="4">
        <f t="shared" si="19"/>
        <v>112</v>
      </c>
      <c r="B380" s="3" t="s">
        <v>52</v>
      </c>
      <c r="C380" s="3" t="s">
        <v>62</v>
      </c>
      <c r="D380" s="3" t="s">
        <v>63</v>
      </c>
      <c r="E380" s="3" t="s">
        <v>74</v>
      </c>
      <c r="F380" s="3" t="s">
        <v>125</v>
      </c>
      <c r="G380" s="4" t="s">
        <v>85</v>
      </c>
      <c r="H380" s="4">
        <v>3</v>
      </c>
      <c r="I380" s="4">
        <v>0</v>
      </c>
      <c r="J380" s="4">
        <v>0</v>
      </c>
      <c r="K380" s="5">
        <f t="shared" si="17"/>
        <v>0</v>
      </c>
      <c r="L380" s="5">
        <v>0</v>
      </c>
      <c r="M380" s="5">
        <v>0</v>
      </c>
      <c r="N380" s="4">
        <v>0</v>
      </c>
      <c r="O380" s="5">
        <f t="shared" si="18"/>
        <v>0</v>
      </c>
      <c r="P380" s="5">
        <v>0</v>
      </c>
      <c r="Q380" s="5">
        <v>0</v>
      </c>
      <c r="R380" s="6"/>
    </row>
    <row r="381" spans="1:18" x14ac:dyDescent="0.25">
      <c r="A381" s="4">
        <f t="shared" si="19"/>
        <v>113</v>
      </c>
      <c r="B381" s="3" t="s">
        <v>469</v>
      </c>
      <c r="C381" s="3" t="s">
        <v>62</v>
      </c>
      <c r="D381" s="3" t="s">
        <v>63</v>
      </c>
      <c r="E381" s="3" t="s">
        <v>74</v>
      </c>
      <c r="F381" s="3" t="s">
        <v>470</v>
      </c>
      <c r="G381" s="4" t="s">
        <v>85</v>
      </c>
      <c r="H381" s="4">
        <v>1</v>
      </c>
      <c r="I381" s="4">
        <v>0</v>
      </c>
      <c r="J381" s="4">
        <v>0</v>
      </c>
      <c r="K381" s="5">
        <f t="shared" si="17"/>
        <v>0</v>
      </c>
      <c r="L381" s="5">
        <v>0</v>
      </c>
      <c r="M381" s="5">
        <v>0</v>
      </c>
      <c r="N381" s="4">
        <v>0</v>
      </c>
      <c r="O381" s="5">
        <f t="shared" si="18"/>
        <v>0</v>
      </c>
      <c r="P381" s="5">
        <v>0</v>
      </c>
      <c r="Q381" s="5">
        <v>0</v>
      </c>
      <c r="R381" s="6"/>
    </row>
    <row r="382" spans="1:18" x14ac:dyDescent="0.25">
      <c r="A382" s="4">
        <f t="shared" si="19"/>
        <v>114</v>
      </c>
      <c r="B382" s="3" t="s">
        <v>53</v>
      </c>
      <c r="C382" s="3" t="s">
        <v>62</v>
      </c>
      <c r="D382" s="3" t="s">
        <v>63</v>
      </c>
      <c r="E382" s="3" t="s">
        <v>74</v>
      </c>
      <c r="F382" s="3" t="s">
        <v>126</v>
      </c>
      <c r="G382" s="4" t="s">
        <v>85</v>
      </c>
      <c r="H382" s="4">
        <v>8</v>
      </c>
      <c r="I382" s="4">
        <v>0</v>
      </c>
      <c r="J382" s="4">
        <v>0</v>
      </c>
      <c r="K382" s="5">
        <f t="shared" si="17"/>
        <v>0</v>
      </c>
      <c r="L382" s="5">
        <v>0</v>
      </c>
      <c r="M382" s="5">
        <v>0</v>
      </c>
      <c r="N382" s="4">
        <v>0</v>
      </c>
      <c r="O382" s="5">
        <f t="shared" si="18"/>
        <v>0</v>
      </c>
      <c r="P382" s="5">
        <v>0</v>
      </c>
      <c r="Q382" s="5">
        <v>0</v>
      </c>
      <c r="R382" s="6"/>
    </row>
    <row r="383" spans="1:18" x14ac:dyDescent="0.25">
      <c r="A383" s="4">
        <f t="shared" si="19"/>
        <v>115</v>
      </c>
      <c r="B383" s="3" t="s">
        <v>151</v>
      </c>
      <c r="C383" s="3" t="s">
        <v>62</v>
      </c>
      <c r="D383" s="3" t="s">
        <v>63</v>
      </c>
      <c r="E383" s="3" t="s">
        <v>74</v>
      </c>
      <c r="F383" s="3" t="s">
        <v>288</v>
      </c>
      <c r="G383" s="4" t="s">
        <v>85</v>
      </c>
      <c r="H383" s="4">
        <v>10</v>
      </c>
      <c r="I383" s="4">
        <v>8</v>
      </c>
      <c r="J383" s="4">
        <v>10</v>
      </c>
      <c r="K383" s="5">
        <f t="shared" si="17"/>
        <v>15560.060000000001</v>
      </c>
      <c r="L383" s="5">
        <v>7299.97</v>
      </c>
      <c r="M383" s="5">
        <v>8260.09</v>
      </c>
      <c r="N383" s="4">
        <v>6</v>
      </c>
      <c r="O383" s="5">
        <f t="shared" si="18"/>
        <v>14253.5</v>
      </c>
      <c r="P383" s="5">
        <f>4554.97+9698.53</f>
        <v>14253.5</v>
      </c>
      <c r="Q383" s="5">
        <v>0</v>
      </c>
      <c r="R383" s="6"/>
    </row>
    <row r="384" spans="1:18" x14ac:dyDescent="0.25">
      <c r="A384" s="4">
        <f t="shared" si="19"/>
        <v>116</v>
      </c>
      <c r="B384" s="3" t="s">
        <v>155</v>
      </c>
      <c r="C384" s="3" t="s">
        <v>62</v>
      </c>
      <c r="D384" s="3" t="s">
        <v>63</v>
      </c>
      <c r="E384" s="3" t="s">
        <v>74</v>
      </c>
      <c r="F384" s="3" t="s">
        <v>289</v>
      </c>
      <c r="G384" s="4" t="s">
        <v>85</v>
      </c>
      <c r="H384" s="4">
        <v>14</v>
      </c>
      <c r="I384" s="4">
        <v>10</v>
      </c>
      <c r="J384" s="4">
        <v>15</v>
      </c>
      <c r="K384" s="5">
        <f t="shared" si="17"/>
        <v>38355.85</v>
      </c>
      <c r="L384" s="5">
        <f>36693.43+1662.42</f>
        <v>38355.85</v>
      </c>
      <c r="M384" s="5">
        <v>0</v>
      </c>
      <c r="N384" s="4">
        <v>3</v>
      </c>
      <c r="O384" s="5">
        <f t="shared" si="18"/>
        <v>28262.059999999998</v>
      </c>
      <c r="P384" s="5">
        <f>15810.55+12451.51</f>
        <v>28262.059999999998</v>
      </c>
      <c r="Q384" s="5">
        <v>0</v>
      </c>
      <c r="R384" s="6"/>
    </row>
    <row r="385" spans="1:18" x14ac:dyDescent="0.25">
      <c r="A385" s="4">
        <f t="shared" si="19"/>
        <v>117</v>
      </c>
      <c r="B385" s="3" t="s">
        <v>290</v>
      </c>
      <c r="C385" s="3" t="s">
        <v>62</v>
      </c>
      <c r="D385" s="3" t="s">
        <v>63</v>
      </c>
      <c r="E385" s="3" t="s">
        <v>291</v>
      </c>
      <c r="F385" s="3" t="s">
        <v>292</v>
      </c>
      <c r="G385" s="4" t="s">
        <v>85</v>
      </c>
      <c r="H385" s="4">
        <v>33</v>
      </c>
      <c r="I385" s="4">
        <v>23</v>
      </c>
      <c r="J385" s="4">
        <v>29</v>
      </c>
      <c r="K385" s="5">
        <f t="shared" si="17"/>
        <v>34384.86</v>
      </c>
      <c r="L385" s="5">
        <f>5043.72+24662.74</f>
        <v>29706.460000000003</v>
      </c>
      <c r="M385" s="5">
        <f>29341.14-24662.74</f>
        <v>4678.3999999999978</v>
      </c>
      <c r="N385" s="4">
        <v>0</v>
      </c>
      <c r="O385" s="5">
        <f t="shared" si="18"/>
        <v>0</v>
      </c>
      <c r="P385" s="5">
        <v>0</v>
      </c>
      <c r="Q385" s="5">
        <v>0</v>
      </c>
      <c r="R385" s="6"/>
    </row>
    <row r="386" spans="1:18" ht="25.5" x14ac:dyDescent="0.25">
      <c r="A386" s="4">
        <f t="shared" si="19"/>
        <v>118</v>
      </c>
      <c r="B386" s="3" t="s">
        <v>495</v>
      </c>
      <c r="C386" s="3" t="s">
        <v>62</v>
      </c>
      <c r="D386" s="3" t="s">
        <v>63</v>
      </c>
      <c r="E386" s="3" t="s">
        <v>313</v>
      </c>
      <c r="F386" s="3" t="s">
        <v>496</v>
      </c>
      <c r="G386" s="4" t="s">
        <v>85</v>
      </c>
      <c r="H386" s="4">
        <v>21</v>
      </c>
      <c r="I386" s="4">
        <v>5</v>
      </c>
      <c r="J386" s="4">
        <v>5</v>
      </c>
      <c r="K386" s="5">
        <f t="shared" si="17"/>
        <v>9234.7099999999991</v>
      </c>
      <c r="L386" s="5">
        <f>2358.88+6875.83</f>
        <v>9234.7099999999991</v>
      </c>
      <c r="M386" s="5">
        <v>0</v>
      </c>
      <c r="N386" s="4">
        <v>0</v>
      </c>
      <c r="O386" s="5">
        <f t="shared" si="18"/>
        <v>0</v>
      </c>
      <c r="P386" s="5">
        <v>0</v>
      </c>
      <c r="Q386" s="5">
        <v>0</v>
      </c>
      <c r="R386" s="6"/>
    </row>
    <row r="387" spans="1:18" x14ac:dyDescent="0.25">
      <c r="A387" s="4">
        <f t="shared" si="19"/>
        <v>119</v>
      </c>
      <c r="B387" s="3" t="s">
        <v>134</v>
      </c>
      <c r="C387" s="3" t="s">
        <v>62</v>
      </c>
      <c r="D387" s="3" t="s">
        <v>63</v>
      </c>
      <c r="E387" s="3" t="s">
        <v>74</v>
      </c>
      <c r="F387" s="3" t="s">
        <v>293</v>
      </c>
      <c r="G387" s="4" t="s">
        <v>85</v>
      </c>
      <c r="H387" s="4">
        <v>8</v>
      </c>
      <c r="I387" s="4">
        <v>3</v>
      </c>
      <c r="J387" s="4">
        <v>3</v>
      </c>
      <c r="K387" s="5">
        <f t="shared" si="17"/>
        <v>7119.1</v>
      </c>
      <c r="L387" s="5">
        <f>1656.9+5462.2</f>
        <v>7119.1</v>
      </c>
      <c r="M387" s="5">
        <v>0</v>
      </c>
      <c r="N387" s="4">
        <v>1</v>
      </c>
      <c r="O387" s="5">
        <f t="shared" si="18"/>
        <v>10990.78</v>
      </c>
      <c r="P387" s="5">
        <v>10990.78</v>
      </c>
      <c r="Q387" s="5">
        <v>0</v>
      </c>
      <c r="R387" s="6"/>
    </row>
    <row r="388" spans="1:18" x14ac:dyDescent="0.25">
      <c r="A388" s="4">
        <f t="shared" si="19"/>
        <v>120</v>
      </c>
      <c r="B388" s="3" t="s">
        <v>127</v>
      </c>
      <c r="C388" s="3" t="s">
        <v>62</v>
      </c>
      <c r="D388" s="3" t="s">
        <v>63</v>
      </c>
      <c r="E388" s="3" t="s">
        <v>74</v>
      </c>
      <c r="F388" s="3" t="s">
        <v>294</v>
      </c>
      <c r="G388" s="4" t="s">
        <v>85</v>
      </c>
      <c r="H388" s="4">
        <v>9</v>
      </c>
      <c r="I388" s="4">
        <v>6</v>
      </c>
      <c r="J388" s="4">
        <v>7</v>
      </c>
      <c r="K388" s="5">
        <f t="shared" si="17"/>
        <v>2445.89</v>
      </c>
      <c r="L388" s="5">
        <v>2445.89</v>
      </c>
      <c r="M388" s="5">
        <v>0</v>
      </c>
      <c r="N388" s="4">
        <v>2</v>
      </c>
      <c r="O388" s="5">
        <f t="shared" si="18"/>
        <v>3267.6</v>
      </c>
      <c r="P388" s="5">
        <v>3267.6</v>
      </c>
      <c r="Q388" s="5">
        <v>0</v>
      </c>
      <c r="R388" s="6"/>
    </row>
    <row r="389" spans="1:18" ht="25.5" x14ac:dyDescent="0.25">
      <c r="A389" s="4">
        <f t="shared" si="19"/>
        <v>121</v>
      </c>
      <c r="B389" s="3" t="s">
        <v>55</v>
      </c>
      <c r="C389" s="3" t="s">
        <v>64</v>
      </c>
      <c r="D389" s="3" t="s">
        <v>66</v>
      </c>
      <c r="E389" s="3" t="s">
        <v>80</v>
      </c>
      <c r="F389" s="3" t="s">
        <v>295</v>
      </c>
      <c r="G389" s="4" t="s">
        <v>85</v>
      </c>
      <c r="H389" s="4">
        <v>6</v>
      </c>
      <c r="I389" s="4">
        <v>4</v>
      </c>
      <c r="J389" s="4">
        <v>4</v>
      </c>
      <c r="K389" s="5">
        <f t="shared" si="17"/>
        <v>1989.4299999999998</v>
      </c>
      <c r="L389" s="5">
        <v>528.6</v>
      </c>
      <c r="M389" s="5">
        <v>1460.83</v>
      </c>
      <c r="N389" s="4">
        <v>2</v>
      </c>
      <c r="O389" s="5">
        <f t="shared" si="18"/>
        <v>7376.0599999999995</v>
      </c>
      <c r="P389" s="5">
        <v>7243.91</v>
      </c>
      <c r="Q389" s="5">
        <v>132.15</v>
      </c>
      <c r="R389" s="6"/>
    </row>
    <row r="390" spans="1:18" x14ac:dyDescent="0.25">
      <c r="A390" s="4">
        <f t="shared" si="19"/>
        <v>122</v>
      </c>
      <c r="B390" s="3" t="s">
        <v>135</v>
      </c>
      <c r="C390" s="3" t="s">
        <v>62</v>
      </c>
      <c r="D390" s="3" t="s">
        <v>63</v>
      </c>
      <c r="E390" s="3" t="s">
        <v>63</v>
      </c>
      <c r="F390" s="3" t="s">
        <v>296</v>
      </c>
      <c r="G390" s="4" t="s">
        <v>85</v>
      </c>
      <c r="H390" s="4">
        <v>6</v>
      </c>
      <c r="I390" s="4">
        <v>2</v>
      </c>
      <c r="J390" s="4">
        <v>2</v>
      </c>
      <c r="K390" s="5">
        <f t="shared" si="17"/>
        <v>552.6</v>
      </c>
      <c r="L390" s="5">
        <v>552.6</v>
      </c>
      <c r="M390" s="5">
        <v>0</v>
      </c>
      <c r="N390" s="4">
        <v>10</v>
      </c>
      <c r="O390" s="5">
        <f t="shared" si="18"/>
        <v>18103.34</v>
      </c>
      <c r="P390" s="5">
        <f>18103.64-0.3</f>
        <v>18103.34</v>
      </c>
      <c r="Q390" s="5">
        <v>0</v>
      </c>
      <c r="R390" s="6"/>
    </row>
    <row r="391" spans="1:18" x14ac:dyDescent="0.25">
      <c r="A391" s="4">
        <f t="shared" si="19"/>
        <v>123</v>
      </c>
      <c r="B391" s="3" t="s">
        <v>128</v>
      </c>
      <c r="C391" s="3" t="s">
        <v>62</v>
      </c>
      <c r="D391" s="3" t="s">
        <v>63</v>
      </c>
      <c r="E391" s="3" t="s">
        <v>74</v>
      </c>
      <c r="F391" s="3" t="s">
        <v>297</v>
      </c>
      <c r="G391" s="4" t="s">
        <v>85</v>
      </c>
      <c r="H391" s="4">
        <v>2</v>
      </c>
      <c r="I391" s="4">
        <v>2</v>
      </c>
      <c r="J391" s="4">
        <v>2</v>
      </c>
      <c r="K391" s="5">
        <f t="shared" si="17"/>
        <v>1303.8499999999999</v>
      </c>
      <c r="L391" s="5">
        <v>1303.8499999999999</v>
      </c>
      <c r="M391" s="5">
        <v>0</v>
      </c>
      <c r="N391" s="4">
        <v>1</v>
      </c>
      <c r="O391" s="5">
        <f t="shared" si="18"/>
        <v>264.3</v>
      </c>
      <c r="P391" s="5">
        <v>264.3</v>
      </c>
      <c r="Q391" s="5">
        <v>0</v>
      </c>
      <c r="R391" s="6"/>
    </row>
    <row r="392" spans="1:18" ht="25.5" x14ac:dyDescent="0.25">
      <c r="A392" s="4">
        <f t="shared" si="19"/>
        <v>124</v>
      </c>
      <c r="B392" s="3" t="s">
        <v>508</v>
      </c>
      <c r="C392" s="3" t="s">
        <v>64</v>
      </c>
      <c r="D392" s="3" t="s">
        <v>551</v>
      </c>
      <c r="E392" s="3" t="s">
        <v>313</v>
      </c>
      <c r="F392" s="3" t="s">
        <v>552</v>
      </c>
      <c r="G392" s="4" t="s">
        <v>85</v>
      </c>
      <c r="H392" s="4">
        <v>18</v>
      </c>
      <c r="I392" s="4">
        <v>12</v>
      </c>
      <c r="J392" s="4">
        <v>12</v>
      </c>
      <c r="K392" s="5">
        <f t="shared" si="17"/>
        <v>2408.0500000000002</v>
      </c>
      <c r="L392" s="5">
        <v>2408.0500000000002</v>
      </c>
      <c r="M392" s="5">
        <v>0</v>
      </c>
      <c r="N392" s="4">
        <v>0</v>
      </c>
      <c r="O392" s="5">
        <f t="shared" si="18"/>
        <v>0</v>
      </c>
      <c r="P392" s="5">
        <v>0</v>
      </c>
      <c r="Q392" s="5">
        <v>0</v>
      </c>
      <c r="R392" s="6"/>
    </row>
    <row r="393" spans="1:18" ht="25.5" x14ac:dyDescent="0.25">
      <c r="A393" s="4">
        <f t="shared" si="19"/>
        <v>125</v>
      </c>
      <c r="B393" s="3" t="s">
        <v>497</v>
      </c>
      <c r="C393" s="3" t="s">
        <v>62</v>
      </c>
      <c r="D393" s="3" t="s">
        <v>63</v>
      </c>
      <c r="E393" s="3" t="s">
        <v>313</v>
      </c>
      <c r="F393" s="3" t="s">
        <v>498</v>
      </c>
      <c r="G393" s="4" t="s">
        <v>85</v>
      </c>
      <c r="H393" s="4">
        <v>51</v>
      </c>
      <c r="I393" s="4">
        <v>34</v>
      </c>
      <c r="J393" s="4">
        <v>35</v>
      </c>
      <c r="K393" s="5">
        <f t="shared" si="17"/>
        <v>27803.239999999998</v>
      </c>
      <c r="L393" s="5">
        <f>12556.71+15246.53</f>
        <v>27803.239999999998</v>
      </c>
      <c r="M393" s="5">
        <v>0</v>
      </c>
      <c r="N393" s="4">
        <v>0</v>
      </c>
      <c r="O393" s="5">
        <f t="shared" si="18"/>
        <v>0</v>
      </c>
      <c r="P393" s="5">
        <v>0</v>
      </c>
      <c r="Q393" s="5">
        <v>0</v>
      </c>
      <c r="R393" s="6"/>
    </row>
    <row r="394" spans="1:18" x14ac:dyDescent="0.25">
      <c r="A394" s="4">
        <f t="shared" si="19"/>
        <v>126</v>
      </c>
      <c r="B394" s="3" t="s">
        <v>56</v>
      </c>
      <c r="C394" s="3" t="s">
        <v>62</v>
      </c>
      <c r="D394" s="3" t="s">
        <v>63</v>
      </c>
      <c r="E394" s="3" t="s">
        <v>83</v>
      </c>
      <c r="F394" s="3" t="s">
        <v>298</v>
      </c>
      <c r="G394" s="4" t="s">
        <v>85</v>
      </c>
      <c r="H394" s="4">
        <v>77</v>
      </c>
      <c r="I394" s="4">
        <v>62</v>
      </c>
      <c r="J394" s="4">
        <v>88</v>
      </c>
      <c r="K394" s="5">
        <f t="shared" si="17"/>
        <v>99429.35</v>
      </c>
      <c r="L394" s="5">
        <f>77067+22362.35</f>
        <v>99429.35</v>
      </c>
      <c r="M394" s="5">
        <v>0</v>
      </c>
      <c r="N394" s="4">
        <v>31</v>
      </c>
      <c r="O394" s="5">
        <f t="shared" si="18"/>
        <v>95408.48</v>
      </c>
      <c r="P394" s="5">
        <f>94809.4+599.08</f>
        <v>95408.48</v>
      </c>
      <c r="Q394" s="5">
        <v>0</v>
      </c>
      <c r="R394" s="6"/>
    </row>
    <row r="395" spans="1:18" ht="25.5" x14ac:dyDescent="0.25">
      <c r="A395" s="4">
        <f t="shared" si="19"/>
        <v>127</v>
      </c>
      <c r="B395" s="3" t="s">
        <v>299</v>
      </c>
      <c r="C395" s="3" t="s">
        <v>62</v>
      </c>
      <c r="D395" s="3" t="s">
        <v>63</v>
      </c>
      <c r="E395" s="3" t="s">
        <v>174</v>
      </c>
      <c r="F395" s="3" t="s">
        <v>300</v>
      </c>
      <c r="G395" s="4" t="s">
        <v>85</v>
      </c>
      <c r="H395" s="4">
        <v>21</v>
      </c>
      <c r="I395" s="4">
        <v>17</v>
      </c>
      <c r="J395" s="4">
        <v>20</v>
      </c>
      <c r="K395" s="5">
        <f t="shared" si="17"/>
        <v>17652.309999999998</v>
      </c>
      <c r="L395" s="5">
        <v>4849.93</v>
      </c>
      <c r="M395" s="5">
        <v>12802.38</v>
      </c>
      <c r="N395" s="4">
        <v>0</v>
      </c>
      <c r="O395" s="5">
        <f t="shared" si="18"/>
        <v>0</v>
      </c>
      <c r="P395" s="5">
        <v>0</v>
      </c>
      <c r="Q395" s="5">
        <v>0</v>
      </c>
      <c r="R395" s="6"/>
    </row>
    <row r="396" spans="1:18" x14ac:dyDescent="0.25">
      <c r="A396" s="4">
        <f t="shared" si="19"/>
        <v>128</v>
      </c>
      <c r="B396" s="3" t="s">
        <v>156</v>
      </c>
      <c r="C396" s="3" t="s">
        <v>67</v>
      </c>
      <c r="D396" s="3" t="s">
        <v>499</v>
      </c>
      <c r="E396" s="3" t="s">
        <v>74</v>
      </c>
      <c r="F396" s="3" t="s">
        <v>301</v>
      </c>
      <c r="G396" s="4" t="s">
        <v>85</v>
      </c>
      <c r="H396" s="4">
        <v>34</v>
      </c>
      <c r="I396" s="4">
        <v>27</v>
      </c>
      <c r="J396" s="4">
        <v>31</v>
      </c>
      <c r="K396" s="5">
        <f t="shared" si="17"/>
        <v>34539.369999999995</v>
      </c>
      <c r="L396" s="5">
        <f>19255.76+15283.61</f>
        <v>34539.369999999995</v>
      </c>
      <c r="M396" s="5">
        <v>0</v>
      </c>
      <c r="N396" s="4">
        <v>34</v>
      </c>
      <c r="O396" s="5">
        <f t="shared" si="18"/>
        <v>58828.76</v>
      </c>
      <c r="P396" s="5">
        <f>51164.89+7663.87</f>
        <v>58828.76</v>
      </c>
      <c r="Q396" s="5">
        <v>0</v>
      </c>
      <c r="R396" s="6"/>
    </row>
    <row r="397" spans="1:18" x14ac:dyDescent="0.25">
      <c r="A397" s="4">
        <f t="shared" si="19"/>
        <v>129</v>
      </c>
      <c r="B397" s="3" t="s">
        <v>302</v>
      </c>
      <c r="C397" s="3" t="s">
        <v>62</v>
      </c>
      <c r="D397" s="3" t="s">
        <v>63</v>
      </c>
      <c r="E397" s="3" t="s">
        <v>63</v>
      </c>
      <c r="F397" s="3" t="s">
        <v>303</v>
      </c>
      <c r="G397" s="4" t="s">
        <v>85</v>
      </c>
      <c r="H397" s="4">
        <v>10</v>
      </c>
      <c r="I397" s="4">
        <v>7</v>
      </c>
      <c r="J397" s="4">
        <v>8</v>
      </c>
      <c r="K397" s="5">
        <f t="shared" si="17"/>
        <v>6468.1</v>
      </c>
      <c r="L397" s="5">
        <v>6468.1</v>
      </c>
      <c r="M397" s="5">
        <v>0</v>
      </c>
      <c r="N397" s="4">
        <v>0</v>
      </c>
      <c r="O397" s="5">
        <f t="shared" si="18"/>
        <v>0</v>
      </c>
      <c r="P397" s="5">
        <v>0</v>
      </c>
      <c r="Q397" s="5">
        <v>0</v>
      </c>
      <c r="R397" s="6"/>
    </row>
    <row r="398" spans="1:18" x14ac:dyDescent="0.25">
      <c r="A398" s="4">
        <f t="shared" si="19"/>
        <v>130</v>
      </c>
      <c r="B398" s="3" t="s">
        <v>140</v>
      </c>
      <c r="C398" s="3" t="s">
        <v>62</v>
      </c>
      <c r="D398" s="3" t="s">
        <v>63</v>
      </c>
      <c r="E398" s="3" t="s">
        <v>74</v>
      </c>
      <c r="F398" s="3" t="s">
        <v>304</v>
      </c>
      <c r="G398" s="4" t="s">
        <v>85</v>
      </c>
      <c r="H398" s="4">
        <v>55</v>
      </c>
      <c r="I398" s="4">
        <v>45</v>
      </c>
      <c r="J398" s="4">
        <v>48</v>
      </c>
      <c r="K398" s="5">
        <f t="shared" ref="K398:K415" si="20">L398+M398</f>
        <v>47342.8</v>
      </c>
      <c r="L398" s="5">
        <f>35702.46+11640.34</f>
        <v>47342.8</v>
      </c>
      <c r="M398" s="5">
        <v>0</v>
      </c>
      <c r="N398" s="4">
        <v>19</v>
      </c>
      <c r="O398" s="5">
        <f t="shared" ref="O398:O415" si="21">P398+Q398</f>
        <v>43411.7</v>
      </c>
      <c r="P398" s="5">
        <f>38337.32+5074.38</f>
        <v>43411.7</v>
      </c>
      <c r="Q398" s="5">
        <v>0</v>
      </c>
      <c r="R398" s="6"/>
    </row>
    <row r="399" spans="1:18" ht="25.5" x14ac:dyDescent="0.25">
      <c r="A399" s="4">
        <f t="shared" ref="A399:A415" si="22">A398+1</f>
        <v>131</v>
      </c>
      <c r="B399" s="3" t="s">
        <v>305</v>
      </c>
      <c r="C399" s="3" t="s">
        <v>62</v>
      </c>
      <c r="D399" s="3" t="s">
        <v>63</v>
      </c>
      <c r="E399" s="3" t="s">
        <v>186</v>
      </c>
      <c r="F399" s="3" t="s">
        <v>513</v>
      </c>
      <c r="G399" s="4" t="s">
        <v>85</v>
      </c>
      <c r="H399" s="4">
        <v>14</v>
      </c>
      <c r="I399" s="4">
        <v>9</v>
      </c>
      <c r="J399" s="4">
        <v>10</v>
      </c>
      <c r="K399" s="5">
        <f t="shared" si="20"/>
        <v>6542.9</v>
      </c>
      <c r="L399" s="5">
        <v>4975.4399999999996</v>
      </c>
      <c r="M399" s="5">
        <v>1567.46</v>
      </c>
      <c r="N399" s="4">
        <v>0</v>
      </c>
      <c r="O399" s="5">
        <f t="shared" si="21"/>
        <v>0</v>
      </c>
      <c r="P399" s="5">
        <v>0</v>
      </c>
      <c r="Q399" s="5">
        <v>0</v>
      </c>
      <c r="R399" s="6"/>
    </row>
    <row r="400" spans="1:18" x14ac:dyDescent="0.25">
      <c r="A400" s="4">
        <f t="shared" si="22"/>
        <v>132</v>
      </c>
      <c r="B400" s="3" t="s">
        <v>471</v>
      </c>
      <c r="C400" s="3" t="s">
        <v>64</v>
      </c>
      <c r="D400" s="3" t="s">
        <v>65</v>
      </c>
      <c r="E400" s="3" t="s">
        <v>74</v>
      </c>
      <c r="F400" s="3" t="s">
        <v>472</v>
      </c>
      <c r="G400" s="4" t="s">
        <v>85</v>
      </c>
      <c r="H400" s="4">
        <v>0</v>
      </c>
      <c r="I400" s="4">
        <v>0</v>
      </c>
      <c r="J400" s="4">
        <v>0</v>
      </c>
      <c r="K400" s="5">
        <f t="shared" si="20"/>
        <v>0</v>
      </c>
      <c r="L400" s="5">
        <v>0</v>
      </c>
      <c r="M400" s="5">
        <v>0</v>
      </c>
      <c r="N400" s="4">
        <v>1</v>
      </c>
      <c r="O400" s="5">
        <f t="shared" si="21"/>
        <v>0</v>
      </c>
      <c r="P400" s="5">
        <v>0</v>
      </c>
      <c r="Q400" s="5">
        <v>0</v>
      </c>
      <c r="R400" s="6"/>
    </row>
    <row r="401" spans="1:18" ht="38.25" x14ac:dyDescent="0.25">
      <c r="A401" s="4">
        <f t="shared" si="22"/>
        <v>133</v>
      </c>
      <c r="B401" s="3" t="s">
        <v>57</v>
      </c>
      <c r="C401" s="3" t="s">
        <v>62</v>
      </c>
      <c r="D401" s="3" t="s">
        <v>63</v>
      </c>
      <c r="E401" s="3" t="s">
        <v>244</v>
      </c>
      <c r="F401" s="3" t="s">
        <v>306</v>
      </c>
      <c r="G401" s="4" t="s">
        <v>85</v>
      </c>
      <c r="H401" s="4">
        <v>28</v>
      </c>
      <c r="I401" s="4">
        <v>11</v>
      </c>
      <c r="J401" s="4">
        <v>12</v>
      </c>
      <c r="K401" s="5">
        <f t="shared" si="20"/>
        <v>19342.23</v>
      </c>
      <c r="L401" s="5">
        <f>10382.22+1931.62</f>
        <v>12313.84</v>
      </c>
      <c r="M401" s="5">
        <f>8960.01-1931.62</f>
        <v>7028.39</v>
      </c>
      <c r="N401" s="4">
        <v>18</v>
      </c>
      <c r="O401" s="5">
        <f t="shared" si="21"/>
        <v>92362.920000000013</v>
      </c>
      <c r="P401" s="5">
        <f>75908.6+10000</f>
        <v>85908.6</v>
      </c>
      <c r="Q401" s="5">
        <f>16454.32-10000</f>
        <v>6454.32</v>
      </c>
      <c r="R401" s="6"/>
    </row>
    <row r="402" spans="1:18" x14ac:dyDescent="0.25">
      <c r="A402" s="4">
        <f t="shared" si="22"/>
        <v>134</v>
      </c>
      <c r="B402" s="3" t="s">
        <v>473</v>
      </c>
      <c r="C402" s="3" t="s">
        <v>62</v>
      </c>
      <c r="D402" s="3" t="s">
        <v>63</v>
      </c>
      <c r="E402" s="3" t="s">
        <v>63</v>
      </c>
      <c r="F402" s="3" t="s">
        <v>500</v>
      </c>
      <c r="G402" s="4" t="s">
        <v>85</v>
      </c>
      <c r="H402" s="4">
        <v>15</v>
      </c>
      <c r="I402" s="4">
        <v>5</v>
      </c>
      <c r="J402" s="4">
        <v>6</v>
      </c>
      <c r="K402" s="5">
        <f t="shared" si="20"/>
        <v>9948.6799999999985</v>
      </c>
      <c r="L402" s="5">
        <f>1613.55+8335.13</f>
        <v>9948.6799999999985</v>
      </c>
      <c r="M402" s="5">
        <v>0</v>
      </c>
      <c r="N402" s="4">
        <v>4</v>
      </c>
      <c r="O402" s="5">
        <f t="shared" si="21"/>
        <v>20865.919999999998</v>
      </c>
      <c r="P402" s="5">
        <v>20865.919999999998</v>
      </c>
      <c r="Q402" s="5">
        <v>0</v>
      </c>
      <c r="R402" s="6"/>
    </row>
    <row r="403" spans="1:18" x14ac:dyDescent="0.25">
      <c r="A403" s="4">
        <f t="shared" si="22"/>
        <v>135</v>
      </c>
      <c r="B403" s="3" t="s">
        <v>129</v>
      </c>
      <c r="C403" s="3" t="s">
        <v>62</v>
      </c>
      <c r="D403" s="3" t="s">
        <v>63</v>
      </c>
      <c r="E403" s="3" t="s">
        <v>74</v>
      </c>
      <c r="F403" s="3" t="s">
        <v>307</v>
      </c>
      <c r="G403" s="4" t="s">
        <v>85</v>
      </c>
      <c r="H403" s="4">
        <v>0</v>
      </c>
      <c r="I403" s="4">
        <v>0</v>
      </c>
      <c r="J403" s="4">
        <v>0</v>
      </c>
      <c r="K403" s="5">
        <f t="shared" si="20"/>
        <v>0</v>
      </c>
      <c r="L403" s="5">
        <v>0</v>
      </c>
      <c r="M403" s="5">
        <v>0</v>
      </c>
      <c r="N403" s="4">
        <v>2</v>
      </c>
      <c r="O403" s="5">
        <f t="shared" si="21"/>
        <v>12997.88</v>
      </c>
      <c r="P403" s="5">
        <f>2390.47+10607.41</f>
        <v>12997.88</v>
      </c>
      <c r="Q403" s="5">
        <v>0</v>
      </c>
      <c r="R403" s="6"/>
    </row>
    <row r="404" spans="1:18" ht="25.5" x14ac:dyDescent="0.25">
      <c r="A404" s="4">
        <f t="shared" si="22"/>
        <v>136</v>
      </c>
      <c r="B404" s="3" t="s">
        <v>58</v>
      </c>
      <c r="C404" s="3" t="s">
        <v>62</v>
      </c>
      <c r="D404" s="3" t="s">
        <v>63</v>
      </c>
      <c r="E404" s="3" t="s">
        <v>84</v>
      </c>
      <c r="F404" s="3" t="s">
        <v>308</v>
      </c>
      <c r="G404" s="4" t="s">
        <v>85</v>
      </c>
      <c r="H404" s="4">
        <v>195</v>
      </c>
      <c r="I404" s="4">
        <v>187</v>
      </c>
      <c r="J404" s="4">
        <v>208</v>
      </c>
      <c r="K404" s="5">
        <f t="shared" si="20"/>
        <v>195093.7</v>
      </c>
      <c r="L404" s="5">
        <f>127815.66+38000</f>
        <v>165815.66</v>
      </c>
      <c r="M404" s="5">
        <f>67278.04-38000</f>
        <v>29278.039999999994</v>
      </c>
      <c r="N404" s="4">
        <v>60</v>
      </c>
      <c r="O404" s="5">
        <f t="shared" si="21"/>
        <v>213646.16</v>
      </c>
      <c r="P404" s="5">
        <f>155989.18+40139.56</f>
        <v>196128.74</v>
      </c>
      <c r="Q404" s="5">
        <f>57656.98-40139.56</f>
        <v>17517.420000000006</v>
      </c>
      <c r="R404" s="6"/>
    </row>
    <row r="405" spans="1:18" ht="25.5" x14ac:dyDescent="0.25">
      <c r="A405" s="4">
        <f t="shared" si="22"/>
        <v>137</v>
      </c>
      <c r="B405" s="3" t="s">
        <v>59</v>
      </c>
      <c r="C405" s="3" t="s">
        <v>64</v>
      </c>
      <c r="D405" s="3" t="s">
        <v>66</v>
      </c>
      <c r="E405" s="3" t="s">
        <v>80</v>
      </c>
      <c r="F405" s="3" t="s">
        <v>309</v>
      </c>
      <c r="G405" s="4" t="s">
        <v>85</v>
      </c>
      <c r="H405" s="4">
        <v>40</v>
      </c>
      <c r="I405" s="4">
        <v>32</v>
      </c>
      <c r="J405" s="4">
        <v>48</v>
      </c>
      <c r="K405" s="5">
        <f t="shared" si="20"/>
        <v>51534.89</v>
      </c>
      <c r="L405" s="5">
        <f>31212.49+20322.4</f>
        <v>51534.89</v>
      </c>
      <c r="M405" s="5">
        <v>0</v>
      </c>
      <c r="N405" s="4">
        <v>29</v>
      </c>
      <c r="O405" s="5">
        <f t="shared" si="21"/>
        <v>84860.209999999992</v>
      </c>
      <c r="P405" s="5">
        <f>60246.84+24613.37</f>
        <v>84860.209999999992</v>
      </c>
      <c r="Q405" s="5">
        <v>0</v>
      </c>
      <c r="R405" s="6"/>
    </row>
    <row r="406" spans="1:18" x14ac:dyDescent="0.25">
      <c r="A406" s="4">
        <f t="shared" si="22"/>
        <v>138</v>
      </c>
      <c r="B406" s="3" t="s">
        <v>130</v>
      </c>
      <c r="C406" s="3" t="s">
        <v>62</v>
      </c>
      <c r="D406" s="3" t="s">
        <v>63</v>
      </c>
      <c r="E406" s="3" t="s">
        <v>74</v>
      </c>
      <c r="F406" s="3" t="s">
        <v>553</v>
      </c>
      <c r="G406" s="4" t="s">
        <v>85</v>
      </c>
      <c r="H406" s="4">
        <v>2</v>
      </c>
      <c r="I406" s="4">
        <v>1</v>
      </c>
      <c r="J406" s="4">
        <v>1</v>
      </c>
      <c r="K406" s="5">
        <f t="shared" si="20"/>
        <v>299.54000000000002</v>
      </c>
      <c r="L406" s="5">
        <v>299.54000000000002</v>
      </c>
      <c r="M406" s="5">
        <v>0</v>
      </c>
      <c r="N406" s="4">
        <v>3</v>
      </c>
      <c r="O406" s="5">
        <f t="shared" si="21"/>
        <v>20018.759999999998</v>
      </c>
      <c r="P406" s="5">
        <f>4807.33+5264.54</f>
        <v>10071.869999999999</v>
      </c>
      <c r="Q406" s="5">
        <v>9946.89</v>
      </c>
      <c r="R406" s="6"/>
    </row>
    <row r="407" spans="1:18" x14ac:dyDescent="0.25">
      <c r="A407" s="4">
        <f t="shared" si="22"/>
        <v>139</v>
      </c>
      <c r="B407" s="3" t="s">
        <v>97</v>
      </c>
      <c r="C407" s="3" t="s">
        <v>62</v>
      </c>
      <c r="D407" s="3" t="s">
        <v>63</v>
      </c>
      <c r="E407" s="3" t="s">
        <v>74</v>
      </c>
      <c r="F407" s="3" t="s">
        <v>310</v>
      </c>
      <c r="G407" s="4" t="s">
        <v>85</v>
      </c>
      <c r="H407" s="4">
        <v>6</v>
      </c>
      <c r="I407" s="4">
        <v>3</v>
      </c>
      <c r="J407" s="4">
        <v>3</v>
      </c>
      <c r="K407" s="5">
        <f t="shared" si="20"/>
        <v>3660.56</v>
      </c>
      <c r="L407" s="5">
        <f>687.18+2973.38</f>
        <v>3660.56</v>
      </c>
      <c r="M407" s="5">
        <v>0</v>
      </c>
      <c r="N407" s="4">
        <v>1</v>
      </c>
      <c r="O407" s="5">
        <f t="shared" si="21"/>
        <v>808.76</v>
      </c>
      <c r="P407" s="5">
        <v>808.76</v>
      </c>
      <c r="Q407" s="5">
        <v>0</v>
      </c>
      <c r="R407" s="6"/>
    </row>
    <row r="408" spans="1:18" ht="25.5" x14ac:dyDescent="0.25">
      <c r="A408" s="4">
        <f t="shared" si="22"/>
        <v>140</v>
      </c>
      <c r="B408" s="3" t="s">
        <v>514</v>
      </c>
      <c r="C408" s="3" t="s">
        <v>62</v>
      </c>
      <c r="D408" s="3" t="s">
        <v>63</v>
      </c>
      <c r="E408" s="3" t="s">
        <v>223</v>
      </c>
      <c r="F408" s="3" t="s">
        <v>515</v>
      </c>
      <c r="G408" s="4" t="s">
        <v>85</v>
      </c>
      <c r="H408" s="4">
        <v>15</v>
      </c>
      <c r="I408" s="4">
        <v>11</v>
      </c>
      <c r="J408" s="4">
        <v>16</v>
      </c>
      <c r="K408" s="5">
        <f t="shared" si="20"/>
        <v>21122.21</v>
      </c>
      <c r="L408" s="5">
        <f>4138.05+16984.16</f>
        <v>21122.21</v>
      </c>
      <c r="M408" s="5">
        <v>0</v>
      </c>
      <c r="N408" s="4">
        <v>0</v>
      </c>
      <c r="O408" s="5">
        <f t="shared" si="21"/>
        <v>0</v>
      </c>
      <c r="P408" s="5">
        <v>0</v>
      </c>
      <c r="Q408" s="5">
        <v>0</v>
      </c>
      <c r="R408" s="6"/>
    </row>
    <row r="409" spans="1:18" x14ac:dyDescent="0.25">
      <c r="A409" s="4">
        <f t="shared" si="22"/>
        <v>141</v>
      </c>
      <c r="B409" s="3" t="s">
        <v>132</v>
      </c>
      <c r="C409" s="3" t="s">
        <v>62</v>
      </c>
      <c r="D409" s="3" t="s">
        <v>63</v>
      </c>
      <c r="E409" s="3" t="s">
        <v>74</v>
      </c>
      <c r="F409" s="3" t="s">
        <v>311</v>
      </c>
      <c r="G409" s="4" t="s">
        <v>85</v>
      </c>
      <c r="H409" s="4">
        <v>17</v>
      </c>
      <c r="I409" s="4">
        <v>7</v>
      </c>
      <c r="J409" s="4">
        <v>8</v>
      </c>
      <c r="K409" s="5">
        <f t="shared" si="20"/>
        <v>7071.18</v>
      </c>
      <c r="L409" s="5">
        <v>7071.18</v>
      </c>
      <c r="M409" s="5">
        <v>0</v>
      </c>
      <c r="N409" s="4">
        <v>10</v>
      </c>
      <c r="O409" s="5">
        <f t="shared" si="21"/>
        <v>6240.07</v>
      </c>
      <c r="P409" s="5">
        <v>6240.07</v>
      </c>
      <c r="Q409" s="5">
        <v>0</v>
      </c>
      <c r="R409" s="6"/>
    </row>
    <row r="410" spans="1:18" ht="25.5" x14ac:dyDescent="0.25">
      <c r="A410" s="4">
        <f t="shared" si="22"/>
        <v>142</v>
      </c>
      <c r="B410" s="3" t="s">
        <v>312</v>
      </c>
      <c r="C410" s="3" t="s">
        <v>62</v>
      </c>
      <c r="D410" s="3" t="s">
        <v>63</v>
      </c>
      <c r="E410" s="3" t="s">
        <v>313</v>
      </c>
      <c r="F410" s="3" t="s">
        <v>314</v>
      </c>
      <c r="G410" s="4" t="s">
        <v>85</v>
      </c>
      <c r="H410" s="4">
        <v>41</v>
      </c>
      <c r="I410" s="4">
        <v>1</v>
      </c>
      <c r="J410" s="4">
        <v>1</v>
      </c>
      <c r="K410" s="5">
        <f t="shared" si="20"/>
        <v>0</v>
      </c>
      <c r="L410" s="5">
        <v>0</v>
      </c>
      <c r="M410" s="5">
        <v>0</v>
      </c>
      <c r="N410" s="4">
        <v>0</v>
      </c>
      <c r="O410" s="5">
        <f t="shared" si="21"/>
        <v>0</v>
      </c>
      <c r="P410" s="5">
        <v>0</v>
      </c>
      <c r="Q410" s="5">
        <v>0</v>
      </c>
      <c r="R410" s="6"/>
    </row>
    <row r="411" spans="1:18" x14ac:dyDescent="0.25">
      <c r="A411" s="4">
        <f t="shared" si="22"/>
        <v>143</v>
      </c>
      <c r="B411" s="3" t="s">
        <v>315</v>
      </c>
      <c r="C411" s="3" t="s">
        <v>62</v>
      </c>
      <c r="D411" s="3" t="s">
        <v>63</v>
      </c>
      <c r="E411" s="3" t="s">
        <v>74</v>
      </c>
      <c r="F411" s="3" t="s">
        <v>316</v>
      </c>
      <c r="G411" s="4" t="s">
        <v>85</v>
      </c>
      <c r="H411" s="4">
        <v>16</v>
      </c>
      <c r="I411" s="4">
        <v>9</v>
      </c>
      <c r="J411" s="4">
        <v>11</v>
      </c>
      <c r="K411" s="5">
        <f t="shared" si="20"/>
        <v>11020.91</v>
      </c>
      <c r="L411" s="5">
        <v>11020.91</v>
      </c>
      <c r="M411" s="5">
        <v>0</v>
      </c>
      <c r="N411" s="4">
        <v>3</v>
      </c>
      <c r="O411" s="5">
        <f t="shared" si="21"/>
        <v>3889.02</v>
      </c>
      <c r="P411" s="5">
        <v>3889.02</v>
      </c>
      <c r="Q411" s="5">
        <v>0</v>
      </c>
      <c r="R411" s="6"/>
    </row>
    <row r="412" spans="1:18" x14ac:dyDescent="0.25">
      <c r="A412" s="4">
        <f t="shared" si="22"/>
        <v>144</v>
      </c>
      <c r="B412" s="3" t="s">
        <v>317</v>
      </c>
      <c r="C412" s="3" t="s">
        <v>62</v>
      </c>
      <c r="D412" s="3" t="s">
        <v>63</v>
      </c>
      <c r="E412" s="3" t="s">
        <v>158</v>
      </c>
      <c r="F412" s="3" t="s">
        <v>474</v>
      </c>
      <c r="G412" s="4" t="s">
        <v>85</v>
      </c>
      <c r="H412" s="4">
        <v>10</v>
      </c>
      <c r="I412" s="4">
        <v>4</v>
      </c>
      <c r="J412" s="4">
        <v>4</v>
      </c>
      <c r="K412" s="5">
        <f t="shared" si="20"/>
        <v>2271.02</v>
      </c>
      <c r="L412" s="5">
        <v>2271.02</v>
      </c>
      <c r="M412" s="5">
        <v>0</v>
      </c>
      <c r="N412" s="4">
        <v>0</v>
      </c>
      <c r="O412" s="5">
        <f t="shared" si="21"/>
        <v>0</v>
      </c>
      <c r="P412" s="5">
        <v>0</v>
      </c>
      <c r="Q412" s="5">
        <v>0</v>
      </c>
      <c r="R412" s="6"/>
    </row>
    <row r="413" spans="1:18" ht="25.5" x14ac:dyDescent="0.25">
      <c r="A413" s="4">
        <f t="shared" si="22"/>
        <v>145</v>
      </c>
      <c r="B413" s="3" t="s">
        <v>318</v>
      </c>
      <c r="C413" s="3" t="s">
        <v>62</v>
      </c>
      <c r="D413" s="3" t="s">
        <v>63</v>
      </c>
      <c r="E413" s="3" t="s">
        <v>174</v>
      </c>
      <c r="F413" s="3" t="s">
        <v>319</v>
      </c>
      <c r="G413" s="4" t="s">
        <v>85</v>
      </c>
      <c r="H413" s="4">
        <v>28</v>
      </c>
      <c r="I413" s="4">
        <v>17</v>
      </c>
      <c r="J413" s="4">
        <v>20</v>
      </c>
      <c r="K413" s="5">
        <f t="shared" si="20"/>
        <v>23365.279999999999</v>
      </c>
      <c r="L413" s="5">
        <v>18510.03</v>
      </c>
      <c r="M413" s="5">
        <v>4855.25</v>
      </c>
      <c r="N413" s="4">
        <v>0</v>
      </c>
      <c r="O413" s="5">
        <f t="shared" si="21"/>
        <v>0</v>
      </c>
      <c r="P413" s="5">
        <v>0</v>
      </c>
      <c r="Q413" s="5">
        <v>0</v>
      </c>
      <c r="R413" s="6"/>
    </row>
    <row r="414" spans="1:18" x14ac:dyDescent="0.25">
      <c r="A414" s="4">
        <f t="shared" si="22"/>
        <v>146</v>
      </c>
      <c r="B414" s="3" t="s">
        <v>60</v>
      </c>
      <c r="C414" s="3" t="s">
        <v>67</v>
      </c>
      <c r="D414" s="3" t="s">
        <v>68</v>
      </c>
      <c r="E414" s="3" t="s">
        <v>74</v>
      </c>
      <c r="F414" s="3" t="s">
        <v>320</v>
      </c>
      <c r="G414" s="4" t="s">
        <v>85</v>
      </c>
      <c r="H414" s="4">
        <v>61</v>
      </c>
      <c r="I414" s="4">
        <v>51</v>
      </c>
      <c r="J414" s="4">
        <v>76</v>
      </c>
      <c r="K414" s="5">
        <f t="shared" si="20"/>
        <v>137178.44</v>
      </c>
      <c r="L414" s="5">
        <f>107467.68+29710.76</f>
        <v>137178.44</v>
      </c>
      <c r="M414" s="5">
        <v>0</v>
      </c>
      <c r="N414" s="4">
        <v>41</v>
      </c>
      <c r="O414" s="5">
        <f t="shared" si="21"/>
        <v>91294.68</v>
      </c>
      <c r="P414" s="5">
        <f>82642.29+8652.39</f>
        <v>91294.68</v>
      </c>
      <c r="Q414" s="5">
        <v>0</v>
      </c>
      <c r="R414" s="6"/>
    </row>
    <row r="415" spans="1:18" x14ac:dyDescent="0.25">
      <c r="A415" s="4">
        <f t="shared" si="22"/>
        <v>147</v>
      </c>
      <c r="B415" s="3" t="s">
        <v>61</v>
      </c>
      <c r="C415" s="3" t="s">
        <v>67</v>
      </c>
      <c r="D415" s="3" t="s">
        <v>69</v>
      </c>
      <c r="E415" s="3" t="s">
        <v>74</v>
      </c>
      <c r="F415" s="3" t="s">
        <v>321</v>
      </c>
      <c r="G415" s="4" t="s">
        <v>85</v>
      </c>
      <c r="H415" s="4">
        <v>9</v>
      </c>
      <c r="I415" s="4">
        <v>5</v>
      </c>
      <c r="J415" s="4">
        <v>6</v>
      </c>
      <c r="K415" s="5">
        <f t="shared" si="20"/>
        <v>12993.1</v>
      </c>
      <c r="L415" s="5">
        <v>11466.68</v>
      </c>
      <c r="M415" s="5">
        <v>1526.42</v>
      </c>
      <c r="N415" s="4">
        <v>7</v>
      </c>
      <c r="O415" s="5">
        <f t="shared" si="21"/>
        <v>7602.26</v>
      </c>
      <c r="P415" s="5">
        <v>7602.26</v>
      </c>
      <c r="Q415" s="5">
        <v>0</v>
      </c>
      <c r="R415" s="6"/>
    </row>
  </sheetData>
  <autoFilter ref="A8:Q137">
    <filterColumn colId="1">
      <filters>
        <filter val="Кіслова Олена Олександрівна"/>
      </filters>
    </filterColumn>
  </autoFilter>
  <mergeCells count="8">
    <mergeCell ref="B7:G7"/>
    <mergeCell ref="H7:M7"/>
    <mergeCell ref="N7:Q7"/>
    <mergeCell ref="O1:Q1"/>
    <mergeCell ref="A3:Q3"/>
    <mergeCell ref="A4:Q4"/>
    <mergeCell ref="A5:Q5"/>
    <mergeCell ref="A6:Q6"/>
  </mergeCells>
  <pageMargins left="0.31496062992125984" right="0.31496062992125984" top="0.55118110236220474" bottom="0.55118110236220474" header="0" footer="0"/>
  <pageSetup paperSize="9" scale="18" fitToWidth="2" orientation="landscape" horizontalDpi="300" verticalDpi="300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pageSetUpPr fitToPage="1"/>
  </sheetPr>
  <dimension ref="A1:R414"/>
  <sheetViews>
    <sheetView zoomScale="95" zoomScaleNormal="95" workbookViewId="0">
      <selection activeCell="B1" sqref="B1"/>
    </sheetView>
  </sheetViews>
  <sheetFormatPr defaultRowHeight="15" customHeight="1" x14ac:dyDescent="0.25"/>
  <cols>
    <col min="1" max="1" width="4" customWidth="1"/>
    <col min="2" max="2" width="36.28515625" customWidth="1"/>
    <col min="3" max="3" width="11.28515625" customWidth="1"/>
    <col min="4" max="4" width="26.28515625" customWidth="1"/>
    <col min="5" max="5" width="15.7109375" customWidth="1"/>
    <col min="6" max="8" width="19.28515625" customWidth="1"/>
    <col min="9" max="9" width="11.85546875" customWidth="1"/>
    <col min="10" max="10" width="13.140625" customWidth="1"/>
    <col min="11" max="11" width="14.5703125" customWidth="1"/>
    <col min="12" max="12" width="13.42578125" customWidth="1"/>
    <col min="13" max="13" width="13.5703125" customWidth="1"/>
    <col min="14" max="14" width="13.28515625" customWidth="1"/>
    <col min="15" max="15" width="14.42578125" customWidth="1"/>
    <col min="16" max="17" width="13.42578125" customWidth="1"/>
  </cols>
  <sheetData>
    <row r="1" spans="1:18" x14ac:dyDescent="0.25">
      <c r="A1" s="338"/>
      <c r="B1" s="338"/>
      <c r="C1" s="338"/>
      <c r="D1" s="338"/>
      <c r="E1" s="338"/>
      <c r="F1" s="338"/>
      <c r="G1" s="338"/>
      <c r="H1" s="338"/>
      <c r="I1" s="338"/>
      <c r="J1" s="338"/>
      <c r="K1" s="7"/>
      <c r="L1" s="7"/>
      <c r="M1" s="7"/>
      <c r="N1" s="338"/>
      <c r="O1" s="620" t="s">
        <v>15</v>
      </c>
      <c r="P1" s="620"/>
      <c r="Q1" s="620"/>
      <c r="R1" s="6"/>
    </row>
    <row r="2" spans="1:18" x14ac:dyDescent="0.25">
      <c r="A2" s="338"/>
      <c r="B2" s="338"/>
      <c r="C2" s="338"/>
      <c r="D2" s="338"/>
      <c r="E2" s="338"/>
      <c r="F2" s="338"/>
      <c r="G2" s="338"/>
      <c r="H2" s="338"/>
      <c r="I2" s="338"/>
      <c r="J2" s="338"/>
      <c r="K2" s="7"/>
      <c r="L2" s="7"/>
      <c r="M2" s="7"/>
      <c r="N2" s="338"/>
      <c r="O2" s="7"/>
      <c r="P2" s="7"/>
      <c r="Q2" s="7"/>
      <c r="R2" s="6"/>
    </row>
    <row r="3" spans="1:18" x14ac:dyDescent="0.25">
      <c r="A3" s="621" t="s">
        <v>323</v>
      </c>
      <c r="B3" s="621"/>
      <c r="C3" s="621"/>
      <c r="D3" s="621"/>
      <c r="E3" s="621"/>
      <c r="F3" s="621"/>
      <c r="G3" s="621"/>
      <c r="H3" s="621"/>
      <c r="I3" s="621"/>
      <c r="J3" s="621"/>
      <c r="K3" s="621"/>
      <c r="L3" s="621"/>
      <c r="M3" s="621"/>
      <c r="N3" s="621"/>
      <c r="O3" s="621"/>
      <c r="P3" s="621"/>
      <c r="Q3" s="621"/>
      <c r="R3" s="6"/>
    </row>
    <row r="4" spans="1:18" ht="18.75" x14ac:dyDescent="0.25">
      <c r="A4" s="622" t="s">
        <v>16</v>
      </c>
      <c r="B4" s="622"/>
      <c r="C4" s="622"/>
      <c r="D4" s="622"/>
      <c r="E4" s="622"/>
      <c r="F4" s="622"/>
      <c r="G4" s="622"/>
      <c r="H4" s="622"/>
      <c r="I4" s="622"/>
      <c r="J4" s="622"/>
      <c r="K4" s="622"/>
      <c r="L4" s="622"/>
      <c r="M4" s="622"/>
      <c r="N4" s="622"/>
      <c r="O4" s="622"/>
      <c r="P4" s="622"/>
      <c r="Q4" s="622"/>
      <c r="R4" s="6"/>
    </row>
    <row r="5" spans="1:18" x14ac:dyDescent="0.25">
      <c r="A5" s="623" t="s">
        <v>14</v>
      </c>
      <c r="B5" s="623"/>
      <c r="C5" s="623"/>
      <c r="D5" s="623"/>
      <c r="E5" s="623"/>
      <c r="F5" s="623"/>
      <c r="G5" s="623"/>
      <c r="H5" s="623"/>
      <c r="I5" s="623"/>
      <c r="J5" s="623"/>
      <c r="K5" s="623"/>
      <c r="L5" s="623"/>
      <c r="M5" s="623"/>
      <c r="N5" s="623"/>
      <c r="O5" s="623"/>
      <c r="P5" s="623"/>
      <c r="Q5" s="623"/>
      <c r="R5" s="6"/>
    </row>
    <row r="6" spans="1:18" ht="21" x14ac:dyDescent="0.25">
      <c r="A6" s="624" t="s">
        <v>17</v>
      </c>
      <c r="B6" s="624"/>
      <c r="C6" s="624"/>
      <c r="D6" s="624"/>
      <c r="E6" s="624"/>
      <c r="F6" s="624"/>
      <c r="G6" s="624"/>
      <c r="H6" s="624"/>
      <c r="I6" s="624"/>
      <c r="J6" s="624"/>
      <c r="K6" s="624"/>
      <c r="L6" s="624"/>
      <c r="M6" s="624"/>
      <c r="N6" s="624"/>
      <c r="O6" s="624"/>
      <c r="P6" s="624"/>
      <c r="Q6" s="624"/>
      <c r="R6" s="6"/>
    </row>
    <row r="7" spans="1:18" x14ac:dyDescent="0.25">
      <c r="A7" s="9" t="s">
        <v>0</v>
      </c>
      <c r="B7" s="617" t="s">
        <v>10</v>
      </c>
      <c r="C7" s="618"/>
      <c r="D7" s="618"/>
      <c r="E7" s="618"/>
      <c r="F7" s="618"/>
      <c r="G7" s="619"/>
      <c r="H7" s="617" t="s">
        <v>322</v>
      </c>
      <c r="I7" s="618"/>
      <c r="J7" s="618"/>
      <c r="K7" s="618"/>
      <c r="L7" s="618"/>
      <c r="M7" s="618"/>
      <c r="N7" s="617" t="s">
        <v>324</v>
      </c>
      <c r="O7" s="618"/>
      <c r="P7" s="618"/>
      <c r="Q7" s="619"/>
      <c r="R7" s="6"/>
    </row>
    <row r="8" spans="1:18" ht="102" x14ac:dyDescent="0.25">
      <c r="A8" s="10"/>
      <c r="B8" s="11" t="s">
        <v>4</v>
      </c>
      <c r="C8" s="11" t="s">
        <v>1</v>
      </c>
      <c r="D8" s="11" t="s">
        <v>3</v>
      </c>
      <c r="E8" s="11" t="s">
        <v>2</v>
      </c>
      <c r="F8" s="11" t="s">
        <v>6</v>
      </c>
      <c r="G8" s="11" t="s">
        <v>5</v>
      </c>
      <c r="H8" s="12" t="s">
        <v>7</v>
      </c>
      <c r="I8" s="13" t="s">
        <v>8</v>
      </c>
      <c r="J8" s="13" t="s">
        <v>9</v>
      </c>
      <c r="K8" s="14" t="s">
        <v>11</v>
      </c>
      <c r="L8" s="14" t="s">
        <v>12</v>
      </c>
      <c r="M8" s="14" t="s">
        <v>13</v>
      </c>
      <c r="N8" s="13" t="s">
        <v>9</v>
      </c>
      <c r="O8" s="14" t="s">
        <v>11</v>
      </c>
      <c r="P8" s="14" t="s">
        <v>12</v>
      </c>
      <c r="Q8" s="15" t="s">
        <v>13</v>
      </c>
      <c r="R8" s="6"/>
    </row>
    <row r="9" spans="1:18" s="297" customFormat="1" ht="25.5" hidden="1" x14ac:dyDescent="0.25">
      <c r="A9" s="190">
        <v>1</v>
      </c>
      <c r="B9" s="136" t="s">
        <v>134</v>
      </c>
      <c r="C9" s="134" t="s">
        <v>62</v>
      </c>
      <c r="D9" s="136"/>
      <c r="E9" s="134" t="s">
        <v>74</v>
      </c>
      <c r="F9" s="134" t="s">
        <v>408</v>
      </c>
      <c r="G9" s="136" t="s">
        <v>409</v>
      </c>
      <c r="H9" s="191">
        <v>25</v>
      </c>
      <c r="I9" s="191">
        <v>8</v>
      </c>
      <c r="J9" s="191">
        <v>8</v>
      </c>
      <c r="K9" s="192">
        <v>8844</v>
      </c>
      <c r="L9" s="192">
        <v>3910.4</v>
      </c>
      <c r="M9" s="193">
        <f t="shared" ref="M9:M52" si="0">K9-L9</f>
        <v>4933.6000000000004</v>
      </c>
      <c r="N9" s="191">
        <v>6</v>
      </c>
      <c r="O9" s="192">
        <v>15114.1</v>
      </c>
      <c r="P9" s="192">
        <v>13457.2</v>
      </c>
      <c r="Q9" s="192">
        <f t="shared" ref="Q9:Q52" si="1">O9-P9</f>
        <v>1656.8999999999996</v>
      </c>
      <c r="R9" s="296"/>
    </row>
    <row r="10" spans="1:18" s="297" customFormat="1" ht="25.5" hidden="1" x14ac:dyDescent="0.25">
      <c r="A10" s="190">
        <v>2</v>
      </c>
      <c r="B10" s="136" t="s">
        <v>335</v>
      </c>
      <c r="C10" s="134" t="s">
        <v>62</v>
      </c>
      <c r="D10" s="136"/>
      <c r="E10" s="134" t="s">
        <v>74</v>
      </c>
      <c r="F10" s="134" t="s">
        <v>410</v>
      </c>
      <c r="G10" s="136" t="s">
        <v>409</v>
      </c>
      <c r="H10" s="191">
        <v>12</v>
      </c>
      <c r="I10" s="191">
        <v>5</v>
      </c>
      <c r="J10" s="191">
        <v>5</v>
      </c>
      <c r="K10" s="192">
        <v>5675.4</v>
      </c>
      <c r="L10" s="192">
        <v>5146.8</v>
      </c>
      <c r="M10" s="193">
        <f t="shared" si="0"/>
        <v>528.59999999999945</v>
      </c>
      <c r="N10" s="191">
        <v>12</v>
      </c>
      <c r="O10" s="192">
        <v>16642.8</v>
      </c>
      <c r="P10" s="192">
        <v>10652</v>
      </c>
      <c r="Q10" s="192">
        <f t="shared" si="1"/>
        <v>5990.7999999999993</v>
      </c>
      <c r="R10" s="296"/>
    </row>
    <row r="11" spans="1:18" s="297" customFormat="1" ht="38.25" hidden="1" x14ac:dyDescent="0.25">
      <c r="A11" s="190">
        <v>3</v>
      </c>
      <c r="B11" s="136" t="s">
        <v>46</v>
      </c>
      <c r="C11" s="134" t="s">
        <v>62</v>
      </c>
      <c r="D11" s="136"/>
      <c r="E11" s="134" t="s">
        <v>267</v>
      </c>
      <c r="F11" s="134" t="s">
        <v>411</v>
      </c>
      <c r="G11" s="136" t="s">
        <v>409</v>
      </c>
      <c r="H11" s="191">
        <v>29</v>
      </c>
      <c r="I11" s="191">
        <v>17</v>
      </c>
      <c r="J11" s="191">
        <v>17</v>
      </c>
      <c r="K11" s="192">
        <v>28352.5</v>
      </c>
      <c r="L11" s="192">
        <v>9866.6</v>
      </c>
      <c r="M11" s="193">
        <f t="shared" si="0"/>
        <v>18485.900000000001</v>
      </c>
      <c r="N11" s="191">
        <v>18</v>
      </c>
      <c r="O11" s="192">
        <v>28461.056</v>
      </c>
      <c r="P11" s="192">
        <v>25515.45</v>
      </c>
      <c r="Q11" s="192">
        <f t="shared" si="1"/>
        <v>2945.6059999999998</v>
      </c>
      <c r="R11" s="296"/>
    </row>
    <row r="12" spans="1:18" s="297" customFormat="1" ht="25.5" hidden="1" x14ac:dyDescent="0.25">
      <c r="A12" s="190">
        <v>4</v>
      </c>
      <c r="B12" s="136" t="s">
        <v>36</v>
      </c>
      <c r="C12" s="134" t="s">
        <v>62</v>
      </c>
      <c r="D12" s="136"/>
      <c r="E12" s="134" t="s">
        <v>74</v>
      </c>
      <c r="F12" s="134" t="s">
        <v>412</v>
      </c>
      <c r="G12" s="136" t="s">
        <v>409</v>
      </c>
      <c r="H12" s="191">
        <v>25</v>
      </c>
      <c r="I12" s="191">
        <v>11</v>
      </c>
      <c r="J12" s="191">
        <v>11</v>
      </c>
      <c r="K12" s="192">
        <v>15787.52</v>
      </c>
      <c r="L12" s="192">
        <v>14906.52</v>
      </c>
      <c r="M12" s="193">
        <f t="shared" si="0"/>
        <v>881</v>
      </c>
      <c r="N12" s="191">
        <v>19</v>
      </c>
      <c r="O12" s="192">
        <v>54022.92</v>
      </c>
      <c r="P12" s="192">
        <v>34112.32</v>
      </c>
      <c r="Q12" s="192">
        <f t="shared" si="1"/>
        <v>19910.599999999999</v>
      </c>
      <c r="R12" s="296"/>
    </row>
    <row r="13" spans="1:18" s="297" customFormat="1" ht="25.5" hidden="1" x14ac:dyDescent="0.25">
      <c r="A13" s="190">
        <v>5</v>
      </c>
      <c r="B13" s="136" t="s">
        <v>27</v>
      </c>
      <c r="C13" s="134" t="s">
        <v>62</v>
      </c>
      <c r="D13" s="136"/>
      <c r="E13" s="134" t="s">
        <v>74</v>
      </c>
      <c r="F13" s="134" t="s">
        <v>413</v>
      </c>
      <c r="G13" s="136" t="s">
        <v>409</v>
      </c>
      <c r="H13" s="191">
        <v>10</v>
      </c>
      <c r="I13" s="191">
        <v>6</v>
      </c>
      <c r="J13" s="191">
        <v>6</v>
      </c>
      <c r="K13" s="192">
        <v>11514.02</v>
      </c>
      <c r="L13" s="192">
        <v>5051.82</v>
      </c>
      <c r="M13" s="193">
        <f t="shared" si="0"/>
        <v>6462.2000000000007</v>
      </c>
      <c r="N13" s="191">
        <v>9</v>
      </c>
      <c r="O13" s="192">
        <v>18274.5</v>
      </c>
      <c r="P13" s="192">
        <v>16676.7</v>
      </c>
      <c r="Q13" s="192">
        <f t="shared" si="1"/>
        <v>1597.7999999999993</v>
      </c>
      <c r="R13" s="296"/>
    </row>
    <row r="14" spans="1:18" s="297" customFormat="1" ht="25.5" hidden="1" x14ac:dyDescent="0.25">
      <c r="A14" s="190">
        <v>6</v>
      </c>
      <c r="B14" s="136" t="s">
        <v>28</v>
      </c>
      <c r="C14" s="134" t="s">
        <v>62</v>
      </c>
      <c r="D14" s="136"/>
      <c r="E14" s="134" t="s">
        <v>74</v>
      </c>
      <c r="F14" s="134" t="s">
        <v>414</v>
      </c>
      <c r="G14" s="136" t="s">
        <v>409</v>
      </c>
      <c r="H14" s="191">
        <v>27</v>
      </c>
      <c r="I14" s="191">
        <v>11</v>
      </c>
      <c r="J14" s="191">
        <v>11</v>
      </c>
      <c r="K14" s="192">
        <v>14096.62</v>
      </c>
      <c r="L14" s="192">
        <v>7858.52</v>
      </c>
      <c r="M14" s="193">
        <f t="shared" si="0"/>
        <v>6238.1</v>
      </c>
      <c r="N14" s="191">
        <v>11</v>
      </c>
      <c r="O14" s="192">
        <v>20692</v>
      </c>
      <c r="P14" s="192">
        <v>12334</v>
      </c>
      <c r="Q14" s="192">
        <f t="shared" si="1"/>
        <v>8358</v>
      </c>
      <c r="R14" s="296"/>
    </row>
    <row r="15" spans="1:18" s="297" customFormat="1" ht="25.5" hidden="1" x14ac:dyDescent="0.25">
      <c r="A15" s="190">
        <v>7</v>
      </c>
      <c r="B15" s="298" t="s">
        <v>246</v>
      </c>
      <c r="C15" s="190" t="s">
        <v>62</v>
      </c>
      <c r="D15" s="298"/>
      <c r="E15" s="134" t="s">
        <v>74</v>
      </c>
      <c r="F15" s="190" t="s">
        <v>415</v>
      </c>
      <c r="G15" s="136" t="s">
        <v>409</v>
      </c>
      <c r="H15" s="191">
        <v>26</v>
      </c>
      <c r="I15" s="191">
        <v>5</v>
      </c>
      <c r="J15" s="191">
        <v>5</v>
      </c>
      <c r="K15" s="192">
        <v>5673.64</v>
      </c>
      <c r="L15" s="192">
        <v>1374.36</v>
      </c>
      <c r="M15" s="193">
        <f t="shared" si="0"/>
        <v>4299.2800000000007</v>
      </c>
      <c r="N15" s="191">
        <v>0</v>
      </c>
      <c r="O15" s="192">
        <v>0</v>
      </c>
      <c r="P15" s="192">
        <v>0</v>
      </c>
      <c r="Q15" s="192">
        <f t="shared" si="1"/>
        <v>0</v>
      </c>
      <c r="R15" s="296"/>
    </row>
    <row r="16" spans="1:18" s="297" customFormat="1" ht="25.5" hidden="1" x14ac:dyDescent="0.25">
      <c r="A16" s="203">
        <v>8</v>
      </c>
      <c r="B16" s="195" t="s">
        <v>330</v>
      </c>
      <c r="C16" s="190" t="s">
        <v>62</v>
      </c>
      <c r="D16" s="298"/>
      <c r="E16" s="134" t="s">
        <v>74</v>
      </c>
      <c r="F16" s="190" t="s">
        <v>416</v>
      </c>
      <c r="G16" s="136" t="s">
        <v>409</v>
      </c>
      <c r="H16" s="191">
        <v>5</v>
      </c>
      <c r="I16" s="191">
        <v>0</v>
      </c>
      <c r="J16" s="191">
        <v>0</v>
      </c>
      <c r="K16" s="192">
        <v>0</v>
      </c>
      <c r="L16" s="192">
        <v>0</v>
      </c>
      <c r="M16" s="193">
        <f t="shared" si="0"/>
        <v>0</v>
      </c>
      <c r="N16" s="191">
        <v>0</v>
      </c>
      <c r="O16" s="192">
        <v>0</v>
      </c>
      <c r="P16" s="192">
        <v>0</v>
      </c>
      <c r="Q16" s="192">
        <f t="shared" si="1"/>
        <v>0</v>
      </c>
      <c r="R16" s="296"/>
    </row>
    <row r="17" spans="1:18" s="297" customFormat="1" ht="25.5" hidden="1" x14ac:dyDescent="0.25">
      <c r="A17" s="203">
        <v>9</v>
      </c>
      <c r="B17" s="195" t="s">
        <v>402</v>
      </c>
      <c r="C17" s="190" t="s">
        <v>62</v>
      </c>
      <c r="D17" s="298"/>
      <c r="E17" s="134" t="s">
        <v>74</v>
      </c>
      <c r="F17" s="190" t="s">
        <v>417</v>
      </c>
      <c r="G17" s="136" t="s">
        <v>409</v>
      </c>
      <c r="H17" s="191">
        <v>18</v>
      </c>
      <c r="I17" s="191">
        <v>8</v>
      </c>
      <c r="J17" s="191">
        <v>8</v>
      </c>
      <c r="K17" s="192">
        <v>10290.82</v>
      </c>
      <c r="L17" s="192">
        <v>4968.82</v>
      </c>
      <c r="M17" s="193">
        <f t="shared" si="0"/>
        <v>5322</v>
      </c>
      <c r="N17" s="191">
        <v>0</v>
      </c>
      <c r="O17" s="192">
        <v>0</v>
      </c>
      <c r="P17" s="192">
        <v>0</v>
      </c>
      <c r="Q17" s="192">
        <f t="shared" si="1"/>
        <v>0</v>
      </c>
      <c r="R17" s="296"/>
    </row>
    <row r="18" spans="1:18" s="297" customFormat="1" ht="25.5" hidden="1" x14ac:dyDescent="0.25">
      <c r="A18" s="203">
        <v>10</v>
      </c>
      <c r="B18" s="195" t="s">
        <v>154</v>
      </c>
      <c r="C18" s="190" t="s">
        <v>62</v>
      </c>
      <c r="D18" s="298"/>
      <c r="E18" s="134" t="s">
        <v>72</v>
      </c>
      <c r="F18" s="190" t="s">
        <v>418</v>
      </c>
      <c r="G18" s="136" t="s">
        <v>409</v>
      </c>
      <c r="H18" s="191">
        <v>8</v>
      </c>
      <c r="I18" s="191">
        <v>1</v>
      </c>
      <c r="J18" s="191">
        <v>1</v>
      </c>
      <c r="K18" s="192">
        <v>925.05</v>
      </c>
      <c r="L18" s="192">
        <v>0</v>
      </c>
      <c r="M18" s="193">
        <f t="shared" si="0"/>
        <v>925.05</v>
      </c>
      <c r="N18" s="191">
        <v>7</v>
      </c>
      <c r="O18" s="192">
        <v>8966.7000000000007</v>
      </c>
      <c r="P18" s="192">
        <v>4737.8999999999996</v>
      </c>
      <c r="Q18" s="192">
        <f t="shared" si="1"/>
        <v>4228.8000000000011</v>
      </c>
      <c r="R18" s="296"/>
    </row>
    <row r="19" spans="1:18" s="297" customFormat="1" ht="25.5" hidden="1" x14ac:dyDescent="0.25">
      <c r="A19" s="203">
        <v>12</v>
      </c>
      <c r="B19" s="195" t="s">
        <v>89</v>
      </c>
      <c r="C19" s="190" t="s">
        <v>62</v>
      </c>
      <c r="D19" s="298"/>
      <c r="E19" s="134" t="s">
        <v>74</v>
      </c>
      <c r="F19" s="190" t="s">
        <v>420</v>
      </c>
      <c r="G19" s="136" t="s">
        <v>409</v>
      </c>
      <c r="H19" s="191">
        <v>12</v>
      </c>
      <c r="I19" s="191">
        <v>4</v>
      </c>
      <c r="J19" s="191">
        <v>4</v>
      </c>
      <c r="K19" s="192">
        <v>6122.95</v>
      </c>
      <c r="L19" s="192">
        <v>528.6</v>
      </c>
      <c r="M19" s="193">
        <f t="shared" si="0"/>
        <v>5594.3499999999995</v>
      </c>
      <c r="N19" s="191">
        <v>3</v>
      </c>
      <c r="O19" s="192">
        <v>9514.7999999999993</v>
      </c>
      <c r="P19" s="192">
        <v>4052.6</v>
      </c>
      <c r="Q19" s="192">
        <f t="shared" si="1"/>
        <v>5462.1999999999989</v>
      </c>
      <c r="R19" s="296"/>
    </row>
    <row r="20" spans="1:18" s="297" customFormat="1" ht="25.5" hidden="1" x14ac:dyDescent="0.25">
      <c r="A20" s="203">
        <v>13</v>
      </c>
      <c r="B20" s="195" t="s">
        <v>379</v>
      </c>
      <c r="C20" s="190" t="s">
        <v>62</v>
      </c>
      <c r="D20" s="298"/>
      <c r="E20" s="134" t="s">
        <v>74</v>
      </c>
      <c r="F20" s="190" t="s">
        <v>421</v>
      </c>
      <c r="G20" s="136" t="s">
        <v>409</v>
      </c>
      <c r="H20" s="191">
        <v>6</v>
      </c>
      <c r="I20" s="191">
        <v>2</v>
      </c>
      <c r="J20" s="191">
        <v>2</v>
      </c>
      <c r="K20" s="192">
        <v>1409.6</v>
      </c>
      <c r="L20" s="192">
        <v>1409.6</v>
      </c>
      <c r="M20" s="193">
        <f t="shared" si="0"/>
        <v>0</v>
      </c>
      <c r="N20" s="191">
        <v>0</v>
      </c>
      <c r="O20" s="192">
        <v>0</v>
      </c>
      <c r="P20" s="192">
        <v>0</v>
      </c>
      <c r="Q20" s="192">
        <f t="shared" si="1"/>
        <v>0</v>
      </c>
      <c r="R20" s="296"/>
    </row>
    <row r="21" spans="1:18" s="297" customFormat="1" ht="25.5" hidden="1" x14ac:dyDescent="0.25">
      <c r="A21" s="203">
        <v>14</v>
      </c>
      <c r="B21" s="195" t="s">
        <v>264</v>
      </c>
      <c r="C21" s="190" t="s">
        <v>62</v>
      </c>
      <c r="D21" s="298"/>
      <c r="E21" s="134" t="s">
        <v>74</v>
      </c>
      <c r="F21" s="190" t="s">
        <v>422</v>
      </c>
      <c r="G21" s="136" t="s">
        <v>409</v>
      </c>
      <c r="H21" s="191">
        <v>3</v>
      </c>
      <c r="I21" s="191">
        <v>0</v>
      </c>
      <c r="J21" s="191">
        <v>0</v>
      </c>
      <c r="K21" s="192">
        <v>0</v>
      </c>
      <c r="L21" s="192">
        <v>0</v>
      </c>
      <c r="M21" s="193">
        <f t="shared" si="0"/>
        <v>0</v>
      </c>
      <c r="N21" s="191">
        <v>0</v>
      </c>
      <c r="O21" s="192">
        <v>0</v>
      </c>
      <c r="P21" s="192">
        <v>0</v>
      </c>
      <c r="Q21" s="192">
        <f t="shared" si="1"/>
        <v>0</v>
      </c>
      <c r="R21" s="296"/>
    </row>
    <row r="22" spans="1:18" s="297" customFormat="1" ht="25.5" hidden="1" x14ac:dyDescent="0.25">
      <c r="A22" s="203">
        <v>15</v>
      </c>
      <c r="B22" s="195" t="s">
        <v>475</v>
      </c>
      <c r="C22" s="190" t="s">
        <v>67</v>
      </c>
      <c r="D22" s="136" t="s">
        <v>123</v>
      </c>
      <c r="E22" s="134" t="s">
        <v>82</v>
      </c>
      <c r="F22" s="190" t="s">
        <v>423</v>
      </c>
      <c r="G22" s="136" t="s">
        <v>409</v>
      </c>
      <c r="H22" s="191">
        <v>3</v>
      </c>
      <c r="I22" s="191">
        <v>0</v>
      </c>
      <c r="J22" s="191">
        <v>0</v>
      </c>
      <c r="K22" s="192">
        <v>0</v>
      </c>
      <c r="L22" s="192">
        <v>0</v>
      </c>
      <c r="M22" s="193">
        <f t="shared" si="0"/>
        <v>0</v>
      </c>
      <c r="N22" s="191">
        <v>0</v>
      </c>
      <c r="O22" s="192">
        <v>0</v>
      </c>
      <c r="P22" s="192">
        <v>0</v>
      </c>
      <c r="Q22" s="192">
        <f t="shared" si="1"/>
        <v>0</v>
      </c>
      <c r="R22" s="296"/>
    </row>
    <row r="23" spans="1:18" s="297" customFormat="1" ht="25.5" hidden="1" x14ac:dyDescent="0.25">
      <c r="A23" s="203">
        <v>16</v>
      </c>
      <c r="B23" s="195" t="s">
        <v>137</v>
      </c>
      <c r="C23" s="190" t="s">
        <v>62</v>
      </c>
      <c r="D23" s="298"/>
      <c r="E23" s="134" t="s">
        <v>78</v>
      </c>
      <c r="F23" s="190" t="s">
        <v>424</v>
      </c>
      <c r="G23" s="136" t="s">
        <v>409</v>
      </c>
      <c r="H23" s="191">
        <v>4</v>
      </c>
      <c r="I23" s="191">
        <v>1</v>
      </c>
      <c r="J23" s="191">
        <v>1</v>
      </c>
      <c r="K23" s="192">
        <v>1691.52</v>
      </c>
      <c r="L23" s="192">
        <v>1691.52</v>
      </c>
      <c r="M23" s="193">
        <f t="shared" si="0"/>
        <v>0</v>
      </c>
      <c r="N23" s="191">
        <v>0</v>
      </c>
      <c r="O23" s="192">
        <v>0</v>
      </c>
      <c r="P23" s="192">
        <v>0</v>
      </c>
      <c r="Q23" s="192">
        <f t="shared" si="1"/>
        <v>0</v>
      </c>
      <c r="R23" s="296"/>
    </row>
    <row r="24" spans="1:18" s="297" customFormat="1" ht="25.5" hidden="1" x14ac:dyDescent="0.25">
      <c r="A24" s="203">
        <v>17</v>
      </c>
      <c r="B24" s="195" t="s">
        <v>173</v>
      </c>
      <c r="C24" s="190" t="s">
        <v>67</v>
      </c>
      <c r="D24" s="298" t="s">
        <v>425</v>
      </c>
      <c r="E24" s="134" t="s">
        <v>74</v>
      </c>
      <c r="F24" s="190" t="s">
        <v>426</v>
      </c>
      <c r="G24" s="136" t="s">
        <v>409</v>
      </c>
      <c r="H24" s="191">
        <v>12</v>
      </c>
      <c r="I24" s="191">
        <v>3</v>
      </c>
      <c r="J24" s="191">
        <v>3</v>
      </c>
      <c r="K24" s="192">
        <v>6167</v>
      </c>
      <c r="L24" s="192">
        <v>2114.4</v>
      </c>
      <c r="M24" s="193">
        <f t="shared" si="0"/>
        <v>4052.6</v>
      </c>
      <c r="N24" s="191">
        <v>0</v>
      </c>
      <c r="O24" s="192">
        <v>0</v>
      </c>
      <c r="P24" s="192">
        <v>0</v>
      </c>
      <c r="Q24" s="192">
        <f t="shared" si="1"/>
        <v>0</v>
      </c>
      <c r="R24" s="296"/>
    </row>
    <row r="25" spans="1:18" s="297" customFormat="1" ht="25.5" hidden="1" x14ac:dyDescent="0.25">
      <c r="A25" s="203">
        <v>18</v>
      </c>
      <c r="B25" s="195" t="s">
        <v>135</v>
      </c>
      <c r="C25" s="190" t="s">
        <v>62</v>
      </c>
      <c r="D25" s="298"/>
      <c r="E25" s="134" t="s">
        <v>74</v>
      </c>
      <c r="F25" s="190" t="s">
        <v>427</v>
      </c>
      <c r="G25" s="136" t="s">
        <v>409</v>
      </c>
      <c r="H25" s="191">
        <v>4</v>
      </c>
      <c r="I25" s="191">
        <v>2</v>
      </c>
      <c r="J25" s="191">
        <v>2</v>
      </c>
      <c r="K25" s="192">
        <v>2396.3200000000002</v>
      </c>
      <c r="L25" s="192">
        <v>2396.3200000000002</v>
      </c>
      <c r="M25" s="193">
        <f t="shared" si="0"/>
        <v>0</v>
      </c>
      <c r="N25" s="191">
        <v>4</v>
      </c>
      <c r="O25" s="192">
        <v>12758.52</v>
      </c>
      <c r="P25" s="192">
        <v>12758.52</v>
      </c>
      <c r="Q25" s="192">
        <f t="shared" si="1"/>
        <v>0</v>
      </c>
      <c r="R25" s="296"/>
    </row>
    <row r="26" spans="1:18" s="297" customFormat="1" ht="25.5" hidden="1" x14ac:dyDescent="0.25">
      <c r="A26" s="203">
        <v>19</v>
      </c>
      <c r="B26" s="195" t="s">
        <v>148</v>
      </c>
      <c r="C26" s="190" t="s">
        <v>62</v>
      </c>
      <c r="D26" s="298"/>
      <c r="E26" s="134" t="s">
        <v>149</v>
      </c>
      <c r="F26" s="190" t="s">
        <v>375</v>
      </c>
      <c r="G26" s="136" t="s">
        <v>409</v>
      </c>
      <c r="H26" s="191">
        <v>21</v>
      </c>
      <c r="I26" s="191">
        <v>8</v>
      </c>
      <c r="J26" s="191">
        <v>8</v>
      </c>
      <c r="K26" s="192">
        <v>22810.97</v>
      </c>
      <c r="L26" s="192">
        <v>0</v>
      </c>
      <c r="M26" s="193">
        <f t="shared" si="0"/>
        <v>22810.97</v>
      </c>
      <c r="N26" s="191">
        <v>23</v>
      </c>
      <c r="O26" s="192">
        <v>70713.39</v>
      </c>
      <c r="P26" s="192">
        <v>34292.080000000002</v>
      </c>
      <c r="Q26" s="192">
        <f t="shared" si="1"/>
        <v>36421.31</v>
      </c>
      <c r="R26" s="296"/>
    </row>
    <row r="27" spans="1:18" s="297" customFormat="1" ht="25.5" hidden="1" x14ac:dyDescent="0.25">
      <c r="A27" s="203">
        <v>20</v>
      </c>
      <c r="B27" s="195" t="s">
        <v>147</v>
      </c>
      <c r="C27" s="190" t="s">
        <v>62</v>
      </c>
      <c r="D27" s="298"/>
      <c r="E27" s="134" t="s">
        <v>74</v>
      </c>
      <c r="F27" s="190" t="s">
        <v>331</v>
      </c>
      <c r="G27" s="136" t="s">
        <v>409</v>
      </c>
      <c r="H27" s="191">
        <v>6</v>
      </c>
      <c r="I27" s="191">
        <v>1</v>
      </c>
      <c r="J27" s="191">
        <v>1</v>
      </c>
      <c r="K27" s="192">
        <v>1233.4000000000001</v>
      </c>
      <c r="L27" s="192">
        <v>0</v>
      </c>
      <c r="M27" s="193">
        <f t="shared" si="0"/>
        <v>1233.4000000000001</v>
      </c>
      <c r="N27" s="191">
        <v>10</v>
      </c>
      <c r="O27" s="192">
        <v>22395.4</v>
      </c>
      <c r="P27" s="192">
        <v>10763.2</v>
      </c>
      <c r="Q27" s="192">
        <f t="shared" si="1"/>
        <v>11632.2</v>
      </c>
      <c r="R27" s="296"/>
    </row>
    <row r="28" spans="1:18" s="297" customFormat="1" ht="25.5" hidden="1" x14ac:dyDescent="0.25">
      <c r="A28" s="203">
        <v>21</v>
      </c>
      <c r="B28" s="195" t="s">
        <v>124</v>
      </c>
      <c r="C28" s="190" t="s">
        <v>62</v>
      </c>
      <c r="D28" s="298"/>
      <c r="E28" s="134" t="s">
        <v>428</v>
      </c>
      <c r="F28" s="190" t="s">
        <v>329</v>
      </c>
      <c r="G28" s="136" t="s">
        <v>409</v>
      </c>
      <c r="H28" s="191">
        <v>17</v>
      </c>
      <c r="I28" s="191">
        <v>2</v>
      </c>
      <c r="J28" s="191">
        <v>2</v>
      </c>
      <c r="K28" s="192">
        <v>2290.6</v>
      </c>
      <c r="L28" s="192">
        <v>1762</v>
      </c>
      <c r="M28" s="193">
        <f t="shared" si="0"/>
        <v>528.59999999999991</v>
      </c>
      <c r="N28" s="191">
        <v>20</v>
      </c>
      <c r="O28" s="192">
        <v>29980.5</v>
      </c>
      <c r="P28" s="192">
        <v>18624.53</v>
      </c>
      <c r="Q28" s="192">
        <f t="shared" si="1"/>
        <v>11355.970000000001</v>
      </c>
      <c r="R28" s="296"/>
    </row>
    <row r="29" spans="1:18" s="297" customFormat="1" ht="25.5" hidden="1" x14ac:dyDescent="0.25">
      <c r="A29" s="203">
        <v>22</v>
      </c>
      <c r="B29" s="195" t="s">
        <v>168</v>
      </c>
      <c r="C29" s="190" t="s">
        <v>62</v>
      </c>
      <c r="D29" s="298"/>
      <c r="E29" s="190" t="s">
        <v>371</v>
      </c>
      <c r="F29" s="190" t="s">
        <v>353</v>
      </c>
      <c r="G29" s="136" t="s">
        <v>409</v>
      </c>
      <c r="H29" s="191">
        <v>6</v>
      </c>
      <c r="I29" s="191">
        <v>1</v>
      </c>
      <c r="J29" s="191">
        <v>1</v>
      </c>
      <c r="K29" s="192">
        <v>1409.6</v>
      </c>
      <c r="L29" s="192">
        <v>0</v>
      </c>
      <c r="M29" s="193">
        <f t="shared" si="0"/>
        <v>1409.6</v>
      </c>
      <c r="N29" s="191">
        <v>0</v>
      </c>
      <c r="O29" s="192">
        <v>0</v>
      </c>
      <c r="P29" s="192">
        <v>0</v>
      </c>
      <c r="Q29" s="192">
        <f t="shared" si="1"/>
        <v>0</v>
      </c>
      <c r="R29" s="296"/>
    </row>
    <row r="30" spans="1:18" s="297" customFormat="1" ht="25.5" hidden="1" x14ac:dyDescent="0.25">
      <c r="A30" s="203">
        <v>23</v>
      </c>
      <c r="B30" s="195" t="s">
        <v>429</v>
      </c>
      <c r="C30" s="190" t="s">
        <v>62</v>
      </c>
      <c r="D30" s="298"/>
      <c r="E30" s="134" t="s">
        <v>74</v>
      </c>
      <c r="F30" s="190" t="s">
        <v>430</v>
      </c>
      <c r="G30" s="136" t="s">
        <v>409</v>
      </c>
      <c r="H30" s="191">
        <v>6</v>
      </c>
      <c r="I30" s="191">
        <v>3</v>
      </c>
      <c r="J30" s="191">
        <v>3</v>
      </c>
      <c r="K30" s="192">
        <v>5178.84</v>
      </c>
      <c r="L30" s="192">
        <v>2748.72</v>
      </c>
      <c r="M30" s="193">
        <f t="shared" si="0"/>
        <v>2430.1200000000003</v>
      </c>
      <c r="N30" s="191">
        <v>7</v>
      </c>
      <c r="O30" s="192">
        <v>6995.76</v>
      </c>
      <c r="P30" s="192">
        <v>3488.76</v>
      </c>
      <c r="Q30" s="192">
        <f t="shared" si="1"/>
        <v>3507</v>
      </c>
      <c r="R30" s="296"/>
    </row>
    <row r="31" spans="1:18" s="297" customFormat="1" ht="25.5" hidden="1" x14ac:dyDescent="0.25">
      <c r="A31" s="203">
        <v>24</v>
      </c>
      <c r="B31" s="195" t="s">
        <v>130</v>
      </c>
      <c r="C31" s="190" t="s">
        <v>62</v>
      </c>
      <c r="D31" s="298"/>
      <c r="E31" s="134" t="s">
        <v>74</v>
      </c>
      <c r="F31" s="190" t="s">
        <v>431</v>
      </c>
      <c r="G31" s="136" t="s">
        <v>409</v>
      </c>
      <c r="H31" s="191">
        <v>4</v>
      </c>
      <c r="I31" s="191">
        <v>4</v>
      </c>
      <c r="J31" s="191">
        <v>4</v>
      </c>
      <c r="K31" s="192">
        <v>5204.28</v>
      </c>
      <c r="L31" s="192">
        <v>2220.12</v>
      </c>
      <c r="M31" s="193">
        <f t="shared" si="0"/>
        <v>2984.16</v>
      </c>
      <c r="N31" s="191">
        <v>4</v>
      </c>
      <c r="O31" s="192">
        <v>8531.4599999999991</v>
      </c>
      <c r="P31" s="192">
        <v>845.76</v>
      </c>
      <c r="Q31" s="192">
        <f t="shared" si="1"/>
        <v>7685.6999999999989</v>
      </c>
      <c r="R31" s="296"/>
    </row>
    <row r="32" spans="1:18" s="297" customFormat="1" ht="25.5" hidden="1" x14ac:dyDescent="0.25">
      <c r="A32" s="203">
        <v>25</v>
      </c>
      <c r="B32" s="195" t="s">
        <v>32</v>
      </c>
      <c r="C32" s="190" t="s">
        <v>62</v>
      </c>
      <c r="D32" s="298"/>
      <c r="E32" s="134" t="s">
        <v>74</v>
      </c>
      <c r="F32" s="190" t="s">
        <v>432</v>
      </c>
      <c r="G32" s="136" t="s">
        <v>409</v>
      </c>
      <c r="H32" s="191">
        <v>9</v>
      </c>
      <c r="I32" s="191">
        <v>5</v>
      </c>
      <c r="J32" s="191">
        <v>5</v>
      </c>
      <c r="K32" s="192">
        <v>7823.28</v>
      </c>
      <c r="L32" s="192">
        <v>2114.4</v>
      </c>
      <c r="M32" s="193">
        <f t="shared" si="0"/>
        <v>5708.8799999999992</v>
      </c>
      <c r="N32" s="191">
        <v>4</v>
      </c>
      <c r="O32" s="192">
        <v>4581.2</v>
      </c>
      <c r="P32" s="192">
        <v>4581.2</v>
      </c>
      <c r="Q32" s="192">
        <f t="shared" si="1"/>
        <v>0</v>
      </c>
      <c r="R32" s="296"/>
    </row>
    <row r="33" spans="1:18" s="297" customFormat="1" ht="25.5" hidden="1" x14ac:dyDescent="0.25">
      <c r="A33" s="203">
        <v>26</v>
      </c>
      <c r="B33" s="195" t="s">
        <v>343</v>
      </c>
      <c r="C33" s="190" t="s">
        <v>62</v>
      </c>
      <c r="D33" s="298"/>
      <c r="E33" s="134" t="s">
        <v>74</v>
      </c>
      <c r="F33" s="190" t="s">
        <v>433</v>
      </c>
      <c r="G33" s="136" t="s">
        <v>409</v>
      </c>
      <c r="H33" s="191">
        <v>12</v>
      </c>
      <c r="I33" s="191">
        <v>5</v>
      </c>
      <c r="J33" s="191">
        <v>5</v>
      </c>
      <c r="K33" s="192">
        <v>9906.2000000000007</v>
      </c>
      <c r="L33" s="192">
        <v>1585.8</v>
      </c>
      <c r="M33" s="193">
        <f t="shared" si="0"/>
        <v>8320.4000000000015</v>
      </c>
      <c r="N33" s="191">
        <v>2</v>
      </c>
      <c r="O33" s="192">
        <v>4405</v>
      </c>
      <c r="P33" s="192">
        <v>0</v>
      </c>
      <c r="Q33" s="192">
        <f t="shared" si="1"/>
        <v>4405</v>
      </c>
      <c r="R33" s="296"/>
    </row>
    <row r="34" spans="1:18" s="297" customFormat="1" ht="25.5" hidden="1" x14ac:dyDescent="0.25">
      <c r="A34" s="203">
        <v>27</v>
      </c>
      <c r="B34" s="195" t="s">
        <v>290</v>
      </c>
      <c r="C34" s="190" t="s">
        <v>62</v>
      </c>
      <c r="D34" s="298"/>
      <c r="E34" s="190" t="s">
        <v>371</v>
      </c>
      <c r="F34" s="190" t="s">
        <v>434</v>
      </c>
      <c r="G34" s="136" t="s">
        <v>409</v>
      </c>
      <c r="H34" s="191">
        <v>4</v>
      </c>
      <c r="I34" s="191">
        <v>1</v>
      </c>
      <c r="J34" s="191">
        <v>1</v>
      </c>
      <c r="K34" s="192">
        <v>1585.8</v>
      </c>
      <c r="L34" s="192">
        <v>0</v>
      </c>
      <c r="M34" s="193">
        <f t="shared" si="0"/>
        <v>1585.8</v>
      </c>
      <c r="N34" s="191">
        <v>0</v>
      </c>
      <c r="O34" s="192">
        <v>0</v>
      </c>
      <c r="P34" s="192">
        <v>0</v>
      </c>
      <c r="Q34" s="192">
        <f t="shared" si="1"/>
        <v>0</v>
      </c>
      <c r="R34" s="296"/>
    </row>
    <row r="35" spans="1:18" s="297" customFormat="1" ht="25.5" hidden="1" x14ac:dyDescent="0.25">
      <c r="A35" s="203">
        <v>28</v>
      </c>
      <c r="B35" s="195" t="s">
        <v>315</v>
      </c>
      <c r="C35" s="190" t="s">
        <v>62</v>
      </c>
      <c r="D35" s="298"/>
      <c r="E35" s="134" t="s">
        <v>74</v>
      </c>
      <c r="F35" s="190" t="s">
        <v>435</v>
      </c>
      <c r="G35" s="136" t="s">
        <v>409</v>
      </c>
      <c r="H35" s="191">
        <v>13</v>
      </c>
      <c r="I35" s="191">
        <v>2</v>
      </c>
      <c r="J35" s="191">
        <v>2</v>
      </c>
      <c r="K35" s="192">
        <v>4096.6499999999996</v>
      </c>
      <c r="L35" s="192">
        <v>0</v>
      </c>
      <c r="M35" s="193">
        <f t="shared" si="0"/>
        <v>4096.6499999999996</v>
      </c>
      <c r="N35" s="191">
        <v>5</v>
      </c>
      <c r="O35" s="192">
        <v>7208.02</v>
      </c>
      <c r="P35" s="192">
        <v>5622.22</v>
      </c>
      <c r="Q35" s="192">
        <f t="shared" si="1"/>
        <v>1585.8000000000002</v>
      </c>
      <c r="R35" s="296"/>
    </row>
    <row r="36" spans="1:18" s="297" customFormat="1" ht="25.5" hidden="1" x14ac:dyDescent="0.25">
      <c r="A36" s="203">
        <v>29</v>
      </c>
      <c r="B36" s="195" t="s">
        <v>216</v>
      </c>
      <c r="C36" s="190" t="s">
        <v>67</v>
      </c>
      <c r="D36" s="298" t="s">
        <v>436</v>
      </c>
      <c r="E36" s="134" t="s">
        <v>74</v>
      </c>
      <c r="F36" s="190" t="s">
        <v>437</v>
      </c>
      <c r="G36" s="136" t="s">
        <v>409</v>
      </c>
      <c r="H36" s="191">
        <v>18</v>
      </c>
      <c r="I36" s="191">
        <v>5</v>
      </c>
      <c r="J36" s="191">
        <v>5</v>
      </c>
      <c r="K36" s="192">
        <v>11458.66</v>
      </c>
      <c r="L36" s="192">
        <v>1409.6</v>
      </c>
      <c r="M36" s="193">
        <f t="shared" si="0"/>
        <v>10049.06</v>
      </c>
      <c r="N36" s="191">
        <v>0</v>
      </c>
      <c r="O36" s="192">
        <v>0</v>
      </c>
      <c r="P36" s="192">
        <v>0</v>
      </c>
      <c r="Q36" s="192">
        <f t="shared" si="1"/>
        <v>0</v>
      </c>
      <c r="R36" s="296"/>
    </row>
    <row r="37" spans="1:18" s="297" customFormat="1" ht="25.5" hidden="1" x14ac:dyDescent="0.25">
      <c r="A37" s="203">
        <v>30</v>
      </c>
      <c r="B37" s="195" t="s">
        <v>438</v>
      </c>
      <c r="C37" s="190" t="s">
        <v>62</v>
      </c>
      <c r="D37" s="298"/>
      <c r="E37" s="134" t="s">
        <v>74</v>
      </c>
      <c r="F37" s="190" t="s">
        <v>439</v>
      </c>
      <c r="G37" s="136" t="s">
        <v>409</v>
      </c>
      <c r="H37" s="191">
        <v>7</v>
      </c>
      <c r="I37" s="191">
        <v>0</v>
      </c>
      <c r="J37" s="191">
        <v>0</v>
      </c>
      <c r="K37" s="192">
        <v>0</v>
      </c>
      <c r="L37" s="192">
        <v>0</v>
      </c>
      <c r="M37" s="193">
        <f t="shared" si="0"/>
        <v>0</v>
      </c>
      <c r="N37" s="191">
        <v>0</v>
      </c>
      <c r="O37" s="192">
        <v>0</v>
      </c>
      <c r="P37" s="192">
        <v>0</v>
      </c>
      <c r="Q37" s="192">
        <f t="shared" si="1"/>
        <v>0</v>
      </c>
      <c r="R37" s="296"/>
    </row>
    <row r="38" spans="1:18" s="297" customFormat="1" ht="25.5" hidden="1" x14ac:dyDescent="0.25">
      <c r="A38" s="203">
        <v>31</v>
      </c>
      <c r="B38" s="195" t="s">
        <v>440</v>
      </c>
      <c r="C38" s="190" t="s">
        <v>62</v>
      </c>
      <c r="D38" s="298"/>
      <c r="E38" s="134" t="s">
        <v>74</v>
      </c>
      <c r="F38" s="190" t="s">
        <v>441</v>
      </c>
      <c r="G38" s="136" t="s">
        <v>409</v>
      </c>
      <c r="H38" s="191">
        <v>7</v>
      </c>
      <c r="I38" s="191">
        <v>3</v>
      </c>
      <c r="J38" s="191">
        <v>3</v>
      </c>
      <c r="K38" s="192">
        <v>3171.6</v>
      </c>
      <c r="L38" s="192">
        <v>1409.6</v>
      </c>
      <c r="M38" s="193">
        <f t="shared" si="0"/>
        <v>1762</v>
      </c>
      <c r="N38" s="191">
        <v>0</v>
      </c>
      <c r="O38" s="192">
        <v>0</v>
      </c>
      <c r="P38" s="192">
        <v>0</v>
      </c>
      <c r="Q38" s="192">
        <f t="shared" si="1"/>
        <v>0</v>
      </c>
      <c r="R38" s="296"/>
    </row>
    <row r="39" spans="1:18" s="297" customFormat="1" ht="28.35" hidden="1" customHeight="1" x14ac:dyDescent="0.25">
      <c r="A39" s="203">
        <v>32</v>
      </c>
      <c r="B39" s="195" t="s">
        <v>222</v>
      </c>
      <c r="C39" s="190" t="s">
        <v>64</v>
      </c>
      <c r="D39" s="136" t="s">
        <v>442</v>
      </c>
      <c r="E39" s="134" t="s">
        <v>74</v>
      </c>
      <c r="F39" s="190" t="s">
        <v>443</v>
      </c>
      <c r="G39" s="136" t="s">
        <v>409</v>
      </c>
      <c r="H39" s="191">
        <v>1</v>
      </c>
      <c r="I39" s="191">
        <v>0</v>
      </c>
      <c r="J39" s="191">
        <v>0</v>
      </c>
      <c r="K39" s="192">
        <v>0</v>
      </c>
      <c r="L39" s="192">
        <v>0</v>
      </c>
      <c r="M39" s="193">
        <f t="shared" si="0"/>
        <v>0</v>
      </c>
      <c r="N39" s="191">
        <v>0</v>
      </c>
      <c r="O39" s="192">
        <v>0</v>
      </c>
      <c r="P39" s="192">
        <v>0</v>
      </c>
      <c r="Q39" s="192">
        <f t="shared" si="1"/>
        <v>0</v>
      </c>
      <c r="R39" s="296"/>
    </row>
    <row r="40" spans="1:18" s="297" customFormat="1" ht="25.5" hidden="1" x14ac:dyDescent="0.25">
      <c r="A40" s="203">
        <v>33</v>
      </c>
      <c r="B40" s="195" t="s">
        <v>444</v>
      </c>
      <c r="C40" s="190" t="s">
        <v>62</v>
      </c>
      <c r="D40" s="298"/>
      <c r="E40" s="134" t="s">
        <v>74</v>
      </c>
      <c r="F40" s="190" t="s">
        <v>445</v>
      </c>
      <c r="G40" s="136" t="s">
        <v>409</v>
      </c>
      <c r="H40" s="191">
        <v>5</v>
      </c>
      <c r="I40" s="191">
        <v>2</v>
      </c>
      <c r="J40" s="191">
        <v>2</v>
      </c>
      <c r="K40" s="192">
        <v>1409.6</v>
      </c>
      <c r="L40" s="192">
        <v>1409.6</v>
      </c>
      <c r="M40" s="193">
        <f t="shared" si="0"/>
        <v>0</v>
      </c>
      <c r="N40" s="191">
        <v>0</v>
      </c>
      <c r="O40" s="192">
        <v>0</v>
      </c>
      <c r="P40" s="192">
        <v>0</v>
      </c>
      <c r="Q40" s="192">
        <f t="shared" si="1"/>
        <v>0</v>
      </c>
      <c r="R40" s="296"/>
    </row>
    <row r="41" spans="1:18" s="297" customFormat="1" ht="25.5" hidden="1" x14ac:dyDescent="0.25">
      <c r="A41" s="203">
        <v>34</v>
      </c>
      <c r="B41" s="195" t="s">
        <v>129</v>
      </c>
      <c r="C41" s="190" t="s">
        <v>62</v>
      </c>
      <c r="D41" s="298"/>
      <c r="E41" s="134" t="s">
        <v>74</v>
      </c>
      <c r="F41" s="190" t="s">
        <v>446</v>
      </c>
      <c r="G41" s="136" t="s">
        <v>409</v>
      </c>
      <c r="H41" s="191">
        <v>6</v>
      </c>
      <c r="I41" s="191">
        <v>3</v>
      </c>
      <c r="J41" s="191">
        <v>3</v>
      </c>
      <c r="K41" s="192">
        <v>3015.4</v>
      </c>
      <c r="L41" s="192">
        <v>3015.4</v>
      </c>
      <c r="M41" s="193">
        <f t="shared" si="0"/>
        <v>0</v>
      </c>
      <c r="N41" s="191">
        <v>10</v>
      </c>
      <c r="O41" s="192">
        <v>20529.580000000002</v>
      </c>
      <c r="P41" s="192">
        <v>10887.78</v>
      </c>
      <c r="Q41" s="192">
        <f t="shared" si="1"/>
        <v>9641.8000000000011</v>
      </c>
      <c r="R41" s="296"/>
    </row>
    <row r="42" spans="1:18" s="297" customFormat="1" ht="25.5" hidden="1" x14ac:dyDescent="0.25">
      <c r="A42" s="203">
        <v>35</v>
      </c>
      <c r="B42" s="299" t="s">
        <v>104</v>
      </c>
      <c r="C42" s="190" t="s">
        <v>62</v>
      </c>
      <c r="D42" s="298"/>
      <c r="E42" s="134" t="s">
        <v>105</v>
      </c>
      <c r="F42" s="190" t="s">
        <v>447</v>
      </c>
      <c r="G42" s="136" t="s">
        <v>409</v>
      </c>
      <c r="H42" s="191">
        <v>0</v>
      </c>
      <c r="I42" s="191">
        <v>0</v>
      </c>
      <c r="J42" s="191">
        <v>0</v>
      </c>
      <c r="K42" s="192">
        <v>0</v>
      </c>
      <c r="L42" s="192">
        <v>0</v>
      </c>
      <c r="M42" s="193">
        <f t="shared" si="0"/>
        <v>0</v>
      </c>
      <c r="N42" s="191">
        <v>7</v>
      </c>
      <c r="O42" s="192">
        <v>5726.5</v>
      </c>
      <c r="P42" s="192">
        <v>5726.5</v>
      </c>
      <c r="Q42" s="192">
        <f t="shared" si="1"/>
        <v>0</v>
      </c>
      <c r="R42" s="296"/>
    </row>
    <row r="43" spans="1:18" s="297" customFormat="1" ht="25.5" hidden="1" x14ac:dyDescent="0.25">
      <c r="A43" s="190">
        <v>36</v>
      </c>
      <c r="B43" s="298" t="s">
        <v>156</v>
      </c>
      <c r="C43" s="190" t="s">
        <v>67</v>
      </c>
      <c r="D43" s="298" t="s">
        <v>501</v>
      </c>
      <c r="E43" s="134" t="s">
        <v>74</v>
      </c>
      <c r="F43" s="190" t="s">
        <v>502</v>
      </c>
      <c r="G43" s="136" t="s">
        <v>409</v>
      </c>
      <c r="H43" s="191">
        <v>3</v>
      </c>
      <c r="I43" s="191">
        <v>0</v>
      </c>
      <c r="J43" s="191">
        <v>0</v>
      </c>
      <c r="K43" s="192">
        <v>0</v>
      </c>
      <c r="L43" s="192">
        <v>0</v>
      </c>
      <c r="M43" s="193">
        <f t="shared" si="0"/>
        <v>0</v>
      </c>
      <c r="N43" s="191">
        <v>4</v>
      </c>
      <c r="O43" s="192">
        <v>7576.6</v>
      </c>
      <c r="P43" s="192">
        <v>6167</v>
      </c>
      <c r="Q43" s="192">
        <f t="shared" si="1"/>
        <v>1409.6000000000004</v>
      </c>
      <c r="R43" s="296"/>
    </row>
    <row r="44" spans="1:18" s="297" customFormat="1" ht="25.5" hidden="1" x14ac:dyDescent="0.25">
      <c r="A44" s="190">
        <v>37</v>
      </c>
      <c r="B44" s="298" t="s">
        <v>133</v>
      </c>
      <c r="C44" s="190" t="s">
        <v>67</v>
      </c>
      <c r="D44" s="298" t="s">
        <v>397</v>
      </c>
      <c r="E44" s="134" t="s">
        <v>74</v>
      </c>
      <c r="F44" s="190" t="s">
        <v>503</v>
      </c>
      <c r="G44" s="136" t="s">
        <v>409</v>
      </c>
      <c r="H44" s="191">
        <v>11</v>
      </c>
      <c r="I44" s="191">
        <v>2</v>
      </c>
      <c r="J44" s="191">
        <v>2</v>
      </c>
      <c r="K44" s="192">
        <v>3080.5</v>
      </c>
      <c r="L44" s="192">
        <v>0</v>
      </c>
      <c r="M44" s="193">
        <f t="shared" si="0"/>
        <v>3080.5</v>
      </c>
      <c r="N44" s="191">
        <v>15</v>
      </c>
      <c r="O44" s="192">
        <v>34639.550000000003</v>
      </c>
      <c r="P44" s="192">
        <v>21929.06</v>
      </c>
      <c r="Q44" s="192">
        <f t="shared" si="1"/>
        <v>12710.490000000002</v>
      </c>
      <c r="R44" s="296"/>
    </row>
    <row r="45" spans="1:18" s="297" customFormat="1" ht="25.5" hidden="1" x14ac:dyDescent="0.25">
      <c r="A45" s="190">
        <v>38</v>
      </c>
      <c r="B45" s="298" t="s">
        <v>114</v>
      </c>
      <c r="C45" s="190" t="s">
        <v>62</v>
      </c>
      <c r="D45" s="298"/>
      <c r="E45" s="134" t="s">
        <v>115</v>
      </c>
      <c r="F45" s="190" t="s">
        <v>504</v>
      </c>
      <c r="G45" s="136" t="s">
        <v>409</v>
      </c>
      <c r="H45" s="191">
        <v>0</v>
      </c>
      <c r="I45" s="191">
        <v>0</v>
      </c>
      <c r="J45" s="191">
        <v>0</v>
      </c>
      <c r="K45" s="192">
        <v>0</v>
      </c>
      <c r="L45" s="192">
        <v>0</v>
      </c>
      <c r="M45" s="193">
        <f t="shared" si="0"/>
        <v>0</v>
      </c>
      <c r="N45" s="191">
        <v>4</v>
      </c>
      <c r="O45" s="192">
        <v>3524</v>
      </c>
      <c r="P45" s="192">
        <v>1762</v>
      </c>
      <c r="Q45" s="192">
        <f t="shared" si="1"/>
        <v>1762</v>
      </c>
      <c r="R45" s="296"/>
    </row>
    <row r="46" spans="1:18" s="297" customFormat="1" ht="25.5" hidden="1" x14ac:dyDescent="0.25">
      <c r="A46" s="190">
        <v>39</v>
      </c>
      <c r="B46" s="298" t="s">
        <v>505</v>
      </c>
      <c r="C46" s="190" t="s">
        <v>62</v>
      </c>
      <c r="D46" s="298"/>
      <c r="E46" s="134" t="s">
        <v>74</v>
      </c>
      <c r="F46" s="190" t="s">
        <v>506</v>
      </c>
      <c r="G46" s="136" t="s">
        <v>409</v>
      </c>
      <c r="H46" s="191">
        <v>1</v>
      </c>
      <c r="I46" s="191">
        <v>0</v>
      </c>
      <c r="J46" s="191">
        <v>0</v>
      </c>
      <c r="K46" s="192">
        <v>0</v>
      </c>
      <c r="L46" s="192">
        <v>0</v>
      </c>
      <c r="M46" s="193">
        <f t="shared" si="0"/>
        <v>0</v>
      </c>
      <c r="N46" s="191">
        <v>0</v>
      </c>
      <c r="O46" s="192">
        <v>0</v>
      </c>
      <c r="P46" s="192">
        <v>0</v>
      </c>
      <c r="Q46" s="192">
        <f t="shared" si="1"/>
        <v>0</v>
      </c>
      <c r="R46" s="296"/>
    </row>
    <row r="47" spans="1:18" s="297" customFormat="1" ht="25.5" hidden="1" x14ac:dyDescent="0.25">
      <c r="A47" s="190">
        <v>40</v>
      </c>
      <c r="B47" s="298" t="s">
        <v>473</v>
      </c>
      <c r="C47" s="190" t="s">
        <v>62</v>
      </c>
      <c r="D47" s="298"/>
      <c r="E47" s="190" t="s">
        <v>74</v>
      </c>
      <c r="F47" s="190" t="s">
        <v>558</v>
      </c>
      <c r="G47" s="136" t="s">
        <v>409</v>
      </c>
      <c r="H47" s="191">
        <v>0</v>
      </c>
      <c r="I47" s="191">
        <v>0</v>
      </c>
      <c r="J47" s="191">
        <v>0</v>
      </c>
      <c r="K47" s="192">
        <v>0</v>
      </c>
      <c r="L47" s="192">
        <v>0</v>
      </c>
      <c r="M47" s="193">
        <f t="shared" si="0"/>
        <v>0</v>
      </c>
      <c r="N47" s="191">
        <v>0</v>
      </c>
      <c r="O47" s="192">
        <v>0</v>
      </c>
      <c r="P47" s="192">
        <v>0</v>
      </c>
      <c r="Q47" s="192">
        <f t="shared" si="1"/>
        <v>0</v>
      </c>
      <c r="R47" s="296"/>
    </row>
    <row r="48" spans="1:18" s="297" customFormat="1" ht="25.5" hidden="1" x14ac:dyDescent="0.25">
      <c r="A48" s="190">
        <v>41</v>
      </c>
      <c r="B48" s="298" t="s">
        <v>376</v>
      </c>
      <c r="C48" s="190" t="s">
        <v>62</v>
      </c>
      <c r="D48" s="298"/>
      <c r="E48" s="190" t="s">
        <v>74</v>
      </c>
      <c r="F48" s="190" t="s">
        <v>559</v>
      </c>
      <c r="G48" s="136" t="s">
        <v>409</v>
      </c>
      <c r="H48" s="191">
        <v>0</v>
      </c>
      <c r="I48" s="191">
        <v>0</v>
      </c>
      <c r="J48" s="191">
        <v>0</v>
      </c>
      <c r="K48" s="192">
        <v>0</v>
      </c>
      <c r="L48" s="192">
        <v>0</v>
      </c>
      <c r="M48" s="193">
        <f t="shared" si="0"/>
        <v>0</v>
      </c>
      <c r="N48" s="191">
        <v>0</v>
      </c>
      <c r="O48" s="192">
        <v>0</v>
      </c>
      <c r="P48" s="192">
        <v>0</v>
      </c>
      <c r="Q48" s="192">
        <f t="shared" si="1"/>
        <v>0</v>
      </c>
      <c r="R48" s="296"/>
    </row>
    <row r="49" spans="1:18" s="297" customFormat="1" ht="25.5" hidden="1" x14ac:dyDescent="0.25">
      <c r="A49" s="190">
        <v>42</v>
      </c>
      <c r="B49" s="298" t="s">
        <v>119</v>
      </c>
      <c r="C49" s="190" t="s">
        <v>62</v>
      </c>
      <c r="D49" s="298"/>
      <c r="E49" s="190" t="s">
        <v>74</v>
      </c>
      <c r="F49" s="190" t="s">
        <v>560</v>
      </c>
      <c r="G49" s="136" t="s">
        <v>409</v>
      </c>
      <c r="H49" s="191">
        <v>6</v>
      </c>
      <c r="I49" s="191">
        <v>1</v>
      </c>
      <c r="J49" s="191">
        <v>1</v>
      </c>
      <c r="K49" s="192">
        <v>1691.52</v>
      </c>
      <c r="L49" s="192">
        <v>0</v>
      </c>
      <c r="M49" s="193">
        <f t="shared" si="0"/>
        <v>1691.52</v>
      </c>
      <c r="N49" s="191">
        <v>8</v>
      </c>
      <c r="O49" s="192">
        <v>12443.1</v>
      </c>
      <c r="P49" s="192">
        <v>0</v>
      </c>
      <c r="Q49" s="192">
        <f t="shared" si="1"/>
        <v>12443.1</v>
      </c>
      <c r="R49" s="296"/>
    </row>
    <row r="50" spans="1:18" s="297" customFormat="1" ht="25.5" hidden="1" x14ac:dyDescent="0.25">
      <c r="A50" s="190">
        <v>43</v>
      </c>
      <c r="B50" s="298" t="s">
        <v>47</v>
      </c>
      <c r="C50" s="190" t="s">
        <v>62</v>
      </c>
      <c r="D50" s="298"/>
      <c r="E50" s="190" t="s">
        <v>141</v>
      </c>
      <c r="F50" s="190" t="s">
        <v>589</v>
      </c>
      <c r="G50" s="136" t="s">
        <v>409</v>
      </c>
      <c r="H50" s="191">
        <v>0</v>
      </c>
      <c r="I50" s="191">
        <v>0</v>
      </c>
      <c r="J50" s="191">
        <v>0</v>
      </c>
      <c r="K50" s="192">
        <v>0</v>
      </c>
      <c r="L50" s="192">
        <v>0</v>
      </c>
      <c r="M50" s="193">
        <f t="shared" si="0"/>
        <v>0</v>
      </c>
      <c r="N50" s="191">
        <v>1</v>
      </c>
      <c r="O50" s="192">
        <v>6554.64</v>
      </c>
      <c r="P50" s="192">
        <v>0</v>
      </c>
      <c r="Q50" s="192">
        <f t="shared" si="1"/>
        <v>6554.64</v>
      </c>
      <c r="R50" s="296"/>
    </row>
    <row r="51" spans="1:18" s="297" customFormat="1" ht="25.5" hidden="1" x14ac:dyDescent="0.25">
      <c r="A51" s="190">
        <v>44</v>
      </c>
      <c r="B51" s="298" t="s">
        <v>37</v>
      </c>
      <c r="C51" s="190" t="s">
        <v>62</v>
      </c>
      <c r="D51" s="190"/>
      <c r="E51" s="190" t="s">
        <v>74</v>
      </c>
      <c r="F51" s="190" t="s">
        <v>590</v>
      </c>
      <c r="G51" s="136" t="s">
        <v>409</v>
      </c>
      <c r="H51" s="191">
        <v>1</v>
      </c>
      <c r="I51" s="191">
        <v>0</v>
      </c>
      <c r="J51" s="191">
        <v>0</v>
      </c>
      <c r="K51" s="192">
        <v>0</v>
      </c>
      <c r="L51" s="192">
        <v>0</v>
      </c>
      <c r="M51" s="193">
        <f t="shared" si="0"/>
        <v>0</v>
      </c>
      <c r="N51" s="191">
        <v>0</v>
      </c>
      <c r="O51" s="192">
        <v>0</v>
      </c>
      <c r="P51" s="192">
        <v>0</v>
      </c>
      <c r="Q51" s="192">
        <f t="shared" si="1"/>
        <v>0</v>
      </c>
      <c r="R51" s="296"/>
    </row>
    <row r="52" spans="1:18" s="297" customFormat="1" ht="25.5" hidden="1" x14ac:dyDescent="0.25">
      <c r="A52" s="190">
        <v>45</v>
      </c>
      <c r="B52" s="298" t="s">
        <v>97</v>
      </c>
      <c r="C52" s="190" t="s">
        <v>62</v>
      </c>
      <c r="D52" s="190"/>
      <c r="E52" s="190" t="s">
        <v>74</v>
      </c>
      <c r="F52" s="190" t="s">
        <v>591</v>
      </c>
      <c r="G52" s="136" t="s">
        <v>409</v>
      </c>
      <c r="H52" s="191">
        <v>4</v>
      </c>
      <c r="I52" s="191">
        <v>1</v>
      </c>
      <c r="J52" s="191">
        <v>1</v>
      </c>
      <c r="K52" s="192">
        <v>1233.4000000000001</v>
      </c>
      <c r="L52" s="192">
        <v>0</v>
      </c>
      <c r="M52" s="193">
        <f t="shared" si="0"/>
        <v>1233.4000000000001</v>
      </c>
      <c r="N52" s="191">
        <v>2</v>
      </c>
      <c r="O52" s="192">
        <v>704.8</v>
      </c>
      <c r="P52" s="192">
        <v>0</v>
      </c>
      <c r="Q52" s="192">
        <f t="shared" si="1"/>
        <v>704.8</v>
      </c>
      <c r="R52" s="296"/>
    </row>
    <row r="53" spans="1:18" s="297" customFormat="1" ht="25.5" hidden="1" x14ac:dyDescent="0.25">
      <c r="A53" s="190">
        <v>46</v>
      </c>
      <c r="B53" s="298" t="s">
        <v>613</v>
      </c>
      <c r="C53" s="190" t="s">
        <v>62</v>
      </c>
      <c r="D53" s="190"/>
      <c r="E53" s="190" t="s">
        <v>74</v>
      </c>
      <c r="F53" s="190" t="s">
        <v>614</v>
      </c>
      <c r="G53" s="136" t="s">
        <v>409</v>
      </c>
      <c r="H53" s="191">
        <v>4</v>
      </c>
      <c r="I53" s="191">
        <v>2</v>
      </c>
      <c r="J53" s="191">
        <v>2</v>
      </c>
      <c r="K53" s="192">
        <v>1585.8</v>
      </c>
      <c r="L53" s="192">
        <v>0</v>
      </c>
      <c r="M53" s="193">
        <v>0</v>
      </c>
      <c r="N53" s="191">
        <v>3</v>
      </c>
      <c r="O53" s="192">
        <v>616.70000000000005</v>
      </c>
      <c r="P53" s="192">
        <v>0</v>
      </c>
      <c r="Q53" s="192">
        <v>0</v>
      </c>
      <c r="R53" s="296"/>
    </row>
    <row r="54" spans="1:18" s="297" customFormat="1" ht="25.5" hidden="1" x14ac:dyDescent="0.25">
      <c r="A54" s="190">
        <v>47</v>
      </c>
      <c r="B54" s="298" t="s">
        <v>615</v>
      </c>
      <c r="C54" s="190" t="s">
        <v>62</v>
      </c>
      <c r="D54" s="190"/>
      <c r="E54" s="190" t="s">
        <v>74</v>
      </c>
      <c r="F54" s="190" t="s">
        <v>616</v>
      </c>
      <c r="G54" s="136" t="s">
        <v>409</v>
      </c>
      <c r="H54" s="191">
        <v>5</v>
      </c>
      <c r="I54" s="191">
        <v>0</v>
      </c>
      <c r="J54" s="191">
        <v>0</v>
      </c>
      <c r="K54" s="192">
        <v>0</v>
      </c>
      <c r="L54" s="192">
        <v>0</v>
      </c>
      <c r="M54" s="193">
        <v>0</v>
      </c>
      <c r="N54" s="191">
        <v>0</v>
      </c>
      <c r="O54" s="192">
        <v>0</v>
      </c>
      <c r="P54" s="192">
        <v>0</v>
      </c>
      <c r="Q54" s="192">
        <v>0</v>
      </c>
      <c r="R54" s="296"/>
    </row>
    <row r="55" spans="1:18" s="297" customFormat="1" ht="25.5" hidden="1" x14ac:dyDescent="0.25">
      <c r="A55" s="190">
        <v>48</v>
      </c>
      <c r="B55" s="298" t="s">
        <v>357</v>
      </c>
      <c r="C55" s="300" t="s">
        <v>64</v>
      </c>
      <c r="D55" s="134" t="s">
        <v>617</v>
      </c>
      <c r="E55" s="190" t="s">
        <v>74</v>
      </c>
      <c r="F55" s="190" t="s">
        <v>618</v>
      </c>
      <c r="G55" s="136" t="s">
        <v>409</v>
      </c>
      <c r="H55" s="191">
        <v>2</v>
      </c>
      <c r="I55" s="191">
        <v>0</v>
      </c>
      <c r="J55" s="191">
        <v>0</v>
      </c>
      <c r="K55" s="192">
        <v>0</v>
      </c>
      <c r="L55" s="192">
        <v>0</v>
      </c>
      <c r="M55" s="191">
        <v>0</v>
      </c>
      <c r="N55" s="191">
        <v>1</v>
      </c>
      <c r="O55" s="192">
        <v>1762</v>
      </c>
      <c r="P55" s="192">
        <v>0</v>
      </c>
      <c r="Q55" s="192">
        <v>0</v>
      </c>
      <c r="R55" s="296"/>
    </row>
    <row r="56" spans="1:18" s="297" customFormat="1" ht="25.5" hidden="1" x14ac:dyDescent="0.25">
      <c r="A56" s="190">
        <v>49</v>
      </c>
      <c r="B56" s="298" t="s">
        <v>621</v>
      </c>
      <c r="C56" s="190" t="s">
        <v>62</v>
      </c>
      <c r="D56" s="190"/>
      <c r="E56" s="190" t="s">
        <v>74</v>
      </c>
      <c r="F56" s="190" t="s">
        <v>625</v>
      </c>
      <c r="G56" s="136" t="s">
        <v>409</v>
      </c>
      <c r="H56" s="191">
        <v>5</v>
      </c>
      <c r="I56" s="191">
        <v>0</v>
      </c>
      <c r="J56" s="191">
        <v>0</v>
      </c>
      <c r="K56" s="192">
        <v>0</v>
      </c>
      <c r="L56" s="192">
        <v>0</v>
      </c>
      <c r="M56" s="191">
        <v>0</v>
      </c>
      <c r="N56" s="191">
        <v>0</v>
      </c>
      <c r="O56" s="191">
        <v>0</v>
      </c>
      <c r="P56" s="191">
        <v>0</v>
      </c>
      <c r="Q56" s="191">
        <v>0</v>
      </c>
      <c r="R56" s="296"/>
    </row>
    <row r="57" spans="1:18" s="6" customFormat="1" hidden="1" x14ac:dyDescent="0.25">
      <c r="A57" s="254">
        <v>1</v>
      </c>
      <c r="B57" s="255" t="s">
        <v>146</v>
      </c>
      <c r="C57" s="155" t="s">
        <v>62</v>
      </c>
      <c r="D57" s="155"/>
      <c r="E57" s="155" t="s">
        <v>74</v>
      </c>
      <c r="F57" s="255" t="s">
        <v>325</v>
      </c>
      <c r="G57" s="256" t="s">
        <v>326</v>
      </c>
      <c r="H57" s="256">
        <v>14</v>
      </c>
      <c r="I57" s="256">
        <v>6</v>
      </c>
      <c r="J57" s="256">
        <v>6</v>
      </c>
      <c r="K57" s="146">
        <f>2643+2466.8+2554.9</f>
        <v>7664.7000000000007</v>
      </c>
      <c r="L57" s="146">
        <f>5109.8</f>
        <v>5109.8</v>
      </c>
      <c r="M57" s="146">
        <f>K57-L57</f>
        <v>2554.9000000000005</v>
      </c>
      <c r="N57" s="257">
        <v>6</v>
      </c>
      <c r="O57" s="146">
        <v>5374.1</v>
      </c>
      <c r="P57" s="150">
        <f>2378.7+2995.4</f>
        <v>5374.1</v>
      </c>
      <c r="Q57" s="150">
        <f>O57-P57</f>
        <v>0</v>
      </c>
    </row>
    <row r="58" spans="1:18" s="6" customFormat="1" hidden="1" x14ac:dyDescent="0.25">
      <c r="A58" s="254">
        <v>2</v>
      </c>
      <c r="B58" s="255" t="s">
        <v>166</v>
      </c>
      <c r="C58" s="155" t="s">
        <v>62</v>
      </c>
      <c r="D58" s="155"/>
      <c r="E58" s="155" t="s">
        <v>158</v>
      </c>
      <c r="F58" s="255" t="s">
        <v>327</v>
      </c>
      <c r="G58" s="255" t="s">
        <v>326</v>
      </c>
      <c r="H58" s="256">
        <v>4</v>
      </c>
      <c r="I58" s="256">
        <v>2</v>
      </c>
      <c r="J58" s="256">
        <v>2</v>
      </c>
      <c r="K58" s="146">
        <f>1233.4+4228.8</f>
        <v>5462.2000000000007</v>
      </c>
      <c r="L58" s="146">
        <f>73.95+1159.45+4228.8</f>
        <v>5462.2000000000007</v>
      </c>
      <c r="M58" s="146">
        <f>K58-L58</f>
        <v>0</v>
      </c>
      <c r="N58" s="257">
        <v>0</v>
      </c>
      <c r="O58" s="146">
        <v>0</v>
      </c>
      <c r="P58" s="150">
        <v>0</v>
      </c>
      <c r="Q58" s="150">
        <f>O58-P58</f>
        <v>0</v>
      </c>
    </row>
    <row r="59" spans="1:18" s="6" customFormat="1" hidden="1" x14ac:dyDescent="0.25">
      <c r="A59" s="254">
        <v>3</v>
      </c>
      <c r="B59" s="255" t="s">
        <v>173</v>
      </c>
      <c r="C59" s="155" t="s">
        <v>67</v>
      </c>
      <c r="D59" s="155" t="s">
        <v>328</v>
      </c>
      <c r="E59" s="155" t="s">
        <v>158</v>
      </c>
      <c r="F59" s="255" t="s">
        <v>329</v>
      </c>
      <c r="G59" s="255" t="s">
        <v>326</v>
      </c>
      <c r="H59" s="256">
        <v>7</v>
      </c>
      <c r="I59" s="256">
        <v>3</v>
      </c>
      <c r="J59" s="256">
        <v>3</v>
      </c>
      <c r="K59" s="146">
        <f>704.8+2945.6</f>
        <v>3650.3999999999996</v>
      </c>
      <c r="L59" s="146">
        <f>704.8</f>
        <v>704.8</v>
      </c>
      <c r="M59" s="146">
        <f>K59-L59</f>
        <v>2945.5999999999995</v>
      </c>
      <c r="N59" s="257">
        <v>0</v>
      </c>
      <c r="O59" s="146">
        <v>0</v>
      </c>
      <c r="P59" s="150">
        <v>0</v>
      </c>
      <c r="Q59" s="150">
        <f>O59-P59</f>
        <v>0</v>
      </c>
    </row>
    <row r="60" spans="1:18" s="6" customFormat="1" hidden="1" x14ac:dyDescent="0.25">
      <c r="A60" s="254">
        <v>4</v>
      </c>
      <c r="B60" s="255" t="s">
        <v>330</v>
      </c>
      <c r="C60" s="155" t="s">
        <v>62</v>
      </c>
      <c r="D60" s="155"/>
      <c r="E60" s="155" t="s">
        <v>158</v>
      </c>
      <c r="F60" s="255" t="s">
        <v>331</v>
      </c>
      <c r="G60" s="255" t="s">
        <v>326</v>
      </c>
      <c r="H60" s="256">
        <v>15</v>
      </c>
      <c r="I60" s="256">
        <v>9</v>
      </c>
      <c r="J60" s="256">
        <v>9</v>
      </c>
      <c r="K60" s="146">
        <f>704.8+11276.8</f>
        <v>11981.599999999999</v>
      </c>
      <c r="L60" s="146">
        <f>704.8+11276.8</f>
        <v>11981.599999999999</v>
      </c>
      <c r="M60" s="146">
        <f>K60-L60</f>
        <v>0</v>
      </c>
      <c r="N60" s="257">
        <v>0</v>
      </c>
      <c r="O60" s="146">
        <v>0</v>
      </c>
      <c r="P60" s="150">
        <v>0</v>
      </c>
      <c r="Q60" s="150">
        <f>O60-P60</f>
        <v>0</v>
      </c>
    </row>
    <row r="61" spans="1:18" s="6" customFormat="1" hidden="1" x14ac:dyDescent="0.25">
      <c r="A61" s="254">
        <v>5</v>
      </c>
      <c r="B61" s="255" t="s">
        <v>147</v>
      </c>
      <c r="C61" s="155" t="s">
        <v>62</v>
      </c>
      <c r="D61" s="139"/>
      <c r="E61" s="155" t="s">
        <v>74</v>
      </c>
      <c r="F61" s="255" t="s">
        <v>332</v>
      </c>
      <c r="G61" s="255" t="s">
        <v>326</v>
      </c>
      <c r="H61" s="258">
        <v>14</v>
      </c>
      <c r="I61" s="258">
        <v>5</v>
      </c>
      <c r="J61" s="258">
        <v>5</v>
      </c>
      <c r="K61" s="259">
        <f>1409.6+1762+3347.8+2209.2</f>
        <v>8728.5999999999985</v>
      </c>
      <c r="L61" s="146">
        <f>1409.6+1762+3347.8</f>
        <v>6519.4</v>
      </c>
      <c r="M61" s="146">
        <f>K61-L61</f>
        <v>2209.1999999999989</v>
      </c>
      <c r="N61" s="257">
        <v>4</v>
      </c>
      <c r="O61" s="142">
        <f>4757.4+5523</f>
        <v>10280.4</v>
      </c>
      <c r="P61" s="143">
        <f>4052.6+704.8</f>
        <v>4757.3999999999996</v>
      </c>
      <c r="Q61" s="150">
        <f>O61-P61</f>
        <v>5523</v>
      </c>
    </row>
    <row r="62" spans="1:18" s="6" customFormat="1" ht="25.5" hidden="1" x14ac:dyDescent="0.25">
      <c r="A62" s="254">
        <v>6</v>
      </c>
      <c r="B62" s="255" t="s">
        <v>554</v>
      </c>
      <c r="C62" s="155" t="s">
        <v>67</v>
      </c>
      <c r="D62" s="339" t="s">
        <v>555</v>
      </c>
      <c r="E62" s="155" t="s">
        <v>74</v>
      </c>
      <c r="F62" s="255" t="s">
        <v>556</v>
      </c>
      <c r="G62" s="255" t="s">
        <v>326</v>
      </c>
      <c r="H62" s="258">
        <v>2</v>
      </c>
      <c r="I62" s="258">
        <v>0</v>
      </c>
      <c r="J62" s="258">
        <v>0</v>
      </c>
      <c r="K62" s="259">
        <v>0</v>
      </c>
      <c r="L62" s="146">
        <v>0</v>
      </c>
      <c r="M62" s="146">
        <v>0</v>
      </c>
      <c r="N62" s="257">
        <v>0</v>
      </c>
      <c r="O62" s="146">
        <v>0</v>
      </c>
      <c r="P62" s="150">
        <v>0</v>
      </c>
      <c r="Q62" s="150">
        <v>0</v>
      </c>
    </row>
    <row r="63" spans="1:18" s="6" customFormat="1" hidden="1" x14ac:dyDescent="0.25">
      <c r="A63" s="254">
        <v>7</v>
      </c>
      <c r="B63" s="255" t="s">
        <v>88</v>
      </c>
      <c r="C63" s="155" t="s">
        <v>62</v>
      </c>
      <c r="D63" s="340"/>
      <c r="E63" s="155" t="s">
        <v>74</v>
      </c>
      <c r="F63" s="255" t="s">
        <v>333</v>
      </c>
      <c r="G63" s="255" t="s">
        <v>326</v>
      </c>
      <c r="H63" s="258">
        <v>2</v>
      </c>
      <c r="I63" s="258">
        <v>2</v>
      </c>
      <c r="J63" s="258">
        <v>2</v>
      </c>
      <c r="K63" s="259">
        <f>704.8+1585.8</f>
        <v>2290.6</v>
      </c>
      <c r="L63" s="146">
        <f>704.8+1585.8</f>
        <v>2290.6</v>
      </c>
      <c r="M63" s="146">
        <f t="shared" ref="M63:M103" si="2">K63-L63</f>
        <v>0</v>
      </c>
      <c r="N63" s="257">
        <v>1</v>
      </c>
      <c r="O63" s="142">
        <v>1145.3</v>
      </c>
      <c r="P63" s="150">
        <v>1145.3</v>
      </c>
      <c r="Q63" s="150">
        <f t="shared" ref="Q63:Q86" si="3">O63-P63</f>
        <v>0</v>
      </c>
    </row>
    <row r="64" spans="1:18" s="6" customFormat="1" hidden="1" x14ac:dyDescent="0.25">
      <c r="A64" s="254">
        <v>8</v>
      </c>
      <c r="B64" s="255" t="s">
        <v>182</v>
      </c>
      <c r="C64" s="155" t="s">
        <v>62</v>
      </c>
      <c r="D64" s="340"/>
      <c r="E64" s="155" t="s">
        <v>158</v>
      </c>
      <c r="F64" s="255" t="s">
        <v>334</v>
      </c>
      <c r="G64" s="255" t="s">
        <v>326</v>
      </c>
      <c r="H64" s="258">
        <v>5</v>
      </c>
      <c r="I64" s="258">
        <v>1</v>
      </c>
      <c r="J64" s="258">
        <v>1</v>
      </c>
      <c r="K64" s="259">
        <f>1233.4</f>
        <v>1233.4000000000001</v>
      </c>
      <c r="L64" s="146">
        <f>1233.4</f>
        <v>1233.4000000000001</v>
      </c>
      <c r="M64" s="146">
        <f t="shared" si="2"/>
        <v>0</v>
      </c>
      <c r="N64" s="257">
        <v>0</v>
      </c>
      <c r="O64" s="142">
        <v>0</v>
      </c>
      <c r="P64" s="150">
        <v>0</v>
      </c>
      <c r="Q64" s="150">
        <f t="shared" si="3"/>
        <v>0</v>
      </c>
    </row>
    <row r="65" spans="1:17" s="6" customFormat="1" hidden="1" x14ac:dyDescent="0.25">
      <c r="A65" s="254">
        <v>9</v>
      </c>
      <c r="B65" s="255" t="s">
        <v>335</v>
      </c>
      <c r="C65" s="155" t="s">
        <v>62</v>
      </c>
      <c r="D65" s="98"/>
      <c r="E65" s="155" t="s">
        <v>74</v>
      </c>
      <c r="F65" s="255" t="s">
        <v>336</v>
      </c>
      <c r="G65" s="255" t="s">
        <v>326</v>
      </c>
      <c r="H65" s="258">
        <v>15</v>
      </c>
      <c r="I65" s="258">
        <v>7</v>
      </c>
      <c r="J65" s="258">
        <v>7</v>
      </c>
      <c r="K65" s="259">
        <f>3700.2+704.8+2114.4+2819.2</f>
        <v>9338.5999999999985</v>
      </c>
      <c r="L65" s="146">
        <f>3700.2+704.8+2114.4</f>
        <v>6519.4</v>
      </c>
      <c r="M65" s="146">
        <f t="shared" si="2"/>
        <v>2819.1999999999989</v>
      </c>
      <c r="N65" s="257">
        <v>8</v>
      </c>
      <c r="O65" s="146">
        <f>3435.9+3171.6+132.15</f>
        <v>6739.65</v>
      </c>
      <c r="P65" s="150">
        <f>3435.9+3171.6+132.15</f>
        <v>6739.65</v>
      </c>
      <c r="Q65" s="150">
        <f t="shared" si="3"/>
        <v>0</v>
      </c>
    </row>
    <row r="66" spans="1:17" s="6" customFormat="1" hidden="1" x14ac:dyDescent="0.25">
      <c r="A66" s="254">
        <v>10</v>
      </c>
      <c r="B66" s="255" t="s">
        <v>27</v>
      </c>
      <c r="C66" s="155" t="s">
        <v>62</v>
      </c>
      <c r="D66" s="340"/>
      <c r="E66" s="155" t="s">
        <v>158</v>
      </c>
      <c r="F66" s="255" t="s">
        <v>337</v>
      </c>
      <c r="G66" s="255" t="s">
        <v>326</v>
      </c>
      <c r="H66" s="258">
        <v>13</v>
      </c>
      <c r="I66" s="258">
        <v>11</v>
      </c>
      <c r="J66" s="258">
        <v>11</v>
      </c>
      <c r="K66" s="259">
        <f>5638.4+2819.2+528.6+1964.2</f>
        <v>10950.4</v>
      </c>
      <c r="L66" s="146">
        <f>1233.4+4405+2819.2+528.6</f>
        <v>8986.1999999999989</v>
      </c>
      <c r="M66" s="146">
        <f t="shared" si="2"/>
        <v>1964.2000000000007</v>
      </c>
      <c r="N66" s="257">
        <v>0</v>
      </c>
      <c r="O66" s="142">
        <v>0</v>
      </c>
      <c r="P66" s="143">
        <v>0</v>
      </c>
      <c r="Q66" s="150">
        <f t="shared" si="3"/>
        <v>0</v>
      </c>
    </row>
    <row r="67" spans="1:17" s="6" customFormat="1" hidden="1" x14ac:dyDescent="0.25">
      <c r="A67" s="147">
        <v>11</v>
      </c>
      <c r="B67" s="255" t="s">
        <v>190</v>
      </c>
      <c r="C67" s="155" t="s">
        <v>62</v>
      </c>
      <c r="D67" s="340"/>
      <c r="E67" s="155" t="s">
        <v>338</v>
      </c>
      <c r="F67" s="255" t="s">
        <v>339</v>
      </c>
      <c r="G67" s="255" t="s">
        <v>326</v>
      </c>
      <c r="H67" s="258">
        <v>20</v>
      </c>
      <c r="I67" s="258">
        <v>9</v>
      </c>
      <c r="J67" s="258">
        <v>9</v>
      </c>
      <c r="K67" s="259">
        <f>1938.2+2819.2+2819.2+2290.6+1862+2543.3+552.3</f>
        <v>14824.8</v>
      </c>
      <c r="L67" s="146">
        <f>704.8+704.8+528.6+2819.2+2819.2+2290.6+1592.92</f>
        <v>11460.119999999999</v>
      </c>
      <c r="M67" s="146">
        <f t="shared" si="2"/>
        <v>3364.6800000000003</v>
      </c>
      <c r="N67" s="257">
        <v>0</v>
      </c>
      <c r="O67" s="142">
        <v>0</v>
      </c>
      <c r="P67" s="150">
        <v>0</v>
      </c>
      <c r="Q67" s="150">
        <f t="shared" si="3"/>
        <v>0</v>
      </c>
    </row>
    <row r="68" spans="1:17" s="6" customFormat="1" hidden="1" x14ac:dyDescent="0.25">
      <c r="A68" s="147">
        <v>12</v>
      </c>
      <c r="B68" s="255" t="s">
        <v>89</v>
      </c>
      <c r="C68" s="155" t="s">
        <v>62</v>
      </c>
      <c r="D68" s="340"/>
      <c r="E68" s="155" t="s">
        <v>74</v>
      </c>
      <c r="F68" s="255" t="s">
        <v>340</v>
      </c>
      <c r="G68" s="255" t="s">
        <v>326</v>
      </c>
      <c r="H68" s="258">
        <v>6</v>
      </c>
      <c r="I68" s="258">
        <v>6</v>
      </c>
      <c r="J68" s="258">
        <v>6</v>
      </c>
      <c r="K68" s="259">
        <f>1762+3876.4+2995.4</f>
        <v>8633.7999999999993</v>
      </c>
      <c r="L68" s="146">
        <f>1762+3876.4</f>
        <v>5638.4</v>
      </c>
      <c r="M68" s="146">
        <f t="shared" si="2"/>
        <v>2995.3999999999996</v>
      </c>
      <c r="N68" s="257">
        <v>4</v>
      </c>
      <c r="O68" s="142">
        <f>440.5+5990.8+2819.2</f>
        <v>9250.5</v>
      </c>
      <c r="P68" s="150">
        <f>440.5+5990.8</f>
        <v>6431.3</v>
      </c>
      <c r="Q68" s="150">
        <f t="shared" si="3"/>
        <v>2819.2</v>
      </c>
    </row>
    <row r="69" spans="1:17" s="6" customFormat="1" hidden="1" x14ac:dyDescent="0.25">
      <c r="A69" s="147">
        <v>13</v>
      </c>
      <c r="B69" s="255" t="s">
        <v>196</v>
      </c>
      <c r="C69" s="155" t="s">
        <v>62</v>
      </c>
      <c r="D69" s="340"/>
      <c r="E69" s="155" t="s">
        <v>341</v>
      </c>
      <c r="F69" s="255" t="s">
        <v>342</v>
      </c>
      <c r="G69" s="255" t="s">
        <v>326</v>
      </c>
      <c r="H69" s="258">
        <v>7</v>
      </c>
      <c r="I69" s="258">
        <v>5</v>
      </c>
      <c r="J69" s="258">
        <v>5</v>
      </c>
      <c r="K69" s="259">
        <v>4933.6000000000004</v>
      </c>
      <c r="L69" s="146">
        <f>4933.6</f>
        <v>4933.6000000000004</v>
      </c>
      <c r="M69" s="146">
        <f t="shared" si="2"/>
        <v>0</v>
      </c>
      <c r="N69" s="257">
        <v>0</v>
      </c>
      <c r="O69" s="142">
        <v>0</v>
      </c>
      <c r="P69" s="150">
        <v>0</v>
      </c>
      <c r="Q69" s="150">
        <f t="shared" si="3"/>
        <v>0</v>
      </c>
    </row>
    <row r="70" spans="1:17" s="6" customFormat="1" hidden="1" x14ac:dyDescent="0.25">
      <c r="A70" s="147">
        <v>14</v>
      </c>
      <c r="B70" s="255" t="s">
        <v>628</v>
      </c>
      <c r="C70" s="155" t="s">
        <v>62</v>
      </c>
      <c r="D70" s="340"/>
      <c r="E70" s="155" t="s">
        <v>74</v>
      </c>
      <c r="F70" s="255" t="s">
        <v>629</v>
      </c>
      <c r="G70" s="255" t="s">
        <v>326</v>
      </c>
      <c r="H70" s="258">
        <v>0</v>
      </c>
      <c r="I70" s="258">
        <v>0</v>
      </c>
      <c r="J70" s="258">
        <v>0</v>
      </c>
      <c r="K70" s="259">
        <v>0</v>
      </c>
      <c r="L70" s="146">
        <v>0</v>
      </c>
      <c r="M70" s="146">
        <v>0</v>
      </c>
      <c r="N70" s="257">
        <v>0</v>
      </c>
      <c r="O70" s="142">
        <v>0</v>
      </c>
      <c r="P70" s="150">
        <v>0</v>
      </c>
      <c r="Q70" s="150">
        <f t="shared" si="3"/>
        <v>0</v>
      </c>
    </row>
    <row r="71" spans="1:17" s="6" customFormat="1" hidden="1" x14ac:dyDescent="0.25">
      <c r="A71" s="147">
        <v>15</v>
      </c>
      <c r="B71" s="255" t="s">
        <v>343</v>
      </c>
      <c r="C71" s="155" t="s">
        <v>62</v>
      </c>
      <c r="D71" s="340"/>
      <c r="E71" s="155" t="s">
        <v>74</v>
      </c>
      <c r="F71" s="255" t="s">
        <v>344</v>
      </c>
      <c r="G71" s="255" t="s">
        <v>326</v>
      </c>
      <c r="H71" s="258">
        <v>9</v>
      </c>
      <c r="I71" s="258">
        <v>2</v>
      </c>
      <c r="J71" s="258">
        <v>2</v>
      </c>
      <c r="K71" s="259">
        <f>2466.8</f>
        <v>2466.8000000000002</v>
      </c>
      <c r="L71" s="146">
        <f>2466.8</f>
        <v>2466.8000000000002</v>
      </c>
      <c r="M71" s="146">
        <f t="shared" si="2"/>
        <v>0</v>
      </c>
      <c r="N71" s="257">
        <v>0</v>
      </c>
      <c r="O71" s="142">
        <v>0</v>
      </c>
      <c r="P71" s="150">
        <v>0</v>
      </c>
      <c r="Q71" s="150">
        <f t="shared" si="3"/>
        <v>0</v>
      </c>
    </row>
    <row r="72" spans="1:17" s="6" customFormat="1" hidden="1" x14ac:dyDescent="0.25">
      <c r="A72" s="147">
        <v>16</v>
      </c>
      <c r="B72" s="255" t="s">
        <v>154</v>
      </c>
      <c r="C72" s="155" t="s">
        <v>62</v>
      </c>
      <c r="D72" s="340"/>
      <c r="E72" s="155" t="s">
        <v>74</v>
      </c>
      <c r="F72" s="255" t="s">
        <v>345</v>
      </c>
      <c r="G72" s="255" t="s">
        <v>326</v>
      </c>
      <c r="H72" s="258">
        <v>6</v>
      </c>
      <c r="I72" s="258">
        <v>3</v>
      </c>
      <c r="J72" s="258">
        <v>3</v>
      </c>
      <c r="K72" s="259">
        <f>1497.7+1288.7</f>
        <v>2786.4</v>
      </c>
      <c r="L72" s="146">
        <f>1497.7</f>
        <v>1497.7</v>
      </c>
      <c r="M72" s="146">
        <f t="shared" si="2"/>
        <v>1288.7</v>
      </c>
      <c r="N72" s="257">
        <v>6</v>
      </c>
      <c r="O72" s="142">
        <f>4228.8+3700.2+552.3</f>
        <v>8481.2999999999993</v>
      </c>
      <c r="P72" s="143">
        <f>4228.8+3700.2</f>
        <v>7929</v>
      </c>
      <c r="Q72" s="150">
        <f t="shared" si="3"/>
        <v>552.29999999999927</v>
      </c>
    </row>
    <row r="73" spans="1:17" s="6" customFormat="1" hidden="1" x14ac:dyDescent="0.25">
      <c r="A73" s="147">
        <v>17</v>
      </c>
      <c r="B73" s="255" t="s">
        <v>346</v>
      </c>
      <c r="C73" s="155" t="s">
        <v>62</v>
      </c>
      <c r="D73" s="340"/>
      <c r="E73" s="155" t="s">
        <v>158</v>
      </c>
      <c r="F73" s="255" t="s">
        <v>347</v>
      </c>
      <c r="G73" s="255" t="s">
        <v>326</v>
      </c>
      <c r="H73" s="258">
        <v>2</v>
      </c>
      <c r="I73" s="258">
        <v>0</v>
      </c>
      <c r="J73" s="258">
        <v>0</v>
      </c>
      <c r="K73" s="259">
        <v>0</v>
      </c>
      <c r="L73" s="146">
        <v>0</v>
      </c>
      <c r="M73" s="146">
        <f t="shared" si="2"/>
        <v>0</v>
      </c>
      <c r="N73" s="257">
        <v>0</v>
      </c>
      <c r="O73" s="142">
        <v>0</v>
      </c>
      <c r="P73" s="150">
        <v>0</v>
      </c>
      <c r="Q73" s="150">
        <f t="shared" si="3"/>
        <v>0</v>
      </c>
    </row>
    <row r="74" spans="1:17" s="6" customFormat="1" hidden="1" x14ac:dyDescent="0.25">
      <c r="A74" s="147">
        <v>18</v>
      </c>
      <c r="B74" s="255" t="s">
        <v>348</v>
      </c>
      <c r="C74" s="155" t="s">
        <v>62</v>
      </c>
      <c r="D74" s="340"/>
      <c r="E74" s="155" t="s">
        <v>158</v>
      </c>
      <c r="F74" s="255" t="s">
        <v>349</v>
      </c>
      <c r="G74" s="255" t="s">
        <v>326</v>
      </c>
      <c r="H74" s="258">
        <v>6</v>
      </c>
      <c r="I74" s="258">
        <v>0</v>
      </c>
      <c r="J74" s="258">
        <v>0</v>
      </c>
      <c r="K74" s="259">
        <v>0</v>
      </c>
      <c r="L74" s="146">
        <v>0</v>
      </c>
      <c r="M74" s="146">
        <f t="shared" si="2"/>
        <v>0</v>
      </c>
      <c r="N74" s="257">
        <v>0</v>
      </c>
      <c r="O74" s="142">
        <v>0</v>
      </c>
      <c r="P74" s="150">
        <v>0</v>
      </c>
      <c r="Q74" s="150">
        <f t="shared" si="3"/>
        <v>0</v>
      </c>
    </row>
    <row r="75" spans="1:17" s="6" customFormat="1" hidden="1" x14ac:dyDescent="0.25">
      <c r="A75" s="147">
        <v>19</v>
      </c>
      <c r="B75" s="255" t="s">
        <v>350</v>
      </c>
      <c r="C75" s="155" t="s">
        <v>62</v>
      </c>
      <c r="D75" s="340"/>
      <c r="E75" s="155" t="s">
        <v>74</v>
      </c>
      <c r="F75" s="255" t="s">
        <v>351</v>
      </c>
      <c r="G75" s="255" t="s">
        <v>326</v>
      </c>
      <c r="H75" s="258">
        <v>1</v>
      </c>
      <c r="I75" s="258">
        <v>1</v>
      </c>
      <c r="J75" s="258">
        <v>1</v>
      </c>
      <c r="K75" s="259">
        <f>528.6</f>
        <v>528.6</v>
      </c>
      <c r="L75" s="146">
        <f>528.6</f>
        <v>528.6</v>
      </c>
      <c r="M75" s="146">
        <f t="shared" si="2"/>
        <v>0</v>
      </c>
      <c r="N75" s="257">
        <v>4</v>
      </c>
      <c r="O75" s="142">
        <v>5065.75</v>
      </c>
      <c r="P75" s="150">
        <f>1894.15+3171.6</f>
        <v>5065.75</v>
      </c>
      <c r="Q75" s="150">
        <f t="shared" si="3"/>
        <v>0</v>
      </c>
    </row>
    <row r="76" spans="1:17" s="6" customFormat="1" ht="39" hidden="1" x14ac:dyDescent="0.25">
      <c r="A76" s="148">
        <v>20</v>
      </c>
      <c r="B76" s="255" t="s">
        <v>222</v>
      </c>
      <c r="C76" s="155" t="s">
        <v>64</v>
      </c>
      <c r="D76" s="341" t="s">
        <v>352</v>
      </c>
      <c r="E76" s="155" t="s">
        <v>158</v>
      </c>
      <c r="F76" s="255" t="s">
        <v>353</v>
      </c>
      <c r="G76" s="255" t="s">
        <v>326</v>
      </c>
      <c r="H76" s="258">
        <v>6</v>
      </c>
      <c r="I76" s="258">
        <v>2</v>
      </c>
      <c r="J76" s="258">
        <v>2</v>
      </c>
      <c r="K76" s="259">
        <f>1233.4+2290.6</f>
        <v>3524</v>
      </c>
      <c r="L76" s="146">
        <f>1233.4+2290.6</f>
        <v>3524</v>
      </c>
      <c r="M76" s="146">
        <f t="shared" si="2"/>
        <v>0</v>
      </c>
      <c r="N76" s="257">
        <v>0</v>
      </c>
      <c r="O76" s="146">
        <v>0</v>
      </c>
      <c r="P76" s="150">
        <v>0</v>
      </c>
      <c r="Q76" s="150">
        <f t="shared" si="3"/>
        <v>0</v>
      </c>
    </row>
    <row r="77" spans="1:17" s="6" customFormat="1" hidden="1" x14ac:dyDescent="0.25">
      <c r="A77" s="147">
        <v>21</v>
      </c>
      <c r="B77" s="255" t="s">
        <v>238</v>
      </c>
      <c r="C77" s="155" t="s">
        <v>62</v>
      </c>
      <c r="D77" s="139"/>
      <c r="E77" s="155" t="s">
        <v>158</v>
      </c>
      <c r="F77" s="255" t="s">
        <v>354</v>
      </c>
      <c r="G77" s="255" t="s">
        <v>326</v>
      </c>
      <c r="H77" s="258">
        <v>7</v>
      </c>
      <c r="I77" s="258">
        <v>6</v>
      </c>
      <c r="J77" s="258">
        <v>6</v>
      </c>
      <c r="K77" s="259">
        <f>2466.8+4581.2+1012.55</f>
        <v>8060.55</v>
      </c>
      <c r="L77" s="146">
        <f>1233.4+1233.4+4581.2</f>
        <v>7048</v>
      </c>
      <c r="M77" s="146">
        <f t="shared" si="2"/>
        <v>1012.5500000000002</v>
      </c>
      <c r="N77" s="257">
        <v>0</v>
      </c>
      <c r="O77" s="142">
        <v>0</v>
      </c>
      <c r="P77" s="150">
        <v>0</v>
      </c>
      <c r="Q77" s="150">
        <f t="shared" si="3"/>
        <v>0</v>
      </c>
    </row>
    <row r="78" spans="1:17" s="6" customFormat="1" hidden="1" x14ac:dyDescent="0.25">
      <c r="A78" s="147">
        <v>22</v>
      </c>
      <c r="B78" s="255" t="s">
        <v>355</v>
      </c>
      <c r="C78" s="155" t="s">
        <v>62</v>
      </c>
      <c r="D78" s="139"/>
      <c r="E78" s="155" t="s">
        <v>158</v>
      </c>
      <c r="F78" s="255" t="s">
        <v>356</v>
      </c>
      <c r="G78" s="255" t="s">
        <v>326</v>
      </c>
      <c r="H78" s="258">
        <v>7</v>
      </c>
      <c r="I78" s="258">
        <v>2</v>
      </c>
      <c r="J78" s="258">
        <v>2</v>
      </c>
      <c r="K78" s="259">
        <v>1762</v>
      </c>
      <c r="L78" s="146">
        <f>1233.4+528.6</f>
        <v>1762</v>
      </c>
      <c r="M78" s="146">
        <f t="shared" si="2"/>
        <v>0</v>
      </c>
      <c r="N78" s="257">
        <v>0</v>
      </c>
      <c r="O78" s="142">
        <v>0</v>
      </c>
      <c r="P78" s="150">
        <v>0</v>
      </c>
      <c r="Q78" s="150">
        <f t="shared" si="3"/>
        <v>0</v>
      </c>
    </row>
    <row r="79" spans="1:17" s="6" customFormat="1" ht="38.25" hidden="1" x14ac:dyDescent="0.25">
      <c r="A79" s="148">
        <v>23</v>
      </c>
      <c r="B79" s="255" t="s">
        <v>357</v>
      </c>
      <c r="C79" s="155" t="s">
        <v>64</v>
      </c>
      <c r="D79" s="254" t="s">
        <v>358</v>
      </c>
      <c r="E79" s="155" t="s">
        <v>158</v>
      </c>
      <c r="F79" s="155" t="s">
        <v>507</v>
      </c>
      <c r="G79" s="255" t="s">
        <v>326</v>
      </c>
      <c r="H79" s="258">
        <v>3</v>
      </c>
      <c r="I79" s="145">
        <v>1</v>
      </c>
      <c r="J79" s="145">
        <v>1</v>
      </c>
      <c r="K79" s="259">
        <f>1288.7</f>
        <v>1288.7</v>
      </c>
      <c r="L79" s="146">
        <v>0</v>
      </c>
      <c r="M79" s="146">
        <f t="shared" si="2"/>
        <v>1288.7</v>
      </c>
      <c r="N79" s="257">
        <v>0</v>
      </c>
      <c r="O79" s="146">
        <v>0</v>
      </c>
      <c r="P79" s="150">
        <v>0</v>
      </c>
      <c r="Q79" s="150">
        <f t="shared" si="3"/>
        <v>0</v>
      </c>
    </row>
    <row r="80" spans="1:17" s="6" customFormat="1" hidden="1" x14ac:dyDescent="0.25">
      <c r="A80" s="148">
        <v>24</v>
      </c>
      <c r="B80" s="255" t="s">
        <v>36</v>
      </c>
      <c r="C80" s="155" t="s">
        <v>62</v>
      </c>
      <c r="D80" s="254"/>
      <c r="E80" s="155" t="s">
        <v>74</v>
      </c>
      <c r="F80" s="342" t="s">
        <v>630</v>
      </c>
      <c r="G80" s="255" t="s">
        <v>326</v>
      </c>
      <c r="H80" s="258">
        <v>0</v>
      </c>
      <c r="I80" s="145">
        <v>0</v>
      </c>
      <c r="J80" s="145">
        <v>0</v>
      </c>
      <c r="K80" s="259">
        <v>0</v>
      </c>
      <c r="L80" s="146">
        <v>0</v>
      </c>
      <c r="M80" s="146">
        <v>0</v>
      </c>
      <c r="N80" s="257">
        <v>0</v>
      </c>
      <c r="O80" s="146">
        <v>0</v>
      </c>
      <c r="P80" s="150">
        <v>0</v>
      </c>
      <c r="Q80" s="150">
        <f t="shared" si="3"/>
        <v>0</v>
      </c>
    </row>
    <row r="81" spans="1:17" s="6" customFormat="1" hidden="1" x14ac:dyDescent="0.25">
      <c r="A81" s="147">
        <v>25</v>
      </c>
      <c r="B81" s="255" t="s">
        <v>359</v>
      </c>
      <c r="C81" s="155" t="s">
        <v>62</v>
      </c>
      <c r="D81" s="254"/>
      <c r="E81" s="155" t="s">
        <v>158</v>
      </c>
      <c r="F81" s="155" t="s">
        <v>360</v>
      </c>
      <c r="G81" s="255" t="s">
        <v>326</v>
      </c>
      <c r="H81" s="258">
        <v>5</v>
      </c>
      <c r="I81" s="258">
        <v>5</v>
      </c>
      <c r="J81" s="258">
        <v>5</v>
      </c>
      <c r="K81" s="259">
        <f>1409.6+704.8+528.6+2290.6</f>
        <v>4933.5999999999995</v>
      </c>
      <c r="L81" s="146">
        <f>704.8+704.8+704.8+9.97+518.63+2290.6</f>
        <v>4933.5999999999995</v>
      </c>
      <c r="M81" s="146">
        <f t="shared" si="2"/>
        <v>0</v>
      </c>
      <c r="N81" s="257">
        <v>0</v>
      </c>
      <c r="O81" s="142">
        <v>0</v>
      </c>
      <c r="P81" s="143">
        <v>0</v>
      </c>
      <c r="Q81" s="150">
        <f t="shared" si="3"/>
        <v>0</v>
      </c>
    </row>
    <row r="82" spans="1:17" s="6" customFormat="1" hidden="1" x14ac:dyDescent="0.25">
      <c r="A82" s="147">
        <v>26</v>
      </c>
      <c r="B82" s="255" t="s">
        <v>118</v>
      </c>
      <c r="C82" s="155" t="s">
        <v>62</v>
      </c>
      <c r="D82" s="139"/>
      <c r="E82" s="155" t="s">
        <v>338</v>
      </c>
      <c r="F82" s="255" t="s">
        <v>361</v>
      </c>
      <c r="G82" s="255" t="s">
        <v>326</v>
      </c>
      <c r="H82" s="258">
        <v>1</v>
      </c>
      <c r="I82" s="258">
        <v>1</v>
      </c>
      <c r="J82" s="258">
        <v>1</v>
      </c>
      <c r="K82" s="259">
        <f>1012.55</f>
        <v>1012.55</v>
      </c>
      <c r="L82" s="146">
        <v>0</v>
      </c>
      <c r="M82" s="146">
        <f t="shared" si="2"/>
        <v>1012.55</v>
      </c>
      <c r="N82" s="257">
        <v>0</v>
      </c>
      <c r="O82" s="142">
        <v>0</v>
      </c>
      <c r="P82" s="150">
        <v>0</v>
      </c>
      <c r="Q82" s="150">
        <f t="shared" si="3"/>
        <v>0</v>
      </c>
    </row>
    <row r="83" spans="1:17" s="6" customFormat="1" hidden="1" x14ac:dyDescent="0.25">
      <c r="A83" s="147">
        <v>27</v>
      </c>
      <c r="B83" s="255" t="s">
        <v>246</v>
      </c>
      <c r="C83" s="155" t="s">
        <v>62</v>
      </c>
      <c r="D83" s="139"/>
      <c r="E83" s="155" t="s">
        <v>158</v>
      </c>
      <c r="F83" s="255" t="s">
        <v>362</v>
      </c>
      <c r="G83" s="255" t="s">
        <v>326</v>
      </c>
      <c r="H83" s="258">
        <v>5</v>
      </c>
      <c r="I83" s="258">
        <v>1</v>
      </c>
      <c r="J83" s="258">
        <v>1</v>
      </c>
      <c r="K83" s="259">
        <f>1233.4</f>
        <v>1233.4000000000001</v>
      </c>
      <c r="L83" s="146">
        <f>1233.4</f>
        <v>1233.4000000000001</v>
      </c>
      <c r="M83" s="146">
        <f t="shared" si="2"/>
        <v>0</v>
      </c>
      <c r="N83" s="257">
        <v>0</v>
      </c>
      <c r="O83" s="142">
        <v>0</v>
      </c>
      <c r="P83" s="150">
        <v>0</v>
      </c>
      <c r="Q83" s="150">
        <f t="shared" si="3"/>
        <v>0</v>
      </c>
    </row>
    <row r="84" spans="1:17" s="6" customFormat="1" hidden="1" x14ac:dyDescent="0.25">
      <c r="A84" s="147">
        <v>28</v>
      </c>
      <c r="B84" s="255" t="s">
        <v>43</v>
      </c>
      <c r="C84" s="155" t="s">
        <v>62</v>
      </c>
      <c r="D84" s="139"/>
      <c r="E84" s="155" t="s">
        <v>74</v>
      </c>
      <c r="F84" s="255" t="s">
        <v>363</v>
      </c>
      <c r="G84" s="255" t="s">
        <v>326</v>
      </c>
      <c r="H84" s="258">
        <v>4</v>
      </c>
      <c r="I84" s="258">
        <v>1</v>
      </c>
      <c r="J84" s="258">
        <v>1</v>
      </c>
      <c r="K84" s="259">
        <v>660.75</v>
      </c>
      <c r="L84" s="146">
        <f>660.75</f>
        <v>660.75</v>
      </c>
      <c r="M84" s="146">
        <f t="shared" si="2"/>
        <v>0</v>
      </c>
      <c r="N84" s="257">
        <v>0</v>
      </c>
      <c r="O84" s="142">
        <v>0</v>
      </c>
      <c r="P84" s="150">
        <v>0</v>
      </c>
      <c r="Q84" s="150">
        <f t="shared" si="3"/>
        <v>0</v>
      </c>
    </row>
    <row r="85" spans="1:17" s="6" customFormat="1" hidden="1" x14ac:dyDescent="0.25">
      <c r="A85" s="147">
        <v>29</v>
      </c>
      <c r="B85" s="255" t="s">
        <v>364</v>
      </c>
      <c r="C85" s="155" t="s">
        <v>62</v>
      </c>
      <c r="D85" s="139"/>
      <c r="E85" s="155" t="s">
        <v>74</v>
      </c>
      <c r="F85" s="255" t="s">
        <v>365</v>
      </c>
      <c r="G85" s="255" t="s">
        <v>326</v>
      </c>
      <c r="H85" s="258">
        <v>8</v>
      </c>
      <c r="I85" s="258">
        <v>2</v>
      </c>
      <c r="J85" s="258">
        <v>2</v>
      </c>
      <c r="K85" s="259">
        <v>2466.8000000000002</v>
      </c>
      <c r="L85" s="146">
        <v>2466.8000000000002</v>
      </c>
      <c r="M85" s="146">
        <f t="shared" si="2"/>
        <v>0</v>
      </c>
      <c r="N85" s="257">
        <v>3</v>
      </c>
      <c r="O85" s="142">
        <f>3524+2671.06+3497.9</f>
        <v>9692.9599999999991</v>
      </c>
      <c r="P85" s="150">
        <v>3524</v>
      </c>
      <c r="Q85" s="150">
        <f t="shared" si="3"/>
        <v>6168.9599999999991</v>
      </c>
    </row>
    <row r="86" spans="1:17" s="6" customFormat="1" hidden="1" x14ac:dyDescent="0.25">
      <c r="A86" s="147">
        <v>30</v>
      </c>
      <c r="B86" s="255" t="s">
        <v>46</v>
      </c>
      <c r="C86" s="155" t="s">
        <v>62</v>
      </c>
      <c r="D86" s="139"/>
      <c r="E86" s="155" t="s">
        <v>366</v>
      </c>
      <c r="F86" s="255" t="s">
        <v>367</v>
      </c>
      <c r="G86" s="255" t="s">
        <v>326</v>
      </c>
      <c r="H86" s="258">
        <v>0</v>
      </c>
      <c r="I86" s="258">
        <v>0</v>
      </c>
      <c r="J86" s="258">
        <v>0</v>
      </c>
      <c r="K86" s="259">
        <v>0</v>
      </c>
      <c r="L86" s="146">
        <v>0</v>
      </c>
      <c r="M86" s="146">
        <f t="shared" si="2"/>
        <v>0</v>
      </c>
      <c r="N86" s="257">
        <v>2</v>
      </c>
      <c r="O86" s="142">
        <f>4140.7+528.6</f>
        <v>4669.3</v>
      </c>
      <c r="P86" s="143">
        <f>4140.7+528.6</f>
        <v>4669.3</v>
      </c>
      <c r="Q86" s="150">
        <f t="shared" si="3"/>
        <v>0</v>
      </c>
    </row>
    <row r="87" spans="1:17" s="6" customFormat="1" hidden="1" x14ac:dyDescent="0.25">
      <c r="A87" s="147">
        <v>31</v>
      </c>
      <c r="B87" s="255" t="s">
        <v>270</v>
      </c>
      <c r="C87" s="155" t="s">
        <v>62</v>
      </c>
      <c r="D87" s="139"/>
      <c r="E87" s="155" t="s">
        <v>74</v>
      </c>
      <c r="F87" s="255" t="s">
        <v>539</v>
      </c>
      <c r="G87" s="255" t="s">
        <v>326</v>
      </c>
      <c r="H87" s="258">
        <v>2</v>
      </c>
      <c r="I87" s="258">
        <v>0</v>
      </c>
      <c r="J87" s="258">
        <v>0</v>
      </c>
      <c r="K87" s="259">
        <v>0</v>
      </c>
      <c r="L87" s="146">
        <v>0</v>
      </c>
      <c r="M87" s="146">
        <f t="shared" si="2"/>
        <v>0</v>
      </c>
      <c r="N87" s="257">
        <v>0</v>
      </c>
      <c r="O87" s="142">
        <v>0</v>
      </c>
      <c r="P87" s="143">
        <v>0</v>
      </c>
      <c r="Q87" s="150">
        <v>0</v>
      </c>
    </row>
    <row r="88" spans="1:17" s="6" customFormat="1" hidden="1" x14ac:dyDescent="0.25">
      <c r="A88" s="147">
        <v>32</v>
      </c>
      <c r="B88" s="255" t="s">
        <v>621</v>
      </c>
      <c r="C88" s="155" t="s">
        <v>62</v>
      </c>
      <c r="D88" s="139"/>
      <c r="E88" s="155" t="s">
        <v>74</v>
      </c>
      <c r="F88" s="255" t="s">
        <v>622</v>
      </c>
      <c r="G88" s="255" t="s">
        <v>326</v>
      </c>
      <c r="H88" s="258">
        <v>2</v>
      </c>
      <c r="I88" s="258">
        <v>0</v>
      </c>
      <c r="J88" s="258">
        <v>0</v>
      </c>
      <c r="K88" s="259">
        <v>0</v>
      </c>
      <c r="L88" s="146">
        <v>0</v>
      </c>
      <c r="M88" s="146">
        <f t="shared" si="2"/>
        <v>0</v>
      </c>
      <c r="N88" s="257">
        <v>0</v>
      </c>
      <c r="O88" s="142">
        <v>0</v>
      </c>
      <c r="P88" s="143">
        <v>0</v>
      </c>
      <c r="Q88" s="150">
        <v>0</v>
      </c>
    </row>
    <row r="89" spans="1:17" s="6" customFormat="1" hidden="1" x14ac:dyDescent="0.25">
      <c r="A89" s="147">
        <v>33</v>
      </c>
      <c r="B89" s="255" t="s">
        <v>96</v>
      </c>
      <c r="C89" s="155" t="s">
        <v>62</v>
      </c>
      <c r="D89" s="139"/>
      <c r="E89" s="155" t="s">
        <v>98</v>
      </c>
      <c r="F89" s="255" t="s">
        <v>540</v>
      </c>
      <c r="G89" s="255" t="s">
        <v>326</v>
      </c>
      <c r="H89" s="258">
        <v>1</v>
      </c>
      <c r="I89" s="258">
        <v>0</v>
      </c>
      <c r="J89" s="258">
        <v>0</v>
      </c>
      <c r="K89" s="259">
        <v>0</v>
      </c>
      <c r="L89" s="146">
        <v>0</v>
      </c>
      <c r="M89" s="146">
        <f t="shared" si="2"/>
        <v>0</v>
      </c>
      <c r="N89" s="257">
        <v>1</v>
      </c>
      <c r="O89" s="142">
        <v>0</v>
      </c>
      <c r="P89" s="143">
        <v>0</v>
      </c>
      <c r="Q89" s="150">
        <v>0</v>
      </c>
    </row>
    <row r="90" spans="1:17" s="6" customFormat="1" hidden="1" x14ac:dyDescent="0.25">
      <c r="A90" s="147">
        <v>34</v>
      </c>
      <c r="B90" s="255" t="s">
        <v>124</v>
      </c>
      <c r="C90" s="155" t="s">
        <v>62</v>
      </c>
      <c r="D90" s="139"/>
      <c r="E90" s="155" t="s">
        <v>74</v>
      </c>
      <c r="F90" s="255" t="s">
        <v>368</v>
      </c>
      <c r="G90" s="255" t="s">
        <v>326</v>
      </c>
      <c r="H90" s="258">
        <v>26</v>
      </c>
      <c r="I90" s="258">
        <v>15</v>
      </c>
      <c r="J90" s="258">
        <v>15</v>
      </c>
      <c r="K90" s="259">
        <f>6343.2+3700.2+4326.35</f>
        <v>14369.75</v>
      </c>
      <c r="L90" s="146">
        <f>1762+1762+2819.2+3700.2</f>
        <v>10043.4</v>
      </c>
      <c r="M90" s="146">
        <f t="shared" si="2"/>
        <v>4326.3500000000004</v>
      </c>
      <c r="N90" s="257">
        <v>8</v>
      </c>
      <c r="O90" s="142">
        <f>3171.6+88+1493.8-704.8+704.8</f>
        <v>4753.3999999999996</v>
      </c>
      <c r="P90" s="150">
        <f>1765.8+1493.8+789+704.8</f>
        <v>4753.3999999999996</v>
      </c>
      <c r="Q90" s="146">
        <f>O90-P90</f>
        <v>0</v>
      </c>
    </row>
    <row r="91" spans="1:17" s="6" customFormat="1" hidden="1" x14ac:dyDescent="0.25">
      <c r="A91" s="147">
        <v>35</v>
      </c>
      <c r="B91" s="255" t="s">
        <v>51</v>
      </c>
      <c r="C91" s="155" t="s">
        <v>62</v>
      </c>
      <c r="D91" s="139"/>
      <c r="E91" s="155" t="s">
        <v>74</v>
      </c>
      <c r="F91" s="255" t="s">
        <v>369</v>
      </c>
      <c r="G91" s="255" t="s">
        <v>326</v>
      </c>
      <c r="H91" s="258">
        <v>0</v>
      </c>
      <c r="I91" s="258">
        <v>0</v>
      </c>
      <c r="J91" s="258">
        <v>0</v>
      </c>
      <c r="K91" s="259">
        <v>0</v>
      </c>
      <c r="L91" s="146">
        <v>0</v>
      </c>
      <c r="M91" s="146">
        <f t="shared" si="2"/>
        <v>0</v>
      </c>
      <c r="N91" s="257">
        <v>1</v>
      </c>
      <c r="O91" s="142">
        <v>2290.6</v>
      </c>
      <c r="P91" s="150">
        <v>2290.6</v>
      </c>
      <c r="Q91" s="150">
        <f>O91-P91</f>
        <v>0</v>
      </c>
    </row>
    <row r="92" spans="1:17" s="6" customFormat="1" hidden="1" x14ac:dyDescent="0.25">
      <c r="A92" s="147">
        <v>36</v>
      </c>
      <c r="B92" s="255" t="s">
        <v>286</v>
      </c>
      <c r="C92" s="155" t="s">
        <v>62</v>
      </c>
      <c r="D92" s="139"/>
      <c r="E92" s="155" t="s">
        <v>74</v>
      </c>
      <c r="F92" s="255" t="s">
        <v>476</v>
      </c>
      <c r="G92" s="255" t="s">
        <v>326</v>
      </c>
      <c r="H92" s="258">
        <v>8</v>
      </c>
      <c r="I92" s="258">
        <v>4</v>
      </c>
      <c r="J92" s="258">
        <v>4</v>
      </c>
      <c r="K92" s="259">
        <f>1233.4+1409.6</f>
        <v>2643</v>
      </c>
      <c r="L92" s="146">
        <f>1233.4+1409.6</f>
        <v>2643</v>
      </c>
      <c r="M92" s="146">
        <f t="shared" si="2"/>
        <v>0</v>
      </c>
      <c r="N92" s="257">
        <v>0</v>
      </c>
      <c r="O92" s="142">
        <v>0</v>
      </c>
      <c r="P92" s="150">
        <v>0</v>
      </c>
      <c r="Q92" s="150">
        <v>0</v>
      </c>
    </row>
    <row r="93" spans="1:17" s="6" customFormat="1" hidden="1" x14ac:dyDescent="0.25">
      <c r="A93" s="147">
        <v>37</v>
      </c>
      <c r="B93" s="255" t="s">
        <v>290</v>
      </c>
      <c r="C93" s="155" t="s">
        <v>62</v>
      </c>
      <c r="D93" s="139"/>
      <c r="E93" s="155" t="s">
        <v>371</v>
      </c>
      <c r="F93" s="255" t="s">
        <v>372</v>
      </c>
      <c r="G93" s="255" t="s">
        <v>326</v>
      </c>
      <c r="H93" s="258">
        <v>9</v>
      </c>
      <c r="I93" s="258">
        <v>6</v>
      </c>
      <c r="J93" s="258">
        <v>6</v>
      </c>
      <c r="K93" s="259">
        <f>1409.6+704.8</f>
        <v>2114.3999999999996</v>
      </c>
      <c r="L93" s="146">
        <f>1409.6+704.8</f>
        <v>2114.3999999999996</v>
      </c>
      <c r="M93" s="146">
        <f t="shared" si="2"/>
        <v>0</v>
      </c>
      <c r="N93" s="257">
        <v>0</v>
      </c>
      <c r="O93" s="142">
        <v>0</v>
      </c>
      <c r="P93" s="143">
        <v>0</v>
      </c>
      <c r="Q93" s="150">
        <f>O93-P93</f>
        <v>0</v>
      </c>
    </row>
    <row r="94" spans="1:17" s="6" customFormat="1" hidden="1" x14ac:dyDescent="0.25">
      <c r="A94" s="147">
        <v>38</v>
      </c>
      <c r="B94" s="255" t="s">
        <v>134</v>
      </c>
      <c r="C94" s="155" t="s">
        <v>62</v>
      </c>
      <c r="D94" s="139"/>
      <c r="E94" s="155" t="s">
        <v>74</v>
      </c>
      <c r="F94" s="255" t="s">
        <v>373</v>
      </c>
      <c r="G94" s="255" t="s">
        <v>326</v>
      </c>
      <c r="H94" s="258">
        <v>3</v>
      </c>
      <c r="I94" s="258">
        <v>1</v>
      </c>
      <c r="J94" s="258">
        <v>1</v>
      </c>
      <c r="K94" s="259">
        <f>1938.2</f>
        <v>1938.2</v>
      </c>
      <c r="L94" s="146">
        <v>1938.2</v>
      </c>
      <c r="M94" s="146">
        <f t="shared" si="2"/>
        <v>0</v>
      </c>
      <c r="N94" s="257">
        <v>2</v>
      </c>
      <c r="O94" s="142">
        <v>2643</v>
      </c>
      <c r="P94" s="150">
        <f>881+1762</f>
        <v>2643</v>
      </c>
      <c r="Q94" s="150">
        <f>O94-P94</f>
        <v>0</v>
      </c>
    </row>
    <row r="95" spans="1:17" s="6" customFormat="1" hidden="1" x14ac:dyDescent="0.25">
      <c r="A95" s="147">
        <v>39</v>
      </c>
      <c r="B95" s="255" t="s">
        <v>135</v>
      </c>
      <c r="C95" s="155" t="s">
        <v>62</v>
      </c>
      <c r="D95" s="139"/>
      <c r="E95" s="155" t="s">
        <v>74</v>
      </c>
      <c r="F95" s="255" t="s">
        <v>374</v>
      </c>
      <c r="G95" s="255" t="s">
        <v>326</v>
      </c>
      <c r="H95" s="258">
        <v>19</v>
      </c>
      <c r="I95" s="258">
        <v>4</v>
      </c>
      <c r="J95" s="258">
        <v>4</v>
      </c>
      <c r="K95" s="259">
        <f>5109.8+881</f>
        <v>5990.8</v>
      </c>
      <c r="L95" s="146">
        <f>2290.6+2819.2+881</f>
        <v>5990.7999999999993</v>
      </c>
      <c r="M95" s="146">
        <f t="shared" si="2"/>
        <v>0</v>
      </c>
      <c r="N95" s="257">
        <v>38</v>
      </c>
      <c r="O95" s="142">
        <f>15109.16+9717+2845.2+3774.05</f>
        <v>31445.41</v>
      </c>
      <c r="P95" s="150">
        <f>14228.16+881+9717+2845.2</f>
        <v>27671.360000000001</v>
      </c>
      <c r="Q95" s="146">
        <f>O95-P95</f>
        <v>3774.0499999999993</v>
      </c>
    </row>
    <row r="96" spans="1:17" s="6" customFormat="1" ht="25.5" hidden="1" x14ac:dyDescent="0.25">
      <c r="A96" s="148">
        <v>40</v>
      </c>
      <c r="B96" s="255" t="s">
        <v>508</v>
      </c>
      <c r="C96" s="155" t="s">
        <v>64</v>
      </c>
      <c r="D96" s="254" t="s">
        <v>509</v>
      </c>
      <c r="E96" s="155" t="s">
        <v>74</v>
      </c>
      <c r="F96" s="255" t="s">
        <v>510</v>
      </c>
      <c r="G96" s="255" t="s">
        <v>326</v>
      </c>
      <c r="H96" s="258">
        <v>3</v>
      </c>
      <c r="I96" s="258">
        <v>2</v>
      </c>
      <c r="J96" s="258">
        <v>2</v>
      </c>
      <c r="K96" s="259">
        <f>4418.4</f>
        <v>4418.3999999999996</v>
      </c>
      <c r="L96" s="146">
        <v>0</v>
      </c>
      <c r="M96" s="146">
        <f t="shared" si="2"/>
        <v>4418.3999999999996</v>
      </c>
      <c r="N96" s="257">
        <v>0</v>
      </c>
      <c r="O96" s="146">
        <v>0</v>
      </c>
      <c r="P96" s="150">
        <v>0</v>
      </c>
      <c r="Q96" s="150">
        <v>0</v>
      </c>
    </row>
    <row r="97" spans="1:17" s="6" customFormat="1" hidden="1" x14ac:dyDescent="0.25">
      <c r="A97" s="147">
        <v>41</v>
      </c>
      <c r="B97" s="255" t="s">
        <v>299</v>
      </c>
      <c r="C97" s="155" t="s">
        <v>62</v>
      </c>
      <c r="D97" s="139"/>
      <c r="E97" s="155" t="s">
        <v>158</v>
      </c>
      <c r="F97" s="255" t="s">
        <v>375</v>
      </c>
      <c r="G97" s="255" t="s">
        <v>326</v>
      </c>
      <c r="H97" s="258">
        <v>3</v>
      </c>
      <c r="I97" s="258">
        <v>1</v>
      </c>
      <c r="J97" s="258">
        <v>1</v>
      </c>
      <c r="K97" s="259">
        <f>704.8</f>
        <v>704.8</v>
      </c>
      <c r="L97" s="146">
        <f>704.8</f>
        <v>704.8</v>
      </c>
      <c r="M97" s="146">
        <f t="shared" si="2"/>
        <v>0</v>
      </c>
      <c r="N97" s="257">
        <v>0</v>
      </c>
      <c r="O97" s="142">
        <v>0</v>
      </c>
      <c r="P97" s="150">
        <v>0</v>
      </c>
      <c r="Q97" s="150">
        <f t="shared" ref="Q97:Q103" si="4">O97-P97</f>
        <v>0</v>
      </c>
    </row>
    <row r="98" spans="1:17" s="6" customFormat="1" hidden="1" x14ac:dyDescent="0.25">
      <c r="A98" s="147">
        <v>42</v>
      </c>
      <c r="B98" s="255" t="s">
        <v>376</v>
      </c>
      <c r="C98" s="155" t="s">
        <v>62</v>
      </c>
      <c r="D98" s="139"/>
      <c r="E98" s="155" t="s">
        <v>74</v>
      </c>
      <c r="F98" s="255" t="s">
        <v>377</v>
      </c>
      <c r="G98" s="255" t="s">
        <v>326</v>
      </c>
      <c r="H98" s="258">
        <v>5</v>
      </c>
      <c r="I98" s="258">
        <v>3</v>
      </c>
      <c r="J98" s="258">
        <v>3</v>
      </c>
      <c r="K98" s="259">
        <f>1409.6+2643</f>
        <v>4052.6</v>
      </c>
      <c r="L98" s="146">
        <f>1409.6+2339.82+303.18</f>
        <v>4052.6</v>
      </c>
      <c r="M98" s="146">
        <f t="shared" si="2"/>
        <v>0</v>
      </c>
      <c r="N98" s="257">
        <v>0</v>
      </c>
      <c r="O98" s="142">
        <v>0</v>
      </c>
      <c r="P98" s="150">
        <v>0</v>
      </c>
      <c r="Q98" s="150">
        <f t="shared" si="4"/>
        <v>0</v>
      </c>
    </row>
    <row r="99" spans="1:17" s="6" customFormat="1" hidden="1" x14ac:dyDescent="0.25">
      <c r="A99" s="147">
        <v>43</v>
      </c>
      <c r="B99" s="255" t="s">
        <v>129</v>
      </c>
      <c r="C99" s="155" t="s">
        <v>62</v>
      </c>
      <c r="D99" s="139"/>
      <c r="E99" s="155" t="s">
        <v>74</v>
      </c>
      <c r="F99" s="255" t="s">
        <v>378</v>
      </c>
      <c r="G99" s="255" t="s">
        <v>326</v>
      </c>
      <c r="H99" s="258">
        <v>41</v>
      </c>
      <c r="I99" s="258">
        <v>24</v>
      </c>
      <c r="J99" s="258">
        <v>24</v>
      </c>
      <c r="K99" s="259">
        <f>7355.96+1306.55+4415.93+5710.35+1310.55+10196.79+4488.25</f>
        <v>34784.380000000005</v>
      </c>
      <c r="L99" s="146">
        <f>3615.96+5046.55+4415.93+2821.97+2888.38</f>
        <v>18788.79</v>
      </c>
      <c r="M99" s="146">
        <f t="shared" si="2"/>
        <v>15995.590000000004</v>
      </c>
      <c r="N99" s="257">
        <v>33</v>
      </c>
      <c r="O99" s="142">
        <f>28417.04+2923.96+3402.23+528.6+3259.4+1369.4+10104.55+4063.86+3819.85</f>
        <v>57888.890000000007</v>
      </c>
      <c r="P99" s="143">
        <f>22002.43+5101.53+1313.08+2923.96+3402.23+528.6+3259.4</f>
        <v>38531.230000000003</v>
      </c>
      <c r="Q99" s="150">
        <f t="shared" si="4"/>
        <v>19357.660000000003</v>
      </c>
    </row>
    <row r="100" spans="1:17" s="6" customFormat="1" hidden="1" x14ac:dyDescent="0.25">
      <c r="A100" s="147">
        <v>44</v>
      </c>
      <c r="B100" s="255" t="s">
        <v>379</v>
      </c>
      <c r="C100" s="155" t="s">
        <v>62</v>
      </c>
      <c r="D100" s="139"/>
      <c r="E100" s="155" t="s">
        <v>158</v>
      </c>
      <c r="F100" s="255" t="s">
        <v>380</v>
      </c>
      <c r="G100" s="255" t="s">
        <v>326</v>
      </c>
      <c r="H100" s="258">
        <v>3</v>
      </c>
      <c r="I100" s="258">
        <v>2</v>
      </c>
      <c r="J100" s="258">
        <v>2</v>
      </c>
      <c r="K100" s="259">
        <f>704.8+1012.55</f>
        <v>1717.35</v>
      </c>
      <c r="L100" s="146">
        <f>704.8</f>
        <v>704.8</v>
      </c>
      <c r="M100" s="146">
        <f t="shared" si="2"/>
        <v>1012.55</v>
      </c>
      <c r="N100" s="257">
        <v>0</v>
      </c>
      <c r="O100" s="142">
        <v>0</v>
      </c>
      <c r="P100" s="150">
        <v>0</v>
      </c>
      <c r="Q100" s="150">
        <f t="shared" si="4"/>
        <v>0</v>
      </c>
    </row>
    <row r="101" spans="1:17" s="6" customFormat="1" hidden="1" x14ac:dyDescent="0.25">
      <c r="A101" s="147">
        <v>45</v>
      </c>
      <c r="B101" s="255" t="s">
        <v>130</v>
      </c>
      <c r="C101" s="155" t="s">
        <v>62</v>
      </c>
      <c r="D101" s="139"/>
      <c r="E101" s="155" t="s">
        <v>74</v>
      </c>
      <c r="F101" s="255" t="s">
        <v>557</v>
      </c>
      <c r="G101" s="255" t="s">
        <v>326</v>
      </c>
      <c r="H101" s="258">
        <v>1</v>
      </c>
      <c r="I101" s="258">
        <v>0</v>
      </c>
      <c r="J101" s="258">
        <v>0</v>
      </c>
      <c r="K101" s="259">
        <v>0</v>
      </c>
      <c r="L101" s="146">
        <v>0</v>
      </c>
      <c r="M101" s="146">
        <f t="shared" si="2"/>
        <v>0</v>
      </c>
      <c r="N101" s="257">
        <v>2</v>
      </c>
      <c r="O101" s="142">
        <f>3700.2</f>
        <v>3700.2</v>
      </c>
      <c r="P101" s="150">
        <f>3700.2</f>
        <v>3700.2</v>
      </c>
      <c r="Q101" s="150">
        <f t="shared" si="4"/>
        <v>0</v>
      </c>
    </row>
    <row r="102" spans="1:17" s="6" customFormat="1" hidden="1" x14ac:dyDescent="0.25">
      <c r="A102" s="147">
        <v>46</v>
      </c>
      <c r="B102" s="255" t="s">
        <v>382</v>
      </c>
      <c r="C102" s="155" t="s">
        <v>62</v>
      </c>
      <c r="D102" s="139"/>
      <c r="E102" s="155" t="s">
        <v>383</v>
      </c>
      <c r="F102" s="255" t="s">
        <v>384</v>
      </c>
      <c r="G102" s="255" t="s">
        <v>326</v>
      </c>
      <c r="H102" s="258">
        <v>1</v>
      </c>
      <c r="I102" s="258">
        <v>1</v>
      </c>
      <c r="J102" s="258">
        <v>1</v>
      </c>
      <c r="K102" s="259">
        <v>704.8</v>
      </c>
      <c r="L102" s="146">
        <f>187.75+517.05</f>
        <v>704.8</v>
      </c>
      <c r="M102" s="146">
        <f t="shared" si="2"/>
        <v>0</v>
      </c>
      <c r="N102" s="257">
        <v>0</v>
      </c>
      <c r="O102" s="142">
        <v>0</v>
      </c>
      <c r="P102" s="150">
        <v>0</v>
      </c>
      <c r="Q102" s="150">
        <f t="shared" si="4"/>
        <v>0</v>
      </c>
    </row>
    <row r="103" spans="1:17" s="6" customFormat="1" hidden="1" x14ac:dyDescent="0.25">
      <c r="A103" s="147">
        <v>47</v>
      </c>
      <c r="B103" s="255" t="s">
        <v>385</v>
      </c>
      <c r="C103" s="155" t="s">
        <v>62</v>
      </c>
      <c r="D103" s="139"/>
      <c r="E103" s="139" t="s">
        <v>145</v>
      </c>
      <c r="F103" s="255" t="s">
        <v>386</v>
      </c>
      <c r="G103" s="255" t="s">
        <v>326</v>
      </c>
      <c r="H103" s="258">
        <v>12</v>
      </c>
      <c r="I103" s="258">
        <v>5</v>
      </c>
      <c r="J103" s="258">
        <v>5</v>
      </c>
      <c r="K103" s="259">
        <f>1762+2422.75</f>
        <v>4184.75</v>
      </c>
      <c r="L103" s="146">
        <f>1057.2+704.8+2422.75</f>
        <v>4184.75</v>
      </c>
      <c r="M103" s="146">
        <f t="shared" si="2"/>
        <v>0</v>
      </c>
      <c r="N103" s="257">
        <v>18</v>
      </c>
      <c r="O103" s="142">
        <v>9602.9</v>
      </c>
      <c r="P103" s="143">
        <f>9074.3+528.6</f>
        <v>9602.9</v>
      </c>
      <c r="Q103" s="150">
        <f t="shared" si="4"/>
        <v>0</v>
      </c>
    </row>
    <row r="104" spans="1:17" s="6" customFormat="1" hidden="1" x14ac:dyDescent="0.25">
      <c r="A104" s="147">
        <v>48</v>
      </c>
      <c r="B104" s="255" t="s">
        <v>150</v>
      </c>
      <c r="C104" s="155" t="s">
        <v>62</v>
      </c>
      <c r="D104" s="139"/>
      <c r="E104" s="155" t="s">
        <v>74</v>
      </c>
      <c r="F104" s="255" t="s">
        <v>370</v>
      </c>
      <c r="G104" s="255" t="s">
        <v>326</v>
      </c>
      <c r="H104" s="258">
        <v>0</v>
      </c>
      <c r="I104" s="258">
        <v>0</v>
      </c>
      <c r="J104" s="258">
        <v>0</v>
      </c>
      <c r="K104" s="259">
        <v>0</v>
      </c>
      <c r="L104" s="146">
        <v>0</v>
      </c>
      <c r="M104" s="146">
        <v>0</v>
      </c>
      <c r="N104" s="257">
        <v>0</v>
      </c>
      <c r="O104" s="142">
        <v>0</v>
      </c>
      <c r="P104" s="143">
        <v>0</v>
      </c>
      <c r="Q104" s="150">
        <v>0</v>
      </c>
    </row>
    <row r="105" spans="1:17" s="6" customFormat="1" hidden="1" x14ac:dyDescent="0.25">
      <c r="A105" s="147">
        <v>49</v>
      </c>
      <c r="B105" s="255" t="s">
        <v>387</v>
      </c>
      <c r="C105" s="155" t="s">
        <v>62</v>
      </c>
      <c r="D105" s="139"/>
      <c r="E105" s="155" t="s">
        <v>157</v>
      </c>
      <c r="F105" s="255" t="s">
        <v>388</v>
      </c>
      <c r="G105" s="255" t="s">
        <v>326</v>
      </c>
      <c r="H105" s="258">
        <v>0</v>
      </c>
      <c r="I105" s="258">
        <v>0</v>
      </c>
      <c r="J105" s="258">
        <v>0</v>
      </c>
      <c r="K105" s="273">
        <v>0</v>
      </c>
      <c r="L105" s="146">
        <v>0</v>
      </c>
      <c r="M105" s="146">
        <f>K105-L105</f>
        <v>0</v>
      </c>
      <c r="N105" s="257">
        <v>0</v>
      </c>
      <c r="O105" s="142">
        <v>0</v>
      </c>
      <c r="P105" s="150">
        <v>0</v>
      </c>
      <c r="Q105" s="150">
        <f>O105-P105</f>
        <v>0</v>
      </c>
    </row>
    <row r="106" spans="1:17" s="6" customFormat="1" hidden="1" x14ac:dyDescent="0.25">
      <c r="A106" s="147">
        <v>50</v>
      </c>
      <c r="B106" s="255" t="s">
        <v>54</v>
      </c>
      <c r="C106" s="155" t="s">
        <v>62</v>
      </c>
      <c r="D106" s="139"/>
      <c r="E106" s="155" t="s">
        <v>338</v>
      </c>
      <c r="F106" s="255" t="s">
        <v>391</v>
      </c>
      <c r="G106" s="255" t="s">
        <v>326</v>
      </c>
      <c r="H106" s="258">
        <v>0</v>
      </c>
      <c r="I106" s="258">
        <v>0</v>
      </c>
      <c r="J106" s="139">
        <v>0</v>
      </c>
      <c r="K106" s="273">
        <v>0</v>
      </c>
      <c r="L106" s="146">
        <v>0</v>
      </c>
      <c r="M106" s="146">
        <f>K106-L106</f>
        <v>0</v>
      </c>
      <c r="N106" s="257">
        <v>0</v>
      </c>
      <c r="O106" s="142">
        <v>0</v>
      </c>
      <c r="P106" s="143">
        <v>0</v>
      </c>
      <c r="Q106" s="150">
        <f>O106-P106</f>
        <v>0</v>
      </c>
    </row>
    <row r="107" spans="1:17" s="6" customFormat="1" ht="39" hidden="1" x14ac:dyDescent="0.25">
      <c r="A107" s="148">
        <v>51</v>
      </c>
      <c r="B107" s="255" t="s">
        <v>131</v>
      </c>
      <c r="C107" s="155" t="s">
        <v>64</v>
      </c>
      <c r="D107" s="261" t="s">
        <v>392</v>
      </c>
      <c r="E107" s="155" t="s">
        <v>158</v>
      </c>
      <c r="F107" s="256" t="s">
        <v>393</v>
      </c>
      <c r="G107" s="255" t="s">
        <v>326</v>
      </c>
      <c r="H107" s="258">
        <v>0</v>
      </c>
      <c r="I107" s="258">
        <v>0</v>
      </c>
      <c r="J107" s="145">
        <v>0</v>
      </c>
      <c r="K107" s="274">
        <v>0</v>
      </c>
      <c r="L107" s="150">
        <v>0</v>
      </c>
      <c r="M107" s="150">
        <f>K107-L107</f>
        <v>0</v>
      </c>
      <c r="N107" s="256">
        <v>0</v>
      </c>
      <c r="O107" s="150">
        <v>0</v>
      </c>
      <c r="P107" s="150">
        <v>0</v>
      </c>
      <c r="Q107" s="150">
        <f>O107-P107</f>
        <v>0</v>
      </c>
    </row>
    <row r="108" spans="1:17" s="6" customFormat="1" ht="25.5" hidden="1" x14ac:dyDescent="0.25">
      <c r="A108" s="63">
        <v>1</v>
      </c>
      <c r="B108" s="100" t="s">
        <v>21</v>
      </c>
      <c r="C108" s="100" t="s">
        <v>62</v>
      </c>
      <c r="D108" s="100"/>
      <c r="E108" s="100" t="s">
        <v>157</v>
      </c>
      <c r="F108" s="100" t="s">
        <v>523</v>
      </c>
      <c r="G108" s="100" t="s">
        <v>524</v>
      </c>
      <c r="H108" s="234">
        <v>1</v>
      </c>
      <c r="I108" s="234">
        <v>0</v>
      </c>
      <c r="J108" s="234">
        <v>0</v>
      </c>
      <c r="K108" s="215">
        <v>0</v>
      </c>
      <c r="L108" s="215">
        <v>0</v>
      </c>
      <c r="M108" s="215">
        <v>0</v>
      </c>
      <c r="N108" s="234">
        <v>1</v>
      </c>
      <c r="O108" s="215">
        <v>1233.4000000000001</v>
      </c>
      <c r="P108" s="215">
        <v>1233.4000000000001</v>
      </c>
      <c r="Q108" s="215">
        <v>0</v>
      </c>
    </row>
    <row r="109" spans="1:17" s="6" customFormat="1" ht="25.5" hidden="1" x14ac:dyDescent="0.25">
      <c r="A109" s="63">
        <v>2</v>
      </c>
      <c r="B109" s="100" t="s">
        <v>147</v>
      </c>
      <c r="C109" s="100" t="s">
        <v>62</v>
      </c>
      <c r="D109" s="100"/>
      <c r="E109" s="100" t="s">
        <v>158</v>
      </c>
      <c r="F109" s="100" t="s">
        <v>525</v>
      </c>
      <c r="G109" s="100" t="s">
        <v>524</v>
      </c>
      <c r="H109" s="234">
        <v>1</v>
      </c>
      <c r="I109" s="234">
        <v>1</v>
      </c>
      <c r="J109" s="234">
        <v>1</v>
      </c>
      <c r="K109" s="215">
        <v>1762</v>
      </c>
      <c r="L109" s="215">
        <v>1762</v>
      </c>
      <c r="M109" s="215">
        <v>0</v>
      </c>
      <c r="N109" s="234">
        <v>2</v>
      </c>
      <c r="O109" s="215">
        <v>10751.3</v>
      </c>
      <c r="P109" s="215">
        <v>8805.4</v>
      </c>
      <c r="Q109" s="215">
        <v>1945.9</v>
      </c>
    </row>
    <row r="110" spans="1:17" s="6" customFormat="1" ht="25.5" hidden="1" x14ac:dyDescent="0.25">
      <c r="A110" s="63">
        <v>3</v>
      </c>
      <c r="B110" s="232" t="s">
        <v>526</v>
      </c>
      <c r="C110" s="100" t="s">
        <v>62</v>
      </c>
      <c r="D110" s="100"/>
      <c r="E110" s="100" t="s">
        <v>527</v>
      </c>
      <c r="F110" s="100" t="s">
        <v>528</v>
      </c>
      <c r="G110" s="100" t="s">
        <v>524</v>
      </c>
      <c r="H110" s="234">
        <v>0</v>
      </c>
      <c r="I110" s="234">
        <v>0</v>
      </c>
      <c r="J110" s="234">
        <v>0</v>
      </c>
      <c r="K110" s="215">
        <v>0</v>
      </c>
      <c r="L110" s="215">
        <v>0</v>
      </c>
      <c r="M110" s="215">
        <v>0</v>
      </c>
      <c r="N110" s="234">
        <v>0</v>
      </c>
      <c r="O110" s="218">
        <v>0</v>
      </c>
      <c r="P110" s="215">
        <v>0</v>
      </c>
      <c r="Q110" s="215">
        <v>0</v>
      </c>
    </row>
    <row r="111" spans="1:17" s="6" customFormat="1" ht="25.5" hidden="1" x14ac:dyDescent="0.25">
      <c r="A111" s="63">
        <v>4</v>
      </c>
      <c r="B111" s="100" t="s">
        <v>305</v>
      </c>
      <c r="C111" s="100" t="s">
        <v>62</v>
      </c>
      <c r="D111" s="100"/>
      <c r="E111" s="100" t="s">
        <v>157</v>
      </c>
      <c r="F111" s="100" t="s">
        <v>531</v>
      </c>
      <c r="G111" s="100" t="s">
        <v>524</v>
      </c>
      <c r="H111" s="234">
        <v>4</v>
      </c>
      <c r="I111" s="234">
        <v>4</v>
      </c>
      <c r="J111" s="234">
        <v>4</v>
      </c>
      <c r="K111" s="215">
        <v>4107.8999999999996</v>
      </c>
      <c r="L111" s="215">
        <v>2819.2</v>
      </c>
      <c r="M111" s="215">
        <v>1288.7</v>
      </c>
      <c r="N111" s="234">
        <v>0</v>
      </c>
      <c r="O111" s="215">
        <v>0</v>
      </c>
      <c r="P111" s="215">
        <v>0</v>
      </c>
      <c r="Q111" s="215">
        <v>0</v>
      </c>
    </row>
    <row r="112" spans="1:17" s="6" customFormat="1" ht="25.5" hidden="1" x14ac:dyDescent="0.25">
      <c r="A112" s="63">
        <v>5</v>
      </c>
      <c r="B112" s="100" t="s">
        <v>407</v>
      </c>
      <c r="C112" s="100" t="s">
        <v>62</v>
      </c>
      <c r="D112" s="100"/>
      <c r="E112" s="100" t="s">
        <v>157</v>
      </c>
      <c r="F112" s="100" t="s">
        <v>532</v>
      </c>
      <c r="G112" s="100" t="s">
        <v>524</v>
      </c>
      <c r="H112" s="234">
        <v>4</v>
      </c>
      <c r="I112" s="234">
        <v>1</v>
      </c>
      <c r="J112" s="234">
        <v>1</v>
      </c>
      <c r="K112" s="215">
        <v>3866.1</v>
      </c>
      <c r="L112" s="215">
        <v>0</v>
      </c>
      <c r="M112" s="215">
        <v>3866.1</v>
      </c>
      <c r="N112" s="234">
        <v>0</v>
      </c>
      <c r="O112" s="215">
        <v>0</v>
      </c>
      <c r="P112" s="215">
        <v>0</v>
      </c>
      <c r="Q112" s="215">
        <v>0</v>
      </c>
    </row>
    <row r="113" spans="1:17" s="6" customFormat="1" ht="25.5" hidden="1" x14ac:dyDescent="0.25">
      <c r="A113" s="63">
        <v>6</v>
      </c>
      <c r="B113" s="100" t="s">
        <v>185</v>
      </c>
      <c r="C113" s="100" t="s">
        <v>62</v>
      </c>
      <c r="D113" s="100"/>
      <c r="E113" s="100" t="s">
        <v>157</v>
      </c>
      <c r="F113" s="100" t="s">
        <v>533</v>
      </c>
      <c r="G113" s="100" t="s">
        <v>524</v>
      </c>
      <c r="H113" s="234">
        <v>4</v>
      </c>
      <c r="I113" s="234">
        <v>3</v>
      </c>
      <c r="J113" s="234">
        <v>3</v>
      </c>
      <c r="K113" s="215">
        <v>12249.46</v>
      </c>
      <c r="L113" s="215">
        <v>0</v>
      </c>
      <c r="M113" s="215">
        <v>12249.46</v>
      </c>
      <c r="N113" s="234">
        <v>0</v>
      </c>
      <c r="O113" s="215">
        <v>0</v>
      </c>
      <c r="P113" s="215">
        <v>0</v>
      </c>
      <c r="Q113" s="215">
        <v>0</v>
      </c>
    </row>
    <row r="114" spans="1:17" s="6" customFormat="1" ht="25.5" hidden="1" x14ac:dyDescent="0.25">
      <c r="A114" s="63">
        <v>7</v>
      </c>
      <c r="B114" s="100" t="s">
        <v>534</v>
      </c>
      <c r="C114" s="100" t="s">
        <v>62</v>
      </c>
      <c r="D114" s="100"/>
      <c r="E114" s="100" t="s">
        <v>157</v>
      </c>
      <c r="F114" s="100" t="s">
        <v>535</v>
      </c>
      <c r="G114" s="100" t="s">
        <v>524</v>
      </c>
      <c r="H114" s="234">
        <v>1</v>
      </c>
      <c r="I114" s="234">
        <v>0</v>
      </c>
      <c r="J114" s="234">
        <v>0</v>
      </c>
      <c r="K114" s="215">
        <v>0</v>
      </c>
      <c r="L114" s="215">
        <v>0</v>
      </c>
      <c r="M114" s="215">
        <v>0</v>
      </c>
      <c r="N114" s="234">
        <v>0</v>
      </c>
      <c r="O114" s="215">
        <v>0</v>
      </c>
      <c r="P114" s="215">
        <v>0</v>
      </c>
      <c r="Q114" s="215">
        <v>0</v>
      </c>
    </row>
    <row r="115" spans="1:17" s="6" customFormat="1" ht="25.5" hidden="1" x14ac:dyDescent="0.25">
      <c r="A115" s="63">
        <v>8</v>
      </c>
      <c r="B115" s="100" t="s">
        <v>104</v>
      </c>
      <c r="C115" s="100" t="s">
        <v>62</v>
      </c>
      <c r="D115" s="100"/>
      <c r="E115" s="100" t="s">
        <v>158</v>
      </c>
      <c r="F115" s="233" t="s">
        <v>536</v>
      </c>
      <c r="G115" s="100" t="s">
        <v>524</v>
      </c>
      <c r="H115" s="234">
        <v>0</v>
      </c>
      <c r="I115" s="234">
        <v>0</v>
      </c>
      <c r="J115" s="234">
        <v>0</v>
      </c>
      <c r="K115" s="215">
        <v>0</v>
      </c>
      <c r="L115" s="215">
        <v>0</v>
      </c>
      <c r="M115" s="215">
        <v>0</v>
      </c>
      <c r="N115" s="234">
        <v>1</v>
      </c>
      <c r="O115" s="215">
        <v>0</v>
      </c>
      <c r="P115" s="215">
        <v>0</v>
      </c>
      <c r="Q115" s="215">
        <v>0</v>
      </c>
    </row>
    <row r="116" spans="1:17" s="6" customFormat="1" ht="25.5" hidden="1" x14ac:dyDescent="0.25">
      <c r="A116" s="63">
        <v>9</v>
      </c>
      <c r="B116" s="100" t="s">
        <v>30</v>
      </c>
      <c r="C116" s="100" t="s">
        <v>62</v>
      </c>
      <c r="D116" s="100"/>
      <c r="E116" s="100" t="s">
        <v>537</v>
      </c>
      <c r="F116" s="100" t="s">
        <v>592</v>
      </c>
      <c r="G116" s="100" t="s">
        <v>524</v>
      </c>
      <c r="H116" s="234">
        <v>0</v>
      </c>
      <c r="I116" s="234">
        <v>0</v>
      </c>
      <c r="J116" s="234">
        <v>0</v>
      </c>
      <c r="K116" s="215">
        <v>0</v>
      </c>
      <c r="L116" s="215">
        <v>0</v>
      </c>
      <c r="M116" s="215">
        <v>0</v>
      </c>
      <c r="N116" s="234">
        <v>0</v>
      </c>
      <c r="O116" s="215">
        <v>0</v>
      </c>
      <c r="P116" s="215">
        <v>0</v>
      </c>
      <c r="Q116" s="215">
        <v>0</v>
      </c>
    </row>
    <row r="117" spans="1:17" s="6" customFormat="1" hidden="1" x14ac:dyDescent="0.25">
      <c r="A117" s="343">
        <v>1</v>
      </c>
      <c r="B117" s="243" t="s">
        <v>47</v>
      </c>
      <c r="C117" s="243" t="s">
        <v>62</v>
      </c>
      <c r="D117" s="235"/>
      <c r="E117" s="245" t="s">
        <v>141</v>
      </c>
      <c r="F117" s="236" t="s">
        <v>448</v>
      </c>
      <c r="G117" s="245" t="s">
        <v>142</v>
      </c>
      <c r="H117" s="238">
        <v>7</v>
      </c>
      <c r="I117" s="238">
        <v>1</v>
      </c>
      <c r="J117" s="238">
        <v>1</v>
      </c>
      <c r="K117" s="241">
        <v>1233.4000000000001</v>
      </c>
      <c r="L117" s="241">
        <v>1233.4000000000001</v>
      </c>
      <c r="M117" s="241">
        <v>0</v>
      </c>
      <c r="N117" s="238">
        <v>21</v>
      </c>
      <c r="O117" s="241">
        <v>28051.279999999999</v>
      </c>
      <c r="P117" s="241">
        <v>28051.279999999999</v>
      </c>
      <c r="Q117" s="241">
        <v>0</v>
      </c>
    </row>
    <row r="118" spans="1:17" s="6" customFormat="1" hidden="1" x14ac:dyDescent="0.25">
      <c r="A118" s="343">
        <f>A117+1</f>
        <v>2</v>
      </c>
      <c r="B118" s="243" t="s">
        <v>55</v>
      </c>
      <c r="C118" s="243" t="s">
        <v>62</v>
      </c>
      <c r="D118" s="235"/>
      <c r="E118" s="245" t="s">
        <v>141</v>
      </c>
      <c r="F118" s="236" t="s">
        <v>449</v>
      </c>
      <c r="G118" s="245" t="s">
        <v>142</v>
      </c>
      <c r="H118" s="238">
        <v>8</v>
      </c>
      <c r="I118" s="238">
        <v>3</v>
      </c>
      <c r="J118" s="238">
        <v>3</v>
      </c>
      <c r="K118" s="241">
        <v>2995.4</v>
      </c>
      <c r="L118" s="241">
        <v>2995.4</v>
      </c>
      <c r="M118" s="241">
        <v>0</v>
      </c>
      <c r="N118" s="238">
        <v>13</v>
      </c>
      <c r="O118" s="241">
        <v>26355.3</v>
      </c>
      <c r="P118" s="241">
        <v>26355.3</v>
      </c>
      <c r="Q118" s="241">
        <v>0</v>
      </c>
    </row>
    <row r="119" spans="1:17" s="6" customFormat="1" hidden="1" x14ac:dyDescent="0.25">
      <c r="A119" s="343">
        <f>A118+1</f>
        <v>3</v>
      </c>
      <c r="B119" s="243" t="s">
        <v>122</v>
      </c>
      <c r="C119" s="243" t="s">
        <v>62</v>
      </c>
      <c r="D119" s="235"/>
      <c r="E119" s="245" t="s">
        <v>143</v>
      </c>
      <c r="F119" s="236" t="s">
        <v>450</v>
      </c>
      <c r="G119" s="245" t="s">
        <v>142</v>
      </c>
      <c r="H119" s="238">
        <v>5</v>
      </c>
      <c r="I119" s="238">
        <v>1</v>
      </c>
      <c r="J119" s="238">
        <v>1</v>
      </c>
      <c r="K119" s="241">
        <v>1012.55</v>
      </c>
      <c r="L119" s="241">
        <v>0</v>
      </c>
      <c r="M119" s="241">
        <v>1012.55</v>
      </c>
      <c r="N119" s="238">
        <v>5</v>
      </c>
      <c r="O119" s="241">
        <v>12189.34</v>
      </c>
      <c r="P119" s="241">
        <v>8841.5400000000009</v>
      </c>
      <c r="Q119" s="241">
        <v>3347.8</v>
      </c>
    </row>
    <row r="120" spans="1:17" s="6" customFormat="1" hidden="1" x14ac:dyDescent="0.25">
      <c r="A120" s="343">
        <f>A119+1</f>
        <v>4</v>
      </c>
      <c r="B120" s="243" t="s">
        <v>144</v>
      </c>
      <c r="C120" s="243" t="s">
        <v>62</v>
      </c>
      <c r="D120" s="235"/>
      <c r="E120" s="245" t="s">
        <v>141</v>
      </c>
      <c r="F120" s="236" t="s">
        <v>451</v>
      </c>
      <c r="G120" s="245" t="s">
        <v>142</v>
      </c>
      <c r="H120" s="238">
        <v>7</v>
      </c>
      <c r="I120" s="238">
        <v>7</v>
      </c>
      <c r="J120" s="238">
        <v>7</v>
      </c>
      <c r="K120" s="241">
        <v>8121.62</v>
      </c>
      <c r="L120" s="241">
        <v>7636.71</v>
      </c>
      <c r="M120" s="241">
        <v>484.91</v>
      </c>
      <c r="N120" s="238">
        <v>3</v>
      </c>
      <c r="O120" s="241">
        <v>3595.1</v>
      </c>
      <c r="P120" s="241">
        <v>1938.2</v>
      </c>
      <c r="Q120" s="241">
        <v>1656.9</v>
      </c>
    </row>
    <row r="121" spans="1:17" s="6" customFormat="1" ht="26.25" hidden="1" x14ac:dyDescent="0.25">
      <c r="A121" s="344">
        <f>A120+1</f>
        <v>5</v>
      </c>
      <c r="B121" s="243" t="s">
        <v>46</v>
      </c>
      <c r="C121" s="243" t="s">
        <v>62</v>
      </c>
      <c r="D121" s="235"/>
      <c r="E121" s="245" t="s">
        <v>452</v>
      </c>
      <c r="F121" s="236" t="s">
        <v>453</v>
      </c>
      <c r="G121" s="245" t="s">
        <v>142</v>
      </c>
      <c r="H121" s="238">
        <v>0</v>
      </c>
      <c r="I121" s="238">
        <v>0</v>
      </c>
      <c r="J121" s="238">
        <v>0</v>
      </c>
      <c r="K121" s="241">
        <v>0</v>
      </c>
      <c r="L121" s="241">
        <v>0</v>
      </c>
      <c r="M121" s="241">
        <v>0</v>
      </c>
      <c r="N121" s="238">
        <v>0</v>
      </c>
      <c r="O121" s="241">
        <v>0</v>
      </c>
      <c r="P121" s="241">
        <v>0</v>
      </c>
      <c r="Q121" s="241">
        <v>0</v>
      </c>
    </row>
    <row r="122" spans="1:17" s="6" customFormat="1" hidden="1" x14ac:dyDescent="0.25">
      <c r="A122" s="345">
        <v>6</v>
      </c>
      <c r="B122" s="245" t="s">
        <v>133</v>
      </c>
      <c r="C122" s="245" t="s">
        <v>67</v>
      </c>
      <c r="D122" s="245" t="s">
        <v>397</v>
      </c>
      <c r="E122" s="245" t="s">
        <v>74</v>
      </c>
      <c r="F122" s="236" t="s">
        <v>593</v>
      </c>
      <c r="G122" s="245" t="s">
        <v>142</v>
      </c>
      <c r="H122" s="238">
        <v>0</v>
      </c>
      <c r="I122" s="239">
        <v>0</v>
      </c>
      <c r="J122" s="239">
        <v>0</v>
      </c>
      <c r="K122" s="242">
        <v>0</v>
      </c>
      <c r="L122" s="242">
        <v>0</v>
      </c>
      <c r="M122" s="242">
        <v>0</v>
      </c>
      <c r="N122" s="238">
        <v>0</v>
      </c>
      <c r="O122" s="241">
        <v>0</v>
      </c>
      <c r="P122" s="241">
        <v>0</v>
      </c>
      <c r="Q122" s="241">
        <v>0</v>
      </c>
    </row>
    <row r="123" spans="1:17" s="6" customFormat="1" hidden="1" x14ac:dyDescent="0.25">
      <c r="A123" s="345">
        <v>7</v>
      </c>
      <c r="B123" s="245" t="s">
        <v>176</v>
      </c>
      <c r="C123" s="245" t="s">
        <v>62</v>
      </c>
      <c r="D123" s="236"/>
      <c r="E123" s="245" t="s">
        <v>141</v>
      </c>
      <c r="F123" s="236" t="s">
        <v>455</v>
      </c>
      <c r="G123" s="245" t="s">
        <v>142</v>
      </c>
      <c r="H123" s="238">
        <v>12</v>
      </c>
      <c r="I123" s="238">
        <v>9</v>
      </c>
      <c r="J123" s="238">
        <v>9</v>
      </c>
      <c r="K123" s="241">
        <v>10807.76</v>
      </c>
      <c r="L123" s="241">
        <v>8598.56</v>
      </c>
      <c r="M123" s="241">
        <v>2209.1999999999998</v>
      </c>
      <c r="N123" s="238">
        <v>0</v>
      </c>
      <c r="O123" s="241">
        <v>0</v>
      </c>
      <c r="P123" s="241">
        <v>0</v>
      </c>
      <c r="Q123" s="241">
        <v>0</v>
      </c>
    </row>
    <row r="124" spans="1:17" s="6" customFormat="1" hidden="1" x14ac:dyDescent="0.25">
      <c r="A124" s="345">
        <v>8</v>
      </c>
      <c r="B124" s="245" t="s">
        <v>235</v>
      </c>
      <c r="C124" s="245" t="s">
        <v>62</v>
      </c>
      <c r="D124" s="236"/>
      <c r="E124" s="245" t="s">
        <v>456</v>
      </c>
      <c r="F124" s="236" t="s">
        <v>457</v>
      </c>
      <c r="G124" s="245" t="s">
        <v>142</v>
      </c>
      <c r="H124" s="239">
        <v>3</v>
      </c>
      <c r="I124" s="239">
        <v>3</v>
      </c>
      <c r="J124" s="239">
        <v>3</v>
      </c>
      <c r="K124" s="242">
        <v>2269.65</v>
      </c>
      <c r="L124" s="242">
        <v>0</v>
      </c>
      <c r="M124" s="242">
        <v>2269.65</v>
      </c>
      <c r="N124" s="238">
        <v>0</v>
      </c>
      <c r="O124" s="241">
        <v>0</v>
      </c>
      <c r="P124" s="241">
        <v>0</v>
      </c>
      <c r="Q124" s="241">
        <v>0</v>
      </c>
    </row>
    <row r="125" spans="1:17" s="6" customFormat="1" hidden="1" x14ac:dyDescent="0.25">
      <c r="A125" s="345">
        <v>9</v>
      </c>
      <c r="B125" s="245" t="s">
        <v>251</v>
      </c>
      <c r="C125" s="245" t="s">
        <v>62</v>
      </c>
      <c r="D125" s="236"/>
      <c r="E125" s="245" t="s">
        <v>141</v>
      </c>
      <c r="F125" s="236" t="s">
        <v>458</v>
      </c>
      <c r="G125" s="245" t="s">
        <v>142</v>
      </c>
      <c r="H125" s="238">
        <v>5</v>
      </c>
      <c r="I125" s="238">
        <v>3</v>
      </c>
      <c r="J125" s="238">
        <v>3</v>
      </c>
      <c r="K125" s="241">
        <v>3434.7</v>
      </c>
      <c r="L125" s="241">
        <v>1409.6</v>
      </c>
      <c r="M125" s="241">
        <v>2025.1</v>
      </c>
      <c r="N125" s="238">
        <v>0</v>
      </c>
      <c r="O125" s="241">
        <v>0</v>
      </c>
      <c r="P125" s="241">
        <v>0</v>
      </c>
      <c r="Q125" s="241">
        <v>0</v>
      </c>
    </row>
    <row r="126" spans="1:17" s="6" customFormat="1" hidden="1" x14ac:dyDescent="0.25">
      <c r="A126" s="345">
        <v>10</v>
      </c>
      <c r="B126" s="245" t="s">
        <v>30</v>
      </c>
      <c r="C126" s="245" t="s">
        <v>62</v>
      </c>
      <c r="D126" s="236"/>
      <c r="E126" s="245" t="s">
        <v>459</v>
      </c>
      <c r="F126" s="236" t="s">
        <v>460</v>
      </c>
      <c r="G126" s="245" t="s">
        <v>142</v>
      </c>
      <c r="H126" s="238">
        <v>1</v>
      </c>
      <c r="I126" s="238">
        <v>0</v>
      </c>
      <c r="J126" s="238">
        <v>0</v>
      </c>
      <c r="K126" s="241">
        <v>0</v>
      </c>
      <c r="L126" s="241">
        <v>0</v>
      </c>
      <c r="M126" s="241">
        <v>0</v>
      </c>
      <c r="N126" s="238">
        <v>0</v>
      </c>
      <c r="O126" s="241">
        <v>0</v>
      </c>
      <c r="P126" s="241">
        <v>0</v>
      </c>
      <c r="Q126" s="241">
        <v>0</v>
      </c>
    </row>
    <row r="127" spans="1:17" s="6" customFormat="1" hidden="1" x14ac:dyDescent="0.25">
      <c r="A127" s="345">
        <v>11</v>
      </c>
      <c r="B127" s="245" t="s">
        <v>35</v>
      </c>
      <c r="C127" s="245" t="s">
        <v>62</v>
      </c>
      <c r="D127" s="236"/>
      <c r="E127" s="245" t="s">
        <v>461</v>
      </c>
      <c r="F127" s="236" t="s">
        <v>462</v>
      </c>
      <c r="G127" s="245" t="s">
        <v>142</v>
      </c>
      <c r="H127" s="238">
        <v>1</v>
      </c>
      <c r="I127" s="238">
        <v>0</v>
      </c>
      <c r="J127" s="238">
        <v>0</v>
      </c>
      <c r="K127" s="241">
        <v>0</v>
      </c>
      <c r="L127" s="241">
        <v>0</v>
      </c>
      <c r="M127" s="241">
        <v>0</v>
      </c>
      <c r="N127" s="238">
        <v>0</v>
      </c>
      <c r="O127" s="241">
        <v>0</v>
      </c>
      <c r="P127" s="241">
        <v>0</v>
      </c>
      <c r="Q127" s="241">
        <v>0</v>
      </c>
    </row>
    <row r="128" spans="1:17" s="6" customFormat="1" hidden="1" x14ac:dyDescent="0.25">
      <c r="A128" s="47">
        <v>1</v>
      </c>
      <c r="B128" s="1" t="s">
        <v>19</v>
      </c>
      <c r="C128" s="1" t="s">
        <v>62</v>
      </c>
      <c r="D128" s="48"/>
      <c r="E128" s="1" t="s">
        <v>71</v>
      </c>
      <c r="F128" s="1" t="s">
        <v>394</v>
      </c>
      <c r="G128" s="48" t="s">
        <v>395</v>
      </c>
      <c r="H128" s="48">
        <v>1</v>
      </c>
      <c r="I128" s="289">
        <v>0</v>
      </c>
      <c r="J128" s="290">
        <v>0</v>
      </c>
      <c r="K128" s="28">
        <v>0</v>
      </c>
      <c r="L128" s="28">
        <v>0</v>
      </c>
      <c r="M128" s="28">
        <v>0</v>
      </c>
      <c r="N128" s="291">
        <v>0</v>
      </c>
      <c r="O128" s="292">
        <v>0</v>
      </c>
      <c r="P128" s="292">
        <v>0</v>
      </c>
      <c r="Q128" s="337">
        <f t="shared" ref="Q128:Q135" si="5">O128-P128</f>
        <v>0</v>
      </c>
    </row>
    <row r="129" spans="1:18" s="6" customFormat="1" ht="51" hidden="1" x14ac:dyDescent="0.25">
      <c r="A129" s="56">
        <f>A128+1</f>
        <v>2</v>
      </c>
      <c r="B129" s="1" t="s">
        <v>90</v>
      </c>
      <c r="C129" s="1" t="s">
        <v>62</v>
      </c>
      <c r="D129" s="1" t="s">
        <v>63</v>
      </c>
      <c r="E129" s="1" t="s">
        <v>205</v>
      </c>
      <c r="F129" s="1" t="s">
        <v>396</v>
      </c>
      <c r="G129" s="27" t="s">
        <v>395</v>
      </c>
      <c r="H129" s="27">
        <v>0</v>
      </c>
      <c r="I129" s="27">
        <v>9</v>
      </c>
      <c r="J129" s="27">
        <v>9</v>
      </c>
      <c r="K129" s="28">
        <v>11276.8</v>
      </c>
      <c r="L129" s="28">
        <v>7400.4</v>
      </c>
      <c r="M129" s="28">
        <f t="shared" ref="M129:M182" si="6">K129-L129</f>
        <v>3876.3999999999996</v>
      </c>
      <c r="N129" s="27">
        <v>20</v>
      </c>
      <c r="O129" s="28">
        <v>28791.88</v>
      </c>
      <c r="P129" s="28">
        <v>23170.3</v>
      </c>
      <c r="Q129" s="337">
        <f t="shared" si="5"/>
        <v>5621.5800000000017</v>
      </c>
    </row>
    <row r="130" spans="1:18" s="6" customFormat="1" hidden="1" x14ac:dyDescent="0.25">
      <c r="A130" s="56">
        <f>A129+1</f>
        <v>3</v>
      </c>
      <c r="B130" s="48" t="s">
        <v>133</v>
      </c>
      <c r="C130" s="48" t="s">
        <v>67</v>
      </c>
      <c r="D130" s="48" t="s">
        <v>397</v>
      </c>
      <c r="E130" s="48" t="s">
        <v>74</v>
      </c>
      <c r="F130" s="1" t="s">
        <v>398</v>
      </c>
      <c r="G130" s="27" t="s">
        <v>395</v>
      </c>
      <c r="H130" s="27">
        <v>11</v>
      </c>
      <c r="I130" s="27">
        <v>1</v>
      </c>
      <c r="J130" s="27">
        <v>1</v>
      </c>
      <c r="K130" s="28">
        <v>1057.2</v>
      </c>
      <c r="L130" s="28">
        <v>1057.2</v>
      </c>
      <c r="M130" s="28">
        <f t="shared" si="6"/>
        <v>0</v>
      </c>
      <c r="N130" s="27">
        <v>8</v>
      </c>
      <c r="O130" s="28">
        <v>11920.73</v>
      </c>
      <c r="P130" s="28">
        <v>11920.73</v>
      </c>
      <c r="Q130" s="337">
        <f t="shared" si="5"/>
        <v>0</v>
      </c>
    </row>
    <row r="131" spans="1:18" s="6" customFormat="1" ht="25.5" hidden="1" x14ac:dyDescent="0.25">
      <c r="A131" s="56">
        <v>4</v>
      </c>
      <c r="B131" s="1" t="s">
        <v>399</v>
      </c>
      <c r="C131" s="1" t="s">
        <v>62</v>
      </c>
      <c r="D131" s="1"/>
      <c r="E131" s="1" t="s">
        <v>400</v>
      </c>
      <c r="F131" s="1" t="s">
        <v>401</v>
      </c>
      <c r="G131" s="27" t="s">
        <v>395</v>
      </c>
      <c r="H131" s="27">
        <v>29</v>
      </c>
      <c r="I131" s="27">
        <v>8</v>
      </c>
      <c r="J131" s="27">
        <v>8</v>
      </c>
      <c r="K131" s="28">
        <v>9441.2999999999993</v>
      </c>
      <c r="L131" s="28">
        <v>1762</v>
      </c>
      <c r="M131" s="28">
        <f t="shared" si="6"/>
        <v>7679.2999999999993</v>
      </c>
      <c r="N131" s="27">
        <v>0</v>
      </c>
      <c r="O131" s="28">
        <v>0</v>
      </c>
      <c r="P131" s="28">
        <v>0</v>
      </c>
      <c r="Q131" s="337">
        <f t="shared" si="5"/>
        <v>0</v>
      </c>
    </row>
    <row r="132" spans="1:18" s="6" customFormat="1" hidden="1" x14ac:dyDescent="0.25">
      <c r="A132" s="56">
        <v>5</v>
      </c>
      <c r="B132" s="1" t="s">
        <v>402</v>
      </c>
      <c r="C132" s="1" t="s">
        <v>62</v>
      </c>
      <c r="D132" s="1"/>
      <c r="E132" s="48" t="s">
        <v>74</v>
      </c>
      <c r="F132" s="1" t="s">
        <v>403</v>
      </c>
      <c r="G132" s="27" t="s">
        <v>395</v>
      </c>
      <c r="H132" s="27">
        <v>2</v>
      </c>
      <c r="I132" s="27">
        <v>2</v>
      </c>
      <c r="J132" s="27">
        <v>2</v>
      </c>
      <c r="K132" s="28">
        <v>3815.6</v>
      </c>
      <c r="L132" s="28">
        <v>0</v>
      </c>
      <c r="M132" s="28">
        <f t="shared" si="6"/>
        <v>3815.6</v>
      </c>
      <c r="N132" s="27">
        <v>0</v>
      </c>
      <c r="O132" s="28">
        <v>0</v>
      </c>
      <c r="P132" s="28">
        <v>0</v>
      </c>
      <c r="Q132" s="337">
        <f t="shared" si="5"/>
        <v>0</v>
      </c>
    </row>
    <row r="133" spans="1:18" s="6" customFormat="1" ht="25.5" hidden="1" x14ac:dyDescent="0.25">
      <c r="A133" s="56">
        <v>6</v>
      </c>
      <c r="B133" s="1" t="s">
        <v>48</v>
      </c>
      <c r="C133" s="1" t="s">
        <v>62</v>
      </c>
      <c r="D133" s="1"/>
      <c r="E133" s="1" t="s">
        <v>81</v>
      </c>
      <c r="F133" s="1" t="s">
        <v>404</v>
      </c>
      <c r="G133" s="27" t="s">
        <v>395</v>
      </c>
      <c r="H133" s="27">
        <v>27</v>
      </c>
      <c r="I133" s="27">
        <v>4</v>
      </c>
      <c r="J133" s="27">
        <v>4</v>
      </c>
      <c r="K133" s="28">
        <v>4581.2</v>
      </c>
      <c r="L133" s="28">
        <v>528.6</v>
      </c>
      <c r="M133" s="28">
        <f t="shared" si="6"/>
        <v>4052.6</v>
      </c>
      <c r="N133" s="27">
        <v>17</v>
      </c>
      <c r="O133" s="28">
        <v>43761.64</v>
      </c>
      <c r="P133" s="28">
        <v>11738.47</v>
      </c>
      <c r="Q133" s="337">
        <f t="shared" si="5"/>
        <v>32023.17</v>
      </c>
    </row>
    <row r="134" spans="1:18" s="6" customFormat="1" hidden="1" x14ac:dyDescent="0.25">
      <c r="A134" s="56">
        <v>7</v>
      </c>
      <c r="B134" s="1" t="s">
        <v>39</v>
      </c>
      <c r="C134" s="1" t="s">
        <v>62</v>
      </c>
      <c r="D134" s="1"/>
      <c r="E134" s="1" t="s">
        <v>77</v>
      </c>
      <c r="F134" s="1" t="s">
        <v>405</v>
      </c>
      <c r="G134" s="27" t="s">
        <v>395</v>
      </c>
      <c r="H134" s="27">
        <v>30</v>
      </c>
      <c r="I134" s="27">
        <v>0</v>
      </c>
      <c r="J134" s="27">
        <v>0</v>
      </c>
      <c r="K134" s="28">
        <v>0</v>
      </c>
      <c r="L134" s="28">
        <v>0</v>
      </c>
      <c r="M134" s="28">
        <f t="shared" si="6"/>
        <v>0</v>
      </c>
      <c r="N134" s="27">
        <v>12</v>
      </c>
      <c r="O134" s="28">
        <v>19910.599999999999</v>
      </c>
      <c r="P134" s="28">
        <v>15858</v>
      </c>
      <c r="Q134" s="337">
        <f t="shared" si="5"/>
        <v>4052.5999999999985</v>
      </c>
    </row>
    <row r="135" spans="1:18" s="6" customFormat="1" hidden="1" x14ac:dyDescent="0.25">
      <c r="A135" s="56">
        <v>8</v>
      </c>
      <c r="B135" s="1" t="s">
        <v>127</v>
      </c>
      <c r="C135" s="1" t="s">
        <v>62</v>
      </c>
      <c r="D135" s="1"/>
      <c r="E135" s="48" t="s">
        <v>74</v>
      </c>
      <c r="F135" s="1" t="s">
        <v>406</v>
      </c>
      <c r="G135" s="27" t="s">
        <v>395</v>
      </c>
      <c r="H135" s="27">
        <v>0</v>
      </c>
      <c r="I135" s="27">
        <v>0</v>
      </c>
      <c r="J135" s="27">
        <v>0</v>
      </c>
      <c r="K135" s="28">
        <v>0</v>
      </c>
      <c r="L135" s="28">
        <v>0</v>
      </c>
      <c r="M135" s="28">
        <f t="shared" si="6"/>
        <v>0</v>
      </c>
      <c r="N135" s="27">
        <v>1</v>
      </c>
      <c r="O135" s="28">
        <v>264.3</v>
      </c>
      <c r="P135" s="28">
        <v>264.3</v>
      </c>
      <c r="Q135" s="337">
        <f t="shared" si="5"/>
        <v>0</v>
      </c>
    </row>
    <row r="136" spans="1:18" s="6" customFormat="1" ht="25.5" hidden="1" x14ac:dyDescent="0.25">
      <c r="A136" s="56">
        <v>9</v>
      </c>
      <c r="B136" s="1" t="s">
        <v>561</v>
      </c>
      <c r="C136" s="1" t="s">
        <v>62</v>
      </c>
      <c r="D136" s="1"/>
      <c r="E136" s="1" t="s">
        <v>81</v>
      </c>
      <c r="F136" s="1" t="s">
        <v>562</v>
      </c>
      <c r="G136" s="27" t="s">
        <v>395</v>
      </c>
      <c r="H136" s="27">
        <v>30</v>
      </c>
      <c r="I136" s="27">
        <v>0</v>
      </c>
      <c r="J136" s="27">
        <v>0</v>
      </c>
      <c r="K136" s="28">
        <v>0</v>
      </c>
      <c r="L136" s="28">
        <v>0</v>
      </c>
      <c r="M136" s="28">
        <f t="shared" si="6"/>
        <v>0</v>
      </c>
      <c r="N136" s="27">
        <v>0</v>
      </c>
      <c r="O136" s="28">
        <v>0</v>
      </c>
      <c r="P136" s="28">
        <v>0</v>
      </c>
      <c r="Q136" s="28">
        <v>0</v>
      </c>
    </row>
    <row r="137" spans="1:18" s="6" customFormat="1" ht="25.5" hidden="1" x14ac:dyDescent="0.25">
      <c r="A137" s="56">
        <v>10</v>
      </c>
      <c r="B137" s="1" t="s">
        <v>563</v>
      </c>
      <c r="C137" s="1" t="s">
        <v>62</v>
      </c>
      <c r="D137" s="1"/>
      <c r="E137" s="1" t="s">
        <v>81</v>
      </c>
      <c r="F137" s="1" t="s">
        <v>564</v>
      </c>
      <c r="G137" s="27" t="s">
        <v>395</v>
      </c>
      <c r="H137" s="27">
        <v>27</v>
      </c>
      <c r="I137" s="27">
        <v>0</v>
      </c>
      <c r="J137" s="27">
        <v>1</v>
      </c>
      <c r="K137" s="28">
        <v>2643</v>
      </c>
      <c r="L137" s="28">
        <v>0</v>
      </c>
      <c r="M137" s="28">
        <f t="shared" si="6"/>
        <v>2643</v>
      </c>
      <c r="N137" s="27">
        <v>0</v>
      </c>
      <c r="O137" s="28">
        <v>0</v>
      </c>
      <c r="P137" s="28">
        <v>0</v>
      </c>
      <c r="Q137" s="28">
        <v>0</v>
      </c>
    </row>
    <row r="138" spans="1:18" ht="25.5" x14ac:dyDescent="0.25">
      <c r="A138" s="190">
        <v>1</v>
      </c>
      <c r="B138" s="136" t="s">
        <v>134</v>
      </c>
      <c r="C138" s="134" t="s">
        <v>62</v>
      </c>
      <c r="D138" s="136"/>
      <c r="E138" s="134" t="s">
        <v>74</v>
      </c>
      <c r="F138" s="134" t="s">
        <v>408</v>
      </c>
      <c r="G138" s="136" t="s">
        <v>409</v>
      </c>
      <c r="H138" s="191">
        <v>25</v>
      </c>
      <c r="I138" s="191">
        <v>8</v>
      </c>
      <c r="J138" s="191">
        <v>8</v>
      </c>
      <c r="K138" s="192">
        <v>8844</v>
      </c>
      <c r="L138" s="192">
        <v>3910.4</v>
      </c>
      <c r="M138" s="193">
        <f t="shared" si="6"/>
        <v>4933.6000000000004</v>
      </c>
      <c r="N138" s="191">
        <v>6</v>
      </c>
      <c r="O138" s="192">
        <v>16876.099999999999</v>
      </c>
      <c r="P138" s="192">
        <v>13457.2</v>
      </c>
      <c r="Q138" s="192">
        <f t="shared" ref="Q138:Q182" si="7">O138-P138</f>
        <v>3418.8999999999978</v>
      </c>
      <c r="R138" s="6"/>
    </row>
    <row r="139" spans="1:18" ht="25.5" x14ac:dyDescent="0.25">
      <c r="A139" s="190">
        <v>2</v>
      </c>
      <c r="B139" s="136" t="s">
        <v>335</v>
      </c>
      <c r="C139" s="134" t="s">
        <v>62</v>
      </c>
      <c r="D139" s="136"/>
      <c r="E139" s="134" t="s">
        <v>74</v>
      </c>
      <c r="F139" s="134" t="s">
        <v>410</v>
      </c>
      <c r="G139" s="136" t="s">
        <v>409</v>
      </c>
      <c r="H139" s="191">
        <v>12</v>
      </c>
      <c r="I139" s="191">
        <v>4</v>
      </c>
      <c r="J139" s="191">
        <v>4</v>
      </c>
      <c r="K139" s="192">
        <v>5675.4</v>
      </c>
      <c r="L139" s="192">
        <v>5146.8</v>
      </c>
      <c r="M139" s="193">
        <f t="shared" si="6"/>
        <v>528.59999999999945</v>
      </c>
      <c r="N139" s="191">
        <v>12</v>
      </c>
      <c r="O139" s="192">
        <v>16642.8</v>
      </c>
      <c r="P139" s="192">
        <v>10652</v>
      </c>
      <c r="Q139" s="192">
        <f t="shared" si="7"/>
        <v>5990.7999999999993</v>
      </c>
      <c r="R139" s="6"/>
    </row>
    <row r="140" spans="1:18" ht="38.25" x14ac:dyDescent="0.25">
      <c r="A140" s="190">
        <v>3</v>
      </c>
      <c r="B140" s="136" t="s">
        <v>46</v>
      </c>
      <c r="C140" s="134" t="s">
        <v>62</v>
      </c>
      <c r="D140" s="136"/>
      <c r="E140" s="134" t="s">
        <v>267</v>
      </c>
      <c r="F140" s="134" t="s">
        <v>411</v>
      </c>
      <c r="G140" s="136" t="s">
        <v>409</v>
      </c>
      <c r="H140" s="191">
        <v>33</v>
      </c>
      <c r="I140" s="191">
        <v>17</v>
      </c>
      <c r="J140" s="191">
        <v>17</v>
      </c>
      <c r="K140" s="192">
        <v>21354.14</v>
      </c>
      <c r="L140" s="192">
        <v>9866.6</v>
      </c>
      <c r="M140" s="193">
        <f t="shared" si="6"/>
        <v>11487.539999999999</v>
      </c>
      <c r="N140" s="191">
        <v>19</v>
      </c>
      <c r="O140" s="192">
        <v>28461.05</v>
      </c>
      <c r="P140" s="192">
        <v>25515.45</v>
      </c>
      <c r="Q140" s="192">
        <f t="shared" si="7"/>
        <v>2945.5999999999985</v>
      </c>
      <c r="R140" s="6"/>
    </row>
    <row r="141" spans="1:18" ht="25.5" x14ac:dyDescent="0.25">
      <c r="A141" s="190">
        <v>4</v>
      </c>
      <c r="B141" s="136" t="s">
        <v>36</v>
      </c>
      <c r="C141" s="134" t="s">
        <v>62</v>
      </c>
      <c r="D141" s="136"/>
      <c r="E141" s="134" t="s">
        <v>74</v>
      </c>
      <c r="F141" s="134" t="s">
        <v>412</v>
      </c>
      <c r="G141" s="136" t="s">
        <v>409</v>
      </c>
      <c r="H141" s="191">
        <v>25</v>
      </c>
      <c r="I141" s="191">
        <v>11</v>
      </c>
      <c r="J141" s="191">
        <v>11</v>
      </c>
      <c r="K141" s="192">
        <v>15787.52</v>
      </c>
      <c r="L141" s="192">
        <v>14906.52</v>
      </c>
      <c r="M141" s="193">
        <f t="shared" si="6"/>
        <v>881</v>
      </c>
      <c r="N141" s="191">
        <v>19</v>
      </c>
      <c r="O141" s="192">
        <v>54022.92</v>
      </c>
      <c r="P141" s="192">
        <v>34112.32</v>
      </c>
      <c r="Q141" s="192">
        <f t="shared" si="7"/>
        <v>19910.599999999999</v>
      </c>
      <c r="R141" s="6"/>
    </row>
    <row r="142" spans="1:18" ht="25.5" x14ac:dyDescent="0.25">
      <c r="A142" s="190">
        <v>5</v>
      </c>
      <c r="B142" s="136" t="s">
        <v>27</v>
      </c>
      <c r="C142" s="134" t="s">
        <v>62</v>
      </c>
      <c r="D142" s="136"/>
      <c r="E142" s="134" t="s">
        <v>74</v>
      </c>
      <c r="F142" s="134" t="s">
        <v>413</v>
      </c>
      <c r="G142" s="136" t="s">
        <v>409</v>
      </c>
      <c r="H142" s="191">
        <v>10</v>
      </c>
      <c r="I142" s="191">
        <v>6</v>
      </c>
      <c r="J142" s="191">
        <v>6</v>
      </c>
      <c r="K142" s="192">
        <v>11514.02</v>
      </c>
      <c r="L142" s="192">
        <v>5051.82</v>
      </c>
      <c r="M142" s="193">
        <f t="shared" si="6"/>
        <v>6462.2000000000007</v>
      </c>
      <c r="N142" s="191">
        <v>9</v>
      </c>
      <c r="O142" s="192">
        <v>18274.5</v>
      </c>
      <c r="P142" s="192">
        <v>16676.7</v>
      </c>
      <c r="Q142" s="192">
        <f t="shared" si="7"/>
        <v>1597.7999999999993</v>
      </c>
      <c r="R142" s="6"/>
    </row>
    <row r="143" spans="1:18" ht="25.5" x14ac:dyDescent="0.25">
      <c r="A143" s="190">
        <v>6</v>
      </c>
      <c r="B143" s="136" t="s">
        <v>28</v>
      </c>
      <c r="C143" s="134" t="s">
        <v>62</v>
      </c>
      <c r="D143" s="136"/>
      <c r="E143" s="134" t="s">
        <v>74</v>
      </c>
      <c r="F143" s="134" t="s">
        <v>414</v>
      </c>
      <c r="G143" s="136" t="s">
        <v>409</v>
      </c>
      <c r="H143" s="191">
        <v>27</v>
      </c>
      <c r="I143" s="191">
        <v>11</v>
      </c>
      <c r="J143" s="191">
        <v>11</v>
      </c>
      <c r="K143" s="192">
        <v>16216.52</v>
      </c>
      <c r="L143" s="192">
        <v>7858.52</v>
      </c>
      <c r="M143" s="193">
        <f t="shared" si="6"/>
        <v>8358</v>
      </c>
      <c r="N143" s="191">
        <v>11</v>
      </c>
      <c r="O143" s="192">
        <v>18572.099999999999</v>
      </c>
      <c r="P143" s="192">
        <v>12334</v>
      </c>
      <c r="Q143" s="192">
        <f t="shared" si="7"/>
        <v>6238.0999999999985</v>
      </c>
      <c r="R143" s="6"/>
    </row>
    <row r="144" spans="1:18" ht="25.5" x14ac:dyDescent="0.25">
      <c r="A144" s="190">
        <v>7</v>
      </c>
      <c r="B144" s="298" t="s">
        <v>246</v>
      </c>
      <c r="C144" s="190" t="s">
        <v>62</v>
      </c>
      <c r="D144" s="298"/>
      <c r="E144" s="134" t="s">
        <v>74</v>
      </c>
      <c r="F144" s="190" t="s">
        <v>415</v>
      </c>
      <c r="G144" s="136" t="s">
        <v>409</v>
      </c>
      <c r="H144" s="191">
        <v>26</v>
      </c>
      <c r="I144" s="191">
        <v>5</v>
      </c>
      <c r="J144" s="191">
        <v>5</v>
      </c>
      <c r="K144" s="192">
        <v>5673.64</v>
      </c>
      <c r="L144" s="192">
        <v>1374.36</v>
      </c>
      <c r="M144" s="193">
        <f t="shared" si="6"/>
        <v>4299.2800000000007</v>
      </c>
      <c r="N144" s="191">
        <v>0</v>
      </c>
      <c r="O144" s="192">
        <v>0</v>
      </c>
      <c r="P144" s="192">
        <v>0</v>
      </c>
      <c r="Q144" s="192">
        <f t="shared" si="7"/>
        <v>0</v>
      </c>
      <c r="R144" s="6"/>
    </row>
    <row r="145" spans="1:18" ht="25.5" x14ac:dyDescent="0.25">
      <c r="A145" s="203">
        <v>8</v>
      </c>
      <c r="B145" s="195" t="s">
        <v>330</v>
      </c>
      <c r="C145" s="190" t="s">
        <v>62</v>
      </c>
      <c r="D145" s="298"/>
      <c r="E145" s="134" t="s">
        <v>74</v>
      </c>
      <c r="F145" s="190" t="s">
        <v>416</v>
      </c>
      <c r="G145" s="136" t="s">
        <v>409</v>
      </c>
      <c r="H145" s="191">
        <v>5</v>
      </c>
      <c r="I145" s="191">
        <v>0</v>
      </c>
      <c r="J145" s="191">
        <v>0</v>
      </c>
      <c r="K145" s="192">
        <v>0</v>
      </c>
      <c r="L145" s="192">
        <v>0</v>
      </c>
      <c r="M145" s="193">
        <f t="shared" si="6"/>
        <v>0</v>
      </c>
      <c r="N145" s="191">
        <v>0</v>
      </c>
      <c r="O145" s="192">
        <v>0</v>
      </c>
      <c r="P145" s="192">
        <v>0</v>
      </c>
      <c r="Q145" s="192">
        <f t="shared" si="7"/>
        <v>0</v>
      </c>
      <c r="R145" s="6"/>
    </row>
    <row r="146" spans="1:18" ht="25.5" x14ac:dyDescent="0.25">
      <c r="A146" s="203">
        <v>9</v>
      </c>
      <c r="B146" s="195" t="s">
        <v>402</v>
      </c>
      <c r="C146" s="190" t="s">
        <v>62</v>
      </c>
      <c r="D146" s="298"/>
      <c r="E146" s="134" t="s">
        <v>74</v>
      </c>
      <c r="F146" s="190" t="s">
        <v>417</v>
      </c>
      <c r="G146" s="136" t="s">
        <v>409</v>
      </c>
      <c r="H146" s="191">
        <v>19</v>
      </c>
      <c r="I146" s="191">
        <v>8</v>
      </c>
      <c r="J146" s="191">
        <v>8</v>
      </c>
      <c r="K146" s="192">
        <v>10254.82</v>
      </c>
      <c r="L146" s="192">
        <v>4968.82</v>
      </c>
      <c r="M146" s="193">
        <f t="shared" si="6"/>
        <v>5286</v>
      </c>
      <c r="N146" s="191">
        <v>0</v>
      </c>
      <c r="O146" s="192">
        <v>0</v>
      </c>
      <c r="P146" s="192">
        <v>0</v>
      </c>
      <c r="Q146" s="192">
        <f t="shared" si="7"/>
        <v>0</v>
      </c>
      <c r="R146" s="6"/>
    </row>
    <row r="147" spans="1:18" ht="25.5" x14ac:dyDescent="0.25">
      <c r="A147" s="203">
        <v>10</v>
      </c>
      <c r="B147" s="195" t="s">
        <v>154</v>
      </c>
      <c r="C147" s="190" t="s">
        <v>62</v>
      </c>
      <c r="D147" s="298"/>
      <c r="E147" s="134" t="s">
        <v>72</v>
      </c>
      <c r="F147" s="190" t="s">
        <v>418</v>
      </c>
      <c r="G147" s="136" t="s">
        <v>409</v>
      </c>
      <c r="H147" s="191">
        <v>8</v>
      </c>
      <c r="I147" s="191">
        <v>1</v>
      </c>
      <c r="J147" s="191">
        <v>1</v>
      </c>
      <c r="K147" s="192">
        <v>925.05</v>
      </c>
      <c r="L147" s="192">
        <v>0</v>
      </c>
      <c r="M147" s="193">
        <f t="shared" si="6"/>
        <v>925.05</v>
      </c>
      <c r="N147" s="191">
        <v>7</v>
      </c>
      <c r="O147" s="192">
        <v>8966.7000000000007</v>
      </c>
      <c r="P147" s="192">
        <v>4737.8999999999996</v>
      </c>
      <c r="Q147" s="192">
        <f t="shared" si="7"/>
        <v>4228.8000000000011</v>
      </c>
      <c r="R147" s="6"/>
    </row>
    <row r="148" spans="1:18" ht="25.5" x14ac:dyDescent="0.25">
      <c r="A148" s="203">
        <v>11</v>
      </c>
      <c r="B148" s="195" t="s">
        <v>153</v>
      </c>
      <c r="C148" s="190" t="s">
        <v>62</v>
      </c>
      <c r="D148" s="298"/>
      <c r="E148" s="134" t="s">
        <v>74</v>
      </c>
      <c r="F148" s="190" t="s">
        <v>419</v>
      </c>
      <c r="G148" s="136" t="s">
        <v>409</v>
      </c>
      <c r="H148" s="191">
        <v>4</v>
      </c>
      <c r="I148" s="191">
        <v>1</v>
      </c>
      <c r="J148" s="191">
        <v>1</v>
      </c>
      <c r="K148" s="192">
        <v>1635.8</v>
      </c>
      <c r="L148" s="192">
        <v>0</v>
      </c>
      <c r="M148" s="193">
        <f t="shared" si="6"/>
        <v>1635.8</v>
      </c>
      <c r="N148" s="191">
        <v>11</v>
      </c>
      <c r="O148" s="192">
        <v>54035.01</v>
      </c>
      <c r="P148" s="192">
        <v>18053.7</v>
      </c>
      <c r="Q148" s="192">
        <f t="shared" si="7"/>
        <v>35981.31</v>
      </c>
      <c r="R148" s="6"/>
    </row>
    <row r="149" spans="1:18" ht="25.5" x14ac:dyDescent="0.25">
      <c r="A149" s="203">
        <v>12</v>
      </c>
      <c r="B149" s="195" t="s">
        <v>89</v>
      </c>
      <c r="C149" s="190" t="s">
        <v>62</v>
      </c>
      <c r="D149" s="298"/>
      <c r="E149" s="134" t="s">
        <v>74</v>
      </c>
      <c r="F149" s="190" t="s">
        <v>420</v>
      </c>
      <c r="G149" s="136" t="s">
        <v>409</v>
      </c>
      <c r="H149" s="191">
        <v>12</v>
      </c>
      <c r="I149" s="191">
        <v>4</v>
      </c>
      <c r="J149" s="191">
        <v>4</v>
      </c>
      <c r="K149" s="192">
        <v>6122.95</v>
      </c>
      <c r="L149" s="192">
        <v>528.6</v>
      </c>
      <c r="M149" s="193">
        <f t="shared" si="6"/>
        <v>5594.3499999999995</v>
      </c>
      <c r="N149" s="191">
        <v>3</v>
      </c>
      <c r="O149" s="192">
        <v>9514.7999999999993</v>
      </c>
      <c r="P149" s="192">
        <v>4052.6</v>
      </c>
      <c r="Q149" s="192">
        <f t="shared" si="7"/>
        <v>5462.1999999999989</v>
      </c>
      <c r="R149" s="6"/>
    </row>
    <row r="150" spans="1:18" ht="25.5" x14ac:dyDescent="0.25">
      <c r="A150" s="203">
        <v>13</v>
      </c>
      <c r="B150" s="195" t="s">
        <v>379</v>
      </c>
      <c r="C150" s="190" t="s">
        <v>62</v>
      </c>
      <c r="D150" s="298"/>
      <c r="E150" s="134" t="s">
        <v>74</v>
      </c>
      <c r="F150" s="190" t="s">
        <v>421</v>
      </c>
      <c r="G150" s="136" t="s">
        <v>409</v>
      </c>
      <c r="H150" s="191">
        <v>7</v>
      </c>
      <c r="I150" s="191">
        <v>2</v>
      </c>
      <c r="J150" s="191">
        <v>2</v>
      </c>
      <c r="K150" s="192">
        <v>1409.6</v>
      </c>
      <c r="L150" s="192">
        <v>1409.6</v>
      </c>
      <c r="M150" s="193">
        <f t="shared" si="6"/>
        <v>0</v>
      </c>
      <c r="N150" s="191">
        <v>0</v>
      </c>
      <c r="O150" s="192">
        <v>0</v>
      </c>
      <c r="P150" s="192">
        <v>0</v>
      </c>
      <c r="Q150" s="192">
        <f t="shared" si="7"/>
        <v>0</v>
      </c>
      <c r="R150" s="6"/>
    </row>
    <row r="151" spans="1:18" ht="25.5" x14ac:dyDescent="0.25">
      <c r="A151" s="203">
        <v>14</v>
      </c>
      <c r="B151" s="195" t="s">
        <v>264</v>
      </c>
      <c r="C151" s="190" t="s">
        <v>62</v>
      </c>
      <c r="D151" s="298"/>
      <c r="E151" s="134" t="s">
        <v>74</v>
      </c>
      <c r="F151" s="190" t="s">
        <v>422</v>
      </c>
      <c r="G151" s="136" t="s">
        <v>409</v>
      </c>
      <c r="H151" s="191">
        <v>3</v>
      </c>
      <c r="I151" s="191">
        <v>0</v>
      </c>
      <c r="J151" s="191">
        <v>0</v>
      </c>
      <c r="K151" s="192">
        <v>0</v>
      </c>
      <c r="L151" s="192">
        <v>0</v>
      </c>
      <c r="M151" s="193">
        <f t="shared" si="6"/>
        <v>0</v>
      </c>
      <c r="N151" s="191">
        <v>0</v>
      </c>
      <c r="O151" s="192">
        <v>0</v>
      </c>
      <c r="P151" s="192">
        <v>0</v>
      </c>
      <c r="Q151" s="192">
        <f t="shared" si="7"/>
        <v>0</v>
      </c>
      <c r="R151" s="6"/>
    </row>
    <row r="152" spans="1:18" ht="25.5" x14ac:dyDescent="0.25">
      <c r="A152" s="203">
        <v>15</v>
      </c>
      <c r="B152" s="195" t="s">
        <v>475</v>
      </c>
      <c r="C152" s="190" t="s">
        <v>67</v>
      </c>
      <c r="D152" s="136" t="s">
        <v>123</v>
      </c>
      <c r="E152" s="134" t="s">
        <v>82</v>
      </c>
      <c r="F152" s="190" t="s">
        <v>423</v>
      </c>
      <c r="G152" s="136" t="s">
        <v>409</v>
      </c>
      <c r="H152" s="191">
        <v>3</v>
      </c>
      <c r="I152" s="191">
        <v>0</v>
      </c>
      <c r="J152" s="191">
        <v>0</v>
      </c>
      <c r="K152" s="192">
        <v>0</v>
      </c>
      <c r="L152" s="192">
        <v>0</v>
      </c>
      <c r="M152" s="193">
        <f t="shared" si="6"/>
        <v>0</v>
      </c>
      <c r="N152" s="191">
        <v>0</v>
      </c>
      <c r="O152" s="192">
        <v>0</v>
      </c>
      <c r="P152" s="192">
        <v>0</v>
      </c>
      <c r="Q152" s="192">
        <f t="shared" si="7"/>
        <v>0</v>
      </c>
      <c r="R152" s="6"/>
    </row>
    <row r="153" spans="1:18" ht="25.5" x14ac:dyDescent="0.25">
      <c r="A153" s="203">
        <v>16</v>
      </c>
      <c r="B153" s="195" t="s">
        <v>137</v>
      </c>
      <c r="C153" s="190" t="s">
        <v>62</v>
      </c>
      <c r="D153" s="298"/>
      <c r="E153" s="134" t="s">
        <v>78</v>
      </c>
      <c r="F153" s="190" t="s">
        <v>424</v>
      </c>
      <c r="G153" s="136" t="s">
        <v>409</v>
      </c>
      <c r="H153" s="191">
        <v>4</v>
      </c>
      <c r="I153" s="191">
        <v>1</v>
      </c>
      <c r="J153" s="191">
        <v>1</v>
      </c>
      <c r="K153" s="192">
        <v>1691.52</v>
      </c>
      <c r="L153" s="192">
        <v>1691.52</v>
      </c>
      <c r="M153" s="193">
        <f t="shared" si="6"/>
        <v>0</v>
      </c>
      <c r="N153" s="191">
        <v>0</v>
      </c>
      <c r="O153" s="192">
        <v>0</v>
      </c>
      <c r="P153" s="192">
        <v>0</v>
      </c>
      <c r="Q153" s="192">
        <f t="shared" si="7"/>
        <v>0</v>
      </c>
      <c r="R153" s="6"/>
    </row>
    <row r="154" spans="1:18" ht="25.5" x14ac:dyDescent="0.25">
      <c r="A154" s="203">
        <v>17</v>
      </c>
      <c r="B154" s="195" t="s">
        <v>173</v>
      </c>
      <c r="C154" s="190" t="s">
        <v>67</v>
      </c>
      <c r="D154" s="298" t="s">
        <v>425</v>
      </c>
      <c r="E154" s="134" t="s">
        <v>74</v>
      </c>
      <c r="F154" s="190" t="s">
        <v>426</v>
      </c>
      <c r="G154" s="136" t="s">
        <v>409</v>
      </c>
      <c r="H154" s="191">
        <v>12</v>
      </c>
      <c r="I154" s="191">
        <v>3</v>
      </c>
      <c r="J154" s="191">
        <v>3</v>
      </c>
      <c r="K154" s="192">
        <v>6167</v>
      </c>
      <c r="L154" s="192">
        <v>2114.4</v>
      </c>
      <c r="M154" s="193">
        <f t="shared" si="6"/>
        <v>4052.6</v>
      </c>
      <c r="N154" s="191">
        <v>0</v>
      </c>
      <c r="O154" s="192">
        <v>0</v>
      </c>
      <c r="P154" s="192">
        <v>0</v>
      </c>
      <c r="Q154" s="192">
        <f t="shared" si="7"/>
        <v>0</v>
      </c>
      <c r="R154" s="6"/>
    </row>
    <row r="155" spans="1:18" ht="25.5" x14ac:dyDescent="0.25">
      <c r="A155" s="203">
        <v>18</v>
      </c>
      <c r="B155" s="195" t="s">
        <v>135</v>
      </c>
      <c r="C155" s="190" t="s">
        <v>62</v>
      </c>
      <c r="D155" s="298"/>
      <c r="E155" s="134" t="s">
        <v>74</v>
      </c>
      <c r="F155" s="190" t="s">
        <v>427</v>
      </c>
      <c r="G155" s="136" t="s">
        <v>409</v>
      </c>
      <c r="H155" s="191">
        <v>4</v>
      </c>
      <c r="I155" s="191">
        <v>2</v>
      </c>
      <c r="J155" s="191">
        <v>2</v>
      </c>
      <c r="K155" s="192">
        <v>2396.3200000000002</v>
      </c>
      <c r="L155" s="192">
        <v>2396.3200000000002</v>
      </c>
      <c r="M155" s="193">
        <f t="shared" si="6"/>
        <v>0</v>
      </c>
      <c r="N155" s="191">
        <v>4</v>
      </c>
      <c r="O155" s="192">
        <v>12758.52</v>
      </c>
      <c r="P155" s="192">
        <v>12758.52</v>
      </c>
      <c r="Q155" s="192">
        <f t="shared" si="7"/>
        <v>0</v>
      </c>
      <c r="R155" s="6"/>
    </row>
    <row r="156" spans="1:18" ht="25.5" x14ac:dyDescent="0.25">
      <c r="A156" s="203">
        <v>19</v>
      </c>
      <c r="B156" s="195" t="s">
        <v>148</v>
      </c>
      <c r="C156" s="190" t="s">
        <v>62</v>
      </c>
      <c r="D156" s="298"/>
      <c r="E156" s="134" t="s">
        <v>149</v>
      </c>
      <c r="F156" s="190" t="s">
        <v>375</v>
      </c>
      <c r="G156" s="136" t="s">
        <v>409</v>
      </c>
      <c r="H156" s="191">
        <v>21</v>
      </c>
      <c r="I156" s="191">
        <v>8</v>
      </c>
      <c r="J156" s="191">
        <v>8</v>
      </c>
      <c r="K156" s="192">
        <v>22810.97</v>
      </c>
      <c r="L156" s="192">
        <v>0</v>
      </c>
      <c r="M156" s="193">
        <f t="shared" si="6"/>
        <v>22810.97</v>
      </c>
      <c r="N156" s="191">
        <v>23</v>
      </c>
      <c r="O156" s="192">
        <v>70694.789999999994</v>
      </c>
      <c r="P156" s="192">
        <v>34292.080000000002</v>
      </c>
      <c r="Q156" s="192">
        <f t="shared" si="7"/>
        <v>36402.709999999992</v>
      </c>
      <c r="R156" s="6"/>
    </row>
    <row r="157" spans="1:18" ht="25.5" x14ac:dyDescent="0.25">
      <c r="A157" s="203">
        <v>20</v>
      </c>
      <c r="B157" s="195" t="s">
        <v>147</v>
      </c>
      <c r="C157" s="190" t="s">
        <v>62</v>
      </c>
      <c r="D157" s="298"/>
      <c r="E157" s="134" t="s">
        <v>74</v>
      </c>
      <c r="F157" s="190" t="s">
        <v>331</v>
      </c>
      <c r="G157" s="136" t="s">
        <v>409</v>
      </c>
      <c r="H157" s="191">
        <v>6</v>
      </c>
      <c r="I157" s="191">
        <v>1</v>
      </c>
      <c r="J157" s="191">
        <v>1</v>
      </c>
      <c r="K157" s="192">
        <v>1233.4000000000001</v>
      </c>
      <c r="L157" s="192">
        <v>0</v>
      </c>
      <c r="M157" s="193">
        <f t="shared" si="6"/>
        <v>1233.4000000000001</v>
      </c>
      <c r="N157" s="191">
        <v>10</v>
      </c>
      <c r="O157" s="192">
        <v>29451.9</v>
      </c>
      <c r="P157" s="192">
        <v>10763.2</v>
      </c>
      <c r="Q157" s="192">
        <f t="shared" si="7"/>
        <v>18688.7</v>
      </c>
      <c r="R157" s="6"/>
    </row>
    <row r="158" spans="1:18" ht="25.5" x14ac:dyDescent="0.25">
      <c r="A158" s="203">
        <v>21</v>
      </c>
      <c r="B158" s="195" t="s">
        <v>124</v>
      </c>
      <c r="C158" s="190" t="s">
        <v>62</v>
      </c>
      <c r="D158" s="298"/>
      <c r="E158" s="134" t="s">
        <v>428</v>
      </c>
      <c r="F158" s="190" t="s">
        <v>329</v>
      </c>
      <c r="G158" s="136" t="s">
        <v>409</v>
      </c>
      <c r="H158" s="191">
        <v>17</v>
      </c>
      <c r="I158" s="191">
        <v>2</v>
      </c>
      <c r="J158" s="191">
        <v>2</v>
      </c>
      <c r="K158" s="192">
        <v>2290.6</v>
      </c>
      <c r="L158" s="192">
        <v>1762</v>
      </c>
      <c r="M158" s="193">
        <f t="shared" si="6"/>
        <v>528.59999999999991</v>
      </c>
      <c r="N158" s="191">
        <v>20</v>
      </c>
      <c r="O158" s="192">
        <v>29980.5</v>
      </c>
      <c r="P158" s="192">
        <v>18624.53</v>
      </c>
      <c r="Q158" s="192">
        <f t="shared" si="7"/>
        <v>11355.970000000001</v>
      </c>
      <c r="R158" s="6"/>
    </row>
    <row r="159" spans="1:18" ht="25.5" x14ac:dyDescent="0.25">
      <c r="A159" s="203">
        <v>22</v>
      </c>
      <c r="B159" s="195" t="s">
        <v>168</v>
      </c>
      <c r="C159" s="190" t="s">
        <v>62</v>
      </c>
      <c r="D159" s="298"/>
      <c r="E159" s="190" t="s">
        <v>371</v>
      </c>
      <c r="F159" s="190" t="s">
        <v>353</v>
      </c>
      <c r="G159" s="136" t="s">
        <v>409</v>
      </c>
      <c r="H159" s="191">
        <v>6</v>
      </c>
      <c r="I159" s="191">
        <v>1</v>
      </c>
      <c r="J159" s="191">
        <v>1</v>
      </c>
      <c r="K159" s="192">
        <v>1409.6</v>
      </c>
      <c r="L159" s="192">
        <v>0</v>
      </c>
      <c r="M159" s="193">
        <f t="shared" si="6"/>
        <v>1409.6</v>
      </c>
      <c r="N159" s="191">
        <v>0</v>
      </c>
      <c r="O159" s="192">
        <v>0</v>
      </c>
      <c r="P159" s="192">
        <v>0</v>
      </c>
      <c r="Q159" s="192">
        <f t="shared" si="7"/>
        <v>0</v>
      </c>
      <c r="R159" s="6"/>
    </row>
    <row r="160" spans="1:18" ht="25.5" x14ac:dyDescent="0.25">
      <c r="A160" s="203">
        <v>23</v>
      </c>
      <c r="B160" s="195" t="s">
        <v>429</v>
      </c>
      <c r="C160" s="190" t="s">
        <v>62</v>
      </c>
      <c r="D160" s="298"/>
      <c r="E160" s="134" t="s">
        <v>74</v>
      </c>
      <c r="F160" s="190" t="s">
        <v>430</v>
      </c>
      <c r="G160" s="136" t="s">
        <v>409</v>
      </c>
      <c r="H160" s="191">
        <v>7</v>
      </c>
      <c r="I160" s="191">
        <v>3</v>
      </c>
      <c r="J160" s="191">
        <v>3</v>
      </c>
      <c r="K160" s="192">
        <v>5178.84</v>
      </c>
      <c r="L160" s="192">
        <v>2748.72</v>
      </c>
      <c r="M160" s="193">
        <f t="shared" si="6"/>
        <v>2430.1200000000003</v>
      </c>
      <c r="N160" s="191">
        <v>7</v>
      </c>
      <c r="O160" s="192">
        <v>6995.76</v>
      </c>
      <c r="P160" s="192">
        <v>3488.76</v>
      </c>
      <c r="Q160" s="192">
        <f t="shared" si="7"/>
        <v>3507</v>
      </c>
      <c r="R160" s="6"/>
    </row>
    <row r="161" spans="1:18" ht="25.5" x14ac:dyDescent="0.25">
      <c r="A161" s="203">
        <v>24</v>
      </c>
      <c r="B161" s="195" t="s">
        <v>130</v>
      </c>
      <c r="C161" s="190" t="s">
        <v>62</v>
      </c>
      <c r="D161" s="298"/>
      <c r="E161" s="134" t="s">
        <v>74</v>
      </c>
      <c r="F161" s="190" t="s">
        <v>431</v>
      </c>
      <c r="G161" s="136" t="s">
        <v>409</v>
      </c>
      <c r="H161" s="191">
        <v>4</v>
      </c>
      <c r="I161" s="191">
        <v>4</v>
      </c>
      <c r="J161" s="191">
        <v>4</v>
      </c>
      <c r="K161" s="192">
        <v>5204.28</v>
      </c>
      <c r="L161" s="192">
        <v>2220.12</v>
      </c>
      <c r="M161" s="193">
        <f t="shared" si="6"/>
        <v>2984.16</v>
      </c>
      <c r="N161" s="191">
        <v>4</v>
      </c>
      <c r="O161" s="192">
        <v>8531.4599999999991</v>
      </c>
      <c r="P161" s="192">
        <v>845.76</v>
      </c>
      <c r="Q161" s="192">
        <f t="shared" si="7"/>
        <v>7685.6999999999989</v>
      </c>
      <c r="R161" s="6"/>
    </row>
    <row r="162" spans="1:18" ht="25.5" x14ac:dyDescent="0.25">
      <c r="A162" s="203">
        <v>25</v>
      </c>
      <c r="B162" s="195" t="s">
        <v>32</v>
      </c>
      <c r="C162" s="190" t="s">
        <v>62</v>
      </c>
      <c r="D162" s="298"/>
      <c r="E162" s="134" t="s">
        <v>74</v>
      </c>
      <c r="F162" s="190" t="s">
        <v>432</v>
      </c>
      <c r="G162" s="136" t="s">
        <v>409</v>
      </c>
      <c r="H162" s="191">
        <v>10</v>
      </c>
      <c r="I162" s="191">
        <v>5</v>
      </c>
      <c r="J162" s="191">
        <v>5</v>
      </c>
      <c r="K162" s="192">
        <v>7823.28</v>
      </c>
      <c r="L162" s="192">
        <v>2114.4</v>
      </c>
      <c r="M162" s="193">
        <f t="shared" si="6"/>
        <v>5708.8799999999992</v>
      </c>
      <c r="N162" s="191">
        <v>4</v>
      </c>
      <c r="O162" s="192">
        <v>8986.2000000000007</v>
      </c>
      <c r="P162" s="192">
        <v>4581.2</v>
      </c>
      <c r="Q162" s="192">
        <f t="shared" si="7"/>
        <v>4405.0000000000009</v>
      </c>
      <c r="R162" s="6"/>
    </row>
    <row r="163" spans="1:18" ht="25.5" x14ac:dyDescent="0.25">
      <c r="A163" s="203">
        <v>26</v>
      </c>
      <c r="B163" s="195" t="s">
        <v>343</v>
      </c>
      <c r="C163" s="190" t="s">
        <v>62</v>
      </c>
      <c r="D163" s="298"/>
      <c r="E163" s="134" t="s">
        <v>74</v>
      </c>
      <c r="F163" s="190" t="s">
        <v>433</v>
      </c>
      <c r="G163" s="136" t="s">
        <v>409</v>
      </c>
      <c r="H163" s="191">
        <v>12</v>
      </c>
      <c r="I163" s="191">
        <v>5</v>
      </c>
      <c r="J163" s="191">
        <v>5</v>
      </c>
      <c r="K163" s="192">
        <v>9906.2000000000007</v>
      </c>
      <c r="L163" s="192">
        <v>1585.8</v>
      </c>
      <c r="M163" s="193">
        <f t="shared" si="6"/>
        <v>8320.4000000000015</v>
      </c>
      <c r="N163" s="191">
        <v>2</v>
      </c>
      <c r="O163" s="192">
        <v>4405</v>
      </c>
      <c r="P163" s="192">
        <v>0</v>
      </c>
      <c r="Q163" s="192">
        <f t="shared" si="7"/>
        <v>4405</v>
      </c>
      <c r="R163" s="6"/>
    </row>
    <row r="164" spans="1:18" ht="25.5" x14ac:dyDescent="0.25">
      <c r="A164" s="203">
        <v>27</v>
      </c>
      <c r="B164" s="195" t="s">
        <v>290</v>
      </c>
      <c r="C164" s="190" t="s">
        <v>62</v>
      </c>
      <c r="D164" s="298"/>
      <c r="E164" s="190" t="s">
        <v>371</v>
      </c>
      <c r="F164" s="190" t="s">
        <v>434</v>
      </c>
      <c r="G164" s="136" t="s">
        <v>409</v>
      </c>
      <c r="H164" s="191">
        <v>4</v>
      </c>
      <c r="I164" s="191">
        <v>1</v>
      </c>
      <c r="J164" s="191">
        <v>1</v>
      </c>
      <c r="K164" s="192">
        <v>1585.8</v>
      </c>
      <c r="L164" s="192">
        <v>0</v>
      </c>
      <c r="M164" s="193">
        <f t="shared" si="6"/>
        <v>1585.8</v>
      </c>
      <c r="N164" s="191">
        <v>0</v>
      </c>
      <c r="O164" s="192">
        <v>0</v>
      </c>
      <c r="P164" s="192">
        <v>0</v>
      </c>
      <c r="Q164" s="192">
        <f t="shared" si="7"/>
        <v>0</v>
      </c>
      <c r="R164" s="6"/>
    </row>
    <row r="165" spans="1:18" ht="25.5" x14ac:dyDescent="0.25">
      <c r="A165" s="203">
        <v>28</v>
      </c>
      <c r="B165" s="195" t="s">
        <v>315</v>
      </c>
      <c r="C165" s="190" t="s">
        <v>62</v>
      </c>
      <c r="D165" s="298"/>
      <c r="E165" s="134" t="s">
        <v>74</v>
      </c>
      <c r="F165" s="190" t="s">
        <v>435</v>
      </c>
      <c r="G165" s="136" t="s">
        <v>409</v>
      </c>
      <c r="H165" s="191">
        <v>13</v>
      </c>
      <c r="I165" s="191">
        <v>2</v>
      </c>
      <c r="J165" s="191">
        <v>2</v>
      </c>
      <c r="K165" s="192">
        <v>4096.6499999999996</v>
      </c>
      <c r="L165" s="192">
        <v>0</v>
      </c>
      <c r="M165" s="193">
        <f t="shared" si="6"/>
        <v>4096.6499999999996</v>
      </c>
      <c r="N165" s="191">
        <v>5</v>
      </c>
      <c r="O165" s="192">
        <v>7208.02</v>
      </c>
      <c r="P165" s="192">
        <v>5622.22</v>
      </c>
      <c r="Q165" s="192">
        <f t="shared" si="7"/>
        <v>1585.8000000000002</v>
      </c>
      <c r="R165" s="6"/>
    </row>
    <row r="166" spans="1:18" ht="25.5" x14ac:dyDescent="0.25">
      <c r="A166" s="203">
        <v>29</v>
      </c>
      <c r="B166" s="195" t="s">
        <v>216</v>
      </c>
      <c r="C166" s="190" t="s">
        <v>67</v>
      </c>
      <c r="D166" s="298" t="s">
        <v>436</v>
      </c>
      <c r="E166" s="134" t="s">
        <v>74</v>
      </c>
      <c r="F166" s="190" t="s">
        <v>437</v>
      </c>
      <c r="G166" s="136" t="s">
        <v>409</v>
      </c>
      <c r="H166" s="191">
        <v>18</v>
      </c>
      <c r="I166" s="191">
        <v>5</v>
      </c>
      <c r="J166" s="191">
        <v>5</v>
      </c>
      <c r="K166" s="192">
        <v>11458.66</v>
      </c>
      <c r="L166" s="192">
        <v>1409.6</v>
      </c>
      <c r="M166" s="193">
        <f t="shared" si="6"/>
        <v>10049.06</v>
      </c>
      <c r="N166" s="191">
        <v>0</v>
      </c>
      <c r="O166" s="192">
        <v>0</v>
      </c>
      <c r="P166" s="192">
        <v>0</v>
      </c>
      <c r="Q166" s="192">
        <f t="shared" si="7"/>
        <v>0</v>
      </c>
      <c r="R166" s="6"/>
    </row>
    <row r="167" spans="1:18" ht="25.5" x14ac:dyDescent="0.25">
      <c r="A167" s="203">
        <v>30</v>
      </c>
      <c r="B167" s="195" t="s">
        <v>438</v>
      </c>
      <c r="C167" s="190" t="s">
        <v>62</v>
      </c>
      <c r="D167" s="298"/>
      <c r="E167" s="134" t="s">
        <v>74</v>
      </c>
      <c r="F167" s="190" t="s">
        <v>439</v>
      </c>
      <c r="G167" s="136" t="s">
        <v>409</v>
      </c>
      <c r="H167" s="191">
        <v>7</v>
      </c>
      <c r="I167" s="191">
        <v>0</v>
      </c>
      <c r="J167" s="191">
        <v>0</v>
      </c>
      <c r="K167" s="192">
        <v>0</v>
      </c>
      <c r="L167" s="192">
        <v>0</v>
      </c>
      <c r="M167" s="193">
        <f t="shared" si="6"/>
        <v>0</v>
      </c>
      <c r="N167" s="191">
        <v>0</v>
      </c>
      <c r="O167" s="192">
        <v>0</v>
      </c>
      <c r="P167" s="192">
        <v>0</v>
      </c>
      <c r="Q167" s="192">
        <f t="shared" si="7"/>
        <v>0</v>
      </c>
      <c r="R167" s="6"/>
    </row>
    <row r="168" spans="1:18" ht="25.5" x14ac:dyDescent="0.25">
      <c r="A168" s="203">
        <v>31</v>
      </c>
      <c r="B168" s="195" t="s">
        <v>440</v>
      </c>
      <c r="C168" s="190" t="s">
        <v>62</v>
      </c>
      <c r="D168" s="298"/>
      <c r="E168" s="134" t="s">
        <v>74</v>
      </c>
      <c r="F168" s="190" t="s">
        <v>441</v>
      </c>
      <c r="G168" s="136" t="s">
        <v>409</v>
      </c>
      <c r="H168" s="191">
        <v>7</v>
      </c>
      <c r="I168" s="191">
        <v>3</v>
      </c>
      <c r="J168" s="191">
        <v>3</v>
      </c>
      <c r="K168" s="192">
        <v>3171.6</v>
      </c>
      <c r="L168" s="192">
        <v>1409.6</v>
      </c>
      <c r="M168" s="193">
        <f t="shared" si="6"/>
        <v>1762</v>
      </c>
      <c r="N168" s="191">
        <v>0</v>
      </c>
      <c r="O168" s="192">
        <v>0</v>
      </c>
      <c r="P168" s="192">
        <v>0</v>
      </c>
      <c r="Q168" s="192">
        <f t="shared" si="7"/>
        <v>0</v>
      </c>
      <c r="R168" s="6"/>
    </row>
    <row r="169" spans="1:18" ht="25.5" x14ac:dyDescent="0.25">
      <c r="A169" s="203">
        <v>32</v>
      </c>
      <c r="B169" s="195" t="s">
        <v>222</v>
      </c>
      <c r="C169" s="190" t="s">
        <v>64</v>
      </c>
      <c r="D169" s="136" t="s">
        <v>442</v>
      </c>
      <c r="E169" s="134" t="s">
        <v>74</v>
      </c>
      <c r="F169" s="190" t="s">
        <v>443</v>
      </c>
      <c r="G169" s="136" t="s">
        <v>409</v>
      </c>
      <c r="H169" s="191">
        <v>1</v>
      </c>
      <c r="I169" s="191">
        <v>0</v>
      </c>
      <c r="J169" s="191">
        <v>0</v>
      </c>
      <c r="K169" s="192">
        <v>0</v>
      </c>
      <c r="L169" s="192">
        <v>0</v>
      </c>
      <c r="M169" s="193">
        <f t="shared" si="6"/>
        <v>0</v>
      </c>
      <c r="N169" s="191">
        <v>0</v>
      </c>
      <c r="O169" s="192">
        <v>0</v>
      </c>
      <c r="P169" s="192">
        <v>0</v>
      </c>
      <c r="Q169" s="192">
        <f t="shared" si="7"/>
        <v>0</v>
      </c>
      <c r="R169" s="6"/>
    </row>
    <row r="170" spans="1:18" ht="25.5" x14ac:dyDescent="0.25">
      <c r="A170" s="203">
        <v>33</v>
      </c>
      <c r="B170" s="195" t="s">
        <v>444</v>
      </c>
      <c r="C170" s="190" t="s">
        <v>62</v>
      </c>
      <c r="D170" s="298"/>
      <c r="E170" s="134" t="s">
        <v>74</v>
      </c>
      <c r="F170" s="190" t="s">
        <v>445</v>
      </c>
      <c r="G170" s="136" t="s">
        <v>409</v>
      </c>
      <c r="H170" s="191">
        <v>5</v>
      </c>
      <c r="I170" s="191">
        <v>2</v>
      </c>
      <c r="J170" s="191">
        <v>2</v>
      </c>
      <c r="K170" s="192">
        <v>1409.6</v>
      </c>
      <c r="L170" s="192">
        <v>1409.6</v>
      </c>
      <c r="M170" s="193">
        <f t="shared" si="6"/>
        <v>0</v>
      </c>
      <c r="N170" s="191">
        <v>0</v>
      </c>
      <c r="O170" s="192">
        <v>0</v>
      </c>
      <c r="P170" s="192">
        <v>0</v>
      </c>
      <c r="Q170" s="192">
        <f t="shared" si="7"/>
        <v>0</v>
      </c>
      <c r="R170" s="6"/>
    </row>
    <row r="171" spans="1:18" ht="25.5" x14ac:dyDescent="0.25">
      <c r="A171" s="203">
        <v>34</v>
      </c>
      <c r="B171" s="195" t="s">
        <v>129</v>
      </c>
      <c r="C171" s="190" t="s">
        <v>62</v>
      </c>
      <c r="D171" s="298"/>
      <c r="E171" s="134" t="s">
        <v>74</v>
      </c>
      <c r="F171" s="190" t="s">
        <v>446</v>
      </c>
      <c r="G171" s="136" t="s">
        <v>409</v>
      </c>
      <c r="H171" s="191">
        <v>7</v>
      </c>
      <c r="I171" s="191">
        <v>3</v>
      </c>
      <c r="J171" s="191">
        <v>3</v>
      </c>
      <c r="K171" s="192">
        <v>3015.4</v>
      </c>
      <c r="L171" s="192">
        <v>3015.4</v>
      </c>
      <c r="M171" s="193">
        <f t="shared" si="6"/>
        <v>0</v>
      </c>
      <c r="N171" s="191">
        <v>10</v>
      </c>
      <c r="O171" s="192">
        <v>16129.58</v>
      </c>
      <c r="P171" s="192">
        <v>10887.78</v>
      </c>
      <c r="Q171" s="192">
        <f t="shared" si="7"/>
        <v>5241.7999999999993</v>
      </c>
      <c r="R171" s="6"/>
    </row>
    <row r="172" spans="1:18" ht="25.5" x14ac:dyDescent="0.25">
      <c r="A172" s="203">
        <v>35</v>
      </c>
      <c r="B172" s="299" t="s">
        <v>104</v>
      </c>
      <c r="C172" s="190" t="s">
        <v>62</v>
      </c>
      <c r="D172" s="298"/>
      <c r="E172" s="134" t="s">
        <v>105</v>
      </c>
      <c r="F172" s="190" t="s">
        <v>447</v>
      </c>
      <c r="G172" s="136" t="s">
        <v>409</v>
      </c>
      <c r="H172" s="191">
        <v>0</v>
      </c>
      <c r="I172" s="191">
        <v>0</v>
      </c>
      <c r="J172" s="191">
        <v>0</v>
      </c>
      <c r="K172" s="192">
        <v>0</v>
      </c>
      <c r="L172" s="192">
        <v>0</v>
      </c>
      <c r="M172" s="193">
        <f t="shared" si="6"/>
        <v>0</v>
      </c>
      <c r="N172" s="191">
        <v>7</v>
      </c>
      <c r="O172" s="192">
        <v>5726.5</v>
      </c>
      <c r="P172" s="192">
        <v>5726.5</v>
      </c>
      <c r="Q172" s="192">
        <f t="shared" si="7"/>
        <v>0</v>
      </c>
      <c r="R172" s="6"/>
    </row>
    <row r="173" spans="1:18" ht="25.5" x14ac:dyDescent="0.25">
      <c r="A173" s="190">
        <v>36</v>
      </c>
      <c r="B173" s="298" t="s">
        <v>156</v>
      </c>
      <c r="C173" s="190" t="s">
        <v>67</v>
      </c>
      <c r="D173" s="298" t="s">
        <v>501</v>
      </c>
      <c r="E173" s="134" t="s">
        <v>74</v>
      </c>
      <c r="F173" s="190" t="s">
        <v>502</v>
      </c>
      <c r="G173" s="136" t="s">
        <v>409</v>
      </c>
      <c r="H173" s="191">
        <v>3</v>
      </c>
      <c r="I173" s="191">
        <v>0</v>
      </c>
      <c r="J173" s="191">
        <v>0</v>
      </c>
      <c r="K173" s="192">
        <v>0</v>
      </c>
      <c r="L173" s="192">
        <v>0</v>
      </c>
      <c r="M173" s="193">
        <f t="shared" si="6"/>
        <v>0</v>
      </c>
      <c r="N173" s="191">
        <v>4</v>
      </c>
      <c r="O173" s="192">
        <v>7576.6</v>
      </c>
      <c r="P173" s="192">
        <v>6167</v>
      </c>
      <c r="Q173" s="192">
        <f t="shared" si="7"/>
        <v>1409.6000000000004</v>
      </c>
      <c r="R173" s="6"/>
    </row>
    <row r="174" spans="1:18" ht="25.5" x14ac:dyDescent="0.25">
      <c r="A174" s="190">
        <v>37</v>
      </c>
      <c r="B174" s="298" t="s">
        <v>133</v>
      </c>
      <c r="C174" s="190" t="s">
        <v>67</v>
      </c>
      <c r="D174" s="298" t="s">
        <v>397</v>
      </c>
      <c r="E174" s="134" t="s">
        <v>74</v>
      </c>
      <c r="F174" s="190" t="s">
        <v>503</v>
      </c>
      <c r="G174" s="136" t="s">
        <v>409</v>
      </c>
      <c r="H174" s="191">
        <v>11</v>
      </c>
      <c r="I174" s="191">
        <v>2</v>
      </c>
      <c r="J174" s="191">
        <v>2</v>
      </c>
      <c r="K174" s="192">
        <v>3080.5</v>
      </c>
      <c r="L174" s="192">
        <v>0</v>
      </c>
      <c r="M174" s="193">
        <f t="shared" si="6"/>
        <v>3080.5</v>
      </c>
      <c r="N174" s="191">
        <v>15</v>
      </c>
      <c r="O174" s="192">
        <v>34639.550000000003</v>
      </c>
      <c r="P174" s="192">
        <v>21929.06</v>
      </c>
      <c r="Q174" s="192">
        <f t="shared" si="7"/>
        <v>12710.490000000002</v>
      </c>
      <c r="R174" s="6"/>
    </row>
    <row r="175" spans="1:18" ht="25.5" x14ac:dyDescent="0.25">
      <c r="A175" s="190">
        <v>38</v>
      </c>
      <c r="B175" s="298" t="s">
        <v>114</v>
      </c>
      <c r="C175" s="190" t="s">
        <v>62</v>
      </c>
      <c r="D175" s="298"/>
      <c r="E175" s="134" t="s">
        <v>115</v>
      </c>
      <c r="F175" s="190" t="s">
        <v>504</v>
      </c>
      <c r="G175" s="136" t="s">
        <v>409</v>
      </c>
      <c r="H175" s="191">
        <v>0</v>
      </c>
      <c r="I175" s="191">
        <v>0</v>
      </c>
      <c r="J175" s="191">
        <v>0</v>
      </c>
      <c r="K175" s="192">
        <v>0</v>
      </c>
      <c r="L175" s="192">
        <v>0</v>
      </c>
      <c r="M175" s="193">
        <f t="shared" si="6"/>
        <v>0</v>
      </c>
      <c r="N175" s="191">
        <v>4</v>
      </c>
      <c r="O175" s="192">
        <v>3524</v>
      </c>
      <c r="P175" s="192">
        <v>1762</v>
      </c>
      <c r="Q175" s="192">
        <f t="shared" si="7"/>
        <v>1762</v>
      </c>
      <c r="R175" s="6"/>
    </row>
    <row r="176" spans="1:18" ht="25.5" x14ac:dyDescent="0.25">
      <c r="A176" s="190">
        <v>39</v>
      </c>
      <c r="B176" s="298" t="s">
        <v>505</v>
      </c>
      <c r="C176" s="190" t="s">
        <v>62</v>
      </c>
      <c r="D176" s="298"/>
      <c r="E176" s="134" t="s">
        <v>74</v>
      </c>
      <c r="F176" s="190" t="s">
        <v>506</v>
      </c>
      <c r="G176" s="136" t="s">
        <v>409</v>
      </c>
      <c r="H176" s="191">
        <v>1</v>
      </c>
      <c r="I176" s="191">
        <v>0</v>
      </c>
      <c r="J176" s="191">
        <v>0</v>
      </c>
      <c r="K176" s="192">
        <v>0</v>
      </c>
      <c r="L176" s="192">
        <v>0</v>
      </c>
      <c r="M176" s="193">
        <f t="shared" si="6"/>
        <v>0</v>
      </c>
      <c r="N176" s="191">
        <v>0</v>
      </c>
      <c r="O176" s="192">
        <v>0</v>
      </c>
      <c r="P176" s="192">
        <v>0</v>
      </c>
      <c r="Q176" s="192">
        <f t="shared" si="7"/>
        <v>0</v>
      </c>
      <c r="R176" s="6"/>
    </row>
    <row r="177" spans="1:18" ht="25.5" x14ac:dyDescent="0.25">
      <c r="A177" s="190">
        <v>40</v>
      </c>
      <c r="B177" s="298" t="s">
        <v>473</v>
      </c>
      <c r="C177" s="190" t="s">
        <v>62</v>
      </c>
      <c r="D177" s="298"/>
      <c r="E177" s="190" t="s">
        <v>74</v>
      </c>
      <c r="F177" s="190" t="s">
        <v>558</v>
      </c>
      <c r="G177" s="136" t="s">
        <v>409</v>
      </c>
      <c r="H177" s="191">
        <v>0</v>
      </c>
      <c r="I177" s="191">
        <v>0</v>
      </c>
      <c r="J177" s="191">
        <v>0</v>
      </c>
      <c r="K177" s="192">
        <v>0</v>
      </c>
      <c r="L177" s="192">
        <v>0</v>
      </c>
      <c r="M177" s="193">
        <f t="shared" si="6"/>
        <v>0</v>
      </c>
      <c r="N177" s="191">
        <v>0</v>
      </c>
      <c r="O177" s="192">
        <v>0</v>
      </c>
      <c r="P177" s="192">
        <v>0</v>
      </c>
      <c r="Q177" s="192">
        <f t="shared" si="7"/>
        <v>0</v>
      </c>
      <c r="R177" s="6"/>
    </row>
    <row r="178" spans="1:18" ht="25.5" x14ac:dyDescent="0.25">
      <c r="A178" s="190">
        <v>41</v>
      </c>
      <c r="B178" s="298" t="s">
        <v>376</v>
      </c>
      <c r="C178" s="190" t="s">
        <v>62</v>
      </c>
      <c r="D178" s="298"/>
      <c r="E178" s="190" t="s">
        <v>74</v>
      </c>
      <c r="F178" s="190" t="s">
        <v>559</v>
      </c>
      <c r="G178" s="136" t="s">
        <v>409</v>
      </c>
      <c r="H178" s="191">
        <v>0</v>
      </c>
      <c r="I178" s="191">
        <v>0</v>
      </c>
      <c r="J178" s="191">
        <v>0</v>
      </c>
      <c r="K178" s="192">
        <v>0</v>
      </c>
      <c r="L178" s="192">
        <v>0</v>
      </c>
      <c r="M178" s="193">
        <f t="shared" si="6"/>
        <v>0</v>
      </c>
      <c r="N178" s="191">
        <v>0</v>
      </c>
      <c r="O178" s="192">
        <v>0</v>
      </c>
      <c r="P178" s="192">
        <v>0</v>
      </c>
      <c r="Q178" s="192">
        <f t="shared" si="7"/>
        <v>0</v>
      </c>
      <c r="R178" s="6"/>
    </row>
    <row r="179" spans="1:18" ht="25.5" x14ac:dyDescent="0.25">
      <c r="A179" s="190">
        <v>42</v>
      </c>
      <c r="B179" s="298" t="s">
        <v>119</v>
      </c>
      <c r="C179" s="190" t="s">
        <v>62</v>
      </c>
      <c r="D179" s="298"/>
      <c r="E179" s="190" t="s">
        <v>74</v>
      </c>
      <c r="F179" s="190" t="s">
        <v>560</v>
      </c>
      <c r="G179" s="136" t="s">
        <v>409</v>
      </c>
      <c r="H179" s="191">
        <v>6</v>
      </c>
      <c r="I179" s="191">
        <v>1</v>
      </c>
      <c r="J179" s="191">
        <v>1</v>
      </c>
      <c r="K179" s="192">
        <v>1691.52</v>
      </c>
      <c r="L179" s="192">
        <v>0</v>
      </c>
      <c r="M179" s="193">
        <f t="shared" si="6"/>
        <v>1691.52</v>
      </c>
      <c r="N179" s="191">
        <v>8</v>
      </c>
      <c r="O179" s="192">
        <v>16143.1</v>
      </c>
      <c r="P179" s="192">
        <v>0</v>
      </c>
      <c r="Q179" s="192">
        <f t="shared" si="7"/>
        <v>16143.1</v>
      </c>
      <c r="R179" s="6"/>
    </row>
    <row r="180" spans="1:18" ht="25.5" x14ac:dyDescent="0.25">
      <c r="A180" s="190">
        <v>43</v>
      </c>
      <c r="B180" s="298" t="s">
        <v>47</v>
      </c>
      <c r="C180" s="190" t="s">
        <v>62</v>
      </c>
      <c r="D180" s="298"/>
      <c r="E180" s="190" t="s">
        <v>141</v>
      </c>
      <c r="F180" s="190" t="s">
        <v>589</v>
      </c>
      <c r="G180" s="136" t="s">
        <v>409</v>
      </c>
      <c r="H180" s="191">
        <v>0</v>
      </c>
      <c r="I180" s="191">
        <v>0</v>
      </c>
      <c r="J180" s="191">
        <v>0</v>
      </c>
      <c r="K180" s="192">
        <v>0</v>
      </c>
      <c r="L180" s="192">
        <v>0</v>
      </c>
      <c r="M180" s="193">
        <f t="shared" si="6"/>
        <v>0</v>
      </c>
      <c r="N180" s="191">
        <v>1</v>
      </c>
      <c r="O180" s="192">
        <v>6554.64</v>
      </c>
      <c r="P180" s="192">
        <v>0</v>
      </c>
      <c r="Q180" s="192">
        <f t="shared" si="7"/>
        <v>6554.64</v>
      </c>
      <c r="R180" s="6"/>
    </row>
    <row r="181" spans="1:18" ht="25.5" x14ac:dyDescent="0.25">
      <c r="A181" s="190">
        <v>44</v>
      </c>
      <c r="B181" s="298" t="s">
        <v>37</v>
      </c>
      <c r="C181" s="190" t="s">
        <v>62</v>
      </c>
      <c r="D181" s="190"/>
      <c r="E181" s="190" t="s">
        <v>74</v>
      </c>
      <c r="F181" s="190" t="s">
        <v>590</v>
      </c>
      <c r="G181" s="136" t="s">
        <v>409</v>
      </c>
      <c r="H181" s="191">
        <v>1</v>
      </c>
      <c r="I181" s="191">
        <v>0</v>
      </c>
      <c r="J181" s="191">
        <v>0</v>
      </c>
      <c r="K181" s="192">
        <v>0</v>
      </c>
      <c r="L181" s="192">
        <v>0</v>
      </c>
      <c r="M181" s="193">
        <f t="shared" si="6"/>
        <v>0</v>
      </c>
      <c r="N181" s="191">
        <v>0</v>
      </c>
      <c r="O181" s="192">
        <v>0</v>
      </c>
      <c r="P181" s="192">
        <v>0</v>
      </c>
      <c r="Q181" s="192">
        <f t="shared" si="7"/>
        <v>0</v>
      </c>
      <c r="R181" s="6"/>
    </row>
    <row r="182" spans="1:18" ht="25.5" x14ac:dyDescent="0.25">
      <c r="A182" s="190">
        <v>45</v>
      </c>
      <c r="B182" s="298" t="s">
        <v>97</v>
      </c>
      <c r="C182" s="190" t="s">
        <v>62</v>
      </c>
      <c r="D182" s="190"/>
      <c r="E182" s="190" t="s">
        <v>74</v>
      </c>
      <c r="F182" s="190" t="s">
        <v>591</v>
      </c>
      <c r="G182" s="136" t="s">
        <v>409</v>
      </c>
      <c r="H182" s="191">
        <v>4</v>
      </c>
      <c r="I182" s="191">
        <v>1</v>
      </c>
      <c r="J182" s="191">
        <v>1</v>
      </c>
      <c r="K182" s="192">
        <v>1233.4000000000001</v>
      </c>
      <c r="L182" s="192">
        <v>0</v>
      </c>
      <c r="M182" s="193">
        <f t="shared" si="6"/>
        <v>1233.4000000000001</v>
      </c>
      <c r="N182" s="191">
        <v>2</v>
      </c>
      <c r="O182" s="192">
        <v>704.8</v>
      </c>
      <c r="P182" s="192">
        <v>0</v>
      </c>
      <c r="Q182" s="192">
        <f t="shared" si="7"/>
        <v>704.8</v>
      </c>
      <c r="R182" s="6"/>
    </row>
    <row r="183" spans="1:18" ht="25.5" x14ac:dyDescent="0.25">
      <c r="A183" s="190">
        <v>46</v>
      </c>
      <c r="B183" s="298" t="s">
        <v>613</v>
      </c>
      <c r="C183" s="190" t="s">
        <v>62</v>
      </c>
      <c r="D183" s="190"/>
      <c r="E183" s="190" t="s">
        <v>74</v>
      </c>
      <c r="F183" s="190" t="s">
        <v>614</v>
      </c>
      <c r="G183" s="136" t="s">
        <v>409</v>
      </c>
      <c r="H183" s="191">
        <v>4</v>
      </c>
      <c r="I183" s="191">
        <v>2</v>
      </c>
      <c r="J183" s="191">
        <v>2</v>
      </c>
      <c r="K183" s="192">
        <v>1585.8</v>
      </c>
      <c r="L183" s="192">
        <v>0</v>
      </c>
      <c r="M183" s="193">
        <v>0</v>
      </c>
      <c r="N183" s="191">
        <v>3</v>
      </c>
      <c r="O183" s="192">
        <v>616.70000000000005</v>
      </c>
      <c r="P183" s="192">
        <v>0</v>
      </c>
      <c r="Q183" s="192">
        <v>0</v>
      </c>
      <c r="R183" s="6"/>
    </row>
    <row r="184" spans="1:18" ht="25.5" x14ac:dyDescent="0.25">
      <c r="A184" s="190">
        <v>47</v>
      </c>
      <c r="B184" s="298" t="s">
        <v>615</v>
      </c>
      <c r="C184" s="190" t="s">
        <v>62</v>
      </c>
      <c r="D184" s="190"/>
      <c r="E184" s="190" t="s">
        <v>74</v>
      </c>
      <c r="F184" s="190" t="s">
        <v>616</v>
      </c>
      <c r="G184" s="136" t="s">
        <v>409</v>
      </c>
      <c r="H184" s="191">
        <v>5</v>
      </c>
      <c r="I184" s="191">
        <v>0</v>
      </c>
      <c r="J184" s="191">
        <v>0</v>
      </c>
      <c r="K184" s="192">
        <v>0</v>
      </c>
      <c r="L184" s="192">
        <v>0</v>
      </c>
      <c r="M184" s="193">
        <v>0</v>
      </c>
      <c r="N184" s="191">
        <v>0</v>
      </c>
      <c r="O184" s="192">
        <v>0</v>
      </c>
      <c r="P184" s="192">
        <v>0</v>
      </c>
      <c r="Q184" s="192">
        <v>0</v>
      </c>
      <c r="R184" s="6"/>
    </row>
    <row r="185" spans="1:18" ht="25.5" x14ac:dyDescent="0.25">
      <c r="A185" s="190">
        <v>48</v>
      </c>
      <c r="B185" s="298" t="s">
        <v>357</v>
      </c>
      <c r="C185" s="300" t="s">
        <v>64</v>
      </c>
      <c r="D185" s="134" t="s">
        <v>617</v>
      </c>
      <c r="E185" s="190" t="s">
        <v>74</v>
      </c>
      <c r="F185" s="190" t="s">
        <v>618</v>
      </c>
      <c r="G185" s="136" t="s">
        <v>409</v>
      </c>
      <c r="H185" s="191">
        <v>2</v>
      </c>
      <c r="I185" s="191">
        <v>0</v>
      </c>
      <c r="J185" s="191">
        <v>0</v>
      </c>
      <c r="K185" s="192">
        <v>0</v>
      </c>
      <c r="L185" s="192">
        <v>0</v>
      </c>
      <c r="M185" s="191">
        <v>0</v>
      </c>
      <c r="N185" s="191">
        <v>1</v>
      </c>
      <c r="O185" s="192">
        <v>1762</v>
      </c>
      <c r="P185" s="192">
        <v>0</v>
      </c>
      <c r="Q185" s="192">
        <v>0</v>
      </c>
      <c r="R185" s="6"/>
    </row>
    <row r="186" spans="1:18" ht="25.5" x14ac:dyDescent="0.25">
      <c r="A186" s="190">
        <v>49</v>
      </c>
      <c r="B186" s="298" t="s">
        <v>621</v>
      </c>
      <c r="C186" s="190" t="s">
        <v>62</v>
      </c>
      <c r="D186" s="190"/>
      <c r="E186" s="190" t="s">
        <v>74</v>
      </c>
      <c r="F186" s="190" t="s">
        <v>625</v>
      </c>
      <c r="G186" s="136" t="s">
        <v>409</v>
      </c>
      <c r="H186" s="191">
        <v>8</v>
      </c>
      <c r="I186" s="191">
        <v>0</v>
      </c>
      <c r="J186" s="191">
        <v>0</v>
      </c>
      <c r="K186" s="192">
        <v>0</v>
      </c>
      <c r="L186" s="192">
        <v>0</v>
      </c>
      <c r="M186" s="191">
        <v>0</v>
      </c>
      <c r="N186" s="191">
        <v>0</v>
      </c>
      <c r="O186" s="191">
        <v>0</v>
      </c>
      <c r="P186" s="191">
        <v>0</v>
      </c>
      <c r="Q186" s="191">
        <v>0</v>
      </c>
      <c r="R186" s="6"/>
    </row>
    <row r="187" spans="1:18" x14ac:dyDescent="0.25">
      <c r="A187" s="308">
        <v>1</v>
      </c>
      <c r="B187" s="309" t="s">
        <v>146</v>
      </c>
      <c r="C187" s="310" t="s">
        <v>62</v>
      </c>
      <c r="D187" s="310"/>
      <c r="E187" s="310" t="s">
        <v>74</v>
      </c>
      <c r="F187" s="309" t="s">
        <v>325</v>
      </c>
      <c r="G187" s="311" t="s">
        <v>326</v>
      </c>
      <c r="H187" s="311">
        <v>15</v>
      </c>
      <c r="I187" s="311">
        <v>6</v>
      </c>
      <c r="J187" s="311">
        <v>6</v>
      </c>
      <c r="K187" s="312">
        <f>2643+2466.8+2554.9</f>
        <v>7664.7000000000007</v>
      </c>
      <c r="L187" s="312">
        <f>5109.8</f>
        <v>5109.8</v>
      </c>
      <c r="M187" s="312">
        <f>K187-L187</f>
        <v>2554.9000000000005</v>
      </c>
      <c r="N187" s="313">
        <v>6</v>
      </c>
      <c r="O187" s="312">
        <v>5374.1</v>
      </c>
      <c r="P187" s="314">
        <f>2378.7+2995.4</f>
        <v>5374.1</v>
      </c>
      <c r="Q187" s="314">
        <f>O187-P187</f>
        <v>0</v>
      </c>
      <c r="R187" s="6"/>
    </row>
    <row r="188" spans="1:18" x14ac:dyDescent="0.25">
      <c r="A188" s="308">
        <v>2</v>
      </c>
      <c r="B188" s="309" t="s">
        <v>166</v>
      </c>
      <c r="C188" s="310" t="s">
        <v>62</v>
      </c>
      <c r="D188" s="310"/>
      <c r="E188" s="310" t="s">
        <v>158</v>
      </c>
      <c r="F188" s="309" t="s">
        <v>327</v>
      </c>
      <c r="G188" s="309" t="s">
        <v>326</v>
      </c>
      <c r="H188" s="311">
        <v>4</v>
      </c>
      <c r="I188" s="311">
        <v>2</v>
      </c>
      <c r="J188" s="311">
        <v>2</v>
      </c>
      <c r="K188" s="312">
        <f>1233.4+4228.8</f>
        <v>5462.2000000000007</v>
      </c>
      <c r="L188" s="312">
        <f>73.95+1159.45+4228.8</f>
        <v>5462.2000000000007</v>
      </c>
      <c r="M188" s="312">
        <f>K188-L188</f>
        <v>0</v>
      </c>
      <c r="N188" s="313">
        <v>0</v>
      </c>
      <c r="O188" s="312">
        <v>0</v>
      </c>
      <c r="P188" s="314">
        <v>0</v>
      </c>
      <c r="Q188" s="314">
        <f>O188-P188</f>
        <v>0</v>
      </c>
      <c r="R188" s="6"/>
    </row>
    <row r="189" spans="1:18" x14ac:dyDescent="0.25">
      <c r="A189" s="308">
        <v>3</v>
      </c>
      <c r="B189" s="309" t="s">
        <v>173</v>
      </c>
      <c r="C189" s="310" t="s">
        <v>67</v>
      </c>
      <c r="D189" s="310" t="s">
        <v>328</v>
      </c>
      <c r="E189" s="310" t="s">
        <v>158</v>
      </c>
      <c r="F189" s="309" t="s">
        <v>329</v>
      </c>
      <c r="G189" s="309" t="s">
        <v>326</v>
      </c>
      <c r="H189" s="311">
        <v>8</v>
      </c>
      <c r="I189" s="311">
        <v>3</v>
      </c>
      <c r="J189" s="311">
        <v>3</v>
      </c>
      <c r="K189" s="312">
        <f>704.8+2945.6</f>
        <v>3650.3999999999996</v>
      </c>
      <c r="L189" s="312">
        <f>704.8</f>
        <v>704.8</v>
      </c>
      <c r="M189" s="312">
        <f>K189-L189</f>
        <v>2945.5999999999995</v>
      </c>
      <c r="N189" s="313">
        <v>0</v>
      </c>
      <c r="O189" s="312">
        <v>0</v>
      </c>
      <c r="P189" s="314">
        <v>0</v>
      </c>
      <c r="Q189" s="314">
        <f>O189-P189</f>
        <v>0</v>
      </c>
      <c r="R189" s="6"/>
    </row>
    <row r="190" spans="1:18" x14ac:dyDescent="0.25">
      <c r="A190" s="308">
        <v>4</v>
      </c>
      <c r="B190" s="309" t="s">
        <v>330</v>
      </c>
      <c r="C190" s="310" t="s">
        <v>62</v>
      </c>
      <c r="D190" s="310"/>
      <c r="E190" s="310" t="s">
        <v>158</v>
      </c>
      <c r="F190" s="309" t="s">
        <v>331</v>
      </c>
      <c r="G190" s="309" t="s">
        <v>326</v>
      </c>
      <c r="H190" s="311">
        <v>15</v>
      </c>
      <c r="I190" s="311">
        <v>9</v>
      </c>
      <c r="J190" s="311">
        <v>9</v>
      </c>
      <c r="K190" s="312">
        <f>704.8+11276.8</f>
        <v>11981.599999999999</v>
      </c>
      <c r="L190" s="312">
        <f>704.8+11276.8</f>
        <v>11981.599999999999</v>
      </c>
      <c r="M190" s="312">
        <f>K190-L190</f>
        <v>0</v>
      </c>
      <c r="N190" s="313">
        <v>0</v>
      </c>
      <c r="O190" s="312">
        <v>0</v>
      </c>
      <c r="P190" s="314">
        <v>0</v>
      </c>
      <c r="Q190" s="314">
        <f>O190-P190</f>
        <v>0</v>
      </c>
      <c r="R190" s="6"/>
    </row>
    <row r="191" spans="1:18" x14ac:dyDescent="0.25">
      <c r="A191" s="308">
        <v>5</v>
      </c>
      <c r="B191" s="309" t="s">
        <v>147</v>
      </c>
      <c r="C191" s="310" t="s">
        <v>62</v>
      </c>
      <c r="D191" s="315"/>
      <c r="E191" s="310" t="s">
        <v>74</v>
      </c>
      <c r="F191" s="309" t="s">
        <v>332</v>
      </c>
      <c r="G191" s="309" t="s">
        <v>326</v>
      </c>
      <c r="H191" s="316">
        <v>15</v>
      </c>
      <c r="I191" s="316">
        <v>5</v>
      </c>
      <c r="J191" s="316">
        <v>5</v>
      </c>
      <c r="K191" s="317">
        <f>1409.6+1762+3347.8+2209.2</f>
        <v>8728.5999999999985</v>
      </c>
      <c r="L191" s="312">
        <f>1409.6+1762+3347.8</f>
        <v>6519.4</v>
      </c>
      <c r="M191" s="312">
        <f>K191-L191</f>
        <v>2209.1999999999989</v>
      </c>
      <c r="N191" s="313">
        <v>4</v>
      </c>
      <c r="O191" s="318">
        <f>4757.4+5523</f>
        <v>10280.4</v>
      </c>
      <c r="P191" s="319">
        <f>4052.6+704.8</f>
        <v>4757.3999999999996</v>
      </c>
      <c r="Q191" s="314">
        <f>O191-P191</f>
        <v>5523</v>
      </c>
      <c r="R191" s="6"/>
    </row>
    <row r="192" spans="1:18" ht="45" x14ac:dyDescent="0.25">
      <c r="A192" s="308">
        <v>6</v>
      </c>
      <c r="B192" s="309" t="s">
        <v>554</v>
      </c>
      <c r="C192" s="310" t="s">
        <v>67</v>
      </c>
      <c r="D192" s="320" t="s">
        <v>555</v>
      </c>
      <c r="E192" s="310" t="s">
        <v>74</v>
      </c>
      <c r="F192" s="309" t="s">
        <v>556</v>
      </c>
      <c r="G192" s="309" t="s">
        <v>326</v>
      </c>
      <c r="H192" s="316">
        <v>2</v>
      </c>
      <c r="I192" s="316">
        <v>0</v>
      </c>
      <c r="J192" s="316">
        <v>0</v>
      </c>
      <c r="K192" s="317">
        <v>0</v>
      </c>
      <c r="L192" s="312">
        <v>0</v>
      </c>
      <c r="M192" s="312">
        <v>0</v>
      </c>
      <c r="N192" s="313">
        <v>0</v>
      </c>
      <c r="O192" s="312">
        <v>0</v>
      </c>
      <c r="P192" s="314">
        <v>0</v>
      </c>
      <c r="Q192" s="314">
        <v>0</v>
      </c>
      <c r="R192" s="6"/>
    </row>
    <row r="193" spans="1:18" x14ac:dyDescent="0.25">
      <c r="A193" s="308">
        <v>7</v>
      </c>
      <c r="B193" s="309" t="s">
        <v>88</v>
      </c>
      <c r="C193" s="310" t="s">
        <v>62</v>
      </c>
      <c r="D193" s="315"/>
      <c r="E193" s="310" t="s">
        <v>74</v>
      </c>
      <c r="F193" s="309" t="s">
        <v>333</v>
      </c>
      <c r="G193" s="309" t="s">
        <v>326</v>
      </c>
      <c r="H193" s="316">
        <v>2</v>
      </c>
      <c r="I193" s="316">
        <v>2</v>
      </c>
      <c r="J193" s="316">
        <v>2</v>
      </c>
      <c r="K193" s="317">
        <f>704.8+1585.8</f>
        <v>2290.6</v>
      </c>
      <c r="L193" s="312">
        <f>704.8+1585.8</f>
        <v>2290.6</v>
      </c>
      <c r="M193" s="312">
        <f t="shared" ref="M193:M233" si="8">K193-L193</f>
        <v>0</v>
      </c>
      <c r="N193" s="313">
        <v>1</v>
      </c>
      <c r="O193" s="318">
        <v>1145.3</v>
      </c>
      <c r="P193" s="314">
        <v>1145.3</v>
      </c>
      <c r="Q193" s="314">
        <f t="shared" ref="Q193:Q216" si="9">O193-P193</f>
        <v>0</v>
      </c>
      <c r="R193" s="6"/>
    </row>
    <row r="194" spans="1:18" x14ac:dyDescent="0.25">
      <c r="A194" s="308">
        <v>8</v>
      </c>
      <c r="B194" s="309" t="s">
        <v>182</v>
      </c>
      <c r="C194" s="310" t="s">
        <v>62</v>
      </c>
      <c r="D194" s="315"/>
      <c r="E194" s="310" t="s">
        <v>158</v>
      </c>
      <c r="F194" s="309" t="s">
        <v>334</v>
      </c>
      <c r="G194" s="309" t="s">
        <v>326</v>
      </c>
      <c r="H194" s="316">
        <v>5</v>
      </c>
      <c r="I194" s="316">
        <v>1</v>
      </c>
      <c r="J194" s="316">
        <v>1</v>
      </c>
      <c r="K194" s="317">
        <f>1233.4</f>
        <v>1233.4000000000001</v>
      </c>
      <c r="L194" s="312">
        <f>1233.4</f>
        <v>1233.4000000000001</v>
      </c>
      <c r="M194" s="312">
        <f t="shared" si="8"/>
        <v>0</v>
      </c>
      <c r="N194" s="313">
        <v>0</v>
      </c>
      <c r="O194" s="318">
        <v>0</v>
      </c>
      <c r="P194" s="314">
        <v>0</v>
      </c>
      <c r="Q194" s="314">
        <f t="shared" si="9"/>
        <v>0</v>
      </c>
      <c r="R194" s="6"/>
    </row>
    <row r="195" spans="1:18" x14ac:dyDescent="0.25">
      <c r="A195" s="308">
        <v>9</v>
      </c>
      <c r="B195" s="309" t="s">
        <v>335</v>
      </c>
      <c r="C195" s="310" t="s">
        <v>62</v>
      </c>
      <c r="D195" s="321"/>
      <c r="E195" s="310" t="s">
        <v>74</v>
      </c>
      <c r="F195" s="309" t="s">
        <v>336</v>
      </c>
      <c r="G195" s="309" t="s">
        <v>326</v>
      </c>
      <c r="H195" s="316">
        <v>15</v>
      </c>
      <c r="I195" s="316">
        <v>7</v>
      </c>
      <c r="J195" s="316">
        <v>7</v>
      </c>
      <c r="K195" s="317">
        <f>3700.2+704.8+2114.4+2819.2</f>
        <v>9338.5999999999985</v>
      </c>
      <c r="L195" s="312">
        <f>3700.2+704.8+2114.4</f>
        <v>6519.4</v>
      </c>
      <c r="M195" s="312">
        <f t="shared" si="8"/>
        <v>2819.1999999999989</v>
      </c>
      <c r="N195" s="313">
        <v>8</v>
      </c>
      <c r="O195" s="312">
        <f>3435.9+3171.6+132.15</f>
        <v>6739.65</v>
      </c>
      <c r="P195" s="314">
        <f>3435.9+3171.6+132.15</f>
        <v>6739.65</v>
      </c>
      <c r="Q195" s="314">
        <f t="shared" si="9"/>
        <v>0</v>
      </c>
      <c r="R195" s="6"/>
    </row>
    <row r="196" spans="1:18" x14ac:dyDescent="0.25">
      <c r="A196" s="308">
        <v>10</v>
      </c>
      <c r="B196" s="309" t="s">
        <v>27</v>
      </c>
      <c r="C196" s="310" t="s">
        <v>62</v>
      </c>
      <c r="D196" s="315"/>
      <c r="E196" s="310" t="s">
        <v>158</v>
      </c>
      <c r="F196" s="309" t="s">
        <v>337</v>
      </c>
      <c r="G196" s="309" t="s">
        <v>326</v>
      </c>
      <c r="H196" s="316">
        <v>13</v>
      </c>
      <c r="I196" s="316">
        <v>11</v>
      </c>
      <c r="J196" s="316">
        <v>11</v>
      </c>
      <c r="K196" s="317">
        <f>5638.4+2819.2+528.6+1964.2</f>
        <v>10950.4</v>
      </c>
      <c r="L196" s="312">
        <f>1233.4+4405+2819.2+528.6</f>
        <v>8986.1999999999989</v>
      </c>
      <c r="M196" s="312">
        <f t="shared" si="8"/>
        <v>1964.2000000000007</v>
      </c>
      <c r="N196" s="313">
        <v>0</v>
      </c>
      <c r="O196" s="318">
        <v>0</v>
      </c>
      <c r="P196" s="319">
        <v>0</v>
      </c>
      <c r="Q196" s="314">
        <f t="shared" si="9"/>
        <v>0</v>
      </c>
      <c r="R196" s="6"/>
    </row>
    <row r="197" spans="1:18" x14ac:dyDescent="0.25">
      <c r="A197" s="322">
        <v>11</v>
      </c>
      <c r="B197" s="309" t="s">
        <v>190</v>
      </c>
      <c r="C197" s="310" t="s">
        <v>62</v>
      </c>
      <c r="D197" s="315"/>
      <c r="E197" s="310" t="s">
        <v>338</v>
      </c>
      <c r="F197" s="309" t="s">
        <v>339</v>
      </c>
      <c r="G197" s="309" t="s">
        <v>326</v>
      </c>
      <c r="H197" s="316">
        <v>20</v>
      </c>
      <c r="I197" s="316">
        <v>10</v>
      </c>
      <c r="J197" s="316">
        <v>10</v>
      </c>
      <c r="K197" s="317">
        <f>1938.2+2819.2+2819.2+2290.6+1862+2543.3+552.3</f>
        <v>14824.8</v>
      </c>
      <c r="L197" s="312">
        <f>704.8+704.8+528.6+2819.2+2819.2+2290.6+1592.92</f>
        <v>11460.119999999999</v>
      </c>
      <c r="M197" s="312">
        <f t="shared" si="8"/>
        <v>3364.6800000000003</v>
      </c>
      <c r="N197" s="313">
        <v>0</v>
      </c>
      <c r="O197" s="318">
        <v>0</v>
      </c>
      <c r="P197" s="314">
        <v>0</v>
      </c>
      <c r="Q197" s="314">
        <f t="shared" si="9"/>
        <v>0</v>
      </c>
      <c r="R197" s="6"/>
    </row>
    <row r="198" spans="1:18" x14ac:dyDescent="0.25">
      <c r="A198" s="322">
        <v>12</v>
      </c>
      <c r="B198" s="309" t="s">
        <v>89</v>
      </c>
      <c r="C198" s="310" t="s">
        <v>62</v>
      </c>
      <c r="D198" s="315"/>
      <c r="E198" s="310" t="s">
        <v>74</v>
      </c>
      <c r="F198" s="309" t="s">
        <v>340</v>
      </c>
      <c r="G198" s="309" t="s">
        <v>326</v>
      </c>
      <c r="H198" s="316">
        <v>6</v>
      </c>
      <c r="I198" s="316">
        <v>6</v>
      </c>
      <c r="J198" s="316">
        <v>6</v>
      </c>
      <c r="K198" s="317">
        <f>1762+3876.4+2995.4</f>
        <v>8633.7999999999993</v>
      </c>
      <c r="L198" s="312">
        <f>1762+3876.4</f>
        <v>5638.4</v>
      </c>
      <c r="M198" s="312">
        <f t="shared" si="8"/>
        <v>2995.3999999999996</v>
      </c>
      <c r="N198" s="313">
        <v>4</v>
      </c>
      <c r="O198" s="318">
        <f>440.5+5990.8+2819.2</f>
        <v>9250.5</v>
      </c>
      <c r="P198" s="314">
        <f>440.5+5990.8</f>
        <v>6431.3</v>
      </c>
      <c r="Q198" s="314">
        <f t="shared" si="9"/>
        <v>2819.2</v>
      </c>
      <c r="R198" s="6"/>
    </row>
    <row r="199" spans="1:18" x14ac:dyDescent="0.25">
      <c r="A199" s="322">
        <v>13</v>
      </c>
      <c r="B199" s="309" t="s">
        <v>196</v>
      </c>
      <c r="C199" s="310" t="s">
        <v>62</v>
      </c>
      <c r="D199" s="315"/>
      <c r="E199" s="310" t="s">
        <v>341</v>
      </c>
      <c r="F199" s="309" t="s">
        <v>342</v>
      </c>
      <c r="G199" s="309" t="s">
        <v>326</v>
      </c>
      <c r="H199" s="316">
        <v>7</v>
      </c>
      <c r="I199" s="316">
        <v>5</v>
      </c>
      <c r="J199" s="316">
        <v>5</v>
      </c>
      <c r="K199" s="317">
        <v>4933.6000000000004</v>
      </c>
      <c r="L199" s="312">
        <f>4933.6</f>
        <v>4933.6000000000004</v>
      </c>
      <c r="M199" s="312">
        <f t="shared" si="8"/>
        <v>0</v>
      </c>
      <c r="N199" s="313">
        <v>0</v>
      </c>
      <c r="O199" s="318">
        <v>0</v>
      </c>
      <c r="P199" s="314">
        <v>0</v>
      </c>
      <c r="Q199" s="314">
        <f t="shared" si="9"/>
        <v>0</v>
      </c>
      <c r="R199" s="6"/>
    </row>
    <row r="200" spans="1:18" x14ac:dyDescent="0.25">
      <c r="A200" s="322">
        <v>14</v>
      </c>
      <c r="B200" s="309" t="s">
        <v>628</v>
      </c>
      <c r="C200" s="310" t="s">
        <v>62</v>
      </c>
      <c r="D200" s="315"/>
      <c r="E200" s="310" t="s">
        <v>74</v>
      </c>
      <c r="F200" s="309" t="s">
        <v>629</v>
      </c>
      <c r="G200" s="309" t="s">
        <v>326</v>
      </c>
      <c r="H200" s="316">
        <v>0</v>
      </c>
      <c r="I200" s="316">
        <v>0</v>
      </c>
      <c r="J200" s="316">
        <v>0</v>
      </c>
      <c r="K200" s="317">
        <v>0</v>
      </c>
      <c r="L200" s="312">
        <v>0</v>
      </c>
      <c r="M200" s="312">
        <v>0</v>
      </c>
      <c r="N200" s="313">
        <v>0</v>
      </c>
      <c r="O200" s="318">
        <v>0</v>
      </c>
      <c r="P200" s="314">
        <v>0</v>
      </c>
      <c r="Q200" s="314">
        <f t="shared" si="9"/>
        <v>0</v>
      </c>
      <c r="R200" s="6"/>
    </row>
    <row r="201" spans="1:18" x14ac:dyDescent="0.25">
      <c r="A201" s="322">
        <v>15</v>
      </c>
      <c r="B201" s="309" t="s">
        <v>343</v>
      </c>
      <c r="C201" s="310" t="s">
        <v>62</v>
      </c>
      <c r="D201" s="315"/>
      <c r="E201" s="310" t="s">
        <v>74</v>
      </c>
      <c r="F201" s="309" t="s">
        <v>344</v>
      </c>
      <c r="G201" s="309" t="s">
        <v>326</v>
      </c>
      <c r="H201" s="316">
        <v>9</v>
      </c>
      <c r="I201" s="316">
        <v>2</v>
      </c>
      <c r="J201" s="316">
        <v>2</v>
      </c>
      <c r="K201" s="317">
        <f>2466.8</f>
        <v>2466.8000000000002</v>
      </c>
      <c r="L201" s="312">
        <f>2466.8</f>
        <v>2466.8000000000002</v>
      </c>
      <c r="M201" s="312">
        <f t="shared" si="8"/>
        <v>0</v>
      </c>
      <c r="N201" s="313">
        <v>0</v>
      </c>
      <c r="O201" s="318">
        <v>0</v>
      </c>
      <c r="P201" s="314">
        <v>0</v>
      </c>
      <c r="Q201" s="314">
        <f t="shared" si="9"/>
        <v>0</v>
      </c>
      <c r="R201" s="6"/>
    </row>
    <row r="202" spans="1:18" x14ac:dyDescent="0.25">
      <c r="A202" s="322">
        <v>16</v>
      </c>
      <c r="B202" s="309" t="s">
        <v>154</v>
      </c>
      <c r="C202" s="310" t="s">
        <v>62</v>
      </c>
      <c r="D202" s="315"/>
      <c r="E202" s="310" t="s">
        <v>74</v>
      </c>
      <c r="F202" s="309" t="s">
        <v>345</v>
      </c>
      <c r="G202" s="309" t="s">
        <v>326</v>
      </c>
      <c r="H202" s="316">
        <v>6</v>
      </c>
      <c r="I202" s="316">
        <v>3</v>
      </c>
      <c r="J202" s="316">
        <v>3</v>
      </c>
      <c r="K202" s="317">
        <f>1497.7+1288.7</f>
        <v>2786.4</v>
      </c>
      <c r="L202" s="312">
        <f>1497.7</f>
        <v>1497.7</v>
      </c>
      <c r="M202" s="312">
        <f t="shared" si="8"/>
        <v>1288.7</v>
      </c>
      <c r="N202" s="313">
        <v>6</v>
      </c>
      <c r="O202" s="318">
        <f>4228.8+3700.2+552.3</f>
        <v>8481.2999999999993</v>
      </c>
      <c r="P202" s="319">
        <f>4228.8+3700.2</f>
        <v>7929</v>
      </c>
      <c r="Q202" s="314">
        <f t="shared" si="9"/>
        <v>552.29999999999927</v>
      </c>
      <c r="R202" s="6"/>
    </row>
    <row r="203" spans="1:18" x14ac:dyDescent="0.25">
      <c r="A203" s="322">
        <v>17</v>
      </c>
      <c r="B203" s="309" t="s">
        <v>346</v>
      </c>
      <c r="C203" s="310" t="s">
        <v>62</v>
      </c>
      <c r="D203" s="315"/>
      <c r="E203" s="310" t="s">
        <v>158</v>
      </c>
      <c r="F203" s="309" t="s">
        <v>347</v>
      </c>
      <c r="G203" s="309" t="s">
        <v>326</v>
      </c>
      <c r="H203" s="316">
        <v>2</v>
      </c>
      <c r="I203" s="316">
        <v>0</v>
      </c>
      <c r="J203" s="316">
        <v>0</v>
      </c>
      <c r="K203" s="317">
        <v>0</v>
      </c>
      <c r="L203" s="312">
        <v>0</v>
      </c>
      <c r="M203" s="312">
        <f t="shared" si="8"/>
        <v>0</v>
      </c>
      <c r="N203" s="313">
        <v>0</v>
      </c>
      <c r="O203" s="318">
        <v>0</v>
      </c>
      <c r="P203" s="314">
        <v>0</v>
      </c>
      <c r="Q203" s="314">
        <f t="shared" si="9"/>
        <v>0</v>
      </c>
      <c r="R203" s="6"/>
    </row>
    <row r="204" spans="1:18" x14ac:dyDescent="0.25">
      <c r="A204" s="322">
        <v>18</v>
      </c>
      <c r="B204" s="309" t="s">
        <v>348</v>
      </c>
      <c r="C204" s="310" t="s">
        <v>62</v>
      </c>
      <c r="D204" s="315"/>
      <c r="E204" s="310" t="s">
        <v>158</v>
      </c>
      <c r="F204" s="309" t="s">
        <v>349</v>
      </c>
      <c r="G204" s="309" t="s">
        <v>326</v>
      </c>
      <c r="H204" s="316">
        <v>6</v>
      </c>
      <c r="I204" s="316">
        <v>0</v>
      </c>
      <c r="J204" s="316">
        <v>0</v>
      </c>
      <c r="K204" s="317">
        <v>0</v>
      </c>
      <c r="L204" s="312">
        <v>0</v>
      </c>
      <c r="M204" s="312">
        <f t="shared" si="8"/>
        <v>0</v>
      </c>
      <c r="N204" s="313">
        <v>0</v>
      </c>
      <c r="O204" s="318">
        <v>0</v>
      </c>
      <c r="P204" s="314">
        <v>0</v>
      </c>
      <c r="Q204" s="314">
        <f t="shared" si="9"/>
        <v>0</v>
      </c>
      <c r="R204" s="6"/>
    </row>
    <row r="205" spans="1:18" x14ac:dyDescent="0.25">
      <c r="A205" s="322">
        <v>19</v>
      </c>
      <c r="B205" s="309" t="s">
        <v>350</v>
      </c>
      <c r="C205" s="310" t="s">
        <v>62</v>
      </c>
      <c r="D205" s="315"/>
      <c r="E205" s="310" t="s">
        <v>74</v>
      </c>
      <c r="F205" s="309" t="s">
        <v>351</v>
      </c>
      <c r="G205" s="309" t="s">
        <v>326</v>
      </c>
      <c r="H205" s="316">
        <v>1</v>
      </c>
      <c r="I205" s="316">
        <v>1</v>
      </c>
      <c r="J205" s="316">
        <v>1</v>
      </c>
      <c r="K205" s="317">
        <f>528.6</f>
        <v>528.6</v>
      </c>
      <c r="L205" s="312">
        <f>528.6</f>
        <v>528.6</v>
      </c>
      <c r="M205" s="312">
        <f t="shared" si="8"/>
        <v>0</v>
      </c>
      <c r="N205" s="313">
        <v>4</v>
      </c>
      <c r="O205" s="318">
        <v>5065.75</v>
      </c>
      <c r="P205" s="314">
        <f>1894.15+3171.6</f>
        <v>5065.75</v>
      </c>
      <c r="Q205" s="314">
        <f t="shared" si="9"/>
        <v>0</v>
      </c>
      <c r="R205" s="6"/>
    </row>
    <row r="206" spans="1:18" ht="60" x14ac:dyDescent="0.25">
      <c r="A206" s="323">
        <v>20</v>
      </c>
      <c r="B206" s="309" t="s">
        <v>222</v>
      </c>
      <c r="C206" s="310" t="s">
        <v>64</v>
      </c>
      <c r="D206" s="324" t="s">
        <v>352</v>
      </c>
      <c r="E206" s="310" t="s">
        <v>158</v>
      </c>
      <c r="F206" s="309" t="s">
        <v>353</v>
      </c>
      <c r="G206" s="309" t="s">
        <v>326</v>
      </c>
      <c r="H206" s="316">
        <v>6</v>
      </c>
      <c r="I206" s="316">
        <v>2</v>
      </c>
      <c r="J206" s="316">
        <v>2</v>
      </c>
      <c r="K206" s="317">
        <f>1233.4+2290.6</f>
        <v>3524</v>
      </c>
      <c r="L206" s="312">
        <f>1233.4+2290.6</f>
        <v>3524</v>
      </c>
      <c r="M206" s="312">
        <f t="shared" si="8"/>
        <v>0</v>
      </c>
      <c r="N206" s="313">
        <v>0</v>
      </c>
      <c r="O206" s="312">
        <v>0</v>
      </c>
      <c r="P206" s="314">
        <v>0</v>
      </c>
      <c r="Q206" s="314">
        <f t="shared" si="9"/>
        <v>0</v>
      </c>
      <c r="R206" s="6"/>
    </row>
    <row r="207" spans="1:18" x14ac:dyDescent="0.25">
      <c r="A207" s="322">
        <v>21</v>
      </c>
      <c r="B207" s="309" t="s">
        <v>238</v>
      </c>
      <c r="C207" s="310" t="s">
        <v>62</v>
      </c>
      <c r="D207" s="315"/>
      <c r="E207" s="310" t="s">
        <v>158</v>
      </c>
      <c r="F207" s="309" t="s">
        <v>354</v>
      </c>
      <c r="G207" s="309" t="s">
        <v>326</v>
      </c>
      <c r="H207" s="316">
        <v>8</v>
      </c>
      <c r="I207" s="316">
        <v>6</v>
      </c>
      <c r="J207" s="316">
        <v>6</v>
      </c>
      <c r="K207" s="317">
        <f>2466.8+4581.2+1012.55</f>
        <v>8060.55</v>
      </c>
      <c r="L207" s="312">
        <f>1233.4+1233.4+4581.2</f>
        <v>7048</v>
      </c>
      <c r="M207" s="312">
        <f t="shared" si="8"/>
        <v>1012.5500000000002</v>
      </c>
      <c r="N207" s="313">
        <v>0</v>
      </c>
      <c r="O207" s="318">
        <v>0</v>
      </c>
      <c r="P207" s="314">
        <v>0</v>
      </c>
      <c r="Q207" s="314">
        <f t="shared" si="9"/>
        <v>0</v>
      </c>
      <c r="R207" s="6"/>
    </row>
    <row r="208" spans="1:18" x14ac:dyDescent="0.25">
      <c r="A208" s="322">
        <v>22</v>
      </c>
      <c r="B208" s="309" t="s">
        <v>355</v>
      </c>
      <c r="C208" s="310" t="s">
        <v>62</v>
      </c>
      <c r="D208" s="315"/>
      <c r="E208" s="310" t="s">
        <v>158</v>
      </c>
      <c r="F208" s="309" t="s">
        <v>356</v>
      </c>
      <c r="G208" s="309" t="s">
        <v>326</v>
      </c>
      <c r="H208" s="316">
        <v>7</v>
      </c>
      <c r="I208" s="316">
        <v>2</v>
      </c>
      <c r="J208" s="316">
        <v>2</v>
      </c>
      <c r="K208" s="317">
        <v>1762</v>
      </c>
      <c r="L208" s="312">
        <f>1233.4+528.6</f>
        <v>1762</v>
      </c>
      <c r="M208" s="312">
        <f t="shared" si="8"/>
        <v>0</v>
      </c>
      <c r="N208" s="313">
        <v>0</v>
      </c>
      <c r="O208" s="318">
        <v>0</v>
      </c>
      <c r="P208" s="314">
        <v>0</v>
      </c>
      <c r="Q208" s="314">
        <f t="shared" si="9"/>
        <v>0</v>
      </c>
      <c r="R208" s="6"/>
    </row>
    <row r="209" spans="1:18" ht="38.25" x14ac:dyDescent="0.25">
      <c r="A209" s="323">
        <v>23</v>
      </c>
      <c r="B209" s="309" t="s">
        <v>357</v>
      </c>
      <c r="C209" s="310" t="s">
        <v>64</v>
      </c>
      <c r="D209" s="308" t="s">
        <v>358</v>
      </c>
      <c r="E209" s="310" t="s">
        <v>158</v>
      </c>
      <c r="F209" s="310" t="s">
        <v>507</v>
      </c>
      <c r="G209" s="309" t="s">
        <v>326</v>
      </c>
      <c r="H209" s="316">
        <v>3</v>
      </c>
      <c r="I209" s="321">
        <v>1</v>
      </c>
      <c r="J209" s="321">
        <v>1</v>
      </c>
      <c r="K209" s="317">
        <f>1288.7</f>
        <v>1288.7</v>
      </c>
      <c r="L209" s="312">
        <v>0</v>
      </c>
      <c r="M209" s="312">
        <f t="shared" si="8"/>
        <v>1288.7</v>
      </c>
      <c r="N209" s="313">
        <v>0</v>
      </c>
      <c r="O209" s="312">
        <v>0</v>
      </c>
      <c r="P209" s="314">
        <v>0</v>
      </c>
      <c r="Q209" s="314">
        <f t="shared" si="9"/>
        <v>0</v>
      </c>
      <c r="R209" s="6"/>
    </row>
    <row r="210" spans="1:18" x14ac:dyDescent="0.25">
      <c r="A210" s="323">
        <v>24</v>
      </c>
      <c r="B210" s="309" t="s">
        <v>36</v>
      </c>
      <c r="C210" s="310" t="s">
        <v>62</v>
      </c>
      <c r="D210" s="308"/>
      <c r="E210" s="310" t="s">
        <v>74</v>
      </c>
      <c r="F210" s="347" t="s">
        <v>630</v>
      </c>
      <c r="G210" s="309" t="s">
        <v>326</v>
      </c>
      <c r="H210" s="316">
        <v>0</v>
      </c>
      <c r="I210" s="321">
        <v>0</v>
      </c>
      <c r="J210" s="321">
        <v>0</v>
      </c>
      <c r="K210" s="317">
        <v>0</v>
      </c>
      <c r="L210" s="312">
        <v>0</v>
      </c>
      <c r="M210" s="312">
        <v>0</v>
      </c>
      <c r="N210" s="313">
        <v>0</v>
      </c>
      <c r="O210" s="312">
        <v>0</v>
      </c>
      <c r="P210" s="314">
        <v>0</v>
      </c>
      <c r="Q210" s="314">
        <f t="shared" si="9"/>
        <v>0</v>
      </c>
      <c r="R210" s="6"/>
    </row>
    <row r="211" spans="1:18" x14ac:dyDescent="0.25">
      <c r="A211" s="322">
        <v>25</v>
      </c>
      <c r="B211" s="309" t="s">
        <v>359</v>
      </c>
      <c r="C211" s="310" t="s">
        <v>62</v>
      </c>
      <c r="D211" s="308"/>
      <c r="E211" s="310" t="s">
        <v>158</v>
      </c>
      <c r="F211" s="310" t="s">
        <v>360</v>
      </c>
      <c r="G211" s="309" t="s">
        <v>326</v>
      </c>
      <c r="H211" s="316">
        <v>5</v>
      </c>
      <c r="I211" s="316">
        <v>5</v>
      </c>
      <c r="J211" s="316">
        <v>5</v>
      </c>
      <c r="K211" s="317">
        <f>1409.6+704.8+528.6+2290.6</f>
        <v>4933.5999999999995</v>
      </c>
      <c r="L211" s="312">
        <f>704.8+704.8+704.8+9.97+518.63+2290.6</f>
        <v>4933.5999999999995</v>
      </c>
      <c r="M211" s="312">
        <f t="shared" si="8"/>
        <v>0</v>
      </c>
      <c r="N211" s="313">
        <v>0</v>
      </c>
      <c r="O211" s="318">
        <v>0</v>
      </c>
      <c r="P211" s="319">
        <v>0</v>
      </c>
      <c r="Q211" s="314">
        <f t="shared" si="9"/>
        <v>0</v>
      </c>
      <c r="R211" s="6"/>
    </row>
    <row r="212" spans="1:18" x14ac:dyDescent="0.25">
      <c r="A212" s="322">
        <v>26</v>
      </c>
      <c r="B212" s="309" t="s">
        <v>118</v>
      </c>
      <c r="C212" s="310" t="s">
        <v>62</v>
      </c>
      <c r="D212" s="315"/>
      <c r="E212" s="310" t="s">
        <v>338</v>
      </c>
      <c r="F212" s="309" t="s">
        <v>361</v>
      </c>
      <c r="G212" s="309" t="s">
        <v>326</v>
      </c>
      <c r="H212" s="316">
        <v>1</v>
      </c>
      <c r="I212" s="316">
        <v>1</v>
      </c>
      <c r="J212" s="316">
        <v>1</v>
      </c>
      <c r="K212" s="317">
        <f>1012.55</f>
        <v>1012.55</v>
      </c>
      <c r="L212" s="312">
        <v>0</v>
      </c>
      <c r="M212" s="312">
        <f t="shared" si="8"/>
        <v>1012.55</v>
      </c>
      <c r="N212" s="313">
        <v>0</v>
      </c>
      <c r="O212" s="318">
        <v>0</v>
      </c>
      <c r="P212" s="314">
        <v>0</v>
      </c>
      <c r="Q212" s="314">
        <f t="shared" si="9"/>
        <v>0</v>
      </c>
      <c r="R212" s="6"/>
    </row>
    <row r="213" spans="1:18" x14ac:dyDescent="0.25">
      <c r="A213" s="322">
        <v>27</v>
      </c>
      <c r="B213" s="309" t="s">
        <v>246</v>
      </c>
      <c r="C213" s="310" t="s">
        <v>62</v>
      </c>
      <c r="D213" s="315"/>
      <c r="E213" s="310" t="s">
        <v>158</v>
      </c>
      <c r="F213" s="309" t="s">
        <v>362</v>
      </c>
      <c r="G213" s="309" t="s">
        <v>326</v>
      </c>
      <c r="H213" s="316">
        <v>5</v>
      </c>
      <c r="I213" s="316">
        <v>1</v>
      </c>
      <c r="J213" s="316">
        <v>1</v>
      </c>
      <c r="K213" s="317">
        <f>1233.4</f>
        <v>1233.4000000000001</v>
      </c>
      <c r="L213" s="312">
        <f>1233.4</f>
        <v>1233.4000000000001</v>
      </c>
      <c r="M213" s="312">
        <f t="shared" si="8"/>
        <v>0</v>
      </c>
      <c r="N213" s="313">
        <v>0</v>
      </c>
      <c r="O213" s="318">
        <v>0</v>
      </c>
      <c r="P213" s="314">
        <v>0</v>
      </c>
      <c r="Q213" s="314">
        <f t="shared" si="9"/>
        <v>0</v>
      </c>
      <c r="R213" s="6"/>
    </row>
    <row r="214" spans="1:18" x14ac:dyDescent="0.25">
      <c r="A214" s="322">
        <v>28</v>
      </c>
      <c r="B214" s="309" t="s">
        <v>43</v>
      </c>
      <c r="C214" s="310" t="s">
        <v>62</v>
      </c>
      <c r="D214" s="315"/>
      <c r="E214" s="310" t="s">
        <v>74</v>
      </c>
      <c r="F214" s="309" t="s">
        <v>363</v>
      </c>
      <c r="G214" s="309" t="s">
        <v>326</v>
      </c>
      <c r="H214" s="316">
        <v>4</v>
      </c>
      <c r="I214" s="316">
        <v>1</v>
      </c>
      <c r="J214" s="316">
        <v>1</v>
      </c>
      <c r="K214" s="317">
        <v>660.75</v>
      </c>
      <c r="L214" s="312">
        <f>660.75</f>
        <v>660.75</v>
      </c>
      <c r="M214" s="312">
        <f t="shared" si="8"/>
        <v>0</v>
      </c>
      <c r="N214" s="313">
        <v>0</v>
      </c>
      <c r="O214" s="318">
        <v>0</v>
      </c>
      <c r="P214" s="314">
        <v>0</v>
      </c>
      <c r="Q214" s="314">
        <f t="shared" si="9"/>
        <v>0</v>
      </c>
      <c r="R214" s="6"/>
    </row>
    <row r="215" spans="1:18" x14ac:dyDescent="0.25">
      <c r="A215" s="322">
        <v>29</v>
      </c>
      <c r="B215" s="309" t="s">
        <v>364</v>
      </c>
      <c r="C215" s="310" t="s">
        <v>62</v>
      </c>
      <c r="D215" s="315"/>
      <c r="E215" s="310" t="s">
        <v>74</v>
      </c>
      <c r="F215" s="309" t="s">
        <v>365</v>
      </c>
      <c r="G215" s="309" t="s">
        <v>326</v>
      </c>
      <c r="H215" s="316">
        <v>8</v>
      </c>
      <c r="I215" s="316">
        <v>2</v>
      </c>
      <c r="J215" s="316">
        <v>2</v>
      </c>
      <c r="K215" s="317">
        <v>2466.8000000000002</v>
      </c>
      <c r="L215" s="312">
        <v>2466.8000000000002</v>
      </c>
      <c r="M215" s="312">
        <f t="shared" si="8"/>
        <v>0</v>
      </c>
      <c r="N215" s="313">
        <v>3</v>
      </c>
      <c r="O215" s="318">
        <f>3524+2671.06+3497.9</f>
        <v>9692.9599999999991</v>
      </c>
      <c r="P215" s="314">
        <v>3524</v>
      </c>
      <c r="Q215" s="314">
        <f t="shared" si="9"/>
        <v>6168.9599999999991</v>
      </c>
      <c r="R215" s="6"/>
    </row>
    <row r="216" spans="1:18" x14ac:dyDescent="0.25">
      <c r="A216" s="322">
        <v>30</v>
      </c>
      <c r="B216" s="309" t="s">
        <v>46</v>
      </c>
      <c r="C216" s="310" t="s">
        <v>62</v>
      </c>
      <c r="D216" s="315"/>
      <c r="E216" s="310" t="s">
        <v>366</v>
      </c>
      <c r="F216" s="309" t="s">
        <v>367</v>
      </c>
      <c r="G216" s="309" t="s">
        <v>326</v>
      </c>
      <c r="H216" s="316">
        <v>0</v>
      </c>
      <c r="I216" s="316">
        <v>0</v>
      </c>
      <c r="J216" s="316">
        <v>0</v>
      </c>
      <c r="K216" s="317">
        <v>0</v>
      </c>
      <c r="L216" s="312">
        <v>0</v>
      </c>
      <c r="M216" s="312">
        <f t="shared" si="8"/>
        <v>0</v>
      </c>
      <c r="N216" s="313">
        <v>2</v>
      </c>
      <c r="O216" s="318">
        <f>4140.7+528.6</f>
        <v>4669.3</v>
      </c>
      <c r="P216" s="319">
        <f>4140.7+528.6</f>
        <v>4669.3</v>
      </c>
      <c r="Q216" s="314">
        <f t="shared" si="9"/>
        <v>0</v>
      </c>
      <c r="R216" s="6"/>
    </row>
    <row r="217" spans="1:18" x14ac:dyDescent="0.25">
      <c r="A217" s="322">
        <v>31</v>
      </c>
      <c r="B217" s="309" t="s">
        <v>270</v>
      </c>
      <c r="C217" s="310" t="s">
        <v>62</v>
      </c>
      <c r="D217" s="315"/>
      <c r="E217" s="310" t="s">
        <v>74</v>
      </c>
      <c r="F217" s="309" t="s">
        <v>539</v>
      </c>
      <c r="G217" s="309" t="s">
        <v>326</v>
      </c>
      <c r="H217" s="316">
        <v>2</v>
      </c>
      <c r="I217" s="316">
        <v>0</v>
      </c>
      <c r="J217" s="316">
        <v>0</v>
      </c>
      <c r="K217" s="317">
        <v>0</v>
      </c>
      <c r="L217" s="312">
        <v>0</v>
      </c>
      <c r="M217" s="312">
        <f t="shared" si="8"/>
        <v>0</v>
      </c>
      <c r="N217" s="313">
        <v>0</v>
      </c>
      <c r="O217" s="318">
        <v>0</v>
      </c>
      <c r="P217" s="319">
        <v>0</v>
      </c>
      <c r="Q217" s="314">
        <v>0</v>
      </c>
      <c r="R217" s="6"/>
    </row>
    <row r="218" spans="1:18" x14ac:dyDescent="0.25">
      <c r="A218" s="322">
        <v>32</v>
      </c>
      <c r="B218" s="309" t="s">
        <v>621</v>
      </c>
      <c r="C218" s="310" t="s">
        <v>62</v>
      </c>
      <c r="D218" s="315"/>
      <c r="E218" s="310" t="s">
        <v>74</v>
      </c>
      <c r="F218" s="309" t="s">
        <v>622</v>
      </c>
      <c r="G218" s="309" t="s">
        <v>326</v>
      </c>
      <c r="H218" s="316">
        <v>2</v>
      </c>
      <c r="I218" s="316">
        <v>0</v>
      </c>
      <c r="J218" s="316">
        <v>0</v>
      </c>
      <c r="K218" s="317">
        <v>0</v>
      </c>
      <c r="L218" s="312">
        <v>0</v>
      </c>
      <c r="M218" s="312">
        <f t="shared" si="8"/>
        <v>0</v>
      </c>
      <c r="N218" s="313">
        <v>0</v>
      </c>
      <c r="O218" s="318">
        <v>0</v>
      </c>
      <c r="P218" s="319">
        <v>0</v>
      </c>
      <c r="Q218" s="314">
        <v>0</v>
      </c>
      <c r="R218" s="6"/>
    </row>
    <row r="219" spans="1:18" x14ac:dyDescent="0.25">
      <c r="A219" s="322">
        <v>33</v>
      </c>
      <c r="B219" s="309" t="s">
        <v>96</v>
      </c>
      <c r="C219" s="310" t="s">
        <v>62</v>
      </c>
      <c r="D219" s="315"/>
      <c r="E219" s="310" t="s">
        <v>98</v>
      </c>
      <c r="F219" s="309" t="s">
        <v>540</v>
      </c>
      <c r="G219" s="309" t="s">
        <v>326</v>
      </c>
      <c r="H219" s="316">
        <v>1</v>
      </c>
      <c r="I219" s="316">
        <v>0</v>
      </c>
      <c r="J219" s="316">
        <v>0</v>
      </c>
      <c r="K219" s="317">
        <v>0</v>
      </c>
      <c r="L219" s="312">
        <v>0</v>
      </c>
      <c r="M219" s="312">
        <f t="shared" si="8"/>
        <v>0</v>
      </c>
      <c r="N219" s="313">
        <v>1</v>
      </c>
      <c r="O219" s="318">
        <v>0</v>
      </c>
      <c r="P219" s="319">
        <v>0</v>
      </c>
      <c r="Q219" s="314">
        <v>0</v>
      </c>
      <c r="R219" s="6"/>
    </row>
    <row r="220" spans="1:18" x14ac:dyDescent="0.25">
      <c r="A220" s="322">
        <v>34</v>
      </c>
      <c r="B220" s="309" t="s">
        <v>124</v>
      </c>
      <c r="C220" s="310" t="s">
        <v>62</v>
      </c>
      <c r="D220" s="315"/>
      <c r="E220" s="310" t="s">
        <v>74</v>
      </c>
      <c r="F220" s="309" t="s">
        <v>368</v>
      </c>
      <c r="G220" s="309" t="s">
        <v>326</v>
      </c>
      <c r="H220" s="316">
        <v>26</v>
      </c>
      <c r="I220" s="316">
        <v>15</v>
      </c>
      <c r="J220" s="316">
        <v>15</v>
      </c>
      <c r="K220" s="317">
        <f>6343.2+3700.2+4326.35</f>
        <v>14369.75</v>
      </c>
      <c r="L220" s="312">
        <f>1762+1762+2819.2+3700.2</f>
        <v>10043.4</v>
      </c>
      <c r="M220" s="312">
        <f t="shared" si="8"/>
        <v>4326.3500000000004</v>
      </c>
      <c r="N220" s="313">
        <v>8</v>
      </c>
      <c r="O220" s="318">
        <f>3171.6+88+1493.8-704.8+704.8</f>
        <v>4753.3999999999996</v>
      </c>
      <c r="P220" s="314">
        <f>1765.8+1493.8+789+704.8</f>
        <v>4753.3999999999996</v>
      </c>
      <c r="Q220" s="312">
        <f>O220-P220</f>
        <v>0</v>
      </c>
      <c r="R220" s="6"/>
    </row>
    <row r="221" spans="1:18" x14ac:dyDescent="0.25">
      <c r="A221" s="322">
        <v>35</v>
      </c>
      <c r="B221" s="309" t="s">
        <v>51</v>
      </c>
      <c r="C221" s="310" t="s">
        <v>62</v>
      </c>
      <c r="D221" s="315"/>
      <c r="E221" s="310" t="s">
        <v>74</v>
      </c>
      <c r="F221" s="309" t="s">
        <v>369</v>
      </c>
      <c r="G221" s="309" t="s">
        <v>326</v>
      </c>
      <c r="H221" s="316">
        <v>0</v>
      </c>
      <c r="I221" s="316">
        <v>0</v>
      </c>
      <c r="J221" s="316">
        <v>0</v>
      </c>
      <c r="K221" s="317">
        <v>0</v>
      </c>
      <c r="L221" s="312">
        <v>0</v>
      </c>
      <c r="M221" s="312">
        <f t="shared" si="8"/>
        <v>0</v>
      </c>
      <c r="N221" s="313">
        <v>1</v>
      </c>
      <c r="O221" s="318">
        <v>2290.6</v>
      </c>
      <c r="P221" s="314">
        <v>2290.6</v>
      </c>
      <c r="Q221" s="314">
        <f>O221-P221</f>
        <v>0</v>
      </c>
      <c r="R221" s="6"/>
    </row>
    <row r="222" spans="1:18" x14ac:dyDescent="0.25">
      <c r="A222" s="322">
        <v>36</v>
      </c>
      <c r="B222" s="309" t="s">
        <v>286</v>
      </c>
      <c r="C222" s="310" t="s">
        <v>62</v>
      </c>
      <c r="D222" s="315"/>
      <c r="E222" s="310" t="s">
        <v>74</v>
      </c>
      <c r="F222" s="309" t="s">
        <v>476</v>
      </c>
      <c r="G222" s="309" t="s">
        <v>326</v>
      </c>
      <c r="H222" s="316">
        <v>8</v>
      </c>
      <c r="I222" s="316">
        <v>4</v>
      </c>
      <c r="J222" s="316">
        <v>4</v>
      </c>
      <c r="K222" s="317">
        <f>1233.4+1409.6</f>
        <v>2643</v>
      </c>
      <c r="L222" s="312">
        <f>1233.4+1409.6</f>
        <v>2643</v>
      </c>
      <c r="M222" s="312">
        <f t="shared" si="8"/>
        <v>0</v>
      </c>
      <c r="N222" s="313">
        <v>0</v>
      </c>
      <c r="O222" s="318">
        <v>0</v>
      </c>
      <c r="P222" s="314">
        <v>0</v>
      </c>
      <c r="Q222" s="314">
        <v>0</v>
      </c>
      <c r="R222" s="6"/>
    </row>
    <row r="223" spans="1:18" x14ac:dyDescent="0.25">
      <c r="A223" s="322">
        <v>37</v>
      </c>
      <c r="B223" s="309" t="s">
        <v>290</v>
      </c>
      <c r="C223" s="310" t="s">
        <v>62</v>
      </c>
      <c r="D223" s="315"/>
      <c r="E223" s="310" t="s">
        <v>371</v>
      </c>
      <c r="F223" s="309" t="s">
        <v>372</v>
      </c>
      <c r="G223" s="309" t="s">
        <v>326</v>
      </c>
      <c r="H223" s="316">
        <v>9</v>
      </c>
      <c r="I223" s="316">
        <v>6</v>
      </c>
      <c r="J223" s="316">
        <v>6</v>
      </c>
      <c r="K223" s="317">
        <f>1409.6+704.8</f>
        <v>2114.3999999999996</v>
      </c>
      <c r="L223" s="312">
        <f>1409.6+704.8</f>
        <v>2114.3999999999996</v>
      </c>
      <c r="M223" s="312">
        <f t="shared" si="8"/>
        <v>0</v>
      </c>
      <c r="N223" s="313">
        <v>0</v>
      </c>
      <c r="O223" s="318">
        <v>0</v>
      </c>
      <c r="P223" s="319">
        <v>0</v>
      </c>
      <c r="Q223" s="314">
        <f>O223-P223</f>
        <v>0</v>
      </c>
      <c r="R223" s="6"/>
    </row>
    <row r="224" spans="1:18" x14ac:dyDescent="0.25">
      <c r="A224" s="322">
        <v>38</v>
      </c>
      <c r="B224" s="309" t="s">
        <v>134</v>
      </c>
      <c r="C224" s="310" t="s">
        <v>62</v>
      </c>
      <c r="D224" s="315"/>
      <c r="E224" s="310" t="s">
        <v>74</v>
      </c>
      <c r="F224" s="309" t="s">
        <v>373</v>
      </c>
      <c r="G224" s="309" t="s">
        <v>326</v>
      </c>
      <c r="H224" s="316">
        <v>3</v>
      </c>
      <c r="I224" s="316">
        <v>1</v>
      </c>
      <c r="J224" s="316">
        <v>1</v>
      </c>
      <c r="K224" s="317">
        <f>1938.2</f>
        <v>1938.2</v>
      </c>
      <c r="L224" s="312">
        <v>1938.2</v>
      </c>
      <c r="M224" s="312">
        <f t="shared" si="8"/>
        <v>0</v>
      </c>
      <c r="N224" s="313">
        <v>2</v>
      </c>
      <c r="O224" s="318">
        <v>2643</v>
      </c>
      <c r="P224" s="314">
        <f>881+1762</f>
        <v>2643</v>
      </c>
      <c r="Q224" s="314">
        <f>O224-P224</f>
        <v>0</v>
      </c>
      <c r="R224" s="6"/>
    </row>
    <row r="225" spans="1:18" x14ac:dyDescent="0.25">
      <c r="A225" s="322">
        <v>39</v>
      </c>
      <c r="B225" s="309" t="s">
        <v>135</v>
      </c>
      <c r="C225" s="310" t="s">
        <v>62</v>
      </c>
      <c r="D225" s="315"/>
      <c r="E225" s="310" t="s">
        <v>74</v>
      </c>
      <c r="F225" s="309" t="s">
        <v>374</v>
      </c>
      <c r="G225" s="309" t="s">
        <v>326</v>
      </c>
      <c r="H225" s="316">
        <v>19</v>
      </c>
      <c r="I225" s="316">
        <v>4</v>
      </c>
      <c r="J225" s="316">
        <v>4</v>
      </c>
      <c r="K225" s="317">
        <f>5109.8+881</f>
        <v>5990.8</v>
      </c>
      <c r="L225" s="312">
        <f>2290.6+2819.2+881</f>
        <v>5990.7999999999993</v>
      </c>
      <c r="M225" s="312">
        <f t="shared" si="8"/>
        <v>0</v>
      </c>
      <c r="N225" s="313">
        <v>38</v>
      </c>
      <c r="O225" s="318">
        <f>15109.16+9717+2845.2+3774.05</f>
        <v>31445.41</v>
      </c>
      <c r="P225" s="314">
        <f>14228.16+881+9717+2845.2</f>
        <v>27671.360000000001</v>
      </c>
      <c r="Q225" s="312">
        <f>O225-P225</f>
        <v>3774.0499999999993</v>
      </c>
      <c r="R225" s="6"/>
    </row>
    <row r="226" spans="1:18" ht="25.5" x14ac:dyDescent="0.25">
      <c r="A226" s="323">
        <v>40</v>
      </c>
      <c r="B226" s="309" t="s">
        <v>508</v>
      </c>
      <c r="C226" s="310" t="s">
        <v>64</v>
      </c>
      <c r="D226" s="308" t="s">
        <v>509</v>
      </c>
      <c r="E226" s="310" t="s">
        <v>74</v>
      </c>
      <c r="F226" s="309" t="s">
        <v>510</v>
      </c>
      <c r="G226" s="309" t="s">
        <v>326</v>
      </c>
      <c r="H226" s="316">
        <v>3</v>
      </c>
      <c r="I226" s="316">
        <v>2</v>
      </c>
      <c r="J226" s="316">
        <v>2</v>
      </c>
      <c r="K226" s="317">
        <f>4418.4</f>
        <v>4418.3999999999996</v>
      </c>
      <c r="L226" s="312">
        <v>0</v>
      </c>
      <c r="M226" s="312">
        <f t="shared" si="8"/>
        <v>4418.3999999999996</v>
      </c>
      <c r="N226" s="313">
        <v>0</v>
      </c>
      <c r="O226" s="312">
        <v>0</v>
      </c>
      <c r="P226" s="314">
        <v>0</v>
      </c>
      <c r="Q226" s="314">
        <v>0</v>
      </c>
      <c r="R226" s="6"/>
    </row>
    <row r="227" spans="1:18" x14ac:dyDescent="0.25">
      <c r="A227" s="322">
        <v>41</v>
      </c>
      <c r="B227" s="309" t="s">
        <v>299</v>
      </c>
      <c r="C227" s="310" t="s">
        <v>62</v>
      </c>
      <c r="D227" s="315"/>
      <c r="E227" s="310" t="s">
        <v>158</v>
      </c>
      <c r="F227" s="309" t="s">
        <v>375</v>
      </c>
      <c r="G227" s="309" t="s">
        <v>326</v>
      </c>
      <c r="H227" s="316">
        <v>3</v>
      </c>
      <c r="I227" s="316">
        <v>1</v>
      </c>
      <c r="J227" s="316">
        <v>1</v>
      </c>
      <c r="K227" s="317">
        <f>704.8</f>
        <v>704.8</v>
      </c>
      <c r="L227" s="312">
        <f>704.8</f>
        <v>704.8</v>
      </c>
      <c r="M227" s="312">
        <f t="shared" si="8"/>
        <v>0</v>
      </c>
      <c r="N227" s="313">
        <v>0</v>
      </c>
      <c r="O227" s="318">
        <v>0</v>
      </c>
      <c r="P227" s="314">
        <v>0</v>
      </c>
      <c r="Q227" s="314">
        <f t="shared" ref="Q227:Q233" si="10">O227-P227</f>
        <v>0</v>
      </c>
      <c r="R227" s="6"/>
    </row>
    <row r="228" spans="1:18" x14ac:dyDescent="0.25">
      <c r="A228" s="322">
        <v>42</v>
      </c>
      <c r="B228" s="309" t="s">
        <v>376</v>
      </c>
      <c r="C228" s="310" t="s">
        <v>62</v>
      </c>
      <c r="D228" s="315"/>
      <c r="E228" s="310" t="s">
        <v>74</v>
      </c>
      <c r="F228" s="309" t="s">
        <v>377</v>
      </c>
      <c r="G228" s="309" t="s">
        <v>326</v>
      </c>
      <c r="H228" s="316">
        <v>6</v>
      </c>
      <c r="I228" s="316">
        <v>3</v>
      </c>
      <c r="J228" s="316">
        <v>3</v>
      </c>
      <c r="K228" s="317">
        <f>1409.6+2643</f>
        <v>4052.6</v>
      </c>
      <c r="L228" s="312">
        <f>1409.6+2339.82+303.18</f>
        <v>4052.6</v>
      </c>
      <c r="M228" s="312">
        <f t="shared" si="8"/>
        <v>0</v>
      </c>
      <c r="N228" s="313">
        <v>0</v>
      </c>
      <c r="O228" s="318">
        <v>0</v>
      </c>
      <c r="P228" s="314">
        <v>0</v>
      </c>
      <c r="Q228" s="314">
        <f t="shared" si="10"/>
        <v>0</v>
      </c>
      <c r="R228" s="6"/>
    </row>
    <row r="229" spans="1:18" x14ac:dyDescent="0.25">
      <c r="A229" s="322">
        <v>43</v>
      </c>
      <c r="B229" s="309" t="s">
        <v>129</v>
      </c>
      <c r="C229" s="310" t="s">
        <v>62</v>
      </c>
      <c r="D229" s="315"/>
      <c r="E229" s="310" t="s">
        <v>74</v>
      </c>
      <c r="F229" s="309" t="s">
        <v>378</v>
      </c>
      <c r="G229" s="309" t="s">
        <v>326</v>
      </c>
      <c r="H229" s="316">
        <v>43</v>
      </c>
      <c r="I229" s="316">
        <v>28</v>
      </c>
      <c r="J229" s="316">
        <v>28</v>
      </c>
      <c r="K229" s="317">
        <f>7355.96+1306.55+4415.93+5710.35+1310.55+10196.79+4488.25</f>
        <v>34784.380000000005</v>
      </c>
      <c r="L229" s="312">
        <f>3615.96+5046.55+4415.93+2821.97+2888.38</f>
        <v>18788.79</v>
      </c>
      <c r="M229" s="312">
        <f t="shared" si="8"/>
        <v>15995.590000000004</v>
      </c>
      <c r="N229" s="313">
        <v>35</v>
      </c>
      <c r="O229" s="318">
        <f>28417.04+2923.96+3402.23+528.6+3259.4+1369.4+10104.55+4063.86+3819.85</f>
        <v>57888.890000000007</v>
      </c>
      <c r="P229" s="319">
        <f>22002.43+5101.53+1313.08+2923.96+3402.23+528.6+3259.4</f>
        <v>38531.230000000003</v>
      </c>
      <c r="Q229" s="314">
        <f t="shared" si="10"/>
        <v>19357.660000000003</v>
      </c>
      <c r="R229" s="6"/>
    </row>
    <row r="230" spans="1:18" x14ac:dyDescent="0.25">
      <c r="A230" s="322">
        <v>44</v>
      </c>
      <c r="B230" s="309" t="s">
        <v>379</v>
      </c>
      <c r="C230" s="310" t="s">
        <v>62</v>
      </c>
      <c r="D230" s="315"/>
      <c r="E230" s="310" t="s">
        <v>158</v>
      </c>
      <c r="F230" s="309" t="s">
        <v>380</v>
      </c>
      <c r="G230" s="309" t="s">
        <v>326</v>
      </c>
      <c r="H230" s="316">
        <v>3</v>
      </c>
      <c r="I230" s="316">
        <v>2</v>
      </c>
      <c r="J230" s="316">
        <v>2</v>
      </c>
      <c r="K230" s="317">
        <f>704.8+1012.55</f>
        <v>1717.35</v>
      </c>
      <c r="L230" s="312">
        <f>704.8</f>
        <v>704.8</v>
      </c>
      <c r="M230" s="312">
        <f t="shared" si="8"/>
        <v>1012.55</v>
      </c>
      <c r="N230" s="313">
        <v>0</v>
      </c>
      <c r="O230" s="318">
        <v>0</v>
      </c>
      <c r="P230" s="314">
        <v>0</v>
      </c>
      <c r="Q230" s="314">
        <f t="shared" si="10"/>
        <v>0</v>
      </c>
      <c r="R230" s="6"/>
    </row>
    <row r="231" spans="1:18" x14ac:dyDescent="0.25">
      <c r="A231" s="322">
        <v>45</v>
      </c>
      <c r="B231" s="309" t="s">
        <v>130</v>
      </c>
      <c r="C231" s="310" t="s">
        <v>62</v>
      </c>
      <c r="D231" s="315"/>
      <c r="E231" s="310" t="s">
        <v>74</v>
      </c>
      <c r="F231" s="309" t="s">
        <v>557</v>
      </c>
      <c r="G231" s="309" t="s">
        <v>326</v>
      </c>
      <c r="H231" s="316">
        <v>1</v>
      </c>
      <c r="I231" s="316">
        <v>0</v>
      </c>
      <c r="J231" s="316">
        <v>0</v>
      </c>
      <c r="K231" s="317">
        <v>0</v>
      </c>
      <c r="L231" s="312">
        <v>0</v>
      </c>
      <c r="M231" s="312">
        <f t="shared" si="8"/>
        <v>0</v>
      </c>
      <c r="N231" s="313">
        <v>2</v>
      </c>
      <c r="O231" s="318">
        <f>3700.2</f>
        <v>3700.2</v>
      </c>
      <c r="P231" s="314">
        <f>3700.2</f>
        <v>3700.2</v>
      </c>
      <c r="Q231" s="314">
        <f t="shared" si="10"/>
        <v>0</v>
      </c>
      <c r="R231" s="6"/>
    </row>
    <row r="232" spans="1:18" x14ac:dyDescent="0.25">
      <c r="A232" s="322">
        <v>46</v>
      </c>
      <c r="B232" s="309" t="s">
        <v>382</v>
      </c>
      <c r="C232" s="310" t="s">
        <v>62</v>
      </c>
      <c r="D232" s="315"/>
      <c r="E232" s="310" t="s">
        <v>383</v>
      </c>
      <c r="F232" s="309" t="s">
        <v>384</v>
      </c>
      <c r="G232" s="309" t="s">
        <v>326</v>
      </c>
      <c r="H232" s="316">
        <v>1</v>
      </c>
      <c r="I232" s="316">
        <v>1</v>
      </c>
      <c r="J232" s="316">
        <v>1</v>
      </c>
      <c r="K232" s="317">
        <v>704.8</v>
      </c>
      <c r="L232" s="312">
        <f>187.75+517.05</f>
        <v>704.8</v>
      </c>
      <c r="M232" s="312">
        <f t="shared" si="8"/>
        <v>0</v>
      </c>
      <c r="N232" s="313">
        <v>0</v>
      </c>
      <c r="O232" s="318">
        <v>0</v>
      </c>
      <c r="P232" s="314">
        <v>0</v>
      </c>
      <c r="Q232" s="314">
        <f t="shared" si="10"/>
        <v>0</v>
      </c>
      <c r="R232" s="6"/>
    </row>
    <row r="233" spans="1:18" x14ac:dyDescent="0.25">
      <c r="A233" s="322">
        <v>47</v>
      </c>
      <c r="B233" s="309" t="s">
        <v>385</v>
      </c>
      <c r="C233" s="310" t="s">
        <v>62</v>
      </c>
      <c r="D233" s="315"/>
      <c r="E233" s="315" t="s">
        <v>145</v>
      </c>
      <c r="F233" s="309" t="s">
        <v>386</v>
      </c>
      <c r="G233" s="309" t="s">
        <v>326</v>
      </c>
      <c r="H233" s="316">
        <v>12</v>
      </c>
      <c r="I233" s="316">
        <v>6</v>
      </c>
      <c r="J233" s="316">
        <v>6</v>
      </c>
      <c r="K233" s="317">
        <f>1762+2422.75</f>
        <v>4184.75</v>
      </c>
      <c r="L233" s="312">
        <f>1057.2+704.8+2422.75</f>
        <v>4184.75</v>
      </c>
      <c r="M233" s="312">
        <f t="shared" si="8"/>
        <v>0</v>
      </c>
      <c r="N233" s="313">
        <v>18</v>
      </c>
      <c r="O233" s="318">
        <v>9602.9</v>
      </c>
      <c r="P233" s="319">
        <f>9074.3+528.6</f>
        <v>9602.9</v>
      </c>
      <c r="Q233" s="314">
        <f t="shared" si="10"/>
        <v>0</v>
      </c>
      <c r="R233" s="6"/>
    </row>
    <row r="234" spans="1:18" x14ac:dyDescent="0.25">
      <c r="A234" s="322">
        <v>48</v>
      </c>
      <c r="B234" s="309" t="s">
        <v>150</v>
      </c>
      <c r="C234" s="310" t="s">
        <v>62</v>
      </c>
      <c r="D234" s="315"/>
      <c r="E234" s="310" t="s">
        <v>74</v>
      </c>
      <c r="F234" s="309" t="s">
        <v>370</v>
      </c>
      <c r="G234" s="309" t="s">
        <v>326</v>
      </c>
      <c r="H234" s="316">
        <v>0</v>
      </c>
      <c r="I234" s="316">
        <v>0</v>
      </c>
      <c r="J234" s="316">
        <v>0</v>
      </c>
      <c r="K234" s="317">
        <v>0</v>
      </c>
      <c r="L234" s="312">
        <v>0</v>
      </c>
      <c r="M234" s="312">
        <v>0</v>
      </c>
      <c r="N234" s="313">
        <v>0</v>
      </c>
      <c r="O234" s="318">
        <v>0</v>
      </c>
      <c r="P234" s="319">
        <v>0</v>
      </c>
      <c r="Q234" s="314">
        <v>0</v>
      </c>
      <c r="R234" s="6"/>
    </row>
    <row r="235" spans="1:18" x14ac:dyDescent="0.25">
      <c r="A235" s="322">
        <v>49</v>
      </c>
      <c r="B235" s="309" t="s">
        <v>387</v>
      </c>
      <c r="C235" s="310" t="s">
        <v>62</v>
      </c>
      <c r="D235" s="315"/>
      <c r="E235" s="310" t="s">
        <v>157</v>
      </c>
      <c r="F235" s="309" t="s">
        <v>388</v>
      </c>
      <c r="G235" s="309" t="s">
        <v>326</v>
      </c>
      <c r="H235" s="316">
        <v>0</v>
      </c>
      <c r="I235" s="316">
        <v>0</v>
      </c>
      <c r="J235" s="316">
        <v>0</v>
      </c>
      <c r="K235" s="325">
        <v>0</v>
      </c>
      <c r="L235" s="312">
        <v>0</v>
      </c>
      <c r="M235" s="312">
        <f>K235-L235</f>
        <v>0</v>
      </c>
      <c r="N235" s="313">
        <v>0</v>
      </c>
      <c r="O235" s="318">
        <v>0</v>
      </c>
      <c r="P235" s="314">
        <v>0</v>
      </c>
      <c r="Q235" s="314">
        <f>O235-P235</f>
        <v>0</v>
      </c>
      <c r="R235" s="6"/>
    </row>
    <row r="236" spans="1:18" x14ac:dyDescent="0.25">
      <c r="A236" s="322">
        <v>50</v>
      </c>
      <c r="B236" s="309" t="s">
        <v>54</v>
      </c>
      <c r="C236" s="310" t="s">
        <v>62</v>
      </c>
      <c r="D236" s="315"/>
      <c r="E236" s="310" t="s">
        <v>338</v>
      </c>
      <c r="F236" s="309" t="s">
        <v>391</v>
      </c>
      <c r="G236" s="309" t="s">
        <v>326</v>
      </c>
      <c r="H236" s="316">
        <v>0</v>
      </c>
      <c r="I236" s="316">
        <v>0</v>
      </c>
      <c r="J236" s="315">
        <v>0</v>
      </c>
      <c r="K236" s="325">
        <v>0</v>
      </c>
      <c r="L236" s="312">
        <v>0</v>
      </c>
      <c r="M236" s="312">
        <f>K236-L236</f>
        <v>0</v>
      </c>
      <c r="N236" s="313">
        <v>0</v>
      </c>
      <c r="O236" s="318">
        <v>0</v>
      </c>
      <c r="P236" s="319">
        <v>0</v>
      </c>
      <c r="Q236" s="314">
        <f>O236-P236</f>
        <v>0</v>
      </c>
      <c r="R236" s="6"/>
    </row>
    <row r="237" spans="1:18" ht="39" x14ac:dyDescent="0.25">
      <c r="A237" s="323">
        <v>51</v>
      </c>
      <c r="B237" s="309" t="s">
        <v>131</v>
      </c>
      <c r="C237" s="310" t="s">
        <v>64</v>
      </c>
      <c r="D237" s="326" t="s">
        <v>392</v>
      </c>
      <c r="E237" s="310" t="s">
        <v>158</v>
      </c>
      <c r="F237" s="311" t="s">
        <v>393</v>
      </c>
      <c r="G237" s="309" t="s">
        <v>326</v>
      </c>
      <c r="H237" s="316">
        <v>0</v>
      </c>
      <c r="I237" s="316">
        <v>0</v>
      </c>
      <c r="J237" s="321">
        <v>0</v>
      </c>
      <c r="K237" s="327">
        <v>0</v>
      </c>
      <c r="L237" s="314">
        <v>0</v>
      </c>
      <c r="M237" s="314">
        <f>K237-L237</f>
        <v>0</v>
      </c>
      <c r="N237" s="311">
        <v>0</v>
      </c>
      <c r="O237" s="314">
        <v>0</v>
      </c>
      <c r="P237" s="314">
        <v>0</v>
      </c>
      <c r="Q237" s="314">
        <f>O237-P237</f>
        <v>0</v>
      </c>
      <c r="R237" s="6"/>
    </row>
    <row r="238" spans="1:18" x14ac:dyDescent="0.25">
      <c r="A238" s="235">
        <v>1</v>
      </c>
      <c r="B238" s="243" t="s">
        <v>47</v>
      </c>
      <c r="C238" s="243" t="s">
        <v>62</v>
      </c>
      <c r="D238" s="235"/>
      <c r="E238" s="245" t="s">
        <v>141</v>
      </c>
      <c r="F238" s="236" t="s">
        <v>448</v>
      </c>
      <c r="G238" s="245" t="s">
        <v>142</v>
      </c>
      <c r="H238" s="238">
        <v>7</v>
      </c>
      <c r="I238" s="238">
        <v>1</v>
      </c>
      <c r="J238" s="238">
        <v>1</v>
      </c>
      <c r="K238" s="241">
        <v>1233.4000000000001</v>
      </c>
      <c r="L238" s="241">
        <v>1233.4000000000001</v>
      </c>
      <c r="M238" s="241">
        <v>0</v>
      </c>
      <c r="N238" s="238">
        <v>22</v>
      </c>
      <c r="O238" s="241">
        <v>37867.42</v>
      </c>
      <c r="P238" s="241">
        <v>28051.279999999999</v>
      </c>
      <c r="Q238" s="241">
        <v>0</v>
      </c>
      <c r="R238" s="6"/>
    </row>
    <row r="239" spans="1:18" x14ac:dyDescent="0.25">
      <c r="A239" s="235">
        <f>A238+1</f>
        <v>2</v>
      </c>
      <c r="B239" s="243" t="s">
        <v>55</v>
      </c>
      <c r="C239" s="243" t="s">
        <v>62</v>
      </c>
      <c r="D239" s="235"/>
      <c r="E239" s="245" t="s">
        <v>141</v>
      </c>
      <c r="F239" s="236" t="s">
        <v>449</v>
      </c>
      <c r="G239" s="245" t="s">
        <v>142</v>
      </c>
      <c r="H239" s="238">
        <v>8</v>
      </c>
      <c r="I239" s="238">
        <v>4</v>
      </c>
      <c r="J239" s="238">
        <v>4</v>
      </c>
      <c r="K239" s="241">
        <v>4284.1000000000004</v>
      </c>
      <c r="L239" s="241">
        <v>2995.4</v>
      </c>
      <c r="M239" s="241">
        <v>1288.7</v>
      </c>
      <c r="N239" s="238">
        <v>14</v>
      </c>
      <c r="O239" s="241">
        <v>29300.9</v>
      </c>
      <c r="P239" s="241">
        <v>26355.3</v>
      </c>
      <c r="Q239" s="241">
        <v>2209.1999999999998</v>
      </c>
      <c r="R239" s="6"/>
    </row>
    <row r="240" spans="1:18" x14ac:dyDescent="0.25">
      <c r="A240" s="235">
        <f>A239+1</f>
        <v>3</v>
      </c>
      <c r="B240" s="243" t="s">
        <v>122</v>
      </c>
      <c r="C240" s="243" t="s">
        <v>62</v>
      </c>
      <c r="D240" s="235"/>
      <c r="E240" s="245" t="s">
        <v>143</v>
      </c>
      <c r="F240" s="236" t="s">
        <v>450</v>
      </c>
      <c r="G240" s="245" t="s">
        <v>142</v>
      </c>
      <c r="H240" s="238">
        <v>5</v>
      </c>
      <c r="I240" s="238">
        <v>1</v>
      </c>
      <c r="J240" s="238">
        <v>1</v>
      </c>
      <c r="K240" s="241">
        <v>1012.55</v>
      </c>
      <c r="L240" s="241">
        <v>0</v>
      </c>
      <c r="M240" s="241">
        <v>1012.55</v>
      </c>
      <c r="N240" s="238">
        <v>6</v>
      </c>
      <c r="O240" s="241">
        <v>13201.89</v>
      </c>
      <c r="P240" s="241">
        <v>8841.5400000000009</v>
      </c>
      <c r="Q240" s="241">
        <v>3347.8</v>
      </c>
      <c r="R240" s="6"/>
    </row>
    <row r="241" spans="1:18" x14ac:dyDescent="0.25">
      <c r="A241" s="235">
        <f>A240+1</f>
        <v>4</v>
      </c>
      <c r="B241" s="243" t="s">
        <v>144</v>
      </c>
      <c r="C241" s="243" t="s">
        <v>62</v>
      </c>
      <c r="D241" s="235"/>
      <c r="E241" s="245" t="s">
        <v>141</v>
      </c>
      <c r="F241" s="236" t="s">
        <v>451</v>
      </c>
      <c r="G241" s="245" t="s">
        <v>142</v>
      </c>
      <c r="H241" s="238">
        <v>7</v>
      </c>
      <c r="I241" s="238">
        <v>7</v>
      </c>
      <c r="J241" s="238">
        <v>7</v>
      </c>
      <c r="K241" s="241">
        <v>8121.62</v>
      </c>
      <c r="L241" s="241">
        <v>7636.71</v>
      </c>
      <c r="M241" s="241">
        <v>484.91</v>
      </c>
      <c r="N241" s="238">
        <v>3</v>
      </c>
      <c r="O241" s="241">
        <v>3595.1</v>
      </c>
      <c r="P241" s="241">
        <v>1938.2</v>
      </c>
      <c r="Q241" s="241">
        <v>1656.9</v>
      </c>
      <c r="R241" s="6"/>
    </row>
    <row r="242" spans="1:18" ht="26.25" x14ac:dyDescent="0.25">
      <c r="A242" s="235">
        <f>A241+1</f>
        <v>5</v>
      </c>
      <c r="B242" s="243" t="s">
        <v>46</v>
      </c>
      <c r="C242" s="243" t="s">
        <v>62</v>
      </c>
      <c r="D242" s="235"/>
      <c r="E242" s="245" t="s">
        <v>452</v>
      </c>
      <c r="F242" s="236" t="s">
        <v>453</v>
      </c>
      <c r="G242" s="245" t="s">
        <v>142</v>
      </c>
      <c r="H242" s="238">
        <v>0</v>
      </c>
      <c r="I242" s="238">
        <v>0</v>
      </c>
      <c r="J242" s="238">
        <v>0</v>
      </c>
      <c r="K242" s="241">
        <v>0</v>
      </c>
      <c r="L242" s="241">
        <v>0</v>
      </c>
      <c r="M242" s="241">
        <v>0</v>
      </c>
      <c r="N242" s="238">
        <v>0</v>
      </c>
      <c r="O242" s="241">
        <v>0</v>
      </c>
      <c r="P242" s="241">
        <v>0</v>
      </c>
      <c r="Q242" s="241">
        <v>0</v>
      </c>
      <c r="R242" s="6"/>
    </row>
    <row r="243" spans="1:18" x14ac:dyDescent="0.25">
      <c r="A243" s="236">
        <v>6</v>
      </c>
      <c r="B243" s="245" t="s">
        <v>133</v>
      </c>
      <c r="C243" s="245" t="s">
        <v>67</v>
      </c>
      <c r="D243" s="245" t="s">
        <v>397</v>
      </c>
      <c r="E243" s="245" t="s">
        <v>74</v>
      </c>
      <c r="F243" s="236" t="s">
        <v>593</v>
      </c>
      <c r="G243" s="245" t="s">
        <v>142</v>
      </c>
      <c r="H243" s="238">
        <v>0</v>
      </c>
      <c r="I243" s="239">
        <v>0</v>
      </c>
      <c r="J243" s="239">
        <v>0</v>
      </c>
      <c r="K243" s="242">
        <v>0</v>
      </c>
      <c r="L243" s="242">
        <v>0</v>
      </c>
      <c r="M243" s="242">
        <v>0</v>
      </c>
      <c r="N243" s="238">
        <v>0</v>
      </c>
      <c r="O243" s="241">
        <v>0</v>
      </c>
      <c r="P243" s="241">
        <v>0</v>
      </c>
      <c r="Q243" s="241">
        <v>0</v>
      </c>
      <c r="R243" s="6"/>
    </row>
    <row r="244" spans="1:18" x14ac:dyDescent="0.25">
      <c r="A244" s="236">
        <v>7</v>
      </c>
      <c r="B244" s="245" t="s">
        <v>176</v>
      </c>
      <c r="C244" s="245" t="s">
        <v>62</v>
      </c>
      <c r="D244" s="236"/>
      <c r="E244" s="245" t="s">
        <v>141</v>
      </c>
      <c r="F244" s="236" t="s">
        <v>455</v>
      </c>
      <c r="G244" s="245" t="s">
        <v>142</v>
      </c>
      <c r="H244" s="238">
        <v>12</v>
      </c>
      <c r="I244" s="238">
        <v>9</v>
      </c>
      <c r="J244" s="238">
        <v>9</v>
      </c>
      <c r="K244" s="241">
        <v>10807.76</v>
      </c>
      <c r="L244" s="241">
        <v>8598.56</v>
      </c>
      <c r="M244" s="241">
        <v>2209.1999999999998</v>
      </c>
      <c r="N244" s="238">
        <v>0</v>
      </c>
      <c r="O244" s="241">
        <v>0</v>
      </c>
      <c r="P244" s="241">
        <v>0</v>
      </c>
      <c r="Q244" s="241">
        <v>0</v>
      </c>
      <c r="R244" s="6"/>
    </row>
    <row r="245" spans="1:18" x14ac:dyDescent="0.25">
      <c r="A245" s="236">
        <v>8</v>
      </c>
      <c r="B245" s="245" t="s">
        <v>235</v>
      </c>
      <c r="C245" s="245" t="s">
        <v>62</v>
      </c>
      <c r="D245" s="236"/>
      <c r="E245" s="245" t="s">
        <v>456</v>
      </c>
      <c r="F245" s="236" t="s">
        <v>457</v>
      </c>
      <c r="G245" s="245" t="s">
        <v>142</v>
      </c>
      <c r="H245" s="239">
        <v>3</v>
      </c>
      <c r="I245" s="239">
        <v>3</v>
      </c>
      <c r="J245" s="239">
        <v>3</v>
      </c>
      <c r="K245" s="242">
        <v>2269.65</v>
      </c>
      <c r="L245" s="242">
        <v>0</v>
      </c>
      <c r="M245" s="242">
        <v>2269.65</v>
      </c>
      <c r="N245" s="238">
        <v>0</v>
      </c>
      <c r="O245" s="241">
        <v>0</v>
      </c>
      <c r="P245" s="241">
        <v>0</v>
      </c>
      <c r="Q245" s="241">
        <v>0</v>
      </c>
      <c r="R245" s="6"/>
    </row>
    <row r="246" spans="1:18" x14ac:dyDescent="0.25">
      <c r="A246" s="236">
        <v>9</v>
      </c>
      <c r="B246" s="245" t="s">
        <v>251</v>
      </c>
      <c r="C246" s="245" t="s">
        <v>62</v>
      </c>
      <c r="D246" s="236"/>
      <c r="E246" s="245" t="s">
        <v>141</v>
      </c>
      <c r="F246" s="236" t="s">
        <v>458</v>
      </c>
      <c r="G246" s="245" t="s">
        <v>142</v>
      </c>
      <c r="H246" s="238">
        <v>5</v>
      </c>
      <c r="I246" s="238">
        <v>3</v>
      </c>
      <c r="J246" s="238">
        <v>3</v>
      </c>
      <c r="K246" s="241">
        <v>3434.7</v>
      </c>
      <c r="L246" s="241">
        <v>1409.6</v>
      </c>
      <c r="M246" s="241">
        <v>2025.1</v>
      </c>
      <c r="N246" s="238">
        <v>0</v>
      </c>
      <c r="O246" s="241">
        <v>0</v>
      </c>
      <c r="P246" s="241">
        <v>0</v>
      </c>
      <c r="Q246" s="241">
        <v>0</v>
      </c>
      <c r="R246" s="6"/>
    </row>
    <row r="247" spans="1:18" x14ac:dyDescent="0.25">
      <c r="A247" s="236">
        <v>10</v>
      </c>
      <c r="B247" s="245" t="s">
        <v>30</v>
      </c>
      <c r="C247" s="245" t="s">
        <v>62</v>
      </c>
      <c r="D247" s="236"/>
      <c r="E247" s="245" t="s">
        <v>459</v>
      </c>
      <c r="F247" s="236" t="s">
        <v>460</v>
      </c>
      <c r="G247" s="245" t="s">
        <v>142</v>
      </c>
      <c r="H247" s="238">
        <v>1</v>
      </c>
      <c r="I247" s="238">
        <v>0</v>
      </c>
      <c r="J247" s="238">
        <v>0</v>
      </c>
      <c r="K247" s="241">
        <v>0</v>
      </c>
      <c r="L247" s="241">
        <v>0</v>
      </c>
      <c r="M247" s="241">
        <v>0</v>
      </c>
      <c r="N247" s="238">
        <v>0</v>
      </c>
      <c r="O247" s="241">
        <v>0</v>
      </c>
      <c r="P247" s="241">
        <v>0</v>
      </c>
      <c r="Q247" s="241">
        <v>0</v>
      </c>
      <c r="R247" s="6"/>
    </row>
    <row r="248" spans="1:18" x14ac:dyDescent="0.25">
      <c r="A248" s="236">
        <v>11</v>
      </c>
      <c r="B248" s="245" t="s">
        <v>35</v>
      </c>
      <c r="C248" s="245" t="s">
        <v>62</v>
      </c>
      <c r="D248" s="236"/>
      <c r="E248" s="245" t="s">
        <v>461</v>
      </c>
      <c r="F248" s="236" t="s">
        <v>462</v>
      </c>
      <c r="G248" s="245" t="s">
        <v>142</v>
      </c>
      <c r="H248" s="238">
        <v>1</v>
      </c>
      <c r="I248" s="238">
        <v>0</v>
      </c>
      <c r="J248" s="238">
        <v>0</v>
      </c>
      <c r="K248" s="241">
        <v>0</v>
      </c>
      <c r="L248" s="241">
        <v>0</v>
      </c>
      <c r="M248" s="241">
        <v>0</v>
      </c>
      <c r="N248" s="238">
        <v>0</v>
      </c>
      <c r="O248" s="241">
        <v>0</v>
      </c>
      <c r="P248" s="241">
        <v>0</v>
      </c>
      <c r="Q248" s="241">
        <v>0</v>
      </c>
      <c r="R248" s="6"/>
    </row>
    <row r="249" spans="1:18" ht="25.5" x14ac:dyDescent="0.25">
      <c r="A249" s="63">
        <v>1</v>
      </c>
      <c r="B249" s="100" t="s">
        <v>21</v>
      </c>
      <c r="C249" s="100" t="s">
        <v>62</v>
      </c>
      <c r="D249" s="100"/>
      <c r="E249" s="100" t="s">
        <v>157</v>
      </c>
      <c r="F249" s="100" t="s">
        <v>523</v>
      </c>
      <c r="G249" s="100" t="s">
        <v>524</v>
      </c>
      <c r="H249" s="234">
        <v>1</v>
      </c>
      <c r="I249" s="234">
        <v>0</v>
      </c>
      <c r="J249" s="234">
        <v>0</v>
      </c>
      <c r="K249" s="215">
        <v>0</v>
      </c>
      <c r="L249" s="215">
        <v>0</v>
      </c>
      <c r="M249" s="215">
        <v>0</v>
      </c>
      <c r="N249" s="234">
        <v>1</v>
      </c>
      <c r="O249" s="215">
        <v>1233.4000000000001</v>
      </c>
      <c r="P249" s="215">
        <v>1233.4000000000001</v>
      </c>
      <c r="Q249" s="215">
        <v>0</v>
      </c>
      <c r="R249" s="6"/>
    </row>
    <row r="250" spans="1:18" ht="25.5" x14ac:dyDescent="0.25">
      <c r="A250" s="63">
        <v>2</v>
      </c>
      <c r="B250" s="100" t="s">
        <v>147</v>
      </c>
      <c r="C250" s="100" t="s">
        <v>62</v>
      </c>
      <c r="D250" s="100"/>
      <c r="E250" s="100" t="s">
        <v>158</v>
      </c>
      <c r="F250" s="100" t="s">
        <v>525</v>
      </c>
      <c r="G250" s="100" t="s">
        <v>524</v>
      </c>
      <c r="H250" s="234">
        <v>1</v>
      </c>
      <c r="I250" s="234">
        <v>1</v>
      </c>
      <c r="J250" s="234">
        <v>1</v>
      </c>
      <c r="K250" s="215">
        <v>1762</v>
      </c>
      <c r="L250" s="215">
        <v>1762</v>
      </c>
      <c r="M250" s="215">
        <v>0</v>
      </c>
      <c r="N250" s="234">
        <v>2</v>
      </c>
      <c r="O250" s="215">
        <v>10751.3</v>
      </c>
      <c r="P250" s="215">
        <v>8805.4</v>
      </c>
      <c r="Q250" s="215">
        <v>1945.9</v>
      </c>
      <c r="R250" s="6"/>
    </row>
    <row r="251" spans="1:18" ht="25.5" x14ac:dyDescent="0.25">
      <c r="A251" s="63">
        <v>3</v>
      </c>
      <c r="B251" s="232" t="s">
        <v>526</v>
      </c>
      <c r="C251" s="100" t="s">
        <v>62</v>
      </c>
      <c r="D251" s="100"/>
      <c r="E251" s="100" t="s">
        <v>527</v>
      </c>
      <c r="F251" s="100" t="s">
        <v>528</v>
      </c>
      <c r="G251" s="100" t="s">
        <v>524</v>
      </c>
      <c r="H251" s="234">
        <v>0</v>
      </c>
      <c r="I251" s="234">
        <v>0</v>
      </c>
      <c r="J251" s="234">
        <v>0</v>
      </c>
      <c r="K251" s="215">
        <v>0</v>
      </c>
      <c r="L251" s="215">
        <v>0</v>
      </c>
      <c r="M251" s="215">
        <v>0</v>
      </c>
      <c r="N251" s="234">
        <v>0</v>
      </c>
      <c r="O251" s="218">
        <v>0</v>
      </c>
      <c r="P251" s="215">
        <v>0</v>
      </c>
      <c r="Q251" s="215">
        <v>0</v>
      </c>
      <c r="R251" s="6"/>
    </row>
    <row r="252" spans="1:18" ht="25.5" x14ac:dyDescent="0.25">
      <c r="A252" s="63">
        <v>4</v>
      </c>
      <c r="B252" s="100" t="s">
        <v>305</v>
      </c>
      <c r="C252" s="100" t="s">
        <v>62</v>
      </c>
      <c r="D252" s="100"/>
      <c r="E252" s="100" t="s">
        <v>157</v>
      </c>
      <c r="F252" s="100" t="s">
        <v>531</v>
      </c>
      <c r="G252" s="100" t="s">
        <v>524</v>
      </c>
      <c r="H252" s="234">
        <v>4</v>
      </c>
      <c r="I252" s="234">
        <v>4</v>
      </c>
      <c r="J252" s="234">
        <v>4</v>
      </c>
      <c r="K252" s="215">
        <v>4107.8999999999996</v>
      </c>
      <c r="L252" s="215">
        <v>2819.2</v>
      </c>
      <c r="M252" s="215">
        <v>1288.7</v>
      </c>
      <c r="N252" s="234">
        <v>0</v>
      </c>
      <c r="O252" s="215">
        <v>0</v>
      </c>
      <c r="P252" s="215">
        <v>0</v>
      </c>
      <c r="Q252" s="215">
        <v>0</v>
      </c>
      <c r="R252" s="6"/>
    </row>
    <row r="253" spans="1:18" ht="25.5" x14ac:dyDescent="0.25">
      <c r="A253" s="63">
        <v>5</v>
      </c>
      <c r="B253" s="100" t="s">
        <v>407</v>
      </c>
      <c r="C253" s="100" t="s">
        <v>62</v>
      </c>
      <c r="D253" s="100"/>
      <c r="E253" s="100" t="s">
        <v>157</v>
      </c>
      <c r="F253" s="100" t="s">
        <v>532</v>
      </c>
      <c r="G253" s="100" t="s">
        <v>524</v>
      </c>
      <c r="H253" s="234">
        <v>4</v>
      </c>
      <c r="I253" s="234">
        <v>1</v>
      </c>
      <c r="J253" s="234">
        <v>1</v>
      </c>
      <c r="K253" s="215">
        <v>3866.1</v>
      </c>
      <c r="L253" s="215">
        <v>0</v>
      </c>
      <c r="M253" s="215">
        <v>3866.1</v>
      </c>
      <c r="N253" s="234">
        <v>0</v>
      </c>
      <c r="O253" s="215">
        <v>0</v>
      </c>
      <c r="P253" s="215">
        <v>0</v>
      </c>
      <c r="Q253" s="215">
        <v>0</v>
      </c>
      <c r="R253" s="6"/>
    </row>
    <row r="254" spans="1:18" ht="25.5" x14ac:dyDescent="0.25">
      <c r="A254" s="63">
        <v>6</v>
      </c>
      <c r="B254" s="100" t="s">
        <v>185</v>
      </c>
      <c r="C254" s="100" t="s">
        <v>62</v>
      </c>
      <c r="D254" s="100"/>
      <c r="E254" s="100" t="s">
        <v>157</v>
      </c>
      <c r="F254" s="100" t="s">
        <v>533</v>
      </c>
      <c r="G254" s="100" t="s">
        <v>524</v>
      </c>
      <c r="H254" s="234">
        <v>4</v>
      </c>
      <c r="I254" s="234">
        <v>3</v>
      </c>
      <c r="J254" s="234">
        <v>3</v>
      </c>
      <c r="K254" s="215">
        <v>12249.46</v>
      </c>
      <c r="L254" s="215">
        <v>0</v>
      </c>
      <c r="M254" s="215">
        <v>12249.46</v>
      </c>
      <c r="N254" s="234">
        <v>0</v>
      </c>
      <c r="O254" s="215">
        <v>0</v>
      </c>
      <c r="P254" s="215">
        <v>0</v>
      </c>
      <c r="Q254" s="215">
        <v>0</v>
      </c>
      <c r="R254" s="6"/>
    </row>
    <row r="255" spans="1:18" ht="25.5" x14ac:dyDescent="0.25">
      <c r="A255" s="63">
        <v>7</v>
      </c>
      <c r="B255" s="100" t="s">
        <v>534</v>
      </c>
      <c r="C255" s="100" t="s">
        <v>62</v>
      </c>
      <c r="D255" s="100"/>
      <c r="E255" s="100" t="s">
        <v>157</v>
      </c>
      <c r="F255" s="100" t="s">
        <v>535</v>
      </c>
      <c r="G255" s="100" t="s">
        <v>524</v>
      </c>
      <c r="H255" s="234">
        <v>1</v>
      </c>
      <c r="I255" s="234">
        <v>0</v>
      </c>
      <c r="J255" s="234">
        <v>0</v>
      </c>
      <c r="K255" s="215">
        <v>0</v>
      </c>
      <c r="L255" s="215">
        <v>0</v>
      </c>
      <c r="M255" s="215">
        <v>0</v>
      </c>
      <c r="N255" s="234">
        <v>0</v>
      </c>
      <c r="O255" s="215">
        <v>0</v>
      </c>
      <c r="P255" s="215">
        <v>0</v>
      </c>
      <c r="Q255" s="215">
        <v>0</v>
      </c>
      <c r="R255" s="6"/>
    </row>
    <row r="256" spans="1:18" ht="25.5" x14ac:dyDescent="0.25">
      <c r="A256" s="63">
        <v>8</v>
      </c>
      <c r="B256" s="100" t="s">
        <v>104</v>
      </c>
      <c r="C256" s="100" t="s">
        <v>62</v>
      </c>
      <c r="D256" s="100"/>
      <c r="E256" s="100" t="s">
        <v>158</v>
      </c>
      <c r="F256" s="233" t="s">
        <v>536</v>
      </c>
      <c r="G256" s="100" t="s">
        <v>524</v>
      </c>
      <c r="H256" s="234">
        <v>0</v>
      </c>
      <c r="I256" s="234">
        <v>0</v>
      </c>
      <c r="J256" s="234">
        <v>0</v>
      </c>
      <c r="K256" s="215">
        <v>0</v>
      </c>
      <c r="L256" s="215">
        <v>0</v>
      </c>
      <c r="M256" s="215">
        <v>0</v>
      </c>
      <c r="N256" s="234">
        <v>1</v>
      </c>
      <c r="O256" s="215">
        <v>3187.89</v>
      </c>
      <c r="P256" s="215">
        <v>0</v>
      </c>
      <c r="Q256" s="215">
        <v>3187.89</v>
      </c>
      <c r="R256" s="6"/>
    </row>
    <row r="257" spans="1:18" ht="25.5" x14ac:dyDescent="0.25">
      <c r="A257" s="63">
        <v>9</v>
      </c>
      <c r="B257" s="100" t="s">
        <v>30</v>
      </c>
      <c r="C257" s="100" t="s">
        <v>62</v>
      </c>
      <c r="D257" s="100"/>
      <c r="E257" s="100" t="s">
        <v>537</v>
      </c>
      <c r="F257" s="100" t="s">
        <v>592</v>
      </c>
      <c r="G257" s="100" t="s">
        <v>524</v>
      </c>
      <c r="H257" s="234">
        <v>0</v>
      </c>
      <c r="I257" s="234">
        <v>0</v>
      </c>
      <c r="J257" s="234">
        <v>0</v>
      </c>
      <c r="K257" s="215">
        <v>0</v>
      </c>
      <c r="L257" s="215">
        <v>0</v>
      </c>
      <c r="M257" s="215">
        <v>0</v>
      </c>
      <c r="N257" s="234">
        <v>0</v>
      </c>
      <c r="O257" s="215">
        <v>0</v>
      </c>
      <c r="P257" s="215">
        <v>0</v>
      </c>
      <c r="Q257" s="215">
        <v>0</v>
      </c>
      <c r="R257" s="6"/>
    </row>
    <row r="258" spans="1:18" x14ac:dyDescent="0.25">
      <c r="A258" s="47">
        <v>1</v>
      </c>
      <c r="B258" s="1" t="s">
        <v>19</v>
      </c>
      <c r="C258" s="1" t="s">
        <v>62</v>
      </c>
      <c r="D258" s="48"/>
      <c r="E258" s="1" t="s">
        <v>71</v>
      </c>
      <c r="F258" s="1" t="s">
        <v>394</v>
      </c>
      <c r="G258" s="48" t="s">
        <v>395</v>
      </c>
      <c r="H258" s="48">
        <v>1</v>
      </c>
      <c r="I258" s="289">
        <v>0</v>
      </c>
      <c r="J258" s="290">
        <v>0</v>
      </c>
      <c r="K258" s="28">
        <v>0</v>
      </c>
      <c r="L258" s="28">
        <v>0</v>
      </c>
      <c r="M258" s="28">
        <v>0</v>
      </c>
      <c r="N258" s="291">
        <v>0</v>
      </c>
      <c r="O258" s="292">
        <v>0</v>
      </c>
      <c r="P258" s="292">
        <v>0</v>
      </c>
      <c r="Q258" s="337">
        <f t="shared" ref="Q258:Q265" si="11">O258-P258</f>
        <v>0</v>
      </c>
      <c r="R258" s="6"/>
    </row>
    <row r="259" spans="1:18" ht="51" x14ac:dyDescent="0.25">
      <c r="A259" s="56">
        <f>A258+1</f>
        <v>2</v>
      </c>
      <c r="B259" s="1" t="s">
        <v>90</v>
      </c>
      <c r="C259" s="1" t="s">
        <v>62</v>
      </c>
      <c r="D259" s="1" t="s">
        <v>63</v>
      </c>
      <c r="E259" s="1" t="s">
        <v>205</v>
      </c>
      <c r="F259" s="1" t="s">
        <v>396</v>
      </c>
      <c r="G259" s="27" t="s">
        <v>395</v>
      </c>
      <c r="H259" s="27">
        <v>0</v>
      </c>
      <c r="I259" s="27">
        <v>9</v>
      </c>
      <c r="J259" s="27">
        <v>9</v>
      </c>
      <c r="K259" s="28">
        <v>11276.8</v>
      </c>
      <c r="L259" s="28">
        <v>7400.4</v>
      </c>
      <c r="M259" s="28">
        <f t="shared" ref="M259:M267" si="12">K259-L259</f>
        <v>3876.3999999999996</v>
      </c>
      <c r="N259" s="27">
        <v>20</v>
      </c>
      <c r="O259" s="28">
        <v>28791.88</v>
      </c>
      <c r="P259" s="28">
        <v>23170.3</v>
      </c>
      <c r="Q259" s="337">
        <f t="shared" si="11"/>
        <v>5621.5800000000017</v>
      </c>
      <c r="R259" s="6"/>
    </row>
    <row r="260" spans="1:18" x14ac:dyDescent="0.25">
      <c r="A260" s="56">
        <f>A259+1</f>
        <v>3</v>
      </c>
      <c r="B260" s="48" t="s">
        <v>133</v>
      </c>
      <c r="C260" s="48" t="s">
        <v>67</v>
      </c>
      <c r="D260" s="48" t="s">
        <v>397</v>
      </c>
      <c r="E260" s="48" t="s">
        <v>74</v>
      </c>
      <c r="F260" s="1" t="s">
        <v>398</v>
      </c>
      <c r="G260" s="27" t="s">
        <v>395</v>
      </c>
      <c r="H260" s="27">
        <v>9</v>
      </c>
      <c r="I260" s="27">
        <v>1</v>
      </c>
      <c r="J260" s="27">
        <v>1</v>
      </c>
      <c r="K260" s="28">
        <v>1057.2</v>
      </c>
      <c r="L260" s="28">
        <v>1057.2</v>
      </c>
      <c r="M260" s="28">
        <f t="shared" si="12"/>
        <v>0</v>
      </c>
      <c r="N260" s="27">
        <v>8</v>
      </c>
      <c r="O260" s="28">
        <v>11920.73</v>
      </c>
      <c r="P260" s="28">
        <v>11920.73</v>
      </c>
      <c r="Q260" s="337">
        <f t="shared" si="11"/>
        <v>0</v>
      </c>
      <c r="R260" s="6"/>
    </row>
    <row r="261" spans="1:18" ht="25.5" x14ac:dyDescent="0.25">
      <c r="A261" s="56">
        <v>4</v>
      </c>
      <c r="B261" s="1" t="s">
        <v>399</v>
      </c>
      <c r="C261" s="1" t="s">
        <v>62</v>
      </c>
      <c r="D261" s="1"/>
      <c r="E261" s="1" t="s">
        <v>400</v>
      </c>
      <c r="F261" s="1" t="s">
        <v>401</v>
      </c>
      <c r="G261" s="27" t="s">
        <v>395</v>
      </c>
      <c r="H261" s="27">
        <v>26</v>
      </c>
      <c r="I261" s="27">
        <v>6</v>
      </c>
      <c r="J261" s="27">
        <v>6</v>
      </c>
      <c r="K261" s="28">
        <v>8336.7000000000007</v>
      </c>
      <c r="L261" s="28">
        <v>1762</v>
      </c>
      <c r="M261" s="28">
        <f t="shared" si="12"/>
        <v>6574.7000000000007</v>
      </c>
      <c r="N261" s="27">
        <v>0</v>
      </c>
      <c r="O261" s="28">
        <v>0</v>
      </c>
      <c r="P261" s="28">
        <v>0</v>
      </c>
      <c r="Q261" s="337">
        <f t="shared" si="11"/>
        <v>0</v>
      </c>
      <c r="R261" s="6"/>
    </row>
    <row r="262" spans="1:18" x14ac:dyDescent="0.25">
      <c r="A262" s="56">
        <v>5</v>
      </c>
      <c r="B262" s="1" t="s">
        <v>402</v>
      </c>
      <c r="C262" s="1" t="s">
        <v>62</v>
      </c>
      <c r="D262" s="1"/>
      <c r="E262" s="48" t="s">
        <v>74</v>
      </c>
      <c r="F262" s="1" t="s">
        <v>403</v>
      </c>
      <c r="G262" s="27" t="s">
        <v>395</v>
      </c>
      <c r="H262" s="27">
        <v>2</v>
      </c>
      <c r="I262" s="27">
        <v>2</v>
      </c>
      <c r="J262" s="27">
        <v>2</v>
      </c>
      <c r="K262" s="28">
        <v>3815.6</v>
      </c>
      <c r="L262" s="28">
        <v>0</v>
      </c>
      <c r="M262" s="28">
        <f t="shared" si="12"/>
        <v>3815.6</v>
      </c>
      <c r="N262" s="27">
        <v>0</v>
      </c>
      <c r="O262" s="28">
        <v>0</v>
      </c>
      <c r="P262" s="28">
        <v>0</v>
      </c>
      <c r="Q262" s="337">
        <f t="shared" si="11"/>
        <v>0</v>
      </c>
      <c r="R262" s="6"/>
    </row>
    <row r="263" spans="1:18" ht="25.5" x14ac:dyDescent="0.25">
      <c r="A263" s="56">
        <v>6</v>
      </c>
      <c r="B263" s="1" t="s">
        <v>48</v>
      </c>
      <c r="C263" s="1" t="s">
        <v>62</v>
      </c>
      <c r="D263" s="1"/>
      <c r="E263" s="1" t="s">
        <v>81</v>
      </c>
      <c r="F263" s="1" t="s">
        <v>404</v>
      </c>
      <c r="G263" s="27" t="s">
        <v>395</v>
      </c>
      <c r="H263" s="27">
        <v>24</v>
      </c>
      <c r="I263" s="27">
        <v>4</v>
      </c>
      <c r="J263" s="27">
        <v>4</v>
      </c>
      <c r="K263" s="28">
        <v>4581.2</v>
      </c>
      <c r="L263" s="28">
        <v>528.6</v>
      </c>
      <c r="M263" s="28">
        <f t="shared" si="12"/>
        <v>4052.6</v>
      </c>
      <c r="N263" s="27">
        <v>15</v>
      </c>
      <c r="O263" s="28">
        <v>35480.239999999998</v>
      </c>
      <c r="P263" s="28">
        <v>11738.47</v>
      </c>
      <c r="Q263" s="337">
        <f t="shared" si="11"/>
        <v>23741.769999999997</v>
      </c>
      <c r="R263" s="6"/>
    </row>
    <row r="264" spans="1:18" x14ac:dyDescent="0.25">
      <c r="A264" s="56">
        <v>7</v>
      </c>
      <c r="B264" s="1" t="s">
        <v>39</v>
      </c>
      <c r="C264" s="1" t="s">
        <v>62</v>
      </c>
      <c r="D264" s="1"/>
      <c r="E264" s="1" t="s">
        <v>77</v>
      </c>
      <c r="F264" s="1" t="s">
        <v>405</v>
      </c>
      <c r="G264" s="27" t="s">
        <v>395</v>
      </c>
      <c r="H264" s="27">
        <v>30</v>
      </c>
      <c r="I264" s="27">
        <v>0</v>
      </c>
      <c r="J264" s="27">
        <v>0</v>
      </c>
      <c r="K264" s="28">
        <v>0</v>
      </c>
      <c r="L264" s="28">
        <v>0</v>
      </c>
      <c r="M264" s="28">
        <f t="shared" si="12"/>
        <v>0</v>
      </c>
      <c r="N264" s="27">
        <v>12</v>
      </c>
      <c r="O264" s="28">
        <v>19910.599999999999</v>
      </c>
      <c r="P264" s="28">
        <v>15858</v>
      </c>
      <c r="Q264" s="337">
        <f t="shared" si="11"/>
        <v>4052.5999999999985</v>
      </c>
      <c r="R264" s="6"/>
    </row>
    <row r="265" spans="1:18" x14ac:dyDescent="0.25">
      <c r="A265" s="56">
        <v>8</v>
      </c>
      <c r="B265" s="1" t="s">
        <v>127</v>
      </c>
      <c r="C265" s="1" t="s">
        <v>62</v>
      </c>
      <c r="D265" s="1"/>
      <c r="E265" s="48" t="s">
        <v>74</v>
      </c>
      <c r="F265" s="1" t="s">
        <v>406</v>
      </c>
      <c r="G265" s="27" t="s">
        <v>395</v>
      </c>
      <c r="H265" s="27">
        <v>0</v>
      </c>
      <c r="I265" s="27">
        <v>0</v>
      </c>
      <c r="J265" s="27">
        <v>0</v>
      </c>
      <c r="K265" s="28">
        <v>0</v>
      </c>
      <c r="L265" s="28">
        <v>0</v>
      </c>
      <c r="M265" s="28">
        <f t="shared" si="12"/>
        <v>0</v>
      </c>
      <c r="N265" s="27">
        <v>1</v>
      </c>
      <c r="O265" s="28">
        <v>264.3</v>
      </c>
      <c r="P265" s="28">
        <v>264.3</v>
      </c>
      <c r="Q265" s="337">
        <f t="shared" si="11"/>
        <v>0</v>
      </c>
      <c r="R265" s="6"/>
    </row>
    <row r="266" spans="1:18" ht="25.5" x14ac:dyDescent="0.25">
      <c r="A266" s="56">
        <v>9</v>
      </c>
      <c r="B266" s="1" t="s">
        <v>561</v>
      </c>
      <c r="C266" s="1" t="s">
        <v>62</v>
      </c>
      <c r="D266" s="1"/>
      <c r="E266" s="1" t="s">
        <v>81</v>
      </c>
      <c r="F266" s="1" t="s">
        <v>562</v>
      </c>
      <c r="G266" s="27" t="s">
        <v>395</v>
      </c>
      <c r="H266" s="27">
        <v>30</v>
      </c>
      <c r="I266" s="27">
        <v>0</v>
      </c>
      <c r="J266" s="27">
        <v>0</v>
      </c>
      <c r="K266" s="28">
        <v>0</v>
      </c>
      <c r="L266" s="28">
        <v>0</v>
      </c>
      <c r="M266" s="28">
        <f t="shared" si="12"/>
        <v>0</v>
      </c>
      <c r="N266" s="27">
        <v>0</v>
      </c>
      <c r="O266" s="28">
        <v>0</v>
      </c>
      <c r="P266" s="28">
        <v>0</v>
      </c>
      <c r="Q266" s="28">
        <v>0</v>
      </c>
      <c r="R266" s="6"/>
    </row>
    <row r="267" spans="1:18" ht="25.5" x14ac:dyDescent="0.25">
      <c r="A267" s="56">
        <v>10</v>
      </c>
      <c r="B267" s="1" t="s">
        <v>563</v>
      </c>
      <c r="C267" s="1" t="s">
        <v>62</v>
      </c>
      <c r="D267" s="1"/>
      <c r="E267" s="1" t="s">
        <v>81</v>
      </c>
      <c r="F267" s="1" t="s">
        <v>564</v>
      </c>
      <c r="G267" s="27" t="s">
        <v>395</v>
      </c>
      <c r="H267" s="27">
        <v>27</v>
      </c>
      <c r="I267" s="27">
        <v>0</v>
      </c>
      <c r="J267" s="27">
        <v>1</v>
      </c>
      <c r="K267" s="28">
        <v>2643</v>
      </c>
      <c r="L267" s="28">
        <v>0</v>
      </c>
      <c r="M267" s="28">
        <f t="shared" si="12"/>
        <v>2643</v>
      </c>
      <c r="N267" s="27">
        <v>0</v>
      </c>
      <c r="O267" s="28">
        <v>0</v>
      </c>
      <c r="P267" s="28">
        <v>0</v>
      </c>
      <c r="Q267" s="28">
        <v>0</v>
      </c>
      <c r="R267" s="6"/>
    </row>
    <row r="268" spans="1:18" ht="25.5" x14ac:dyDescent="0.25">
      <c r="A268" s="56">
        <v>1</v>
      </c>
      <c r="B268" s="3" t="s">
        <v>159</v>
      </c>
      <c r="C268" s="3" t="s">
        <v>62</v>
      </c>
      <c r="D268" s="3" t="s">
        <v>63</v>
      </c>
      <c r="E268" s="3" t="s">
        <v>121</v>
      </c>
      <c r="F268" s="3" t="s">
        <v>160</v>
      </c>
      <c r="G268" s="4" t="s">
        <v>85</v>
      </c>
      <c r="H268" s="4">
        <v>3</v>
      </c>
      <c r="I268" s="4">
        <v>3</v>
      </c>
      <c r="J268" s="4">
        <v>3</v>
      </c>
      <c r="K268" s="5">
        <f>L268+M268</f>
        <v>1493.3</v>
      </c>
      <c r="L268" s="5">
        <v>1493.3</v>
      </c>
      <c r="M268" s="5">
        <v>0</v>
      </c>
      <c r="N268" s="4">
        <v>8</v>
      </c>
      <c r="O268" s="5">
        <f>P268+Q268</f>
        <v>26421.62</v>
      </c>
      <c r="P268" s="5">
        <f>28053.94-1632.32</f>
        <v>26421.62</v>
      </c>
      <c r="Q268" s="5">
        <v>0</v>
      </c>
      <c r="R268" s="6"/>
    </row>
    <row r="269" spans="1:18" x14ac:dyDescent="0.25">
      <c r="A269" s="348">
        <f>A268+1</f>
        <v>2</v>
      </c>
      <c r="B269" s="3" t="s">
        <v>581</v>
      </c>
      <c r="C269" s="3" t="s">
        <v>62</v>
      </c>
      <c r="D269" s="3" t="s">
        <v>63</v>
      </c>
      <c r="E269" s="3" t="s">
        <v>74</v>
      </c>
      <c r="F269" s="3" t="s">
        <v>582</v>
      </c>
      <c r="G269" s="4" t="s">
        <v>85</v>
      </c>
      <c r="H269" s="4">
        <v>0</v>
      </c>
      <c r="I269" s="4">
        <v>0</v>
      </c>
      <c r="J269" s="4">
        <v>0</v>
      </c>
      <c r="K269" s="5">
        <f t="shared" ref="K269:K332" si="13">L269+M269</f>
        <v>0</v>
      </c>
      <c r="L269" s="5">
        <v>0</v>
      </c>
      <c r="M269" s="5">
        <v>0</v>
      </c>
      <c r="N269" s="4">
        <v>2</v>
      </c>
      <c r="O269" s="5">
        <f t="shared" ref="O269:O332" si="14">P269+Q269</f>
        <v>0</v>
      </c>
      <c r="P269" s="5">
        <v>0</v>
      </c>
      <c r="Q269" s="5">
        <v>0</v>
      </c>
      <c r="R269" s="6"/>
    </row>
    <row r="270" spans="1:18" ht="25.5" x14ac:dyDescent="0.25">
      <c r="A270" s="348">
        <f t="shared" ref="A270:A333" si="15">A269+1</f>
        <v>3</v>
      </c>
      <c r="B270" s="3" t="s">
        <v>18</v>
      </c>
      <c r="C270" s="3" t="s">
        <v>62</v>
      </c>
      <c r="D270" s="3" t="s">
        <v>63</v>
      </c>
      <c r="E270" s="3" t="s">
        <v>70</v>
      </c>
      <c r="F270" s="3" t="s">
        <v>565</v>
      </c>
      <c r="G270" s="4" t="s">
        <v>85</v>
      </c>
      <c r="H270" s="4">
        <v>5</v>
      </c>
      <c r="I270" s="4">
        <v>0</v>
      </c>
      <c r="J270" s="4">
        <v>0</v>
      </c>
      <c r="K270" s="5">
        <f t="shared" si="13"/>
        <v>0</v>
      </c>
      <c r="L270" s="5">
        <v>0</v>
      </c>
      <c r="M270" s="5">
        <v>0</v>
      </c>
      <c r="N270" s="4">
        <v>1</v>
      </c>
      <c r="O270" s="5">
        <f t="shared" si="14"/>
        <v>1585.8</v>
      </c>
      <c r="P270" s="5">
        <v>1585.8</v>
      </c>
      <c r="Q270" s="5">
        <v>0</v>
      </c>
      <c r="R270" s="6"/>
    </row>
    <row r="271" spans="1:18" x14ac:dyDescent="0.25">
      <c r="A271" s="348">
        <f t="shared" si="15"/>
        <v>4</v>
      </c>
      <c r="B271" s="3" t="s">
        <v>19</v>
      </c>
      <c r="C271" s="3" t="s">
        <v>62</v>
      </c>
      <c r="D271" s="3" t="s">
        <v>63</v>
      </c>
      <c r="E271" s="3" t="s">
        <v>71</v>
      </c>
      <c r="F271" s="3" t="s">
        <v>162</v>
      </c>
      <c r="G271" s="4" t="s">
        <v>85</v>
      </c>
      <c r="H271" s="4">
        <v>95</v>
      </c>
      <c r="I271" s="4">
        <v>82</v>
      </c>
      <c r="J271" s="4">
        <v>108</v>
      </c>
      <c r="K271" s="5">
        <f t="shared" si="13"/>
        <v>81168.42</v>
      </c>
      <c r="L271" s="5">
        <v>70165.41</v>
      </c>
      <c r="M271" s="5">
        <v>11003.01</v>
      </c>
      <c r="N271" s="4">
        <v>26</v>
      </c>
      <c r="O271" s="5">
        <f t="shared" si="14"/>
        <v>72074.95</v>
      </c>
      <c r="P271" s="5">
        <v>69975.22</v>
      </c>
      <c r="Q271" s="5">
        <v>2099.73</v>
      </c>
      <c r="R271" s="6"/>
    </row>
    <row r="272" spans="1:18" x14ac:dyDescent="0.25">
      <c r="A272" s="348">
        <f t="shared" si="15"/>
        <v>5</v>
      </c>
      <c r="B272" s="3" t="s">
        <v>86</v>
      </c>
      <c r="C272" s="3" t="s">
        <v>62</v>
      </c>
      <c r="D272" s="3" t="s">
        <v>63</v>
      </c>
      <c r="E272" s="3" t="s">
        <v>74</v>
      </c>
      <c r="F272" s="3" t="s">
        <v>165</v>
      </c>
      <c r="G272" s="4" t="s">
        <v>85</v>
      </c>
      <c r="H272" s="4">
        <v>48</v>
      </c>
      <c r="I272" s="4">
        <v>27</v>
      </c>
      <c r="J272" s="4">
        <v>29</v>
      </c>
      <c r="K272" s="5">
        <f t="shared" si="13"/>
        <v>25129.11</v>
      </c>
      <c r="L272" s="5">
        <f>24521.22+607.89</f>
        <v>25129.11</v>
      </c>
      <c r="M272" s="5">
        <v>0</v>
      </c>
      <c r="N272" s="4">
        <v>20</v>
      </c>
      <c r="O272" s="5">
        <f t="shared" si="14"/>
        <v>49473.84</v>
      </c>
      <c r="P272" s="5">
        <v>49473.84</v>
      </c>
      <c r="Q272" s="5">
        <v>0</v>
      </c>
      <c r="R272" s="6"/>
    </row>
    <row r="273" spans="1:18" x14ac:dyDescent="0.25">
      <c r="A273" s="348">
        <f t="shared" si="15"/>
        <v>6</v>
      </c>
      <c r="B273" s="3" t="s">
        <v>166</v>
      </c>
      <c r="C273" s="3" t="s">
        <v>62</v>
      </c>
      <c r="D273" s="3" t="s">
        <v>611</v>
      </c>
      <c r="E273" s="3" t="s">
        <v>63</v>
      </c>
      <c r="F273" s="3" t="s">
        <v>167</v>
      </c>
      <c r="G273" s="4" t="s">
        <v>85</v>
      </c>
      <c r="H273" s="4">
        <v>18</v>
      </c>
      <c r="I273" s="4">
        <v>11</v>
      </c>
      <c r="J273" s="4">
        <v>11</v>
      </c>
      <c r="K273" s="5">
        <f t="shared" si="13"/>
        <v>12377.17</v>
      </c>
      <c r="L273" s="5">
        <v>7503.35</v>
      </c>
      <c r="M273" s="5">
        <v>4873.82</v>
      </c>
      <c r="N273" s="4">
        <v>0</v>
      </c>
      <c r="O273" s="5">
        <f t="shared" si="14"/>
        <v>0</v>
      </c>
      <c r="P273" s="5">
        <v>0</v>
      </c>
      <c r="Q273" s="5">
        <v>0</v>
      </c>
      <c r="R273" s="6"/>
    </row>
    <row r="274" spans="1:18" x14ac:dyDescent="0.25">
      <c r="A274" s="348">
        <f t="shared" si="15"/>
        <v>7</v>
      </c>
      <c r="B274" s="3" t="s">
        <v>168</v>
      </c>
      <c r="C274" s="3" t="s">
        <v>62</v>
      </c>
      <c r="D274" s="3" t="s">
        <v>611</v>
      </c>
      <c r="E274" s="3" t="s">
        <v>63</v>
      </c>
      <c r="F274" s="3" t="s">
        <v>169</v>
      </c>
      <c r="G274" s="4" t="s">
        <v>85</v>
      </c>
      <c r="H274" s="4">
        <v>36</v>
      </c>
      <c r="I274" s="4">
        <v>24</v>
      </c>
      <c r="J274" s="4">
        <v>27</v>
      </c>
      <c r="K274" s="5">
        <f t="shared" si="13"/>
        <v>16491.64</v>
      </c>
      <c r="L274" s="5">
        <v>13248.44</v>
      </c>
      <c r="M274" s="5">
        <v>3243.2</v>
      </c>
      <c r="N274" s="4">
        <v>0</v>
      </c>
      <c r="O274" s="5">
        <f t="shared" si="14"/>
        <v>0</v>
      </c>
      <c r="P274" s="5">
        <v>0</v>
      </c>
      <c r="Q274" s="5">
        <v>0</v>
      </c>
      <c r="R274" s="6"/>
    </row>
    <row r="275" spans="1:18" x14ac:dyDescent="0.25">
      <c r="A275" s="348">
        <f t="shared" si="15"/>
        <v>8</v>
      </c>
      <c r="B275" s="3" t="s">
        <v>21</v>
      </c>
      <c r="C275" s="3" t="s">
        <v>62</v>
      </c>
      <c r="D275" s="3" t="s">
        <v>63</v>
      </c>
      <c r="E275" s="3" t="s">
        <v>73</v>
      </c>
      <c r="F275" s="3" t="s">
        <v>170</v>
      </c>
      <c r="G275" s="4" t="s">
        <v>85</v>
      </c>
      <c r="H275" s="4">
        <v>46</v>
      </c>
      <c r="I275" s="4">
        <v>41</v>
      </c>
      <c r="J275" s="4">
        <v>50</v>
      </c>
      <c r="K275" s="5">
        <f t="shared" si="13"/>
        <v>58581.47</v>
      </c>
      <c r="L275" s="5">
        <v>48661.43</v>
      </c>
      <c r="M275" s="5">
        <v>9920.0400000000009</v>
      </c>
      <c r="N275" s="4">
        <v>40</v>
      </c>
      <c r="O275" s="5">
        <f t="shared" si="14"/>
        <v>121861.54</v>
      </c>
      <c r="P275" s="5">
        <v>119439.81</v>
      </c>
      <c r="Q275" s="5">
        <v>2421.73</v>
      </c>
      <c r="R275" s="6"/>
    </row>
    <row r="276" spans="1:18" x14ac:dyDescent="0.25">
      <c r="A276" s="348">
        <f t="shared" si="15"/>
        <v>9</v>
      </c>
      <c r="B276" s="3" t="s">
        <v>22</v>
      </c>
      <c r="C276" s="3" t="s">
        <v>62</v>
      </c>
      <c r="D276" s="3" t="s">
        <v>63</v>
      </c>
      <c r="E276" s="3" t="s">
        <v>74</v>
      </c>
      <c r="F276" s="3" t="s">
        <v>171</v>
      </c>
      <c r="G276" s="4" t="s">
        <v>85</v>
      </c>
      <c r="H276" s="4">
        <v>34</v>
      </c>
      <c r="I276" s="4">
        <v>25</v>
      </c>
      <c r="J276" s="4">
        <v>32</v>
      </c>
      <c r="K276" s="5">
        <f t="shared" si="13"/>
        <v>38617.07</v>
      </c>
      <c r="L276" s="5">
        <v>34222.49</v>
      </c>
      <c r="M276" s="5">
        <v>4394.58</v>
      </c>
      <c r="N276" s="4">
        <v>38</v>
      </c>
      <c r="O276" s="5">
        <f t="shared" si="14"/>
        <v>92524.409999999989</v>
      </c>
      <c r="P276" s="5">
        <v>91206.43</v>
      </c>
      <c r="Q276" s="5">
        <v>1317.98</v>
      </c>
      <c r="R276" s="6"/>
    </row>
    <row r="277" spans="1:18" ht="25.5" x14ac:dyDescent="0.25">
      <c r="A277" s="348">
        <f t="shared" si="15"/>
        <v>10</v>
      </c>
      <c r="B277" s="3" t="s">
        <v>20</v>
      </c>
      <c r="C277" s="3" t="s">
        <v>62</v>
      </c>
      <c r="D277" s="3" t="s">
        <v>63</v>
      </c>
      <c r="E277" s="3" t="s">
        <v>72</v>
      </c>
      <c r="F277" s="3" t="s">
        <v>163</v>
      </c>
      <c r="G277" s="4" t="s">
        <v>85</v>
      </c>
      <c r="H277" s="4">
        <v>0</v>
      </c>
      <c r="I277" s="4">
        <v>0</v>
      </c>
      <c r="J277" s="4">
        <v>0</v>
      </c>
      <c r="K277" s="5">
        <f t="shared" si="13"/>
        <v>0</v>
      </c>
      <c r="L277" s="5">
        <v>0</v>
      </c>
      <c r="M277" s="5">
        <v>0</v>
      </c>
      <c r="N277" s="4">
        <v>0</v>
      </c>
      <c r="O277" s="5">
        <f t="shared" si="14"/>
        <v>6138.73</v>
      </c>
      <c r="P277" s="5">
        <v>6138.73</v>
      </c>
      <c r="Q277" s="5">
        <v>0</v>
      </c>
      <c r="R277" s="6"/>
    </row>
    <row r="278" spans="1:18" ht="25.5" x14ac:dyDescent="0.25">
      <c r="A278" s="348">
        <f t="shared" si="15"/>
        <v>11</v>
      </c>
      <c r="B278" s="3" t="s">
        <v>100</v>
      </c>
      <c r="C278" s="3" t="s">
        <v>62</v>
      </c>
      <c r="D278" s="3" t="s">
        <v>63</v>
      </c>
      <c r="E278" s="3" t="s">
        <v>101</v>
      </c>
      <c r="F278" s="3" t="s">
        <v>164</v>
      </c>
      <c r="G278" s="4" t="s">
        <v>85</v>
      </c>
      <c r="H278" s="4">
        <v>16</v>
      </c>
      <c r="I278" s="4">
        <v>13</v>
      </c>
      <c r="J278" s="4">
        <v>17</v>
      </c>
      <c r="K278" s="5">
        <f t="shared" si="13"/>
        <v>20976.73</v>
      </c>
      <c r="L278" s="5">
        <v>20326.86</v>
      </c>
      <c r="M278" s="5">
        <f>656.38-6.51</f>
        <v>649.87</v>
      </c>
      <c r="N278" s="4">
        <v>12</v>
      </c>
      <c r="O278" s="5">
        <f t="shared" si="14"/>
        <v>40299.47</v>
      </c>
      <c r="P278" s="5">
        <v>40299.47</v>
      </c>
      <c r="Q278" s="5">
        <v>0</v>
      </c>
      <c r="R278" s="6"/>
    </row>
    <row r="279" spans="1:18" ht="25.5" x14ac:dyDescent="0.25">
      <c r="A279" s="348">
        <f t="shared" si="15"/>
        <v>12</v>
      </c>
      <c r="B279" s="3" t="s">
        <v>23</v>
      </c>
      <c r="C279" s="3" t="s">
        <v>62</v>
      </c>
      <c r="D279" s="3" t="s">
        <v>63</v>
      </c>
      <c r="E279" s="3" t="s">
        <v>75</v>
      </c>
      <c r="F279" s="3" t="s">
        <v>136</v>
      </c>
      <c r="G279" s="4" t="s">
        <v>85</v>
      </c>
      <c r="H279" s="4">
        <v>2</v>
      </c>
      <c r="I279" s="4">
        <v>0</v>
      </c>
      <c r="J279" s="4">
        <v>0</v>
      </c>
      <c r="K279" s="5">
        <f t="shared" si="13"/>
        <v>0</v>
      </c>
      <c r="L279" s="5">
        <v>0</v>
      </c>
      <c r="M279" s="5">
        <v>0</v>
      </c>
      <c r="N279" s="4">
        <v>0</v>
      </c>
      <c r="O279" s="5">
        <f t="shared" si="14"/>
        <v>0</v>
      </c>
      <c r="P279" s="5">
        <v>0</v>
      </c>
      <c r="Q279" s="5">
        <v>0</v>
      </c>
      <c r="R279" s="6"/>
    </row>
    <row r="280" spans="1:18" x14ac:dyDescent="0.25">
      <c r="A280" s="348">
        <f t="shared" si="15"/>
        <v>13</v>
      </c>
      <c r="B280" s="3" t="s">
        <v>24</v>
      </c>
      <c r="C280" s="3" t="s">
        <v>62</v>
      </c>
      <c r="D280" s="3" t="s">
        <v>63</v>
      </c>
      <c r="E280" s="3" t="s">
        <v>74</v>
      </c>
      <c r="F280" s="3" t="s">
        <v>172</v>
      </c>
      <c r="G280" s="4" t="s">
        <v>85</v>
      </c>
      <c r="H280" s="4">
        <v>42</v>
      </c>
      <c r="I280" s="4">
        <v>32</v>
      </c>
      <c r="J280" s="4">
        <v>41</v>
      </c>
      <c r="K280" s="5">
        <f t="shared" si="13"/>
        <v>34717.259999999995</v>
      </c>
      <c r="L280" s="5">
        <v>25223.69</v>
      </c>
      <c r="M280" s="5">
        <v>9493.57</v>
      </c>
      <c r="N280" s="4">
        <v>25</v>
      </c>
      <c r="O280" s="5">
        <f t="shared" si="14"/>
        <v>89876.9</v>
      </c>
      <c r="P280" s="5">
        <v>89876.9</v>
      </c>
      <c r="Q280" s="5">
        <v>0</v>
      </c>
      <c r="R280" s="6"/>
    </row>
    <row r="281" spans="1:18" ht="25.5" x14ac:dyDescent="0.25">
      <c r="A281" s="348">
        <f t="shared" si="15"/>
        <v>14</v>
      </c>
      <c r="B281" s="3" t="s">
        <v>102</v>
      </c>
      <c r="C281" s="3" t="s">
        <v>67</v>
      </c>
      <c r="D281" s="3" t="s">
        <v>594</v>
      </c>
      <c r="E281" s="3" t="s">
        <v>74</v>
      </c>
      <c r="F281" s="3" t="s">
        <v>477</v>
      </c>
      <c r="G281" s="4" t="s">
        <v>85</v>
      </c>
      <c r="H281" s="4">
        <v>3</v>
      </c>
      <c r="I281" s="4">
        <v>1</v>
      </c>
      <c r="J281" s="4">
        <v>1</v>
      </c>
      <c r="K281" s="5">
        <f t="shared" si="13"/>
        <v>528.6</v>
      </c>
      <c r="L281" s="5">
        <v>528.6</v>
      </c>
      <c r="M281" s="5">
        <v>0</v>
      </c>
      <c r="N281" s="4">
        <v>4</v>
      </c>
      <c r="O281" s="5">
        <f t="shared" si="14"/>
        <v>9770.18</v>
      </c>
      <c r="P281" s="5">
        <v>9770.18</v>
      </c>
      <c r="Q281" s="5">
        <v>0</v>
      </c>
      <c r="R281" s="6"/>
    </row>
    <row r="282" spans="1:18" ht="25.5" x14ac:dyDescent="0.25">
      <c r="A282" s="348">
        <f t="shared" si="15"/>
        <v>15</v>
      </c>
      <c r="B282" s="3" t="s">
        <v>173</v>
      </c>
      <c r="C282" s="3" t="s">
        <v>67</v>
      </c>
      <c r="D282" s="3" t="s">
        <v>478</v>
      </c>
      <c r="E282" s="3" t="s">
        <v>174</v>
      </c>
      <c r="F282" s="3" t="s">
        <v>175</v>
      </c>
      <c r="G282" s="4" t="s">
        <v>85</v>
      </c>
      <c r="H282" s="4">
        <v>26</v>
      </c>
      <c r="I282" s="4">
        <v>16</v>
      </c>
      <c r="J282" s="4">
        <v>16</v>
      </c>
      <c r="K282" s="5">
        <f t="shared" si="13"/>
        <v>7354.87</v>
      </c>
      <c r="L282" s="5">
        <v>7354.87</v>
      </c>
      <c r="M282" s="5">
        <v>0</v>
      </c>
      <c r="N282" s="4">
        <v>0</v>
      </c>
      <c r="O282" s="5">
        <f t="shared" si="14"/>
        <v>0</v>
      </c>
      <c r="P282" s="5">
        <v>0</v>
      </c>
      <c r="Q282" s="5">
        <v>0</v>
      </c>
      <c r="R282" s="6"/>
    </row>
    <row r="283" spans="1:18" ht="25.5" x14ac:dyDescent="0.25">
      <c r="A283" s="348">
        <f t="shared" si="15"/>
        <v>16</v>
      </c>
      <c r="B283" s="3" t="s">
        <v>595</v>
      </c>
      <c r="C283" s="3" t="s">
        <v>64</v>
      </c>
      <c r="D283" s="3" t="s">
        <v>596</v>
      </c>
      <c r="E283" s="3" t="s">
        <v>597</v>
      </c>
      <c r="F283" s="3" t="s">
        <v>626</v>
      </c>
      <c r="G283" s="4" t="s">
        <v>85</v>
      </c>
      <c r="H283" s="4">
        <v>1</v>
      </c>
      <c r="I283" s="4">
        <v>1</v>
      </c>
      <c r="J283" s="4">
        <v>1</v>
      </c>
      <c r="K283" s="5">
        <f t="shared" si="13"/>
        <v>3600.4</v>
      </c>
      <c r="L283" s="5">
        <v>3600.4</v>
      </c>
      <c r="M283" s="5">
        <v>0</v>
      </c>
      <c r="N283" s="4">
        <v>0</v>
      </c>
      <c r="O283" s="5">
        <f t="shared" si="14"/>
        <v>0</v>
      </c>
      <c r="P283" s="5">
        <v>0</v>
      </c>
      <c r="Q283" s="5">
        <v>0</v>
      </c>
      <c r="R283" s="6"/>
    </row>
    <row r="284" spans="1:18" ht="25.5" x14ac:dyDescent="0.25">
      <c r="A284" s="348">
        <f t="shared" si="15"/>
        <v>17</v>
      </c>
      <c r="B284" s="3" t="s">
        <v>25</v>
      </c>
      <c r="C284" s="3" t="s">
        <v>62</v>
      </c>
      <c r="D284" s="3" t="s">
        <v>63</v>
      </c>
      <c r="E284" s="3" t="s">
        <v>76</v>
      </c>
      <c r="F284" s="3" t="s">
        <v>543</v>
      </c>
      <c r="G284" s="4" t="s">
        <v>85</v>
      </c>
      <c r="H284" s="4">
        <v>42</v>
      </c>
      <c r="I284" s="4">
        <v>0</v>
      </c>
      <c r="J284" s="4">
        <v>0</v>
      </c>
      <c r="K284" s="5">
        <f t="shared" si="13"/>
        <v>0</v>
      </c>
      <c r="L284" s="5">
        <v>0</v>
      </c>
      <c r="M284" s="5">
        <v>0</v>
      </c>
      <c r="N284" s="4">
        <v>0</v>
      </c>
      <c r="O284" s="5">
        <f t="shared" si="14"/>
        <v>0</v>
      </c>
      <c r="P284" s="5">
        <v>0</v>
      </c>
      <c r="Q284" s="5">
        <v>0</v>
      </c>
      <c r="R284" s="6"/>
    </row>
    <row r="285" spans="1:18" ht="25.5" x14ac:dyDescent="0.25">
      <c r="A285" s="348">
        <f t="shared" si="15"/>
        <v>18</v>
      </c>
      <c r="B285" s="3" t="s">
        <v>600</v>
      </c>
      <c r="C285" s="3" t="s">
        <v>62</v>
      </c>
      <c r="D285" s="3" t="s">
        <v>63</v>
      </c>
      <c r="E285" s="3" t="s">
        <v>75</v>
      </c>
      <c r="F285" s="3" t="s">
        <v>103</v>
      </c>
      <c r="G285" s="4" t="s">
        <v>85</v>
      </c>
      <c r="H285" s="4">
        <v>0</v>
      </c>
      <c r="I285" s="4">
        <v>0</v>
      </c>
      <c r="J285" s="4">
        <v>0</v>
      </c>
      <c r="K285" s="5">
        <f t="shared" si="13"/>
        <v>0</v>
      </c>
      <c r="L285" s="5">
        <v>0</v>
      </c>
      <c r="M285" s="5">
        <v>0</v>
      </c>
      <c r="N285" s="4">
        <v>15</v>
      </c>
      <c r="O285" s="5">
        <f t="shared" si="14"/>
        <v>62481.86</v>
      </c>
      <c r="P285" s="5">
        <v>62481.86</v>
      </c>
      <c r="Q285" s="5">
        <v>0</v>
      </c>
      <c r="R285" s="6"/>
    </row>
    <row r="286" spans="1:18" ht="25.5" x14ac:dyDescent="0.25">
      <c r="A286" s="348">
        <f t="shared" si="15"/>
        <v>19</v>
      </c>
      <c r="B286" s="3" t="s">
        <v>479</v>
      </c>
      <c r="C286" s="3" t="s">
        <v>67</v>
      </c>
      <c r="D286" s="3" t="s">
        <v>480</v>
      </c>
      <c r="E286" s="3" t="s">
        <v>271</v>
      </c>
      <c r="F286" s="3" t="s">
        <v>481</v>
      </c>
      <c r="G286" s="4" t="s">
        <v>85</v>
      </c>
      <c r="H286" s="4">
        <v>13</v>
      </c>
      <c r="I286" s="4">
        <v>5</v>
      </c>
      <c r="J286" s="4">
        <v>5</v>
      </c>
      <c r="K286" s="5">
        <f t="shared" si="13"/>
        <v>1902.96</v>
      </c>
      <c r="L286" s="5">
        <v>1902.96</v>
      </c>
      <c r="M286" s="5">
        <v>0</v>
      </c>
      <c r="N286" s="4">
        <v>0</v>
      </c>
      <c r="O286" s="5">
        <f t="shared" si="14"/>
        <v>0</v>
      </c>
      <c r="P286" s="5">
        <v>0</v>
      </c>
      <c r="Q286" s="5">
        <v>0</v>
      </c>
      <c r="R286" s="6"/>
    </row>
    <row r="287" spans="1:18" ht="25.5" x14ac:dyDescent="0.25">
      <c r="A287" s="348">
        <f t="shared" si="15"/>
        <v>20</v>
      </c>
      <c r="B287" s="3" t="s">
        <v>176</v>
      </c>
      <c r="C287" s="3" t="s">
        <v>611</v>
      </c>
      <c r="D287" s="3" t="s">
        <v>611</v>
      </c>
      <c r="E287" s="3" t="s">
        <v>177</v>
      </c>
      <c r="F287" s="3" t="s">
        <v>178</v>
      </c>
      <c r="G287" s="4" t="s">
        <v>85</v>
      </c>
      <c r="H287" s="4">
        <v>18</v>
      </c>
      <c r="I287" s="4">
        <v>12</v>
      </c>
      <c r="J287" s="4">
        <v>13</v>
      </c>
      <c r="K287" s="5">
        <f t="shared" si="13"/>
        <v>7259.4400000000005</v>
      </c>
      <c r="L287" s="5">
        <v>5567.92</v>
      </c>
      <c r="M287" s="5">
        <v>1691.52</v>
      </c>
      <c r="N287" s="4">
        <v>0</v>
      </c>
      <c r="O287" s="5">
        <f t="shared" si="14"/>
        <v>0</v>
      </c>
      <c r="P287" s="5">
        <v>0</v>
      </c>
      <c r="Q287" s="5">
        <v>0</v>
      </c>
      <c r="R287" s="6"/>
    </row>
    <row r="288" spans="1:18" x14ac:dyDescent="0.25">
      <c r="A288" s="348">
        <f t="shared" si="15"/>
        <v>21</v>
      </c>
      <c r="B288" s="3" t="s">
        <v>152</v>
      </c>
      <c r="C288" s="3" t="s">
        <v>62</v>
      </c>
      <c r="D288" s="3" t="s">
        <v>63</v>
      </c>
      <c r="E288" s="3" t="s">
        <v>63</v>
      </c>
      <c r="F288" s="3" t="s">
        <v>179</v>
      </c>
      <c r="G288" s="4" t="s">
        <v>85</v>
      </c>
      <c r="H288" s="4">
        <v>29</v>
      </c>
      <c r="I288" s="4">
        <v>13</v>
      </c>
      <c r="J288" s="4">
        <v>15</v>
      </c>
      <c r="K288" s="5">
        <f t="shared" si="13"/>
        <v>9467.91</v>
      </c>
      <c r="L288" s="5">
        <v>9467.91</v>
      </c>
      <c r="M288" s="5">
        <v>0</v>
      </c>
      <c r="N288" s="4">
        <v>16</v>
      </c>
      <c r="O288" s="5">
        <f t="shared" si="14"/>
        <v>10875.990000000002</v>
      </c>
      <c r="P288" s="5">
        <v>10033.950000000001</v>
      </c>
      <c r="Q288" s="5">
        <v>842.04</v>
      </c>
      <c r="R288" s="6"/>
    </row>
    <row r="289" spans="1:18" x14ac:dyDescent="0.25">
      <c r="A289" s="348">
        <f t="shared" si="15"/>
        <v>22</v>
      </c>
      <c r="B289" s="3" t="s">
        <v>88</v>
      </c>
      <c r="C289" s="3" t="s">
        <v>62</v>
      </c>
      <c r="D289" s="3" t="s">
        <v>63</v>
      </c>
      <c r="E289" s="3" t="s">
        <v>74</v>
      </c>
      <c r="F289" s="3" t="s">
        <v>180</v>
      </c>
      <c r="G289" s="4" t="s">
        <v>85</v>
      </c>
      <c r="H289" s="4">
        <v>9</v>
      </c>
      <c r="I289" s="4">
        <v>2</v>
      </c>
      <c r="J289" s="4">
        <v>2</v>
      </c>
      <c r="K289" s="5">
        <f t="shared" si="13"/>
        <v>2706.43</v>
      </c>
      <c r="L289" s="5">
        <v>2706.43</v>
      </c>
      <c r="M289" s="5">
        <v>0</v>
      </c>
      <c r="N289" s="4">
        <v>2</v>
      </c>
      <c r="O289" s="5">
        <f t="shared" si="14"/>
        <v>22884.99</v>
      </c>
      <c r="P289" s="5">
        <v>22884.99</v>
      </c>
      <c r="Q289" s="5">
        <v>0</v>
      </c>
      <c r="R289" s="6"/>
    </row>
    <row r="290" spans="1:18" x14ac:dyDescent="0.25">
      <c r="A290" s="348">
        <f t="shared" si="15"/>
        <v>23</v>
      </c>
      <c r="B290" s="3" t="s">
        <v>26</v>
      </c>
      <c r="C290" s="3" t="s">
        <v>62</v>
      </c>
      <c r="D290" s="3" t="s">
        <v>63</v>
      </c>
      <c r="E290" s="3" t="s">
        <v>74</v>
      </c>
      <c r="F290" s="3" t="s">
        <v>181</v>
      </c>
      <c r="G290" s="4" t="s">
        <v>85</v>
      </c>
      <c r="H290" s="4">
        <v>28</v>
      </c>
      <c r="I290" s="4">
        <v>22</v>
      </c>
      <c r="J290" s="4">
        <v>31</v>
      </c>
      <c r="K290" s="5">
        <f t="shared" si="13"/>
        <v>54084.649999999994</v>
      </c>
      <c r="L290" s="5">
        <v>51716.02</v>
      </c>
      <c r="M290" s="5">
        <v>2368.63</v>
      </c>
      <c r="N290" s="4">
        <v>12</v>
      </c>
      <c r="O290" s="5">
        <f t="shared" si="14"/>
        <v>23585.53</v>
      </c>
      <c r="P290" s="5">
        <v>23585.53</v>
      </c>
      <c r="Q290" s="5">
        <v>0</v>
      </c>
      <c r="R290" s="6"/>
    </row>
    <row r="291" spans="1:18" ht="25.5" x14ac:dyDescent="0.25">
      <c r="A291" s="348">
        <f t="shared" si="15"/>
        <v>24</v>
      </c>
      <c r="B291" s="3" t="s">
        <v>182</v>
      </c>
      <c r="C291" s="3" t="s">
        <v>611</v>
      </c>
      <c r="D291" s="3" t="s">
        <v>611</v>
      </c>
      <c r="E291" s="3" t="s">
        <v>174</v>
      </c>
      <c r="F291" s="3" t="s">
        <v>183</v>
      </c>
      <c r="G291" s="4" t="s">
        <v>85</v>
      </c>
      <c r="H291" s="4">
        <v>38</v>
      </c>
      <c r="I291" s="4">
        <v>23</v>
      </c>
      <c r="J291" s="4">
        <v>28</v>
      </c>
      <c r="K291" s="5">
        <f t="shared" si="13"/>
        <v>23283.040000000001</v>
      </c>
      <c r="L291" s="5">
        <v>18424.240000000002</v>
      </c>
      <c r="M291" s="5">
        <v>4858.8</v>
      </c>
      <c r="N291" s="4">
        <v>0</v>
      </c>
      <c r="O291" s="5">
        <f t="shared" si="14"/>
        <v>0</v>
      </c>
      <c r="P291" s="5">
        <v>0</v>
      </c>
      <c r="Q291" s="5">
        <v>0</v>
      </c>
      <c r="R291" s="6"/>
    </row>
    <row r="292" spans="1:18" ht="25.5" x14ac:dyDescent="0.25">
      <c r="A292" s="348">
        <f t="shared" si="15"/>
        <v>25</v>
      </c>
      <c r="B292" s="3" t="s">
        <v>137</v>
      </c>
      <c r="C292" s="3" t="s">
        <v>62</v>
      </c>
      <c r="D292" s="3" t="s">
        <v>63</v>
      </c>
      <c r="E292" s="3" t="s">
        <v>78</v>
      </c>
      <c r="F292" s="3" t="s">
        <v>184</v>
      </c>
      <c r="G292" s="4" t="s">
        <v>85</v>
      </c>
      <c r="H292" s="4">
        <v>9</v>
      </c>
      <c r="I292" s="4">
        <v>4</v>
      </c>
      <c r="J292" s="4">
        <v>4</v>
      </c>
      <c r="K292" s="5">
        <f t="shared" si="13"/>
        <v>2678.24</v>
      </c>
      <c r="L292" s="5">
        <v>2678.24</v>
      </c>
      <c r="M292" s="5">
        <v>0</v>
      </c>
      <c r="N292" s="4">
        <v>5</v>
      </c>
      <c r="O292" s="5">
        <f t="shared" si="14"/>
        <v>9148.83</v>
      </c>
      <c r="P292" s="5">
        <v>9148.83</v>
      </c>
      <c r="Q292" s="5">
        <v>0</v>
      </c>
      <c r="R292" s="6"/>
    </row>
    <row r="293" spans="1:18" ht="25.5" x14ac:dyDescent="0.25">
      <c r="A293" s="348">
        <f t="shared" si="15"/>
        <v>26</v>
      </c>
      <c r="B293" s="3" t="s">
        <v>185</v>
      </c>
      <c r="C293" s="3" t="s">
        <v>611</v>
      </c>
      <c r="D293" s="3" t="s">
        <v>611</v>
      </c>
      <c r="E293" s="3" t="s">
        <v>186</v>
      </c>
      <c r="F293" s="3" t="s">
        <v>463</v>
      </c>
      <c r="G293" s="4" t="s">
        <v>85</v>
      </c>
      <c r="H293" s="4">
        <v>11</v>
      </c>
      <c r="I293" s="4">
        <v>6</v>
      </c>
      <c r="J293" s="4">
        <v>7</v>
      </c>
      <c r="K293" s="5">
        <f t="shared" si="13"/>
        <v>1409.6</v>
      </c>
      <c r="L293" s="5">
        <v>1409.6</v>
      </c>
      <c r="M293" s="5">
        <v>0</v>
      </c>
      <c r="N293" s="4">
        <v>0</v>
      </c>
      <c r="O293" s="5">
        <f t="shared" si="14"/>
        <v>0</v>
      </c>
      <c r="P293" s="5">
        <v>0</v>
      </c>
      <c r="Q293" s="5">
        <v>0</v>
      </c>
      <c r="R293" s="6"/>
    </row>
    <row r="294" spans="1:18" x14ac:dyDescent="0.25">
      <c r="A294" s="348">
        <f t="shared" si="15"/>
        <v>27</v>
      </c>
      <c r="B294" s="3" t="s">
        <v>27</v>
      </c>
      <c r="C294" s="3" t="s">
        <v>62</v>
      </c>
      <c r="D294" s="3" t="s">
        <v>63</v>
      </c>
      <c r="E294" s="3" t="s">
        <v>74</v>
      </c>
      <c r="F294" s="3" t="s">
        <v>187</v>
      </c>
      <c r="G294" s="4" t="s">
        <v>85</v>
      </c>
      <c r="H294" s="4">
        <v>16</v>
      </c>
      <c r="I294" s="4">
        <v>10</v>
      </c>
      <c r="J294" s="4">
        <v>11</v>
      </c>
      <c r="K294" s="5">
        <f t="shared" si="13"/>
        <v>10791.82</v>
      </c>
      <c r="L294" s="5">
        <v>6454.96</v>
      </c>
      <c r="M294" s="5">
        <v>4336.8599999999997</v>
      </c>
      <c r="N294" s="4">
        <v>5</v>
      </c>
      <c r="O294" s="5">
        <f t="shared" si="14"/>
        <v>32217.82</v>
      </c>
      <c r="P294" s="5">
        <v>29814.94</v>
      </c>
      <c r="Q294" s="5">
        <v>2402.88</v>
      </c>
      <c r="R294" s="6"/>
    </row>
    <row r="295" spans="1:18" x14ac:dyDescent="0.25">
      <c r="A295" s="348">
        <f t="shared" si="15"/>
        <v>28</v>
      </c>
      <c r="B295" s="3" t="s">
        <v>601</v>
      </c>
      <c r="C295" s="3" t="s">
        <v>62</v>
      </c>
      <c r="D295" s="3" t="s">
        <v>63</v>
      </c>
      <c r="E295" s="3" t="s">
        <v>366</v>
      </c>
      <c r="F295" s="3" t="s">
        <v>63</v>
      </c>
      <c r="G295" s="4" t="s">
        <v>85</v>
      </c>
      <c r="H295" s="4">
        <v>3</v>
      </c>
      <c r="I295" s="4">
        <v>0</v>
      </c>
      <c r="J295" s="4">
        <v>0</v>
      </c>
      <c r="K295" s="5">
        <f t="shared" si="13"/>
        <v>0</v>
      </c>
      <c r="L295" s="5">
        <v>0</v>
      </c>
      <c r="M295" s="5">
        <v>0</v>
      </c>
      <c r="N295" s="4">
        <v>0</v>
      </c>
      <c r="O295" s="5">
        <f t="shared" si="14"/>
        <v>0</v>
      </c>
      <c r="P295" s="5">
        <v>0</v>
      </c>
      <c r="Q295" s="5">
        <v>0</v>
      </c>
      <c r="R295" s="6"/>
    </row>
    <row r="296" spans="1:18" ht="25.5" x14ac:dyDescent="0.25">
      <c r="A296" s="348">
        <f t="shared" si="15"/>
        <v>29</v>
      </c>
      <c r="B296" s="3" t="s">
        <v>482</v>
      </c>
      <c r="C296" s="3" t="s">
        <v>64</v>
      </c>
      <c r="D296" s="3" t="s">
        <v>483</v>
      </c>
      <c r="E296" s="3" t="s">
        <v>313</v>
      </c>
      <c r="F296" s="3" t="s">
        <v>484</v>
      </c>
      <c r="G296" s="4" t="s">
        <v>85</v>
      </c>
      <c r="H296" s="4">
        <v>10</v>
      </c>
      <c r="I296" s="4">
        <v>0</v>
      </c>
      <c r="J296" s="4">
        <v>0</v>
      </c>
      <c r="K296" s="5">
        <f t="shared" si="13"/>
        <v>0</v>
      </c>
      <c r="L296" s="5">
        <v>0</v>
      </c>
      <c r="M296" s="5">
        <v>0</v>
      </c>
      <c r="N296" s="4">
        <v>0</v>
      </c>
      <c r="O296" s="5">
        <f t="shared" si="14"/>
        <v>0</v>
      </c>
      <c r="P296" s="5">
        <v>0</v>
      </c>
      <c r="Q296" s="5">
        <v>0</v>
      </c>
      <c r="R296" s="6"/>
    </row>
    <row r="297" spans="1:18" ht="25.5" x14ac:dyDescent="0.25">
      <c r="A297" s="348">
        <f t="shared" si="15"/>
        <v>30</v>
      </c>
      <c r="B297" s="3" t="s">
        <v>104</v>
      </c>
      <c r="C297" s="3" t="s">
        <v>62</v>
      </c>
      <c r="D297" s="3" t="s">
        <v>63</v>
      </c>
      <c r="E297" s="3" t="s">
        <v>105</v>
      </c>
      <c r="F297" s="3" t="s">
        <v>188</v>
      </c>
      <c r="G297" s="4" t="s">
        <v>85</v>
      </c>
      <c r="H297" s="4">
        <v>9</v>
      </c>
      <c r="I297" s="4">
        <v>7</v>
      </c>
      <c r="J297" s="4">
        <v>9</v>
      </c>
      <c r="K297" s="5">
        <f t="shared" si="13"/>
        <v>19587.169999999998</v>
      </c>
      <c r="L297" s="5">
        <v>19587.169999999998</v>
      </c>
      <c r="M297" s="5">
        <v>0</v>
      </c>
      <c r="N297" s="4">
        <v>24</v>
      </c>
      <c r="O297" s="5">
        <f t="shared" si="14"/>
        <v>48438</v>
      </c>
      <c r="P297" s="5">
        <f>43574.88+4863.12</f>
        <v>48438</v>
      </c>
      <c r="Q297" s="5">
        <v>0</v>
      </c>
      <c r="R297" s="6"/>
    </row>
    <row r="298" spans="1:18" ht="25.5" x14ac:dyDescent="0.25">
      <c r="A298" s="348">
        <f t="shared" si="15"/>
        <v>31</v>
      </c>
      <c r="B298" s="3" t="s">
        <v>517</v>
      </c>
      <c r="C298" s="3" t="s">
        <v>62</v>
      </c>
      <c r="D298" s="3" t="s">
        <v>611</v>
      </c>
      <c r="E298" s="3" t="s">
        <v>239</v>
      </c>
      <c r="F298" s="3" t="s">
        <v>63</v>
      </c>
      <c r="G298" s="4" t="s">
        <v>85</v>
      </c>
      <c r="H298" s="4">
        <v>18</v>
      </c>
      <c r="I298" s="4">
        <v>9</v>
      </c>
      <c r="J298" s="4">
        <v>9</v>
      </c>
      <c r="K298" s="5">
        <f t="shared" si="13"/>
        <v>5799.1</v>
      </c>
      <c r="L298" s="5">
        <v>0</v>
      </c>
      <c r="M298" s="5">
        <v>5799.1</v>
      </c>
      <c r="N298" s="4">
        <v>0</v>
      </c>
      <c r="O298" s="5">
        <f t="shared" si="14"/>
        <v>0</v>
      </c>
      <c r="P298" s="5">
        <v>0</v>
      </c>
      <c r="Q298" s="5">
        <v>0</v>
      </c>
      <c r="R298" s="6"/>
    </row>
    <row r="299" spans="1:18" x14ac:dyDescent="0.25">
      <c r="A299" s="348">
        <f t="shared" si="15"/>
        <v>32</v>
      </c>
      <c r="B299" s="3" t="s">
        <v>28</v>
      </c>
      <c r="C299" s="3" t="s">
        <v>62</v>
      </c>
      <c r="D299" s="3" t="s">
        <v>63</v>
      </c>
      <c r="E299" s="3" t="s">
        <v>74</v>
      </c>
      <c r="F299" s="3" t="s">
        <v>189</v>
      </c>
      <c r="G299" s="4" t="s">
        <v>85</v>
      </c>
      <c r="H299" s="4">
        <v>8</v>
      </c>
      <c r="I299" s="4">
        <v>6</v>
      </c>
      <c r="J299" s="4">
        <v>6</v>
      </c>
      <c r="K299" s="5">
        <f t="shared" si="13"/>
        <v>10155.84</v>
      </c>
      <c r="L299" s="5">
        <v>1004.34</v>
      </c>
      <c r="M299" s="5">
        <v>9151.5</v>
      </c>
      <c r="N299" s="4">
        <v>6</v>
      </c>
      <c r="O299" s="5">
        <f t="shared" si="14"/>
        <v>18393.25</v>
      </c>
      <c r="P299" s="5">
        <v>10985.45</v>
      </c>
      <c r="Q299" s="5">
        <v>7407.8</v>
      </c>
      <c r="R299" s="6"/>
    </row>
    <row r="300" spans="1:18" x14ac:dyDescent="0.25">
      <c r="A300" s="348">
        <f t="shared" si="15"/>
        <v>33</v>
      </c>
      <c r="B300" s="3" t="s">
        <v>190</v>
      </c>
      <c r="C300" s="3" t="s">
        <v>62</v>
      </c>
      <c r="D300" s="3" t="s">
        <v>611</v>
      </c>
      <c r="E300" s="3" t="s">
        <v>63</v>
      </c>
      <c r="F300" s="3" t="s">
        <v>191</v>
      </c>
      <c r="G300" s="4" t="s">
        <v>85</v>
      </c>
      <c r="H300" s="4">
        <v>18</v>
      </c>
      <c r="I300" s="4">
        <v>13</v>
      </c>
      <c r="J300" s="4">
        <v>13</v>
      </c>
      <c r="K300" s="5">
        <f t="shared" si="13"/>
        <v>10947.630000000001</v>
      </c>
      <c r="L300" s="5">
        <v>7428.02</v>
      </c>
      <c r="M300" s="5">
        <v>3519.61</v>
      </c>
      <c r="N300" s="4">
        <v>0</v>
      </c>
      <c r="O300" s="5">
        <f t="shared" si="14"/>
        <v>0</v>
      </c>
      <c r="P300" s="5">
        <v>0</v>
      </c>
      <c r="Q300" s="5">
        <v>0</v>
      </c>
      <c r="R300" s="6"/>
    </row>
    <row r="301" spans="1:18" ht="38.25" x14ac:dyDescent="0.25">
      <c r="A301" s="348">
        <f t="shared" si="15"/>
        <v>34</v>
      </c>
      <c r="B301" s="3" t="s">
        <v>192</v>
      </c>
      <c r="C301" s="3" t="s">
        <v>64</v>
      </c>
      <c r="D301" s="3" t="s">
        <v>193</v>
      </c>
      <c r="E301" s="3" t="s">
        <v>74</v>
      </c>
      <c r="F301" s="3" t="s">
        <v>194</v>
      </c>
      <c r="G301" s="4" t="s">
        <v>85</v>
      </c>
      <c r="H301" s="4">
        <v>1</v>
      </c>
      <c r="I301" s="4">
        <v>0</v>
      </c>
      <c r="J301" s="4">
        <v>0</v>
      </c>
      <c r="K301" s="5">
        <f t="shared" si="13"/>
        <v>0</v>
      </c>
      <c r="L301" s="5">
        <v>0</v>
      </c>
      <c r="M301" s="5">
        <v>0</v>
      </c>
      <c r="N301" s="4">
        <v>0</v>
      </c>
      <c r="O301" s="5">
        <f t="shared" si="14"/>
        <v>0</v>
      </c>
      <c r="P301" s="5">
        <v>0</v>
      </c>
      <c r="Q301" s="5">
        <v>0</v>
      </c>
      <c r="R301" s="6"/>
    </row>
    <row r="302" spans="1:18" x14ac:dyDescent="0.25">
      <c r="A302" s="348">
        <f t="shared" si="15"/>
        <v>35</v>
      </c>
      <c r="B302" s="3" t="s">
        <v>89</v>
      </c>
      <c r="C302" s="3" t="s">
        <v>62</v>
      </c>
      <c r="D302" s="3" t="s">
        <v>63</v>
      </c>
      <c r="E302" s="3" t="s">
        <v>74</v>
      </c>
      <c r="F302" s="3" t="s">
        <v>195</v>
      </c>
      <c r="G302" s="4" t="s">
        <v>85</v>
      </c>
      <c r="H302" s="4">
        <v>32</v>
      </c>
      <c r="I302" s="4">
        <v>27</v>
      </c>
      <c r="J302" s="4">
        <v>29</v>
      </c>
      <c r="K302" s="5">
        <f t="shared" si="13"/>
        <v>17979.099999999999</v>
      </c>
      <c r="L302" s="5">
        <v>15670.88</v>
      </c>
      <c r="M302" s="5">
        <v>2308.2199999999998</v>
      </c>
      <c r="N302" s="4">
        <v>7</v>
      </c>
      <c r="O302" s="5">
        <f t="shared" si="14"/>
        <v>32869.550000000003</v>
      </c>
      <c r="P302" s="5">
        <v>32869.550000000003</v>
      </c>
      <c r="Q302" s="5">
        <v>0</v>
      </c>
      <c r="R302" s="6"/>
    </row>
    <row r="303" spans="1:18" ht="25.5" x14ac:dyDescent="0.25">
      <c r="A303" s="348">
        <f t="shared" si="15"/>
        <v>36</v>
      </c>
      <c r="B303" s="3" t="s">
        <v>196</v>
      </c>
      <c r="C303" s="3" t="s">
        <v>62</v>
      </c>
      <c r="D303" s="3" t="s">
        <v>611</v>
      </c>
      <c r="E303" s="3" t="s">
        <v>197</v>
      </c>
      <c r="F303" s="3" t="s">
        <v>198</v>
      </c>
      <c r="G303" s="4" t="s">
        <v>85</v>
      </c>
      <c r="H303" s="4">
        <v>20</v>
      </c>
      <c r="I303" s="4">
        <v>16</v>
      </c>
      <c r="J303" s="4">
        <v>16</v>
      </c>
      <c r="K303" s="5">
        <f t="shared" si="13"/>
        <v>14928.060000000001</v>
      </c>
      <c r="L303" s="5">
        <v>7931</v>
      </c>
      <c r="M303" s="5">
        <v>6997.06</v>
      </c>
      <c r="N303" s="4">
        <v>0</v>
      </c>
      <c r="O303" s="5">
        <f t="shared" si="14"/>
        <v>0</v>
      </c>
      <c r="P303" s="5">
        <v>0</v>
      </c>
      <c r="Q303" s="5">
        <v>0</v>
      </c>
      <c r="R303" s="6"/>
    </row>
    <row r="304" spans="1:18" x14ac:dyDescent="0.25">
      <c r="A304" s="348">
        <f t="shared" si="15"/>
        <v>37</v>
      </c>
      <c r="B304" s="3" t="s">
        <v>106</v>
      </c>
      <c r="C304" s="3" t="s">
        <v>62</v>
      </c>
      <c r="D304" s="3" t="s">
        <v>63</v>
      </c>
      <c r="E304" s="3" t="s">
        <v>74</v>
      </c>
      <c r="F304" s="3" t="s">
        <v>199</v>
      </c>
      <c r="G304" s="4" t="s">
        <v>85</v>
      </c>
      <c r="H304" s="4">
        <v>47</v>
      </c>
      <c r="I304" s="4">
        <v>35</v>
      </c>
      <c r="J304" s="4">
        <v>44</v>
      </c>
      <c r="K304" s="5">
        <f t="shared" si="13"/>
        <v>66272.98000000001</v>
      </c>
      <c r="L304" s="5">
        <v>38286.080000000002</v>
      </c>
      <c r="M304" s="5">
        <v>27986.9</v>
      </c>
      <c r="N304" s="4">
        <v>26</v>
      </c>
      <c r="O304" s="5">
        <f t="shared" si="14"/>
        <v>150774.94</v>
      </c>
      <c r="P304" s="5">
        <v>122226.76</v>
      </c>
      <c r="Q304" s="5">
        <v>28548.18</v>
      </c>
      <c r="R304" s="6"/>
    </row>
    <row r="305" spans="1:18" x14ac:dyDescent="0.25">
      <c r="A305" s="348">
        <f t="shared" si="15"/>
        <v>38</v>
      </c>
      <c r="B305" s="3" t="s">
        <v>107</v>
      </c>
      <c r="C305" s="3" t="s">
        <v>62</v>
      </c>
      <c r="D305" s="3" t="s">
        <v>63</v>
      </c>
      <c r="E305" s="3" t="s">
        <v>74</v>
      </c>
      <c r="F305" s="3" t="s">
        <v>138</v>
      </c>
      <c r="G305" s="4" t="s">
        <v>85</v>
      </c>
      <c r="H305" s="4">
        <v>2</v>
      </c>
      <c r="I305" s="4">
        <v>0</v>
      </c>
      <c r="J305" s="4">
        <v>0</v>
      </c>
      <c r="K305" s="5">
        <f t="shared" si="13"/>
        <v>0</v>
      </c>
      <c r="L305" s="5">
        <v>0</v>
      </c>
      <c r="M305" s="5">
        <v>0</v>
      </c>
      <c r="N305" s="4">
        <v>0</v>
      </c>
      <c r="O305" s="5">
        <f t="shared" si="14"/>
        <v>0</v>
      </c>
      <c r="P305" s="5">
        <v>0</v>
      </c>
      <c r="Q305" s="5">
        <v>0</v>
      </c>
      <c r="R305" s="6"/>
    </row>
    <row r="306" spans="1:18" x14ac:dyDescent="0.25">
      <c r="A306" s="348">
        <f t="shared" si="15"/>
        <v>39</v>
      </c>
      <c r="B306" s="3" t="s">
        <v>29</v>
      </c>
      <c r="C306" s="3" t="s">
        <v>62</v>
      </c>
      <c r="D306" s="3" t="s">
        <v>63</v>
      </c>
      <c r="E306" s="3" t="s">
        <v>74</v>
      </c>
      <c r="F306" s="3" t="s">
        <v>200</v>
      </c>
      <c r="G306" s="4" t="s">
        <v>85</v>
      </c>
      <c r="H306" s="4">
        <v>26</v>
      </c>
      <c r="I306" s="4">
        <v>19</v>
      </c>
      <c r="J306" s="4">
        <v>28</v>
      </c>
      <c r="K306" s="5">
        <f t="shared" si="13"/>
        <v>38092.21</v>
      </c>
      <c r="L306" s="5">
        <v>38092.21</v>
      </c>
      <c r="M306" s="5">
        <v>0</v>
      </c>
      <c r="N306" s="4">
        <v>17</v>
      </c>
      <c r="O306" s="5">
        <f t="shared" si="14"/>
        <v>27388.87</v>
      </c>
      <c r="P306" s="5">
        <v>27388.87</v>
      </c>
      <c r="Q306" s="5">
        <v>0</v>
      </c>
      <c r="R306" s="6"/>
    </row>
    <row r="307" spans="1:18" x14ac:dyDescent="0.25">
      <c r="A307" s="348">
        <f t="shared" si="15"/>
        <v>40</v>
      </c>
      <c r="B307" s="3" t="s">
        <v>201</v>
      </c>
      <c r="C307" s="3" t="s">
        <v>67</v>
      </c>
      <c r="D307" s="3" t="s">
        <v>485</v>
      </c>
      <c r="E307" s="3" t="s">
        <v>74</v>
      </c>
      <c r="F307" s="3" t="s">
        <v>202</v>
      </c>
      <c r="G307" s="4" t="s">
        <v>85</v>
      </c>
      <c r="H307" s="4">
        <v>23</v>
      </c>
      <c r="I307" s="4">
        <v>16</v>
      </c>
      <c r="J307" s="4">
        <v>16</v>
      </c>
      <c r="K307" s="5">
        <f t="shared" si="13"/>
        <v>18972.309999999998</v>
      </c>
      <c r="L307" s="5">
        <v>12613.22</v>
      </c>
      <c r="M307" s="5">
        <v>6359.09</v>
      </c>
      <c r="N307" s="4">
        <v>1</v>
      </c>
      <c r="O307" s="5">
        <f t="shared" si="14"/>
        <v>1717.95</v>
      </c>
      <c r="P307" s="5">
        <v>1717.95</v>
      </c>
      <c r="Q307" s="5">
        <v>0</v>
      </c>
      <c r="R307" s="6"/>
    </row>
    <row r="308" spans="1:18" x14ac:dyDescent="0.25">
      <c r="A308" s="348">
        <f t="shared" si="15"/>
        <v>41</v>
      </c>
      <c r="B308" s="3" t="s">
        <v>95</v>
      </c>
      <c r="C308" s="3" t="s">
        <v>62</v>
      </c>
      <c r="D308" s="3" t="s">
        <v>63</v>
      </c>
      <c r="E308" s="3" t="s">
        <v>74</v>
      </c>
      <c r="F308" s="3" t="s">
        <v>161</v>
      </c>
      <c r="G308" s="4" t="s">
        <v>85</v>
      </c>
      <c r="H308" s="4">
        <v>41</v>
      </c>
      <c r="I308" s="4">
        <v>35</v>
      </c>
      <c r="J308" s="4">
        <v>46</v>
      </c>
      <c r="K308" s="5">
        <f t="shared" si="13"/>
        <v>57829.71</v>
      </c>
      <c r="L308" s="5">
        <v>46387.11</v>
      </c>
      <c r="M308" s="5">
        <v>11442.6</v>
      </c>
      <c r="N308" s="4">
        <v>26</v>
      </c>
      <c r="O308" s="5">
        <f t="shared" si="14"/>
        <v>82085.72</v>
      </c>
      <c r="P308" s="5">
        <v>74616.39</v>
      </c>
      <c r="Q308" s="5">
        <v>7469.33</v>
      </c>
      <c r="R308" s="6"/>
    </row>
    <row r="309" spans="1:18" ht="25.5" x14ac:dyDescent="0.25">
      <c r="A309" s="348">
        <f t="shared" si="15"/>
        <v>42</v>
      </c>
      <c r="B309" s="3" t="s">
        <v>30</v>
      </c>
      <c r="C309" s="3" t="s">
        <v>62</v>
      </c>
      <c r="D309" s="3" t="s">
        <v>63</v>
      </c>
      <c r="E309" s="3" t="s">
        <v>203</v>
      </c>
      <c r="F309" s="3" t="s">
        <v>204</v>
      </c>
      <c r="G309" s="4" t="s">
        <v>85</v>
      </c>
      <c r="H309" s="4">
        <v>21</v>
      </c>
      <c r="I309" s="4">
        <v>15</v>
      </c>
      <c r="J309" s="4">
        <v>22</v>
      </c>
      <c r="K309" s="5">
        <f t="shared" si="13"/>
        <v>61941.8</v>
      </c>
      <c r="L309" s="5">
        <v>45204.14</v>
      </c>
      <c r="M309" s="5">
        <v>16737.66</v>
      </c>
      <c r="N309" s="4">
        <v>19</v>
      </c>
      <c r="O309" s="5">
        <f t="shared" si="14"/>
        <v>67008.850000000006</v>
      </c>
      <c r="P309" s="5">
        <f>52499.71-2054.38</f>
        <v>50445.33</v>
      </c>
      <c r="Q309" s="5">
        <v>16563.52</v>
      </c>
      <c r="R309" s="6"/>
    </row>
    <row r="310" spans="1:18" x14ac:dyDescent="0.25">
      <c r="A310" s="348">
        <f t="shared" si="15"/>
        <v>43</v>
      </c>
      <c r="B310" s="3" t="s">
        <v>31</v>
      </c>
      <c r="C310" s="3" t="s">
        <v>62</v>
      </c>
      <c r="D310" s="3" t="s">
        <v>63</v>
      </c>
      <c r="E310" s="3" t="s">
        <v>74</v>
      </c>
      <c r="F310" s="3" t="s">
        <v>206</v>
      </c>
      <c r="G310" s="4" t="s">
        <v>85</v>
      </c>
      <c r="H310" s="4">
        <v>50</v>
      </c>
      <c r="I310" s="4">
        <v>46</v>
      </c>
      <c r="J310" s="4">
        <v>56</v>
      </c>
      <c r="K310" s="5">
        <f t="shared" si="13"/>
        <v>87971.77</v>
      </c>
      <c r="L310" s="5">
        <v>87971.77</v>
      </c>
      <c r="M310" s="5">
        <v>0</v>
      </c>
      <c r="N310" s="4">
        <v>21</v>
      </c>
      <c r="O310" s="5">
        <f t="shared" si="14"/>
        <v>85171.839999999997</v>
      </c>
      <c r="P310" s="5">
        <f>78330.05+1234.31</f>
        <v>79564.36</v>
      </c>
      <c r="Q310" s="5">
        <f>6841.79-1234.31</f>
        <v>5607.48</v>
      </c>
      <c r="R310" s="6"/>
    </row>
    <row r="311" spans="1:18" ht="25.5" x14ac:dyDescent="0.25">
      <c r="A311" s="348">
        <f t="shared" si="15"/>
        <v>44</v>
      </c>
      <c r="B311" s="3" t="s">
        <v>605</v>
      </c>
      <c r="C311" s="3" t="s">
        <v>62</v>
      </c>
      <c r="D311" s="3" t="s">
        <v>63</v>
      </c>
      <c r="E311" s="3" t="s">
        <v>108</v>
      </c>
      <c r="F311" s="3" t="s">
        <v>619</v>
      </c>
      <c r="G311" s="4" t="s">
        <v>85</v>
      </c>
      <c r="H311" s="4">
        <v>2</v>
      </c>
      <c r="I311" s="4">
        <v>0</v>
      </c>
      <c r="J311" s="4">
        <v>0</v>
      </c>
      <c r="K311" s="5">
        <f t="shared" si="13"/>
        <v>0</v>
      </c>
      <c r="L311" s="5">
        <v>0</v>
      </c>
      <c r="M311" s="5">
        <v>0</v>
      </c>
      <c r="N311" s="4">
        <v>0</v>
      </c>
      <c r="O311" s="5">
        <f t="shared" si="14"/>
        <v>1200.69</v>
      </c>
      <c r="P311" s="5">
        <v>1200.69</v>
      </c>
      <c r="Q311" s="5">
        <v>0</v>
      </c>
      <c r="R311" s="6"/>
    </row>
    <row r="312" spans="1:18" x14ac:dyDescent="0.25">
      <c r="A312" s="348">
        <f t="shared" si="15"/>
        <v>45</v>
      </c>
      <c r="B312" s="3" t="s">
        <v>631</v>
      </c>
      <c r="C312" s="3" t="s">
        <v>62</v>
      </c>
      <c r="D312" s="3" t="s">
        <v>611</v>
      </c>
      <c r="E312" s="3" t="s">
        <v>63</v>
      </c>
      <c r="F312" s="3" t="s">
        <v>63</v>
      </c>
      <c r="G312" s="4" t="s">
        <v>85</v>
      </c>
      <c r="H312" s="4">
        <v>1</v>
      </c>
      <c r="I312" s="4">
        <v>0</v>
      </c>
      <c r="J312" s="4">
        <v>0</v>
      </c>
      <c r="K312" s="5">
        <f t="shared" si="13"/>
        <v>0</v>
      </c>
      <c r="L312" s="5">
        <v>0</v>
      </c>
      <c r="M312" s="5">
        <v>0</v>
      </c>
      <c r="N312" s="4">
        <v>0</v>
      </c>
      <c r="O312" s="5">
        <f t="shared" si="14"/>
        <v>0</v>
      </c>
      <c r="P312" s="5">
        <v>0</v>
      </c>
      <c r="Q312" s="5">
        <v>0</v>
      </c>
      <c r="R312" s="6"/>
    </row>
    <row r="313" spans="1:18" ht="51" x14ac:dyDescent="0.25">
      <c r="A313" s="348">
        <f t="shared" si="15"/>
        <v>46</v>
      </c>
      <c r="B313" s="3" t="s">
        <v>90</v>
      </c>
      <c r="C313" s="3" t="s">
        <v>62</v>
      </c>
      <c r="D313" s="3" t="s">
        <v>63</v>
      </c>
      <c r="E313" s="3" t="s">
        <v>205</v>
      </c>
      <c r="F313" s="3" t="s">
        <v>464</v>
      </c>
      <c r="G313" s="4" t="s">
        <v>85</v>
      </c>
      <c r="H313" s="4">
        <v>20</v>
      </c>
      <c r="I313" s="4">
        <v>13</v>
      </c>
      <c r="J313" s="4">
        <v>19</v>
      </c>
      <c r="K313" s="5">
        <f t="shared" si="13"/>
        <v>22604.33</v>
      </c>
      <c r="L313" s="5">
        <v>12138.06</v>
      </c>
      <c r="M313" s="5">
        <v>10466.27</v>
      </c>
      <c r="N313" s="4">
        <v>17</v>
      </c>
      <c r="O313" s="5">
        <f t="shared" si="14"/>
        <v>23475.1</v>
      </c>
      <c r="P313" s="5">
        <v>23475.1</v>
      </c>
      <c r="Q313" s="5">
        <v>0</v>
      </c>
      <c r="R313" s="6"/>
    </row>
    <row r="314" spans="1:18" x14ac:dyDescent="0.25">
      <c r="A314" s="348">
        <f t="shared" si="15"/>
        <v>47</v>
      </c>
      <c r="B314" s="3" t="s">
        <v>91</v>
      </c>
      <c r="C314" s="3" t="s">
        <v>62</v>
      </c>
      <c r="D314" s="3" t="s">
        <v>63</v>
      </c>
      <c r="E314" s="3" t="s">
        <v>63</v>
      </c>
      <c r="F314" s="3" t="s">
        <v>208</v>
      </c>
      <c r="G314" s="4" t="s">
        <v>85</v>
      </c>
      <c r="H314" s="4">
        <v>15</v>
      </c>
      <c r="I314" s="4">
        <v>11</v>
      </c>
      <c r="J314" s="4">
        <v>11</v>
      </c>
      <c r="K314" s="5">
        <f t="shared" si="13"/>
        <v>5992.57</v>
      </c>
      <c r="L314" s="5">
        <v>5992.57</v>
      </c>
      <c r="M314" s="5">
        <v>0</v>
      </c>
      <c r="N314" s="4">
        <v>2</v>
      </c>
      <c r="O314" s="5">
        <f t="shared" si="14"/>
        <v>17381.23</v>
      </c>
      <c r="P314" s="5">
        <v>17381.23</v>
      </c>
      <c r="Q314" s="5">
        <v>0</v>
      </c>
      <c r="R314" s="6"/>
    </row>
    <row r="315" spans="1:18" x14ac:dyDescent="0.25">
      <c r="A315" s="348">
        <f t="shared" si="15"/>
        <v>48</v>
      </c>
      <c r="B315" s="3" t="s">
        <v>33</v>
      </c>
      <c r="C315" s="3" t="s">
        <v>62</v>
      </c>
      <c r="D315" s="3" t="s">
        <v>63</v>
      </c>
      <c r="E315" s="3" t="s">
        <v>74</v>
      </c>
      <c r="F315" s="3" t="s">
        <v>209</v>
      </c>
      <c r="G315" s="4" t="s">
        <v>85</v>
      </c>
      <c r="H315" s="4">
        <v>36</v>
      </c>
      <c r="I315" s="4">
        <v>28</v>
      </c>
      <c r="J315" s="4">
        <v>37</v>
      </c>
      <c r="K315" s="5">
        <f t="shared" si="13"/>
        <v>47036.6</v>
      </c>
      <c r="L315" s="5">
        <v>31117.84</v>
      </c>
      <c r="M315" s="5">
        <v>15918.76</v>
      </c>
      <c r="N315" s="4">
        <v>37</v>
      </c>
      <c r="O315" s="5">
        <f t="shared" si="14"/>
        <v>115833.35</v>
      </c>
      <c r="P315" s="5">
        <f>81981.71+16311.09</f>
        <v>98292.800000000003</v>
      </c>
      <c r="Q315" s="5">
        <v>17540.55</v>
      </c>
      <c r="R315" s="6"/>
    </row>
    <row r="316" spans="1:18" x14ac:dyDescent="0.25">
      <c r="A316" s="348">
        <f t="shared" si="15"/>
        <v>49</v>
      </c>
      <c r="B316" s="3" t="s">
        <v>32</v>
      </c>
      <c r="C316" s="3" t="s">
        <v>62</v>
      </c>
      <c r="D316" s="3" t="s">
        <v>63</v>
      </c>
      <c r="E316" s="3" t="s">
        <v>74</v>
      </c>
      <c r="F316" s="3" t="s">
        <v>207</v>
      </c>
      <c r="G316" s="4" t="s">
        <v>85</v>
      </c>
      <c r="H316" s="4">
        <v>46</v>
      </c>
      <c r="I316" s="4">
        <v>37</v>
      </c>
      <c r="J316" s="4">
        <v>40</v>
      </c>
      <c r="K316" s="5">
        <f t="shared" si="13"/>
        <v>21751.89</v>
      </c>
      <c r="L316" s="5">
        <v>19498.47</v>
      </c>
      <c r="M316" s="5">
        <v>2253.42</v>
      </c>
      <c r="N316" s="4">
        <v>33</v>
      </c>
      <c r="O316" s="5">
        <f t="shared" si="14"/>
        <v>98620.51</v>
      </c>
      <c r="P316" s="5">
        <v>89431.18</v>
      </c>
      <c r="Q316" s="5">
        <v>9189.33</v>
      </c>
      <c r="R316" s="6"/>
    </row>
    <row r="317" spans="1:18" ht="25.5" x14ac:dyDescent="0.25">
      <c r="A317" s="348">
        <f t="shared" si="15"/>
        <v>50</v>
      </c>
      <c r="B317" s="3" t="s">
        <v>541</v>
      </c>
      <c r="C317" s="3" t="s">
        <v>62</v>
      </c>
      <c r="D317" s="3" t="s">
        <v>611</v>
      </c>
      <c r="E317" s="3" t="s">
        <v>177</v>
      </c>
      <c r="F317" s="3" t="s">
        <v>542</v>
      </c>
      <c r="G317" s="4" t="s">
        <v>85</v>
      </c>
      <c r="H317" s="4">
        <v>20</v>
      </c>
      <c r="I317" s="4">
        <v>12</v>
      </c>
      <c r="J317" s="4">
        <v>16</v>
      </c>
      <c r="K317" s="5">
        <f t="shared" si="13"/>
        <v>7289.61</v>
      </c>
      <c r="L317" s="5">
        <v>1431.63</v>
      </c>
      <c r="M317" s="5">
        <v>5857.98</v>
      </c>
      <c r="N317" s="4">
        <v>0</v>
      </c>
      <c r="O317" s="5">
        <f t="shared" si="14"/>
        <v>0</v>
      </c>
      <c r="P317" s="5">
        <v>0</v>
      </c>
      <c r="Q317" s="5">
        <v>0</v>
      </c>
      <c r="R317" s="6"/>
    </row>
    <row r="318" spans="1:18" x14ac:dyDescent="0.25">
      <c r="A318" s="348">
        <f t="shared" si="15"/>
        <v>51</v>
      </c>
      <c r="B318" s="3" t="s">
        <v>34</v>
      </c>
      <c r="C318" s="3" t="s">
        <v>62</v>
      </c>
      <c r="D318" s="3" t="s">
        <v>63</v>
      </c>
      <c r="E318" s="3" t="s">
        <v>74</v>
      </c>
      <c r="F318" s="3" t="s">
        <v>211</v>
      </c>
      <c r="G318" s="4" t="s">
        <v>85</v>
      </c>
      <c r="H318" s="4">
        <v>19</v>
      </c>
      <c r="I318" s="4">
        <v>11</v>
      </c>
      <c r="J318" s="4">
        <v>11</v>
      </c>
      <c r="K318" s="5">
        <f t="shared" si="13"/>
        <v>4532.5200000000004</v>
      </c>
      <c r="L318" s="5">
        <v>4532.5200000000004</v>
      </c>
      <c r="M318" s="5">
        <v>0</v>
      </c>
      <c r="N318" s="4">
        <v>25</v>
      </c>
      <c r="O318" s="5">
        <f t="shared" si="14"/>
        <v>94507.1</v>
      </c>
      <c r="P318" s="5">
        <v>94507.1</v>
      </c>
      <c r="Q318" s="5">
        <v>0</v>
      </c>
      <c r="R318" s="6"/>
    </row>
    <row r="319" spans="1:18" ht="25.5" x14ac:dyDescent="0.25">
      <c r="A319" s="348">
        <f t="shared" si="15"/>
        <v>52</v>
      </c>
      <c r="B319" s="3" t="s">
        <v>154</v>
      </c>
      <c r="C319" s="3" t="s">
        <v>62</v>
      </c>
      <c r="D319" s="3" t="s">
        <v>63</v>
      </c>
      <c r="E319" s="3" t="s">
        <v>72</v>
      </c>
      <c r="F319" s="3" t="s">
        <v>212</v>
      </c>
      <c r="G319" s="4" t="s">
        <v>85</v>
      </c>
      <c r="H319" s="4">
        <v>6</v>
      </c>
      <c r="I319" s="4">
        <v>2</v>
      </c>
      <c r="J319" s="4">
        <v>2</v>
      </c>
      <c r="K319" s="5">
        <f t="shared" si="13"/>
        <v>3171.6</v>
      </c>
      <c r="L319" s="5">
        <v>0</v>
      </c>
      <c r="M319" s="5">
        <f>3171.6</f>
        <v>3171.6</v>
      </c>
      <c r="N319" s="4">
        <v>2</v>
      </c>
      <c r="O319" s="5">
        <f t="shared" si="14"/>
        <v>4636.17</v>
      </c>
      <c r="P319" s="5">
        <v>4636.17</v>
      </c>
      <c r="Q319" s="5">
        <v>0</v>
      </c>
      <c r="R319" s="6"/>
    </row>
    <row r="320" spans="1:18" x14ac:dyDescent="0.25">
      <c r="A320" s="348">
        <f t="shared" si="15"/>
        <v>53</v>
      </c>
      <c r="B320" s="3" t="s">
        <v>153</v>
      </c>
      <c r="C320" s="3" t="s">
        <v>62</v>
      </c>
      <c r="D320" s="3" t="s">
        <v>63</v>
      </c>
      <c r="E320" s="3" t="s">
        <v>74</v>
      </c>
      <c r="F320" s="3" t="s">
        <v>210</v>
      </c>
      <c r="G320" s="4" t="s">
        <v>85</v>
      </c>
      <c r="H320" s="4">
        <v>0</v>
      </c>
      <c r="I320" s="4">
        <v>0</v>
      </c>
      <c r="J320" s="4">
        <v>0</v>
      </c>
      <c r="K320" s="5">
        <f t="shared" si="13"/>
        <v>0</v>
      </c>
      <c r="L320" s="5">
        <v>0</v>
      </c>
      <c r="M320" s="5">
        <v>0</v>
      </c>
      <c r="N320" s="4">
        <v>3</v>
      </c>
      <c r="O320" s="5">
        <f t="shared" si="14"/>
        <v>27274.93</v>
      </c>
      <c r="P320" s="5">
        <f>17789.33+9485.6</f>
        <v>27274.93</v>
      </c>
      <c r="Q320" s="5">
        <v>0</v>
      </c>
      <c r="R320" s="6"/>
    </row>
    <row r="321" spans="1:18" x14ac:dyDescent="0.25">
      <c r="A321" s="348">
        <f t="shared" si="15"/>
        <v>54</v>
      </c>
      <c r="B321" s="3" t="s">
        <v>109</v>
      </c>
      <c r="C321" s="3" t="s">
        <v>62</v>
      </c>
      <c r="D321" s="3" t="s">
        <v>63</v>
      </c>
      <c r="E321" s="3" t="s">
        <v>74</v>
      </c>
      <c r="F321" s="3" t="s">
        <v>213</v>
      </c>
      <c r="G321" s="4" t="s">
        <v>85</v>
      </c>
      <c r="H321" s="4">
        <v>0</v>
      </c>
      <c r="I321" s="4">
        <v>0</v>
      </c>
      <c r="J321" s="4">
        <v>0</v>
      </c>
      <c r="K321" s="5">
        <f t="shared" si="13"/>
        <v>0</v>
      </c>
      <c r="L321" s="5">
        <v>0</v>
      </c>
      <c r="M321" s="5">
        <v>0</v>
      </c>
      <c r="N321" s="4">
        <v>2</v>
      </c>
      <c r="O321" s="5">
        <f t="shared" si="14"/>
        <v>3812.68</v>
      </c>
      <c r="P321" s="5">
        <v>0</v>
      </c>
      <c r="Q321" s="5">
        <v>3812.68</v>
      </c>
      <c r="R321" s="6"/>
    </row>
    <row r="322" spans="1:18" x14ac:dyDescent="0.25">
      <c r="A322" s="348">
        <f t="shared" si="15"/>
        <v>55</v>
      </c>
      <c r="B322" s="3" t="s">
        <v>110</v>
      </c>
      <c r="C322" s="3" t="s">
        <v>62</v>
      </c>
      <c r="D322" s="3" t="s">
        <v>63</v>
      </c>
      <c r="E322" s="3" t="s">
        <v>74</v>
      </c>
      <c r="F322" s="3" t="s">
        <v>214</v>
      </c>
      <c r="G322" s="4" t="s">
        <v>85</v>
      </c>
      <c r="H322" s="4">
        <v>0</v>
      </c>
      <c r="I322" s="4">
        <v>0</v>
      </c>
      <c r="J322" s="4">
        <v>0</v>
      </c>
      <c r="K322" s="5">
        <f t="shared" si="13"/>
        <v>0</v>
      </c>
      <c r="L322" s="5">
        <v>0</v>
      </c>
      <c r="M322" s="5">
        <v>0</v>
      </c>
      <c r="N322" s="4">
        <v>0</v>
      </c>
      <c r="O322" s="5">
        <f t="shared" si="14"/>
        <v>12489.14</v>
      </c>
      <c r="P322" s="5">
        <v>12489.14</v>
      </c>
      <c r="Q322" s="5">
        <v>0</v>
      </c>
      <c r="R322" s="6"/>
    </row>
    <row r="323" spans="1:18" x14ac:dyDescent="0.25">
      <c r="A323" s="348">
        <f t="shared" si="15"/>
        <v>56</v>
      </c>
      <c r="B323" s="3" t="s">
        <v>111</v>
      </c>
      <c r="C323" s="3" t="s">
        <v>112</v>
      </c>
      <c r="D323" s="3" t="s">
        <v>113</v>
      </c>
      <c r="E323" s="3" t="s">
        <v>63</v>
      </c>
      <c r="F323" s="3" t="s">
        <v>139</v>
      </c>
      <c r="G323" s="4" t="s">
        <v>85</v>
      </c>
      <c r="H323" s="4">
        <v>1</v>
      </c>
      <c r="I323" s="4">
        <v>0</v>
      </c>
      <c r="J323" s="4">
        <v>0</v>
      </c>
      <c r="K323" s="5">
        <f t="shared" si="13"/>
        <v>0</v>
      </c>
      <c r="L323" s="5">
        <v>0</v>
      </c>
      <c r="M323" s="5">
        <v>0</v>
      </c>
      <c r="N323" s="4">
        <v>0</v>
      </c>
      <c r="O323" s="5">
        <f t="shared" si="14"/>
        <v>0</v>
      </c>
      <c r="P323" s="5">
        <v>0</v>
      </c>
      <c r="Q323" s="5">
        <v>0</v>
      </c>
      <c r="R323" s="6"/>
    </row>
    <row r="324" spans="1:18" x14ac:dyDescent="0.25">
      <c r="A324" s="348">
        <f t="shared" si="15"/>
        <v>57</v>
      </c>
      <c r="B324" s="3" t="s">
        <v>92</v>
      </c>
      <c r="C324" s="3" t="s">
        <v>62</v>
      </c>
      <c r="D324" s="3" t="s">
        <v>63</v>
      </c>
      <c r="E324" s="3" t="s">
        <v>74</v>
      </c>
      <c r="F324" s="3" t="s">
        <v>215</v>
      </c>
      <c r="G324" s="4" t="s">
        <v>85</v>
      </c>
      <c r="H324" s="4">
        <v>34</v>
      </c>
      <c r="I324" s="4">
        <v>30</v>
      </c>
      <c r="J324" s="4">
        <v>38</v>
      </c>
      <c r="K324" s="5">
        <f t="shared" si="13"/>
        <v>44523.09</v>
      </c>
      <c r="L324" s="5">
        <v>44523.09</v>
      </c>
      <c r="M324" s="5">
        <v>0</v>
      </c>
      <c r="N324" s="4">
        <v>13</v>
      </c>
      <c r="O324" s="5">
        <f t="shared" si="14"/>
        <v>45686.47</v>
      </c>
      <c r="P324" s="5">
        <v>26998.26</v>
      </c>
      <c r="Q324" s="5">
        <v>18688.21</v>
      </c>
      <c r="R324" s="6"/>
    </row>
    <row r="325" spans="1:18" ht="25.5" x14ac:dyDescent="0.25">
      <c r="A325" s="348">
        <f t="shared" si="15"/>
        <v>58</v>
      </c>
      <c r="B325" s="3" t="s">
        <v>216</v>
      </c>
      <c r="C325" s="3" t="s">
        <v>67</v>
      </c>
      <c r="D325" s="3" t="s">
        <v>436</v>
      </c>
      <c r="E325" s="3" t="s">
        <v>217</v>
      </c>
      <c r="F325" s="3" t="s">
        <v>218</v>
      </c>
      <c r="G325" s="4" t="s">
        <v>85</v>
      </c>
      <c r="H325" s="4">
        <v>13</v>
      </c>
      <c r="I325" s="4">
        <v>8</v>
      </c>
      <c r="J325" s="4">
        <v>8</v>
      </c>
      <c r="K325" s="5">
        <f t="shared" si="13"/>
        <v>6838.87</v>
      </c>
      <c r="L325" s="5">
        <v>5844.73</v>
      </c>
      <c r="M325" s="5">
        <v>994.14</v>
      </c>
      <c r="N325" s="4">
        <v>0</v>
      </c>
      <c r="O325" s="5">
        <f t="shared" si="14"/>
        <v>0</v>
      </c>
      <c r="P325" s="5">
        <v>0</v>
      </c>
      <c r="Q325" s="5">
        <v>0</v>
      </c>
      <c r="R325" s="6"/>
    </row>
    <row r="326" spans="1:18" ht="25.5" x14ac:dyDescent="0.25">
      <c r="A326" s="348">
        <f t="shared" si="15"/>
        <v>59</v>
      </c>
      <c r="B326" s="3" t="s">
        <v>35</v>
      </c>
      <c r="C326" s="3" t="s">
        <v>62</v>
      </c>
      <c r="D326" s="3" t="s">
        <v>63</v>
      </c>
      <c r="E326" s="3" t="s">
        <v>219</v>
      </c>
      <c r="F326" s="3" t="s">
        <v>220</v>
      </c>
      <c r="G326" s="4" t="s">
        <v>85</v>
      </c>
      <c r="H326" s="4">
        <v>50</v>
      </c>
      <c r="I326" s="4">
        <v>41</v>
      </c>
      <c r="J326" s="4">
        <v>48</v>
      </c>
      <c r="K326" s="5">
        <f t="shared" si="13"/>
        <v>73385.63</v>
      </c>
      <c r="L326" s="5">
        <v>31130.07</v>
      </c>
      <c r="M326" s="5">
        <v>42255.56</v>
      </c>
      <c r="N326" s="4">
        <v>31</v>
      </c>
      <c r="O326" s="5">
        <f t="shared" si="14"/>
        <v>61616.3</v>
      </c>
      <c r="P326" s="5">
        <v>52287.51</v>
      </c>
      <c r="Q326" s="5">
        <v>9328.7900000000009</v>
      </c>
      <c r="R326" s="6"/>
    </row>
    <row r="327" spans="1:18" ht="25.5" x14ac:dyDescent="0.25">
      <c r="A327" s="348">
        <f t="shared" si="15"/>
        <v>60</v>
      </c>
      <c r="B327" s="3" t="s">
        <v>114</v>
      </c>
      <c r="C327" s="3" t="s">
        <v>62</v>
      </c>
      <c r="D327" s="3" t="s">
        <v>63</v>
      </c>
      <c r="E327" s="3" t="s">
        <v>115</v>
      </c>
      <c r="F327" s="3" t="s">
        <v>221</v>
      </c>
      <c r="G327" s="4" t="s">
        <v>85</v>
      </c>
      <c r="H327" s="4">
        <v>11</v>
      </c>
      <c r="I327" s="4">
        <v>2</v>
      </c>
      <c r="J327" s="4">
        <v>2</v>
      </c>
      <c r="K327" s="5">
        <f t="shared" si="13"/>
        <v>1887.36</v>
      </c>
      <c r="L327" s="5">
        <v>0</v>
      </c>
      <c r="M327" s="5">
        <v>1887.36</v>
      </c>
      <c r="N327" s="4">
        <v>0</v>
      </c>
      <c r="O327" s="5">
        <f t="shared" si="14"/>
        <v>1108.48</v>
      </c>
      <c r="P327" s="5">
        <v>1108.48</v>
      </c>
      <c r="Q327" s="5">
        <v>0</v>
      </c>
      <c r="R327" s="6"/>
    </row>
    <row r="328" spans="1:18" ht="25.5" x14ac:dyDescent="0.25">
      <c r="A328" s="348">
        <f t="shared" si="15"/>
        <v>61</v>
      </c>
      <c r="B328" s="3" t="s">
        <v>222</v>
      </c>
      <c r="C328" s="3" t="s">
        <v>64</v>
      </c>
      <c r="D328" s="3" t="s">
        <v>486</v>
      </c>
      <c r="E328" s="3" t="s">
        <v>223</v>
      </c>
      <c r="F328" s="3" t="s">
        <v>224</v>
      </c>
      <c r="G328" s="4" t="s">
        <v>85</v>
      </c>
      <c r="H328" s="4">
        <v>19</v>
      </c>
      <c r="I328" s="4">
        <v>13</v>
      </c>
      <c r="J328" s="4">
        <v>16</v>
      </c>
      <c r="K328" s="5">
        <f t="shared" si="13"/>
        <v>21690.91</v>
      </c>
      <c r="L328" s="5">
        <v>10358.92</v>
      </c>
      <c r="M328" s="5">
        <v>11331.99</v>
      </c>
      <c r="N328" s="4">
        <v>0</v>
      </c>
      <c r="O328" s="5">
        <f t="shared" si="14"/>
        <v>0</v>
      </c>
      <c r="P328" s="5">
        <v>0</v>
      </c>
      <c r="Q328" s="5">
        <v>0</v>
      </c>
      <c r="R328" s="6"/>
    </row>
    <row r="329" spans="1:18" x14ac:dyDescent="0.25">
      <c r="A329" s="348">
        <f t="shared" si="15"/>
        <v>62</v>
      </c>
      <c r="B329" s="3" t="s">
        <v>93</v>
      </c>
      <c r="C329" s="3" t="s">
        <v>62</v>
      </c>
      <c r="D329" s="3" t="s">
        <v>63</v>
      </c>
      <c r="E329" s="3" t="s">
        <v>74</v>
      </c>
      <c r="F329" s="3" t="s">
        <v>225</v>
      </c>
      <c r="G329" s="4" t="s">
        <v>85</v>
      </c>
      <c r="H329" s="4">
        <v>14</v>
      </c>
      <c r="I329" s="4">
        <v>6</v>
      </c>
      <c r="J329" s="4">
        <v>7</v>
      </c>
      <c r="K329" s="5">
        <f t="shared" si="13"/>
        <v>11798.3</v>
      </c>
      <c r="L329" s="5">
        <v>11798.3</v>
      </c>
      <c r="M329" s="5">
        <v>0</v>
      </c>
      <c r="N329" s="4">
        <v>7</v>
      </c>
      <c r="O329" s="5">
        <f t="shared" si="14"/>
        <v>10672.71</v>
      </c>
      <c r="P329" s="5">
        <v>10672.71</v>
      </c>
      <c r="Q329" s="5">
        <v>0</v>
      </c>
      <c r="R329" s="6"/>
    </row>
    <row r="330" spans="1:18" ht="25.5" x14ac:dyDescent="0.25">
      <c r="A330" s="348">
        <f t="shared" si="15"/>
        <v>63</v>
      </c>
      <c r="B330" s="3" t="s">
        <v>226</v>
      </c>
      <c r="C330" s="3" t="s">
        <v>62</v>
      </c>
      <c r="D330" s="3" t="s">
        <v>611</v>
      </c>
      <c r="E330" s="3" t="s">
        <v>174</v>
      </c>
      <c r="F330" s="3" t="s">
        <v>227</v>
      </c>
      <c r="G330" s="4" t="s">
        <v>85</v>
      </c>
      <c r="H330" s="4">
        <v>29</v>
      </c>
      <c r="I330" s="4">
        <v>11</v>
      </c>
      <c r="J330" s="4">
        <v>13</v>
      </c>
      <c r="K330" s="5">
        <f t="shared" si="13"/>
        <v>24991.78</v>
      </c>
      <c r="L330" s="5">
        <v>16022.52</v>
      </c>
      <c r="M330" s="5">
        <v>8969.26</v>
      </c>
      <c r="N330" s="4">
        <v>0</v>
      </c>
      <c r="O330" s="5">
        <f t="shared" si="14"/>
        <v>0</v>
      </c>
      <c r="P330" s="5">
        <v>0</v>
      </c>
      <c r="Q330" s="5">
        <v>0</v>
      </c>
      <c r="R330" s="6"/>
    </row>
    <row r="331" spans="1:18" ht="25.5" x14ac:dyDescent="0.25">
      <c r="A331" s="348">
        <f t="shared" si="15"/>
        <v>64</v>
      </c>
      <c r="B331" s="3" t="s">
        <v>228</v>
      </c>
      <c r="C331" s="3" t="s">
        <v>62</v>
      </c>
      <c r="D331" s="3" t="s">
        <v>611</v>
      </c>
      <c r="E331" s="3" t="s">
        <v>229</v>
      </c>
      <c r="F331" s="3" t="s">
        <v>230</v>
      </c>
      <c r="G331" s="4" t="s">
        <v>85</v>
      </c>
      <c r="H331" s="4">
        <v>29</v>
      </c>
      <c r="I331" s="4">
        <v>20</v>
      </c>
      <c r="J331" s="4">
        <v>22</v>
      </c>
      <c r="K331" s="5">
        <f t="shared" si="13"/>
        <v>19255.28</v>
      </c>
      <c r="L331" s="5">
        <v>0</v>
      </c>
      <c r="M331" s="5">
        <v>19255.28</v>
      </c>
      <c r="N331" s="4">
        <v>0</v>
      </c>
      <c r="O331" s="5">
        <f t="shared" si="14"/>
        <v>0</v>
      </c>
      <c r="P331" s="5">
        <v>0</v>
      </c>
      <c r="Q331" s="5">
        <v>0</v>
      </c>
      <c r="R331" s="6"/>
    </row>
    <row r="332" spans="1:18" ht="25.5" x14ac:dyDescent="0.25">
      <c r="A332" s="348">
        <f t="shared" si="15"/>
        <v>65</v>
      </c>
      <c r="B332" s="3" t="s">
        <v>232</v>
      </c>
      <c r="C332" s="3" t="s">
        <v>62</v>
      </c>
      <c r="D332" s="3" t="s">
        <v>611</v>
      </c>
      <c r="E332" s="3" t="s">
        <v>174</v>
      </c>
      <c r="F332" s="3" t="s">
        <v>233</v>
      </c>
      <c r="G332" s="4" t="s">
        <v>85</v>
      </c>
      <c r="H332" s="4">
        <v>13</v>
      </c>
      <c r="I332" s="4">
        <v>9</v>
      </c>
      <c r="J332" s="4">
        <v>10</v>
      </c>
      <c r="K332" s="5">
        <f t="shared" si="13"/>
        <v>6197.22</v>
      </c>
      <c r="L332" s="5">
        <v>1316.21</v>
      </c>
      <c r="M332" s="5">
        <v>4881.01</v>
      </c>
      <c r="N332" s="4">
        <v>0</v>
      </c>
      <c r="O332" s="5">
        <f t="shared" si="14"/>
        <v>0</v>
      </c>
      <c r="P332" s="5">
        <v>0</v>
      </c>
      <c r="Q332" s="5">
        <v>0</v>
      </c>
      <c r="R332" s="6"/>
    </row>
    <row r="333" spans="1:18" ht="25.5" x14ac:dyDescent="0.25">
      <c r="A333" s="348">
        <f t="shared" si="15"/>
        <v>66</v>
      </c>
      <c r="B333" s="3" t="s">
        <v>487</v>
      </c>
      <c r="C333" s="3" t="s">
        <v>62</v>
      </c>
      <c r="D333" s="3" t="s">
        <v>611</v>
      </c>
      <c r="E333" s="3" t="s">
        <v>282</v>
      </c>
      <c r="F333" s="3" t="s">
        <v>488</v>
      </c>
      <c r="G333" s="4" t="s">
        <v>85</v>
      </c>
      <c r="H333" s="4">
        <v>8</v>
      </c>
      <c r="I333" s="4">
        <v>3</v>
      </c>
      <c r="J333" s="4">
        <v>3</v>
      </c>
      <c r="K333" s="5">
        <f t="shared" ref="K333:K396" si="16">L333+M333</f>
        <v>1999.87</v>
      </c>
      <c r="L333" s="5">
        <v>0</v>
      </c>
      <c r="M333" s="5">
        <v>1999.87</v>
      </c>
      <c r="N333" s="4">
        <v>0</v>
      </c>
      <c r="O333" s="5">
        <f t="shared" ref="O333:O396" si="17">P333+Q333</f>
        <v>0</v>
      </c>
      <c r="P333" s="5">
        <v>0</v>
      </c>
      <c r="Q333" s="5">
        <v>0</v>
      </c>
      <c r="R333" s="6"/>
    </row>
    <row r="334" spans="1:18" x14ac:dyDescent="0.25">
      <c r="A334" s="348">
        <f t="shared" ref="A334:A397" si="18">A333+1</f>
        <v>67</v>
      </c>
      <c r="B334" s="3" t="s">
        <v>116</v>
      </c>
      <c r="C334" s="3" t="s">
        <v>62</v>
      </c>
      <c r="D334" s="3" t="s">
        <v>63</v>
      </c>
      <c r="E334" s="3" t="s">
        <v>74</v>
      </c>
      <c r="F334" s="3" t="s">
        <v>231</v>
      </c>
      <c r="G334" s="4" t="s">
        <v>85</v>
      </c>
      <c r="H334" s="4">
        <v>33</v>
      </c>
      <c r="I334" s="4">
        <v>22</v>
      </c>
      <c r="J334" s="4">
        <v>24</v>
      </c>
      <c r="K334" s="5">
        <f t="shared" si="16"/>
        <v>36007.32</v>
      </c>
      <c r="L334" s="5">
        <v>33995.11</v>
      </c>
      <c r="M334" s="5">
        <v>2012.21</v>
      </c>
      <c r="N334" s="4">
        <v>3</v>
      </c>
      <c r="O334" s="5">
        <f t="shared" si="17"/>
        <v>5058.49</v>
      </c>
      <c r="P334" s="5">
        <v>5058.49</v>
      </c>
      <c r="Q334" s="5">
        <v>0</v>
      </c>
      <c r="R334" s="6"/>
    </row>
    <row r="335" spans="1:18" ht="25.5" x14ac:dyDescent="0.25">
      <c r="A335" s="348">
        <f t="shared" si="18"/>
        <v>68</v>
      </c>
      <c r="B335" s="3" t="s">
        <v>37</v>
      </c>
      <c r="C335" s="3" t="s">
        <v>62</v>
      </c>
      <c r="D335" s="3" t="s">
        <v>63</v>
      </c>
      <c r="E335" s="3" t="s">
        <v>70</v>
      </c>
      <c r="F335" s="3" t="s">
        <v>234</v>
      </c>
      <c r="G335" s="4" t="s">
        <v>85</v>
      </c>
      <c r="H335" s="4">
        <v>15</v>
      </c>
      <c r="I335" s="4">
        <v>9</v>
      </c>
      <c r="J335" s="4">
        <v>9</v>
      </c>
      <c r="K335" s="5">
        <f t="shared" si="16"/>
        <v>11914.75</v>
      </c>
      <c r="L335" s="5">
        <v>5814.6</v>
      </c>
      <c r="M335" s="5">
        <v>6100.15</v>
      </c>
      <c r="N335" s="4">
        <v>3</v>
      </c>
      <c r="O335" s="5">
        <f t="shared" si="17"/>
        <v>19390.900000000001</v>
      </c>
      <c r="P335" s="5">
        <v>18731.91</v>
      </c>
      <c r="Q335" s="5">
        <v>658.99</v>
      </c>
      <c r="R335" s="6"/>
    </row>
    <row r="336" spans="1:18" ht="38.25" x14ac:dyDescent="0.25">
      <c r="A336" s="348">
        <f t="shared" si="18"/>
        <v>69</v>
      </c>
      <c r="B336" s="3" t="s">
        <v>235</v>
      </c>
      <c r="C336" s="3" t="s">
        <v>62</v>
      </c>
      <c r="D336" s="3" t="s">
        <v>611</v>
      </c>
      <c r="E336" s="3" t="s">
        <v>236</v>
      </c>
      <c r="F336" s="3" t="s">
        <v>237</v>
      </c>
      <c r="G336" s="4" t="s">
        <v>85</v>
      </c>
      <c r="H336" s="4">
        <v>8</v>
      </c>
      <c r="I336" s="4">
        <v>6</v>
      </c>
      <c r="J336" s="4">
        <v>9</v>
      </c>
      <c r="K336" s="5">
        <f t="shared" si="16"/>
        <v>18943.79</v>
      </c>
      <c r="L336" s="5">
        <v>2896.83</v>
      </c>
      <c r="M336" s="5">
        <v>16046.96</v>
      </c>
      <c r="N336" s="4">
        <v>0</v>
      </c>
      <c r="O336" s="5">
        <f t="shared" si="17"/>
        <v>0</v>
      </c>
      <c r="P336" s="5">
        <v>0</v>
      </c>
      <c r="Q336" s="5">
        <v>0</v>
      </c>
      <c r="R336" s="6"/>
    </row>
    <row r="337" spans="1:18" ht="25.5" x14ac:dyDescent="0.25">
      <c r="A337" s="348">
        <f t="shared" si="18"/>
        <v>70</v>
      </c>
      <c r="B337" s="3" t="s">
        <v>238</v>
      </c>
      <c r="C337" s="3" t="s">
        <v>62</v>
      </c>
      <c r="D337" s="3" t="s">
        <v>611</v>
      </c>
      <c r="E337" s="3" t="s">
        <v>239</v>
      </c>
      <c r="F337" s="3" t="s">
        <v>240</v>
      </c>
      <c r="G337" s="4" t="s">
        <v>85</v>
      </c>
      <c r="H337" s="4">
        <v>14</v>
      </c>
      <c r="I337" s="4">
        <v>8</v>
      </c>
      <c r="J337" s="4">
        <v>9</v>
      </c>
      <c r="K337" s="5">
        <f t="shared" si="16"/>
        <v>8493.5499999999993</v>
      </c>
      <c r="L337" s="5">
        <v>8493.5499999999993</v>
      </c>
      <c r="M337" s="5">
        <v>0</v>
      </c>
      <c r="N337" s="4">
        <v>0</v>
      </c>
      <c r="O337" s="5">
        <f t="shared" si="17"/>
        <v>0</v>
      </c>
      <c r="P337" s="5">
        <v>0</v>
      </c>
      <c r="Q337" s="5">
        <v>0</v>
      </c>
      <c r="R337" s="6"/>
    </row>
    <row r="338" spans="1:18" ht="25.5" x14ac:dyDescent="0.25">
      <c r="A338" s="348">
        <f t="shared" si="18"/>
        <v>71</v>
      </c>
      <c r="B338" s="3" t="s">
        <v>357</v>
      </c>
      <c r="C338" s="3" t="s">
        <v>64</v>
      </c>
      <c r="D338" s="3" t="s">
        <v>585</v>
      </c>
      <c r="E338" s="3" t="s">
        <v>74</v>
      </c>
      <c r="F338" s="3" t="s">
        <v>573</v>
      </c>
      <c r="G338" s="4" t="s">
        <v>85</v>
      </c>
      <c r="H338" s="4">
        <v>6</v>
      </c>
      <c r="I338" s="4">
        <v>0</v>
      </c>
      <c r="J338" s="4">
        <v>0</v>
      </c>
      <c r="K338" s="5">
        <f t="shared" si="16"/>
        <v>0</v>
      </c>
      <c r="L338" s="5">
        <v>0</v>
      </c>
      <c r="M338" s="5">
        <v>0</v>
      </c>
      <c r="N338" s="4">
        <v>1</v>
      </c>
      <c r="O338" s="5">
        <f t="shared" si="17"/>
        <v>6753.85</v>
      </c>
      <c r="P338" s="5">
        <v>6753.85</v>
      </c>
      <c r="Q338" s="5">
        <v>0</v>
      </c>
      <c r="R338" s="6"/>
    </row>
    <row r="339" spans="1:18" x14ac:dyDescent="0.25">
      <c r="A339" s="348">
        <f t="shared" si="18"/>
        <v>72</v>
      </c>
      <c r="B339" s="3" t="s">
        <v>36</v>
      </c>
      <c r="C339" s="3" t="s">
        <v>62</v>
      </c>
      <c r="D339" s="3" t="s">
        <v>63</v>
      </c>
      <c r="E339" s="3" t="s">
        <v>74</v>
      </c>
      <c r="F339" s="3" t="s">
        <v>465</v>
      </c>
      <c r="G339" s="4" t="s">
        <v>85</v>
      </c>
      <c r="H339" s="4">
        <v>8</v>
      </c>
      <c r="I339" s="4">
        <v>1</v>
      </c>
      <c r="J339" s="4">
        <v>1</v>
      </c>
      <c r="K339" s="5">
        <f t="shared" si="16"/>
        <v>0</v>
      </c>
      <c r="L339" s="5">
        <v>0</v>
      </c>
      <c r="M339" s="5">
        <v>0</v>
      </c>
      <c r="N339" s="4">
        <v>4</v>
      </c>
      <c r="O339" s="5">
        <f t="shared" si="17"/>
        <v>18434.64</v>
      </c>
      <c r="P339" s="5">
        <f>2026.3+616.7</f>
        <v>2643</v>
      </c>
      <c r="Q339" s="5">
        <v>15791.64</v>
      </c>
      <c r="R339" s="6"/>
    </row>
    <row r="340" spans="1:18" x14ac:dyDescent="0.25">
      <c r="A340" s="348">
        <f t="shared" si="18"/>
        <v>73</v>
      </c>
      <c r="B340" s="3" t="s">
        <v>39</v>
      </c>
      <c r="C340" s="3" t="s">
        <v>62</v>
      </c>
      <c r="D340" s="3" t="s">
        <v>63</v>
      </c>
      <c r="E340" s="3" t="s">
        <v>77</v>
      </c>
      <c r="F340" s="3" t="s">
        <v>466</v>
      </c>
      <c r="G340" s="4" t="s">
        <v>85</v>
      </c>
      <c r="H340" s="4">
        <v>93</v>
      </c>
      <c r="I340" s="4">
        <v>74</v>
      </c>
      <c r="J340" s="4">
        <v>80</v>
      </c>
      <c r="K340" s="5">
        <f t="shared" si="16"/>
        <v>50451.94</v>
      </c>
      <c r="L340" s="5">
        <v>23581.85</v>
      </c>
      <c r="M340" s="5">
        <v>26870.09</v>
      </c>
      <c r="N340" s="4">
        <v>9</v>
      </c>
      <c r="O340" s="5">
        <f t="shared" si="17"/>
        <v>18898.939999999999</v>
      </c>
      <c r="P340" s="5">
        <v>16389.73</v>
      </c>
      <c r="Q340" s="5">
        <v>2509.21</v>
      </c>
      <c r="R340" s="6"/>
    </row>
    <row r="341" spans="1:18" ht="38.25" x14ac:dyDescent="0.25">
      <c r="A341" s="348">
        <f t="shared" si="18"/>
        <v>74</v>
      </c>
      <c r="B341" s="3" t="s">
        <v>40</v>
      </c>
      <c r="C341" s="3" t="s">
        <v>62</v>
      </c>
      <c r="D341" s="3" t="s">
        <v>63</v>
      </c>
      <c r="E341" s="3" t="s">
        <v>249</v>
      </c>
      <c r="F341" s="3" t="s">
        <v>250</v>
      </c>
      <c r="G341" s="4" t="s">
        <v>85</v>
      </c>
      <c r="H341" s="4">
        <v>27</v>
      </c>
      <c r="I341" s="4">
        <v>25</v>
      </c>
      <c r="J341" s="4">
        <v>38</v>
      </c>
      <c r="K341" s="5">
        <f t="shared" si="16"/>
        <v>50573.78</v>
      </c>
      <c r="L341" s="5">
        <v>49023.22</v>
      </c>
      <c r="M341" s="5">
        <v>1550.56</v>
      </c>
      <c r="N341" s="4">
        <v>18</v>
      </c>
      <c r="O341" s="5">
        <f t="shared" si="17"/>
        <v>50292.88</v>
      </c>
      <c r="P341" s="5">
        <v>44654.28</v>
      </c>
      <c r="Q341" s="5">
        <v>5638.6</v>
      </c>
      <c r="R341" s="6"/>
    </row>
    <row r="342" spans="1:18" ht="25.5" x14ac:dyDescent="0.25">
      <c r="A342" s="348">
        <f t="shared" si="18"/>
        <v>75</v>
      </c>
      <c r="B342" s="3" t="s">
        <v>251</v>
      </c>
      <c r="C342" s="3" t="s">
        <v>62</v>
      </c>
      <c r="D342" s="3" t="s">
        <v>611</v>
      </c>
      <c r="E342" s="3" t="s">
        <v>177</v>
      </c>
      <c r="F342" s="3" t="s">
        <v>252</v>
      </c>
      <c r="G342" s="4" t="s">
        <v>85</v>
      </c>
      <c r="H342" s="4">
        <v>39</v>
      </c>
      <c r="I342" s="4">
        <v>27</v>
      </c>
      <c r="J342" s="4">
        <v>41</v>
      </c>
      <c r="K342" s="5">
        <f t="shared" si="16"/>
        <v>48986.76</v>
      </c>
      <c r="L342" s="5">
        <v>31584.45</v>
      </c>
      <c r="M342" s="5">
        <v>17402.310000000001</v>
      </c>
      <c r="N342" s="4">
        <v>0</v>
      </c>
      <c r="O342" s="5">
        <f t="shared" si="17"/>
        <v>0</v>
      </c>
      <c r="P342" s="5">
        <v>0</v>
      </c>
      <c r="Q342" s="5">
        <v>0</v>
      </c>
      <c r="R342" s="6"/>
    </row>
    <row r="343" spans="1:18" x14ac:dyDescent="0.25">
      <c r="A343" s="348">
        <f t="shared" si="18"/>
        <v>76</v>
      </c>
      <c r="B343" s="3" t="s">
        <v>117</v>
      </c>
      <c r="C343" s="3" t="s">
        <v>62</v>
      </c>
      <c r="D343" s="3" t="s">
        <v>63</v>
      </c>
      <c r="E343" s="3" t="s">
        <v>74</v>
      </c>
      <c r="F343" s="3" t="s">
        <v>520</v>
      </c>
      <c r="G343" s="4" t="s">
        <v>85</v>
      </c>
      <c r="H343" s="4">
        <v>1</v>
      </c>
      <c r="I343" s="4">
        <v>1</v>
      </c>
      <c r="J343" s="4">
        <v>1</v>
      </c>
      <c r="K343" s="5">
        <f t="shared" si="16"/>
        <v>2616.5700000000002</v>
      </c>
      <c r="L343" s="5">
        <v>2616.5700000000002</v>
      </c>
      <c r="M343" s="5">
        <v>0</v>
      </c>
      <c r="N343" s="4">
        <v>3</v>
      </c>
      <c r="O343" s="5">
        <f t="shared" si="17"/>
        <v>1569.94</v>
      </c>
      <c r="P343" s="5">
        <v>581.46</v>
      </c>
      <c r="Q343" s="5">
        <v>988.48</v>
      </c>
      <c r="R343" s="6"/>
    </row>
    <row r="344" spans="1:18" ht="25.5" x14ac:dyDescent="0.25">
      <c r="A344" s="348">
        <f t="shared" si="18"/>
        <v>77</v>
      </c>
      <c r="B344" s="3" t="s">
        <v>41</v>
      </c>
      <c r="C344" s="3" t="s">
        <v>64</v>
      </c>
      <c r="D344" s="3" t="s">
        <v>65</v>
      </c>
      <c r="E344" s="3" t="s">
        <v>72</v>
      </c>
      <c r="F344" s="3" t="s">
        <v>253</v>
      </c>
      <c r="G344" s="4" t="s">
        <v>85</v>
      </c>
      <c r="H344" s="4">
        <v>2</v>
      </c>
      <c r="I344" s="4">
        <v>2</v>
      </c>
      <c r="J344" s="4">
        <v>2</v>
      </c>
      <c r="K344" s="5">
        <f t="shared" si="16"/>
        <v>1575.23</v>
      </c>
      <c r="L344" s="5">
        <v>1575.23</v>
      </c>
      <c r="M344" s="5">
        <v>0</v>
      </c>
      <c r="N344" s="4">
        <v>12</v>
      </c>
      <c r="O344" s="5">
        <f t="shared" si="17"/>
        <v>33315.620000000003</v>
      </c>
      <c r="P344" s="5">
        <v>33315.620000000003</v>
      </c>
      <c r="Q344" s="5">
        <v>0</v>
      </c>
      <c r="R344" s="6"/>
    </row>
    <row r="345" spans="1:18" x14ac:dyDescent="0.25">
      <c r="A345" s="348">
        <f t="shared" si="18"/>
        <v>78</v>
      </c>
      <c r="B345" s="3" t="s">
        <v>118</v>
      </c>
      <c r="C345" s="3" t="s">
        <v>62</v>
      </c>
      <c r="D345" s="3" t="s">
        <v>63</v>
      </c>
      <c r="E345" s="3" t="s">
        <v>63</v>
      </c>
      <c r="F345" s="3" t="s">
        <v>467</v>
      </c>
      <c r="G345" s="4" t="s">
        <v>85</v>
      </c>
      <c r="H345" s="4">
        <v>6</v>
      </c>
      <c r="I345" s="4">
        <v>1</v>
      </c>
      <c r="J345" s="4">
        <v>1</v>
      </c>
      <c r="K345" s="5">
        <f t="shared" si="16"/>
        <v>0</v>
      </c>
      <c r="L345" s="5">
        <v>0</v>
      </c>
      <c r="M345" s="5">
        <v>0</v>
      </c>
      <c r="N345" s="4">
        <v>1</v>
      </c>
      <c r="O345" s="5">
        <f t="shared" si="17"/>
        <v>15601.16</v>
      </c>
      <c r="P345" s="5">
        <f>4722.23+5109.8</f>
        <v>9832.0299999999988</v>
      </c>
      <c r="Q345" s="5">
        <v>5769.13</v>
      </c>
      <c r="R345" s="6"/>
    </row>
    <row r="346" spans="1:18" ht="25.5" x14ac:dyDescent="0.25">
      <c r="A346" s="348">
        <f t="shared" si="18"/>
        <v>79</v>
      </c>
      <c r="B346" s="3" t="s">
        <v>548</v>
      </c>
      <c r="C346" s="3" t="s">
        <v>62</v>
      </c>
      <c r="D346" s="3" t="s">
        <v>611</v>
      </c>
      <c r="E346" s="3" t="s">
        <v>549</v>
      </c>
      <c r="F346" s="3" t="s">
        <v>550</v>
      </c>
      <c r="G346" s="4" t="s">
        <v>85</v>
      </c>
      <c r="H346" s="4">
        <v>3</v>
      </c>
      <c r="I346" s="4">
        <v>1</v>
      </c>
      <c r="J346" s="4">
        <v>1</v>
      </c>
      <c r="K346" s="5">
        <f t="shared" si="16"/>
        <v>654.14</v>
      </c>
      <c r="L346" s="5">
        <v>0</v>
      </c>
      <c r="M346" s="5">
        <v>654.14</v>
      </c>
      <c r="N346" s="4">
        <v>0</v>
      </c>
      <c r="O346" s="5">
        <f t="shared" si="17"/>
        <v>0</v>
      </c>
      <c r="P346" s="5">
        <v>0</v>
      </c>
      <c r="Q346" s="5">
        <v>0</v>
      </c>
      <c r="R346" s="6"/>
    </row>
    <row r="347" spans="1:18" ht="25.5" x14ac:dyDescent="0.25">
      <c r="A347" s="348">
        <f t="shared" si="18"/>
        <v>80</v>
      </c>
      <c r="B347" s="3" t="s">
        <v>254</v>
      </c>
      <c r="C347" s="3" t="s">
        <v>62</v>
      </c>
      <c r="D347" s="3" t="s">
        <v>611</v>
      </c>
      <c r="E347" s="3" t="s">
        <v>239</v>
      </c>
      <c r="F347" s="3" t="s">
        <v>255</v>
      </c>
      <c r="G347" s="4" t="s">
        <v>85</v>
      </c>
      <c r="H347" s="4">
        <v>8</v>
      </c>
      <c r="I347" s="4">
        <v>6</v>
      </c>
      <c r="J347" s="4">
        <v>7</v>
      </c>
      <c r="K347" s="5">
        <f t="shared" si="16"/>
        <v>8361.66</v>
      </c>
      <c r="L347" s="5">
        <v>0</v>
      </c>
      <c r="M347" s="5">
        <v>8361.66</v>
      </c>
      <c r="N347" s="4">
        <v>0</v>
      </c>
      <c r="O347" s="5">
        <f t="shared" si="17"/>
        <v>0</v>
      </c>
      <c r="P347" s="5">
        <v>0</v>
      </c>
      <c r="Q347" s="5">
        <v>0</v>
      </c>
      <c r="R347" s="6"/>
    </row>
    <row r="348" spans="1:18" x14ac:dyDescent="0.25">
      <c r="A348" s="348">
        <f t="shared" si="18"/>
        <v>81</v>
      </c>
      <c r="B348" s="3" t="s">
        <v>587</v>
      </c>
      <c r="C348" s="3" t="s">
        <v>62</v>
      </c>
      <c r="D348" s="3" t="s">
        <v>63</v>
      </c>
      <c r="E348" s="3" t="s">
        <v>63</v>
      </c>
      <c r="F348" s="3" t="s">
        <v>609</v>
      </c>
      <c r="G348" s="4" t="s">
        <v>85</v>
      </c>
      <c r="H348" s="4">
        <v>0</v>
      </c>
      <c r="I348" s="4">
        <v>0</v>
      </c>
      <c r="J348" s="4">
        <v>0</v>
      </c>
      <c r="K348" s="5">
        <f t="shared" si="16"/>
        <v>0</v>
      </c>
      <c r="L348" s="5">
        <v>0</v>
      </c>
      <c r="M348" s="5">
        <v>0</v>
      </c>
      <c r="N348" s="4">
        <v>1</v>
      </c>
      <c r="O348" s="5">
        <f t="shared" si="17"/>
        <v>3658.79</v>
      </c>
      <c r="P348" s="5">
        <v>0</v>
      </c>
      <c r="Q348" s="5">
        <v>3658.79</v>
      </c>
      <c r="R348" s="6"/>
    </row>
    <row r="349" spans="1:18" ht="25.5" x14ac:dyDescent="0.25">
      <c r="A349" s="348">
        <f t="shared" si="18"/>
        <v>82</v>
      </c>
      <c r="B349" s="3" t="s">
        <v>241</v>
      </c>
      <c r="C349" s="3" t="s">
        <v>62</v>
      </c>
      <c r="D349" s="3" t="s">
        <v>611</v>
      </c>
      <c r="E349" s="3" t="s">
        <v>242</v>
      </c>
      <c r="F349" s="3" t="s">
        <v>243</v>
      </c>
      <c r="G349" s="4" t="s">
        <v>85</v>
      </c>
      <c r="H349" s="4">
        <v>9</v>
      </c>
      <c r="I349" s="4">
        <v>9</v>
      </c>
      <c r="J349" s="4">
        <v>13</v>
      </c>
      <c r="K349" s="5">
        <f t="shared" si="16"/>
        <v>17138</v>
      </c>
      <c r="L349" s="5">
        <v>3433.01</v>
      </c>
      <c r="M349" s="5">
        <v>13704.99</v>
      </c>
      <c r="N349" s="4">
        <v>0</v>
      </c>
      <c r="O349" s="5">
        <f t="shared" si="17"/>
        <v>0</v>
      </c>
      <c r="P349" s="5">
        <v>0</v>
      </c>
      <c r="Q349" s="5">
        <v>0</v>
      </c>
      <c r="R349" s="6"/>
    </row>
    <row r="350" spans="1:18" ht="38.25" x14ac:dyDescent="0.25">
      <c r="A350" s="348">
        <f t="shared" si="18"/>
        <v>83</v>
      </c>
      <c r="B350" s="3" t="s">
        <v>38</v>
      </c>
      <c r="C350" s="3" t="s">
        <v>62</v>
      </c>
      <c r="D350" s="3" t="s">
        <v>63</v>
      </c>
      <c r="E350" s="3" t="s">
        <v>244</v>
      </c>
      <c r="F350" s="3" t="s">
        <v>245</v>
      </c>
      <c r="G350" s="4" t="s">
        <v>85</v>
      </c>
      <c r="H350" s="4">
        <v>80</v>
      </c>
      <c r="I350" s="4">
        <v>62</v>
      </c>
      <c r="J350" s="4">
        <v>96</v>
      </c>
      <c r="K350" s="5">
        <f t="shared" si="16"/>
        <v>177826.79</v>
      </c>
      <c r="L350" s="5">
        <v>119240.35</v>
      </c>
      <c r="M350" s="5">
        <v>58586.44</v>
      </c>
      <c r="N350" s="4">
        <v>85</v>
      </c>
      <c r="O350" s="5">
        <f t="shared" si="17"/>
        <v>265243.16000000003</v>
      </c>
      <c r="P350" s="5">
        <v>211691.13</v>
      </c>
      <c r="Q350" s="5">
        <v>53552.03</v>
      </c>
      <c r="R350" s="6"/>
    </row>
    <row r="351" spans="1:18" ht="25.5" x14ac:dyDescent="0.25">
      <c r="A351" s="348">
        <f t="shared" si="18"/>
        <v>84</v>
      </c>
      <c r="B351" s="3" t="s">
        <v>246</v>
      </c>
      <c r="C351" s="3" t="s">
        <v>62</v>
      </c>
      <c r="D351" s="3" t="s">
        <v>611</v>
      </c>
      <c r="E351" s="3" t="s">
        <v>247</v>
      </c>
      <c r="F351" s="3" t="s">
        <v>248</v>
      </c>
      <c r="G351" s="4" t="s">
        <v>85</v>
      </c>
      <c r="H351" s="4">
        <v>28</v>
      </c>
      <c r="I351" s="4">
        <v>16</v>
      </c>
      <c r="J351" s="4">
        <v>19</v>
      </c>
      <c r="K351" s="5">
        <f t="shared" si="16"/>
        <v>11281.81</v>
      </c>
      <c r="L351" s="5">
        <v>7948.32</v>
      </c>
      <c r="M351" s="5">
        <v>3333.49</v>
      </c>
      <c r="N351" s="4">
        <v>0</v>
      </c>
      <c r="O351" s="5">
        <f t="shared" si="17"/>
        <v>0</v>
      </c>
      <c r="P351" s="5">
        <v>0</v>
      </c>
      <c r="Q351" s="5">
        <v>0</v>
      </c>
      <c r="R351" s="6"/>
    </row>
    <row r="352" spans="1:18" ht="25.5" x14ac:dyDescent="0.25">
      <c r="A352" s="348">
        <f t="shared" si="18"/>
        <v>85</v>
      </c>
      <c r="B352" s="3" t="s">
        <v>574</v>
      </c>
      <c r="C352" s="3" t="s">
        <v>62</v>
      </c>
      <c r="D352" s="3" t="s">
        <v>63</v>
      </c>
      <c r="E352" s="3" t="s">
        <v>575</v>
      </c>
      <c r="F352" s="3" t="s">
        <v>576</v>
      </c>
      <c r="G352" s="4" t="s">
        <v>85</v>
      </c>
      <c r="H352" s="4">
        <v>0</v>
      </c>
      <c r="I352" s="4">
        <v>0</v>
      </c>
      <c r="J352" s="4">
        <v>0</v>
      </c>
      <c r="K352" s="5">
        <f t="shared" si="16"/>
        <v>0</v>
      </c>
      <c r="L352" s="5">
        <v>0</v>
      </c>
      <c r="M352" s="5">
        <v>0</v>
      </c>
      <c r="N352" s="4">
        <v>3</v>
      </c>
      <c r="O352" s="5">
        <f t="shared" si="17"/>
        <v>2509.4</v>
      </c>
      <c r="P352" s="5">
        <v>2509.4</v>
      </c>
      <c r="Q352" s="5">
        <v>0</v>
      </c>
      <c r="R352" s="6"/>
    </row>
    <row r="353" spans="1:18" x14ac:dyDescent="0.25">
      <c r="A353" s="348">
        <f t="shared" si="18"/>
        <v>86</v>
      </c>
      <c r="B353" s="3" t="s">
        <v>256</v>
      </c>
      <c r="C353" s="3" t="s">
        <v>62</v>
      </c>
      <c r="D353" s="3" t="s">
        <v>611</v>
      </c>
      <c r="E353" s="3" t="s">
        <v>158</v>
      </c>
      <c r="F353" s="3" t="s">
        <v>257</v>
      </c>
      <c r="G353" s="4" t="s">
        <v>85</v>
      </c>
      <c r="H353" s="4">
        <v>9</v>
      </c>
      <c r="I353" s="4">
        <v>5</v>
      </c>
      <c r="J353" s="4">
        <v>5</v>
      </c>
      <c r="K353" s="5">
        <f t="shared" si="16"/>
        <v>3024.85</v>
      </c>
      <c r="L353" s="5">
        <v>2079.16</v>
      </c>
      <c r="M353" s="5">
        <v>945.69</v>
      </c>
      <c r="N353" s="4">
        <v>0</v>
      </c>
      <c r="O353" s="5">
        <f t="shared" si="17"/>
        <v>0</v>
      </c>
      <c r="P353" s="5">
        <v>0</v>
      </c>
      <c r="Q353" s="5">
        <v>0</v>
      </c>
      <c r="R353" s="6"/>
    </row>
    <row r="354" spans="1:18" ht="25.5" x14ac:dyDescent="0.25">
      <c r="A354" s="348">
        <f t="shared" si="18"/>
        <v>87</v>
      </c>
      <c r="B354" s="3" t="s">
        <v>258</v>
      </c>
      <c r="C354" s="3" t="s">
        <v>62</v>
      </c>
      <c r="D354" s="3" t="s">
        <v>611</v>
      </c>
      <c r="E354" s="3" t="s">
        <v>239</v>
      </c>
      <c r="F354" s="3" t="s">
        <v>259</v>
      </c>
      <c r="G354" s="4" t="s">
        <v>85</v>
      </c>
      <c r="H354" s="4">
        <v>29</v>
      </c>
      <c r="I354" s="4">
        <v>21</v>
      </c>
      <c r="J354" s="4">
        <v>21</v>
      </c>
      <c r="K354" s="5">
        <f t="shared" si="16"/>
        <v>39127.08</v>
      </c>
      <c r="L354" s="5">
        <v>8121.44</v>
      </c>
      <c r="M354" s="5">
        <v>31005.64</v>
      </c>
      <c r="N354" s="4">
        <v>0</v>
      </c>
      <c r="O354" s="5">
        <f t="shared" si="17"/>
        <v>0</v>
      </c>
      <c r="P354" s="5">
        <v>0</v>
      </c>
      <c r="Q354" s="5">
        <v>0</v>
      </c>
      <c r="R354" s="6"/>
    </row>
    <row r="355" spans="1:18" ht="25.5" x14ac:dyDescent="0.25">
      <c r="A355" s="348">
        <f t="shared" si="18"/>
        <v>88</v>
      </c>
      <c r="B355" s="3" t="s">
        <v>42</v>
      </c>
      <c r="C355" s="3" t="s">
        <v>62</v>
      </c>
      <c r="D355" s="3" t="s">
        <v>63</v>
      </c>
      <c r="E355" s="3" t="s">
        <v>78</v>
      </c>
      <c r="F355" s="3" t="s">
        <v>260</v>
      </c>
      <c r="G355" s="4" t="s">
        <v>85</v>
      </c>
      <c r="H355" s="4">
        <v>43</v>
      </c>
      <c r="I355" s="4">
        <v>32</v>
      </c>
      <c r="J355" s="4">
        <v>38</v>
      </c>
      <c r="K355" s="5">
        <f t="shared" si="16"/>
        <v>85103.98</v>
      </c>
      <c r="L355" s="5">
        <v>82548.67</v>
      </c>
      <c r="M355" s="5">
        <v>2555.31</v>
      </c>
      <c r="N355" s="4">
        <v>31</v>
      </c>
      <c r="O355" s="5">
        <f t="shared" si="17"/>
        <v>149032.84</v>
      </c>
      <c r="P355" s="5">
        <v>142852.22</v>
      </c>
      <c r="Q355" s="5">
        <v>6180.62</v>
      </c>
      <c r="R355" s="6"/>
    </row>
    <row r="356" spans="1:18" ht="25.5" x14ac:dyDescent="0.25">
      <c r="A356" s="348">
        <f t="shared" si="18"/>
        <v>89</v>
      </c>
      <c r="B356" s="3" t="s">
        <v>43</v>
      </c>
      <c r="C356" s="3" t="s">
        <v>62</v>
      </c>
      <c r="D356" s="3" t="s">
        <v>63</v>
      </c>
      <c r="E356" s="3" t="s">
        <v>72</v>
      </c>
      <c r="F356" s="3" t="s">
        <v>261</v>
      </c>
      <c r="G356" s="4" t="s">
        <v>85</v>
      </c>
      <c r="H356" s="4">
        <v>21</v>
      </c>
      <c r="I356" s="4">
        <v>16</v>
      </c>
      <c r="J356" s="4">
        <v>22</v>
      </c>
      <c r="K356" s="5">
        <f t="shared" si="16"/>
        <v>38941.270000000004</v>
      </c>
      <c r="L356" s="5">
        <v>34745.93</v>
      </c>
      <c r="M356" s="5">
        <v>4195.34</v>
      </c>
      <c r="N356" s="4">
        <v>38</v>
      </c>
      <c r="O356" s="5">
        <f t="shared" si="17"/>
        <v>174165.66</v>
      </c>
      <c r="P356" s="5">
        <v>170589.94</v>
      </c>
      <c r="Q356" s="5">
        <v>3575.72</v>
      </c>
      <c r="R356" s="6"/>
    </row>
    <row r="357" spans="1:18" x14ac:dyDescent="0.25">
      <c r="A357" s="348">
        <f t="shared" si="18"/>
        <v>90</v>
      </c>
      <c r="B357" s="3" t="s">
        <v>44</v>
      </c>
      <c r="C357" s="3" t="s">
        <v>62</v>
      </c>
      <c r="D357" s="3" t="s">
        <v>63</v>
      </c>
      <c r="E357" s="3" t="s">
        <v>74</v>
      </c>
      <c r="F357" s="3" t="s">
        <v>262</v>
      </c>
      <c r="G357" s="4" t="s">
        <v>85</v>
      </c>
      <c r="H357" s="4">
        <v>41</v>
      </c>
      <c r="I357" s="4">
        <v>32</v>
      </c>
      <c r="J357" s="4">
        <v>37</v>
      </c>
      <c r="K357" s="5">
        <f t="shared" si="16"/>
        <v>22540.809999999998</v>
      </c>
      <c r="L357" s="5">
        <v>16705.71</v>
      </c>
      <c r="M357" s="5">
        <v>5835.1</v>
      </c>
      <c r="N357" s="4">
        <v>36</v>
      </c>
      <c r="O357" s="5">
        <f t="shared" si="17"/>
        <v>139624.70000000001</v>
      </c>
      <c r="P357" s="5">
        <v>104160.66</v>
      </c>
      <c r="Q357" s="5">
        <v>35464.04</v>
      </c>
      <c r="R357" s="6"/>
    </row>
    <row r="358" spans="1:18" ht="25.5" x14ac:dyDescent="0.25">
      <c r="A358" s="348">
        <f t="shared" si="18"/>
        <v>91</v>
      </c>
      <c r="B358" s="3" t="s">
        <v>45</v>
      </c>
      <c r="C358" s="3" t="s">
        <v>62</v>
      </c>
      <c r="D358" s="3" t="s">
        <v>63</v>
      </c>
      <c r="E358" s="3" t="s">
        <v>79</v>
      </c>
      <c r="F358" s="3" t="s">
        <v>263</v>
      </c>
      <c r="G358" s="4" t="s">
        <v>85</v>
      </c>
      <c r="H358" s="4">
        <v>15</v>
      </c>
      <c r="I358" s="4">
        <v>11</v>
      </c>
      <c r="J358" s="4">
        <v>16</v>
      </c>
      <c r="K358" s="5">
        <f t="shared" si="16"/>
        <v>21822.1</v>
      </c>
      <c r="L358" s="5">
        <v>21822.1</v>
      </c>
      <c r="M358" s="5">
        <v>0</v>
      </c>
      <c r="N358" s="4">
        <v>3</v>
      </c>
      <c r="O358" s="5">
        <f t="shared" si="17"/>
        <v>18586.060000000001</v>
      </c>
      <c r="P358" s="5">
        <v>17166.18</v>
      </c>
      <c r="Q358" s="5">
        <v>1419.88</v>
      </c>
      <c r="R358" s="6"/>
    </row>
    <row r="359" spans="1:18" x14ac:dyDescent="0.25">
      <c r="A359" s="348">
        <f t="shared" si="18"/>
        <v>92</v>
      </c>
      <c r="B359" s="3" t="s">
        <v>264</v>
      </c>
      <c r="C359" s="3" t="s">
        <v>62</v>
      </c>
      <c r="D359" s="3" t="s">
        <v>63</v>
      </c>
      <c r="E359" s="3" t="s">
        <v>74</v>
      </c>
      <c r="F359" s="3" t="s">
        <v>265</v>
      </c>
      <c r="G359" s="4" t="s">
        <v>85</v>
      </c>
      <c r="H359" s="4">
        <v>23</v>
      </c>
      <c r="I359" s="4">
        <v>20</v>
      </c>
      <c r="J359" s="4">
        <v>22</v>
      </c>
      <c r="K359" s="5">
        <f t="shared" si="16"/>
        <v>15861.81</v>
      </c>
      <c r="L359" s="5">
        <v>13387.96</v>
      </c>
      <c r="M359" s="5">
        <v>2473.85</v>
      </c>
      <c r="N359" s="4">
        <v>0</v>
      </c>
      <c r="O359" s="5">
        <f t="shared" si="17"/>
        <v>0</v>
      </c>
      <c r="P359" s="5">
        <v>0</v>
      </c>
      <c r="Q359" s="5">
        <v>0</v>
      </c>
      <c r="R359" s="6"/>
    </row>
    <row r="360" spans="1:18" ht="25.5" x14ac:dyDescent="0.25">
      <c r="A360" s="348">
        <f t="shared" si="18"/>
        <v>93</v>
      </c>
      <c r="B360" s="3" t="s">
        <v>119</v>
      </c>
      <c r="C360" s="3" t="s">
        <v>62</v>
      </c>
      <c r="D360" s="3" t="s">
        <v>63</v>
      </c>
      <c r="E360" s="3" t="s">
        <v>108</v>
      </c>
      <c r="F360" s="3" t="s">
        <v>266</v>
      </c>
      <c r="G360" s="4" t="s">
        <v>85</v>
      </c>
      <c r="H360" s="4">
        <v>16</v>
      </c>
      <c r="I360" s="4">
        <v>12</v>
      </c>
      <c r="J360" s="4">
        <v>14</v>
      </c>
      <c r="K360" s="5">
        <f t="shared" si="16"/>
        <v>18071.580000000002</v>
      </c>
      <c r="L360" s="5">
        <v>12773.45</v>
      </c>
      <c r="M360" s="5">
        <v>5298.13</v>
      </c>
      <c r="N360" s="4">
        <v>3</v>
      </c>
      <c r="O360" s="5">
        <f t="shared" si="17"/>
        <v>1881.62</v>
      </c>
      <c r="P360" s="5">
        <v>1291.3499999999999</v>
      </c>
      <c r="Q360" s="5">
        <v>590.27</v>
      </c>
      <c r="R360" s="6"/>
    </row>
    <row r="361" spans="1:18" ht="38.25" x14ac:dyDescent="0.25">
      <c r="A361" s="348">
        <f t="shared" si="18"/>
        <v>94</v>
      </c>
      <c r="B361" s="3" t="s">
        <v>46</v>
      </c>
      <c r="C361" s="3" t="s">
        <v>62</v>
      </c>
      <c r="D361" s="3" t="s">
        <v>63</v>
      </c>
      <c r="E361" s="3" t="s">
        <v>267</v>
      </c>
      <c r="F361" s="3" t="s">
        <v>268</v>
      </c>
      <c r="G361" s="4" t="s">
        <v>85</v>
      </c>
      <c r="H361" s="4">
        <v>20</v>
      </c>
      <c r="I361" s="4">
        <v>15</v>
      </c>
      <c r="J361" s="4">
        <v>24</v>
      </c>
      <c r="K361" s="5">
        <f t="shared" si="16"/>
        <v>59873.64</v>
      </c>
      <c r="L361" s="5">
        <v>40625.67</v>
      </c>
      <c r="M361" s="5">
        <v>19247.97</v>
      </c>
      <c r="N361" s="4">
        <v>24</v>
      </c>
      <c r="O361" s="5">
        <f t="shared" si="17"/>
        <v>115902.94</v>
      </c>
      <c r="P361" s="5">
        <v>115902.94</v>
      </c>
      <c r="Q361" s="5">
        <v>0</v>
      </c>
      <c r="R361" s="6"/>
    </row>
    <row r="362" spans="1:18" ht="25.5" x14ac:dyDescent="0.25">
      <c r="A362" s="348">
        <f t="shared" si="18"/>
        <v>95</v>
      </c>
      <c r="B362" s="3" t="s">
        <v>47</v>
      </c>
      <c r="C362" s="3" t="s">
        <v>62</v>
      </c>
      <c r="D362" s="3" t="s">
        <v>63</v>
      </c>
      <c r="E362" s="3" t="s">
        <v>80</v>
      </c>
      <c r="F362" s="3" t="s">
        <v>269</v>
      </c>
      <c r="G362" s="4" t="s">
        <v>85</v>
      </c>
      <c r="H362" s="4">
        <v>69</v>
      </c>
      <c r="I362" s="4">
        <v>51</v>
      </c>
      <c r="J362" s="4">
        <v>77</v>
      </c>
      <c r="K362" s="5">
        <f t="shared" si="16"/>
        <v>120096.04000000001</v>
      </c>
      <c r="L362" s="5">
        <v>96454.75</v>
      </c>
      <c r="M362" s="5">
        <v>23641.29</v>
      </c>
      <c r="N362" s="4">
        <v>110</v>
      </c>
      <c r="O362" s="5">
        <f t="shared" si="17"/>
        <v>430221.45</v>
      </c>
      <c r="P362" s="5">
        <v>399569.58</v>
      </c>
      <c r="Q362" s="5">
        <v>30651.87</v>
      </c>
      <c r="R362" s="6"/>
    </row>
    <row r="363" spans="1:18" ht="25.5" x14ac:dyDescent="0.25">
      <c r="A363" s="348">
        <f t="shared" si="18"/>
        <v>96</v>
      </c>
      <c r="B363" s="3" t="s">
        <v>270</v>
      </c>
      <c r="C363" s="3" t="s">
        <v>62</v>
      </c>
      <c r="D363" s="3" t="s">
        <v>611</v>
      </c>
      <c r="E363" s="3" t="s">
        <v>271</v>
      </c>
      <c r="F363" s="3" t="s">
        <v>272</v>
      </c>
      <c r="G363" s="4" t="s">
        <v>85</v>
      </c>
      <c r="H363" s="4">
        <v>14</v>
      </c>
      <c r="I363" s="4">
        <v>10</v>
      </c>
      <c r="J363" s="4">
        <v>12</v>
      </c>
      <c r="K363" s="5">
        <f t="shared" si="16"/>
        <v>10887.7</v>
      </c>
      <c r="L363" s="5">
        <v>6888.14</v>
      </c>
      <c r="M363" s="5">
        <v>3999.56</v>
      </c>
      <c r="N363" s="4">
        <v>0</v>
      </c>
      <c r="O363" s="5">
        <f t="shared" si="17"/>
        <v>0</v>
      </c>
      <c r="P363" s="5">
        <v>0</v>
      </c>
      <c r="Q363" s="5">
        <v>0</v>
      </c>
      <c r="R363" s="6"/>
    </row>
    <row r="364" spans="1:18" ht="25.5" x14ac:dyDescent="0.25">
      <c r="A364" s="348">
        <f t="shared" si="18"/>
        <v>97</v>
      </c>
      <c r="B364" s="3" t="s">
        <v>273</v>
      </c>
      <c r="C364" s="3" t="s">
        <v>62</v>
      </c>
      <c r="D364" s="3" t="s">
        <v>611</v>
      </c>
      <c r="E364" s="3" t="s">
        <v>186</v>
      </c>
      <c r="F364" s="3" t="s">
        <v>511</v>
      </c>
      <c r="G364" s="4" t="s">
        <v>85</v>
      </c>
      <c r="H364" s="4">
        <v>7</v>
      </c>
      <c r="I364" s="4">
        <v>0</v>
      </c>
      <c r="J364" s="4">
        <v>0</v>
      </c>
      <c r="K364" s="5">
        <f t="shared" si="16"/>
        <v>0</v>
      </c>
      <c r="L364" s="5">
        <v>0</v>
      </c>
      <c r="M364" s="5">
        <v>0</v>
      </c>
      <c r="N364" s="4">
        <v>0</v>
      </c>
      <c r="O364" s="5">
        <f t="shared" si="17"/>
        <v>0</v>
      </c>
      <c r="P364" s="5">
        <v>0</v>
      </c>
      <c r="Q364" s="5">
        <v>0</v>
      </c>
      <c r="R364" s="6"/>
    </row>
    <row r="365" spans="1:18" x14ac:dyDescent="0.25">
      <c r="A365" s="348">
        <f t="shared" si="18"/>
        <v>98</v>
      </c>
      <c r="B365" s="3" t="s">
        <v>490</v>
      </c>
      <c r="C365" s="3" t="s">
        <v>62</v>
      </c>
      <c r="D365" s="3" t="s">
        <v>611</v>
      </c>
      <c r="E365" s="3" t="s">
        <v>491</v>
      </c>
      <c r="F365" s="3" t="s">
        <v>492</v>
      </c>
      <c r="G365" s="4" t="s">
        <v>85</v>
      </c>
      <c r="H365" s="4">
        <v>10</v>
      </c>
      <c r="I365" s="4">
        <v>7</v>
      </c>
      <c r="J365" s="4">
        <v>9</v>
      </c>
      <c r="K365" s="5">
        <f t="shared" si="16"/>
        <v>10195.18</v>
      </c>
      <c r="L365" s="5">
        <v>1351.45</v>
      </c>
      <c r="M365" s="5">
        <v>8843.73</v>
      </c>
      <c r="N365" s="4">
        <v>0</v>
      </c>
      <c r="O365" s="5">
        <f t="shared" si="17"/>
        <v>0</v>
      </c>
      <c r="P365" s="5">
        <v>0</v>
      </c>
      <c r="Q365" s="5">
        <v>0</v>
      </c>
      <c r="R365" s="6"/>
    </row>
    <row r="366" spans="1:18" x14ac:dyDescent="0.25">
      <c r="A366" s="348">
        <f t="shared" si="18"/>
        <v>99</v>
      </c>
      <c r="B366" s="3" t="s">
        <v>94</v>
      </c>
      <c r="C366" s="3" t="s">
        <v>62</v>
      </c>
      <c r="D366" s="3" t="s">
        <v>63</v>
      </c>
      <c r="E366" s="3" t="s">
        <v>74</v>
      </c>
      <c r="F366" s="3" t="s">
        <v>274</v>
      </c>
      <c r="G366" s="4" t="s">
        <v>85</v>
      </c>
      <c r="H366" s="4">
        <v>15</v>
      </c>
      <c r="I366" s="4">
        <v>2</v>
      </c>
      <c r="J366" s="4">
        <v>2</v>
      </c>
      <c r="K366" s="5">
        <f t="shared" si="16"/>
        <v>2990.3599999999997</v>
      </c>
      <c r="L366" s="5">
        <v>1613.29</v>
      </c>
      <c r="M366" s="5">
        <v>1377.07</v>
      </c>
      <c r="N366" s="4">
        <v>6</v>
      </c>
      <c r="O366" s="5">
        <f t="shared" si="17"/>
        <v>9361.67</v>
      </c>
      <c r="P366" s="5">
        <v>4493.33</v>
      </c>
      <c r="Q366" s="5">
        <v>4868.34</v>
      </c>
      <c r="R366" s="6"/>
    </row>
    <row r="367" spans="1:18" ht="25.5" x14ac:dyDescent="0.25">
      <c r="A367" s="348">
        <f t="shared" si="18"/>
        <v>100</v>
      </c>
      <c r="B367" s="3" t="s">
        <v>120</v>
      </c>
      <c r="C367" s="3" t="s">
        <v>67</v>
      </c>
      <c r="D367" s="3" t="s">
        <v>493</v>
      </c>
      <c r="E367" s="3" t="s">
        <v>121</v>
      </c>
      <c r="F367" s="3" t="s">
        <v>468</v>
      </c>
      <c r="G367" s="4" t="s">
        <v>85</v>
      </c>
      <c r="H367" s="4">
        <v>10</v>
      </c>
      <c r="I367" s="4">
        <v>6</v>
      </c>
      <c r="J367" s="4">
        <v>7</v>
      </c>
      <c r="K367" s="5">
        <f t="shared" si="16"/>
        <v>10284.11</v>
      </c>
      <c r="L367" s="5">
        <f>4482.52-313.25</f>
        <v>4169.2700000000004</v>
      </c>
      <c r="M367" s="5">
        <f>4169.27+1945.57</f>
        <v>6114.84</v>
      </c>
      <c r="N367" s="4">
        <v>0</v>
      </c>
      <c r="O367" s="5">
        <f t="shared" si="17"/>
        <v>0</v>
      </c>
      <c r="P367" s="5">
        <v>0</v>
      </c>
      <c r="Q367" s="5">
        <v>0</v>
      </c>
      <c r="R367" s="6"/>
    </row>
    <row r="368" spans="1:18" ht="25.5" x14ac:dyDescent="0.25">
      <c r="A368" s="348">
        <f t="shared" si="18"/>
        <v>101</v>
      </c>
      <c r="B368" s="3" t="s">
        <v>407</v>
      </c>
      <c r="C368" s="3" t="s">
        <v>611</v>
      </c>
      <c r="D368" s="3" t="s">
        <v>611</v>
      </c>
      <c r="E368" s="3" t="s">
        <v>186</v>
      </c>
      <c r="F368" s="3" t="s">
        <v>512</v>
      </c>
      <c r="G368" s="4" t="s">
        <v>85</v>
      </c>
      <c r="H368" s="4">
        <v>4</v>
      </c>
      <c r="I368" s="4">
        <v>2</v>
      </c>
      <c r="J368" s="4">
        <v>2</v>
      </c>
      <c r="K368" s="5">
        <f t="shared" si="16"/>
        <v>0</v>
      </c>
      <c r="L368" s="5">
        <v>0</v>
      </c>
      <c r="M368" s="5">
        <v>0</v>
      </c>
      <c r="N368" s="4">
        <v>0</v>
      </c>
      <c r="O368" s="5">
        <f t="shared" si="17"/>
        <v>0</v>
      </c>
      <c r="P368" s="5">
        <v>0</v>
      </c>
      <c r="Q368" s="5">
        <v>0</v>
      </c>
      <c r="R368" s="6"/>
    </row>
    <row r="369" spans="1:18" ht="25.5" x14ac:dyDescent="0.25">
      <c r="A369" s="348">
        <f t="shared" si="18"/>
        <v>102</v>
      </c>
      <c r="B369" s="3" t="s">
        <v>122</v>
      </c>
      <c r="C369" s="3" t="s">
        <v>62</v>
      </c>
      <c r="D369" s="3" t="s">
        <v>63</v>
      </c>
      <c r="E369" s="3" t="s">
        <v>275</v>
      </c>
      <c r="F369" s="3" t="s">
        <v>276</v>
      </c>
      <c r="G369" s="4" t="s">
        <v>85</v>
      </c>
      <c r="H369" s="4">
        <v>12</v>
      </c>
      <c r="I369" s="4">
        <v>11</v>
      </c>
      <c r="J369" s="4">
        <v>16</v>
      </c>
      <c r="K369" s="5">
        <f t="shared" si="16"/>
        <v>14738.36</v>
      </c>
      <c r="L369" s="5">
        <v>9708.09</v>
      </c>
      <c r="M369" s="5">
        <v>5030.2700000000004</v>
      </c>
      <c r="N369" s="4">
        <v>5</v>
      </c>
      <c r="O369" s="5">
        <f t="shared" si="17"/>
        <v>9159.1299999999992</v>
      </c>
      <c r="P369" s="5">
        <v>9159.1299999999992</v>
      </c>
      <c r="Q369" s="5">
        <v>0</v>
      </c>
      <c r="R369" s="6"/>
    </row>
    <row r="370" spans="1:18" x14ac:dyDescent="0.25">
      <c r="A370" s="348">
        <f t="shared" si="18"/>
        <v>103</v>
      </c>
      <c r="B370" s="3" t="s">
        <v>133</v>
      </c>
      <c r="C370" s="3" t="s">
        <v>67</v>
      </c>
      <c r="D370" s="3" t="s">
        <v>494</v>
      </c>
      <c r="E370" s="3" t="s">
        <v>74</v>
      </c>
      <c r="F370" s="3" t="s">
        <v>620</v>
      </c>
      <c r="G370" s="4" t="s">
        <v>85</v>
      </c>
      <c r="H370" s="4">
        <v>9</v>
      </c>
      <c r="I370" s="4">
        <v>5</v>
      </c>
      <c r="J370" s="4">
        <v>8</v>
      </c>
      <c r="K370" s="5">
        <f t="shared" si="16"/>
        <v>18470.010000000002</v>
      </c>
      <c r="L370" s="5">
        <v>13016.5</v>
      </c>
      <c r="M370" s="5">
        <v>5453.51</v>
      </c>
      <c r="N370" s="4">
        <v>0</v>
      </c>
      <c r="O370" s="5">
        <f t="shared" si="17"/>
        <v>0</v>
      </c>
      <c r="P370" s="5">
        <v>0</v>
      </c>
      <c r="Q370" s="5">
        <v>0</v>
      </c>
      <c r="R370" s="6"/>
    </row>
    <row r="371" spans="1:18" x14ac:dyDescent="0.25">
      <c r="A371" s="348">
        <f t="shared" si="18"/>
        <v>104</v>
      </c>
      <c r="B371" s="3" t="s">
        <v>96</v>
      </c>
      <c r="C371" s="3" t="s">
        <v>62</v>
      </c>
      <c r="D371" s="3" t="s">
        <v>63</v>
      </c>
      <c r="E371" s="3" t="s">
        <v>98</v>
      </c>
      <c r="F371" s="3" t="s">
        <v>277</v>
      </c>
      <c r="G371" s="4" t="s">
        <v>85</v>
      </c>
      <c r="H371" s="4">
        <v>35</v>
      </c>
      <c r="I371" s="4">
        <v>10</v>
      </c>
      <c r="J371" s="4">
        <v>12</v>
      </c>
      <c r="K371" s="5">
        <f t="shared" si="16"/>
        <v>18150.800000000003</v>
      </c>
      <c r="L371" s="5">
        <v>7539.6</v>
      </c>
      <c r="M371" s="5">
        <v>10611.2</v>
      </c>
      <c r="N371" s="4">
        <v>11</v>
      </c>
      <c r="O371" s="5">
        <f t="shared" si="17"/>
        <v>47171.47</v>
      </c>
      <c r="P371" s="5">
        <v>24982.959999999999</v>
      </c>
      <c r="Q371" s="5">
        <v>22188.51</v>
      </c>
      <c r="R371" s="6"/>
    </row>
    <row r="372" spans="1:18" ht="25.5" x14ac:dyDescent="0.25">
      <c r="A372" s="348">
        <f t="shared" si="18"/>
        <v>105</v>
      </c>
      <c r="B372" s="3" t="s">
        <v>48</v>
      </c>
      <c r="C372" s="3" t="s">
        <v>62</v>
      </c>
      <c r="D372" s="3" t="s">
        <v>63</v>
      </c>
      <c r="E372" s="3" t="s">
        <v>81</v>
      </c>
      <c r="F372" s="3" t="s">
        <v>278</v>
      </c>
      <c r="G372" s="4" t="s">
        <v>85</v>
      </c>
      <c r="H372" s="4">
        <v>43</v>
      </c>
      <c r="I372" s="4">
        <v>37</v>
      </c>
      <c r="J372" s="4">
        <v>52</v>
      </c>
      <c r="K372" s="5">
        <f t="shared" si="16"/>
        <v>79346.02</v>
      </c>
      <c r="L372" s="5">
        <v>62074.87</v>
      </c>
      <c r="M372" s="5">
        <v>17271.150000000001</v>
      </c>
      <c r="N372" s="4">
        <v>14</v>
      </c>
      <c r="O372" s="5">
        <f t="shared" si="17"/>
        <v>56668.88</v>
      </c>
      <c r="P372" s="5">
        <v>51526.95</v>
      </c>
      <c r="Q372" s="5">
        <v>5141.93</v>
      </c>
      <c r="R372" s="6"/>
    </row>
    <row r="373" spans="1:18" ht="25.5" x14ac:dyDescent="0.25">
      <c r="A373" s="348">
        <f t="shared" si="18"/>
        <v>106</v>
      </c>
      <c r="B373" s="3" t="s">
        <v>50</v>
      </c>
      <c r="C373" s="3" t="s">
        <v>67</v>
      </c>
      <c r="D373" s="3" t="s">
        <v>123</v>
      </c>
      <c r="E373" s="3" t="s">
        <v>82</v>
      </c>
      <c r="F373" s="3" t="s">
        <v>280</v>
      </c>
      <c r="G373" s="4" t="s">
        <v>85</v>
      </c>
      <c r="H373" s="4">
        <v>7</v>
      </c>
      <c r="I373" s="4">
        <v>1</v>
      </c>
      <c r="J373" s="4">
        <v>1</v>
      </c>
      <c r="K373" s="5">
        <f t="shared" si="16"/>
        <v>1860.67</v>
      </c>
      <c r="L373" s="5">
        <v>1860.67</v>
      </c>
      <c r="M373" s="5">
        <v>0</v>
      </c>
      <c r="N373" s="4">
        <v>4</v>
      </c>
      <c r="O373" s="5">
        <f t="shared" si="17"/>
        <v>19968.23</v>
      </c>
      <c r="P373" s="5">
        <v>19968.23</v>
      </c>
      <c r="Q373" s="5">
        <v>0</v>
      </c>
      <c r="R373" s="6"/>
    </row>
    <row r="374" spans="1:18" ht="25.5" x14ac:dyDescent="0.25">
      <c r="A374" s="348">
        <f t="shared" si="18"/>
        <v>107</v>
      </c>
      <c r="B374" s="3" t="s">
        <v>281</v>
      </c>
      <c r="C374" s="3" t="s">
        <v>62</v>
      </c>
      <c r="D374" s="3" t="s">
        <v>611</v>
      </c>
      <c r="E374" s="3" t="s">
        <v>282</v>
      </c>
      <c r="F374" s="3" t="s">
        <v>283</v>
      </c>
      <c r="G374" s="4" t="s">
        <v>85</v>
      </c>
      <c r="H374" s="4">
        <v>24</v>
      </c>
      <c r="I374" s="4">
        <v>5</v>
      </c>
      <c r="J374" s="4">
        <v>5</v>
      </c>
      <c r="K374" s="5">
        <f t="shared" si="16"/>
        <v>2685.29</v>
      </c>
      <c r="L374" s="5">
        <v>2685.29</v>
      </c>
      <c r="M374" s="5">
        <v>0</v>
      </c>
      <c r="N374" s="4">
        <v>0</v>
      </c>
      <c r="O374" s="5">
        <f t="shared" si="17"/>
        <v>0</v>
      </c>
      <c r="P374" s="5">
        <v>0</v>
      </c>
      <c r="Q374" s="5">
        <v>0</v>
      </c>
      <c r="R374" s="6"/>
    </row>
    <row r="375" spans="1:18" x14ac:dyDescent="0.25">
      <c r="A375" s="348">
        <f t="shared" si="18"/>
        <v>108</v>
      </c>
      <c r="B375" s="3" t="s">
        <v>49</v>
      </c>
      <c r="C375" s="3" t="s">
        <v>62</v>
      </c>
      <c r="D375" s="3" t="s">
        <v>63</v>
      </c>
      <c r="E375" s="3" t="s">
        <v>74</v>
      </c>
      <c r="F375" s="3" t="s">
        <v>279</v>
      </c>
      <c r="G375" s="4" t="s">
        <v>85</v>
      </c>
      <c r="H375" s="4">
        <v>23</v>
      </c>
      <c r="I375" s="4">
        <v>18</v>
      </c>
      <c r="J375" s="4">
        <v>20</v>
      </c>
      <c r="K375" s="5">
        <f t="shared" si="16"/>
        <v>33016.22</v>
      </c>
      <c r="L375" s="5">
        <v>16429.5</v>
      </c>
      <c r="M375" s="5">
        <f>13978.02+2608.7</f>
        <v>16586.72</v>
      </c>
      <c r="N375" s="4">
        <v>6</v>
      </c>
      <c r="O375" s="5">
        <f t="shared" si="17"/>
        <v>37590.26</v>
      </c>
      <c r="P375" s="5">
        <v>37590.26</v>
      </c>
      <c r="Q375" s="5">
        <v>0</v>
      </c>
      <c r="R375" s="6"/>
    </row>
    <row r="376" spans="1:18" x14ac:dyDescent="0.25">
      <c r="A376" s="348">
        <f t="shared" si="18"/>
        <v>109</v>
      </c>
      <c r="B376" s="3" t="s">
        <v>124</v>
      </c>
      <c r="C376" s="3" t="s">
        <v>62</v>
      </c>
      <c r="D376" s="3" t="s">
        <v>63</v>
      </c>
      <c r="E376" s="3" t="s">
        <v>63</v>
      </c>
      <c r="F376" s="3" t="s">
        <v>284</v>
      </c>
      <c r="G376" s="4" t="s">
        <v>85</v>
      </c>
      <c r="H376" s="4">
        <v>30</v>
      </c>
      <c r="I376" s="4">
        <v>27</v>
      </c>
      <c r="J376" s="4">
        <v>35</v>
      </c>
      <c r="K376" s="5">
        <f t="shared" si="16"/>
        <v>40886.32</v>
      </c>
      <c r="L376" s="5">
        <v>29499.34</v>
      </c>
      <c r="M376" s="5">
        <f>13201.84-1814.86</f>
        <v>11386.98</v>
      </c>
      <c r="N376" s="4">
        <v>16</v>
      </c>
      <c r="O376" s="5">
        <f t="shared" si="17"/>
        <v>21019.739999999998</v>
      </c>
      <c r="P376" s="5">
        <v>18186.439999999999</v>
      </c>
      <c r="Q376" s="5">
        <v>2833.3</v>
      </c>
      <c r="R376" s="6"/>
    </row>
    <row r="377" spans="1:18" x14ac:dyDescent="0.25">
      <c r="A377" s="348">
        <f t="shared" si="18"/>
        <v>110</v>
      </c>
      <c r="B377" s="3" t="s">
        <v>51</v>
      </c>
      <c r="C377" s="3" t="s">
        <v>62</v>
      </c>
      <c r="D377" s="3" t="s">
        <v>63</v>
      </c>
      <c r="E377" s="3" t="s">
        <v>74</v>
      </c>
      <c r="F377" s="3" t="s">
        <v>285</v>
      </c>
      <c r="G377" s="4" t="s">
        <v>85</v>
      </c>
      <c r="H377" s="4">
        <v>17</v>
      </c>
      <c r="I377" s="4">
        <v>15</v>
      </c>
      <c r="J377" s="4">
        <v>15</v>
      </c>
      <c r="K377" s="5">
        <f t="shared" si="16"/>
        <v>5873.82</v>
      </c>
      <c r="L377" s="5">
        <v>5873.82</v>
      </c>
      <c r="M377" s="5">
        <v>0</v>
      </c>
      <c r="N377" s="4">
        <v>10</v>
      </c>
      <c r="O377" s="5">
        <f t="shared" si="17"/>
        <v>1797.24</v>
      </c>
      <c r="P377" s="5">
        <v>1797.24</v>
      </c>
      <c r="Q377" s="5">
        <v>0</v>
      </c>
      <c r="R377" s="6"/>
    </row>
    <row r="378" spans="1:18" ht="25.5" x14ac:dyDescent="0.25">
      <c r="A378" s="348">
        <f t="shared" si="18"/>
        <v>111</v>
      </c>
      <c r="B378" s="3" t="s">
        <v>286</v>
      </c>
      <c r="C378" s="3" t="s">
        <v>62</v>
      </c>
      <c r="D378" s="3" t="s">
        <v>611</v>
      </c>
      <c r="E378" s="3" t="s">
        <v>174</v>
      </c>
      <c r="F378" s="3" t="s">
        <v>287</v>
      </c>
      <c r="G378" s="4" t="s">
        <v>85</v>
      </c>
      <c r="H378" s="4">
        <v>14</v>
      </c>
      <c r="I378" s="4">
        <v>11</v>
      </c>
      <c r="J378" s="4">
        <v>13</v>
      </c>
      <c r="K378" s="5">
        <f t="shared" si="16"/>
        <v>2790.57</v>
      </c>
      <c r="L378" s="5">
        <v>2790.57</v>
      </c>
      <c r="M378" s="5">
        <v>0</v>
      </c>
      <c r="N378" s="4">
        <v>0</v>
      </c>
      <c r="O378" s="5">
        <f t="shared" si="17"/>
        <v>0</v>
      </c>
      <c r="P378" s="5">
        <v>0</v>
      </c>
      <c r="Q378" s="5">
        <v>0</v>
      </c>
      <c r="R378" s="6"/>
    </row>
    <row r="379" spans="1:18" x14ac:dyDescent="0.25">
      <c r="A379" s="348">
        <f t="shared" si="18"/>
        <v>112</v>
      </c>
      <c r="B379" s="3" t="s">
        <v>52</v>
      </c>
      <c r="C379" s="3" t="s">
        <v>62</v>
      </c>
      <c r="D379" s="3" t="s">
        <v>63</v>
      </c>
      <c r="E379" s="3" t="s">
        <v>74</v>
      </c>
      <c r="F379" s="3" t="s">
        <v>125</v>
      </c>
      <c r="G379" s="4" t="s">
        <v>85</v>
      </c>
      <c r="H379" s="4">
        <v>3</v>
      </c>
      <c r="I379" s="4">
        <v>0</v>
      </c>
      <c r="J379" s="4">
        <v>0</v>
      </c>
      <c r="K379" s="5">
        <f t="shared" si="16"/>
        <v>0</v>
      </c>
      <c r="L379" s="5">
        <v>0</v>
      </c>
      <c r="M379" s="5">
        <v>0</v>
      </c>
      <c r="N379" s="4">
        <v>0</v>
      </c>
      <c r="O379" s="5">
        <f t="shared" si="17"/>
        <v>0</v>
      </c>
      <c r="P379" s="5">
        <v>0</v>
      </c>
      <c r="Q379" s="5">
        <v>0</v>
      </c>
      <c r="R379" s="6"/>
    </row>
    <row r="380" spans="1:18" x14ac:dyDescent="0.25">
      <c r="A380" s="348">
        <f t="shared" si="18"/>
        <v>113</v>
      </c>
      <c r="B380" s="3" t="s">
        <v>469</v>
      </c>
      <c r="C380" s="3" t="s">
        <v>62</v>
      </c>
      <c r="D380" s="3" t="s">
        <v>63</v>
      </c>
      <c r="E380" s="3" t="s">
        <v>74</v>
      </c>
      <c r="F380" s="3" t="s">
        <v>470</v>
      </c>
      <c r="G380" s="4" t="s">
        <v>85</v>
      </c>
      <c r="H380" s="4">
        <v>1</v>
      </c>
      <c r="I380" s="4">
        <v>0</v>
      </c>
      <c r="J380" s="4">
        <v>0</v>
      </c>
      <c r="K380" s="5">
        <f t="shared" si="16"/>
        <v>0</v>
      </c>
      <c r="L380" s="5">
        <v>0</v>
      </c>
      <c r="M380" s="5">
        <v>0</v>
      </c>
      <c r="N380" s="4">
        <v>0</v>
      </c>
      <c r="O380" s="5">
        <f t="shared" si="17"/>
        <v>0</v>
      </c>
      <c r="P380" s="5">
        <v>0</v>
      </c>
      <c r="Q380" s="5">
        <v>0</v>
      </c>
      <c r="R380" s="6"/>
    </row>
    <row r="381" spans="1:18" x14ac:dyDescent="0.25">
      <c r="A381" s="348">
        <f t="shared" si="18"/>
        <v>114</v>
      </c>
      <c r="B381" s="3" t="s">
        <v>53</v>
      </c>
      <c r="C381" s="3" t="s">
        <v>62</v>
      </c>
      <c r="D381" s="3" t="s">
        <v>63</v>
      </c>
      <c r="E381" s="3" t="s">
        <v>74</v>
      </c>
      <c r="F381" s="3" t="s">
        <v>126</v>
      </c>
      <c r="G381" s="4" t="s">
        <v>85</v>
      </c>
      <c r="H381" s="4">
        <v>8</v>
      </c>
      <c r="I381" s="4">
        <v>0</v>
      </c>
      <c r="J381" s="4">
        <v>0</v>
      </c>
      <c r="K381" s="5">
        <f t="shared" si="16"/>
        <v>0</v>
      </c>
      <c r="L381" s="5">
        <v>0</v>
      </c>
      <c r="M381" s="5">
        <v>0</v>
      </c>
      <c r="N381" s="4">
        <v>0</v>
      </c>
      <c r="O381" s="5">
        <f t="shared" si="17"/>
        <v>0</v>
      </c>
      <c r="P381" s="5">
        <v>0</v>
      </c>
      <c r="Q381" s="5">
        <v>0</v>
      </c>
      <c r="R381" s="6"/>
    </row>
    <row r="382" spans="1:18" x14ac:dyDescent="0.25">
      <c r="A382" s="348">
        <f t="shared" si="18"/>
        <v>115</v>
      </c>
      <c r="B382" s="3" t="s">
        <v>151</v>
      </c>
      <c r="C382" s="3" t="s">
        <v>62</v>
      </c>
      <c r="D382" s="3" t="s">
        <v>63</v>
      </c>
      <c r="E382" s="3" t="s">
        <v>74</v>
      </c>
      <c r="F382" s="3" t="s">
        <v>288</v>
      </c>
      <c r="G382" s="4" t="s">
        <v>85</v>
      </c>
      <c r="H382" s="4">
        <v>10</v>
      </c>
      <c r="I382" s="4">
        <v>7</v>
      </c>
      <c r="J382" s="4">
        <v>9</v>
      </c>
      <c r="K382" s="5">
        <f t="shared" si="16"/>
        <v>7299.97</v>
      </c>
      <c r="L382" s="5">
        <v>7299.97</v>
      </c>
      <c r="M382" s="5">
        <v>0</v>
      </c>
      <c r="N382" s="4">
        <v>6</v>
      </c>
      <c r="O382" s="5">
        <f t="shared" si="17"/>
        <v>14253.5</v>
      </c>
      <c r="P382" s="5">
        <v>4554.97</v>
      </c>
      <c r="Q382" s="5">
        <v>9698.5300000000007</v>
      </c>
      <c r="R382" s="6"/>
    </row>
    <row r="383" spans="1:18" x14ac:dyDescent="0.25">
      <c r="A383" s="348">
        <f t="shared" si="18"/>
        <v>116</v>
      </c>
      <c r="B383" s="3" t="s">
        <v>155</v>
      </c>
      <c r="C383" s="3" t="s">
        <v>62</v>
      </c>
      <c r="D383" s="3" t="s">
        <v>63</v>
      </c>
      <c r="E383" s="3" t="s">
        <v>74</v>
      </c>
      <c r="F383" s="3" t="s">
        <v>289</v>
      </c>
      <c r="G383" s="4" t="s">
        <v>85</v>
      </c>
      <c r="H383" s="4">
        <v>14</v>
      </c>
      <c r="I383" s="4">
        <v>10</v>
      </c>
      <c r="J383" s="4">
        <v>15</v>
      </c>
      <c r="K383" s="5">
        <f t="shared" si="16"/>
        <v>38355.85</v>
      </c>
      <c r="L383" s="5">
        <v>32517.02</v>
      </c>
      <c r="M383" s="5">
        <v>5838.83</v>
      </c>
      <c r="N383" s="4">
        <v>3</v>
      </c>
      <c r="O383" s="5">
        <f t="shared" si="17"/>
        <v>28262.059999999998</v>
      </c>
      <c r="P383" s="5">
        <v>15810.55</v>
      </c>
      <c r="Q383" s="5">
        <v>12451.51</v>
      </c>
      <c r="R383" s="6"/>
    </row>
    <row r="384" spans="1:18" x14ac:dyDescent="0.25">
      <c r="A384" s="348">
        <f t="shared" si="18"/>
        <v>117</v>
      </c>
      <c r="B384" s="3" t="s">
        <v>290</v>
      </c>
      <c r="C384" s="3" t="s">
        <v>62</v>
      </c>
      <c r="D384" s="3" t="s">
        <v>611</v>
      </c>
      <c r="E384" s="3" t="s">
        <v>291</v>
      </c>
      <c r="F384" s="3" t="s">
        <v>292</v>
      </c>
      <c r="G384" s="4" t="s">
        <v>85</v>
      </c>
      <c r="H384" s="4">
        <v>32</v>
      </c>
      <c r="I384" s="4">
        <v>22</v>
      </c>
      <c r="J384" s="4">
        <v>27</v>
      </c>
      <c r="K384" s="5">
        <f t="shared" si="16"/>
        <v>29706.460000000003</v>
      </c>
      <c r="L384" s="5">
        <v>5043.72</v>
      </c>
      <c r="M384" s="5">
        <v>24662.74</v>
      </c>
      <c r="N384" s="4">
        <v>0</v>
      </c>
      <c r="O384" s="5">
        <f t="shared" si="17"/>
        <v>0</v>
      </c>
      <c r="P384" s="5">
        <v>0</v>
      </c>
      <c r="Q384" s="5">
        <v>0</v>
      </c>
      <c r="R384" s="6"/>
    </row>
    <row r="385" spans="1:18" ht="25.5" x14ac:dyDescent="0.25">
      <c r="A385" s="348">
        <f t="shared" si="18"/>
        <v>118</v>
      </c>
      <c r="B385" s="3" t="s">
        <v>495</v>
      </c>
      <c r="C385" s="3" t="s">
        <v>62</v>
      </c>
      <c r="D385" s="3" t="s">
        <v>611</v>
      </c>
      <c r="E385" s="3" t="s">
        <v>313</v>
      </c>
      <c r="F385" s="3" t="s">
        <v>496</v>
      </c>
      <c r="G385" s="4" t="s">
        <v>85</v>
      </c>
      <c r="H385" s="4">
        <v>21</v>
      </c>
      <c r="I385" s="4">
        <v>5</v>
      </c>
      <c r="J385" s="4">
        <v>5</v>
      </c>
      <c r="K385" s="5">
        <f t="shared" si="16"/>
        <v>9234.7099999999991</v>
      </c>
      <c r="L385" s="5">
        <v>2358.88</v>
      </c>
      <c r="M385" s="5">
        <v>6875.83</v>
      </c>
      <c r="N385" s="4">
        <v>0</v>
      </c>
      <c r="O385" s="5">
        <f t="shared" si="17"/>
        <v>0</v>
      </c>
      <c r="P385" s="5">
        <v>0</v>
      </c>
      <c r="Q385" s="5">
        <v>0</v>
      </c>
      <c r="R385" s="6"/>
    </row>
    <row r="386" spans="1:18" x14ac:dyDescent="0.25">
      <c r="A386" s="348">
        <f t="shared" si="18"/>
        <v>119</v>
      </c>
      <c r="B386" s="3" t="s">
        <v>134</v>
      </c>
      <c r="C386" s="3" t="s">
        <v>62</v>
      </c>
      <c r="D386" s="3" t="s">
        <v>63</v>
      </c>
      <c r="E386" s="3" t="s">
        <v>74</v>
      </c>
      <c r="F386" s="3" t="s">
        <v>293</v>
      </c>
      <c r="G386" s="4" t="s">
        <v>85</v>
      </c>
      <c r="H386" s="4">
        <v>8</v>
      </c>
      <c r="I386" s="4">
        <v>3</v>
      </c>
      <c r="J386" s="4">
        <v>3</v>
      </c>
      <c r="K386" s="5">
        <f t="shared" si="16"/>
        <v>3418.9</v>
      </c>
      <c r="L386" s="5">
        <v>0</v>
      </c>
      <c r="M386" s="5">
        <f>1656.9+1762</f>
        <v>3418.9</v>
      </c>
      <c r="N386" s="4">
        <v>1</v>
      </c>
      <c r="O386" s="5">
        <f t="shared" si="17"/>
        <v>14690.98</v>
      </c>
      <c r="P386" s="5">
        <f>10990.78+3700.2</f>
        <v>14690.98</v>
      </c>
      <c r="Q386" s="5">
        <v>0</v>
      </c>
      <c r="R386" s="6"/>
    </row>
    <row r="387" spans="1:18" x14ac:dyDescent="0.25">
      <c r="A387" s="348">
        <f t="shared" si="18"/>
        <v>120</v>
      </c>
      <c r="B387" s="3" t="s">
        <v>127</v>
      </c>
      <c r="C387" s="3" t="s">
        <v>62</v>
      </c>
      <c r="D387" s="3" t="s">
        <v>63</v>
      </c>
      <c r="E387" s="3" t="s">
        <v>74</v>
      </c>
      <c r="F387" s="3" t="s">
        <v>294</v>
      </c>
      <c r="G387" s="4" t="s">
        <v>85</v>
      </c>
      <c r="H387" s="4">
        <v>9</v>
      </c>
      <c r="I387" s="4">
        <v>6</v>
      </c>
      <c r="J387" s="4">
        <v>7</v>
      </c>
      <c r="K387" s="5">
        <f t="shared" si="16"/>
        <v>2445.89</v>
      </c>
      <c r="L387" s="5">
        <v>611.08000000000004</v>
      </c>
      <c r="M387" s="5">
        <v>1834.81</v>
      </c>
      <c r="N387" s="4">
        <v>2</v>
      </c>
      <c r="O387" s="5">
        <f t="shared" si="17"/>
        <v>3267.6</v>
      </c>
      <c r="P387" s="5">
        <v>3267.6</v>
      </c>
      <c r="Q387" s="5">
        <v>0</v>
      </c>
      <c r="R387" s="6"/>
    </row>
    <row r="388" spans="1:18" ht="25.5" x14ac:dyDescent="0.25">
      <c r="A388" s="348">
        <f t="shared" si="18"/>
        <v>121</v>
      </c>
      <c r="B388" s="3" t="s">
        <v>55</v>
      </c>
      <c r="C388" s="3" t="s">
        <v>64</v>
      </c>
      <c r="D388" s="3" t="s">
        <v>66</v>
      </c>
      <c r="E388" s="3" t="s">
        <v>80</v>
      </c>
      <c r="F388" s="3" t="s">
        <v>295</v>
      </c>
      <c r="G388" s="4" t="s">
        <v>85</v>
      </c>
      <c r="H388" s="4">
        <v>6</v>
      </c>
      <c r="I388" s="4">
        <v>4</v>
      </c>
      <c r="J388" s="4">
        <v>4</v>
      </c>
      <c r="K388" s="5">
        <f t="shared" si="16"/>
        <v>528.6</v>
      </c>
      <c r="L388" s="5">
        <v>528.6</v>
      </c>
      <c r="M388" s="5">
        <v>0</v>
      </c>
      <c r="N388" s="4">
        <v>2</v>
      </c>
      <c r="O388" s="5">
        <f t="shared" si="17"/>
        <v>7243.91</v>
      </c>
      <c r="P388" s="5">
        <v>7243.91</v>
      </c>
      <c r="Q388" s="5">
        <v>0</v>
      </c>
      <c r="R388" s="6"/>
    </row>
    <row r="389" spans="1:18" x14ac:dyDescent="0.25">
      <c r="A389" s="348">
        <f t="shared" si="18"/>
        <v>122</v>
      </c>
      <c r="B389" s="3" t="s">
        <v>135</v>
      </c>
      <c r="C389" s="3" t="s">
        <v>62</v>
      </c>
      <c r="D389" s="3" t="s">
        <v>63</v>
      </c>
      <c r="E389" s="3" t="s">
        <v>63</v>
      </c>
      <c r="F389" s="3" t="s">
        <v>296</v>
      </c>
      <c r="G389" s="4" t="s">
        <v>85</v>
      </c>
      <c r="H389" s="4">
        <v>6</v>
      </c>
      <c r="I389" s="4">
        <v>2</v>
      </c>
      <c r="J389" s="4">
        <v>2</v>
      </c>
      <c r="K389" s="5">
        <f t="shared" si="16"/>
        <v>552.6</v>
      </c>
      <c r="L389" s="5">
        <v>0</v>
      </c>
      <c r="M389" s="5">
        <v>552.6</v>
      </c>
      <c r="N389" s="4">
        <v>10</v>
      </c>
      <c r="O389" s="5">
        <f t="shared" si="17"/>
        <v>18103.64</v>
      </c>
      <c r="P389" s="5">
        <v>18103.64</v>
      </c>
      <c r="Q389" s="5">
        <v>0</v>
      </c>
      <c r="R389" s="6"/>
    </row>
    <row r="390" spans="1:18" x14ac:dyDescent="0.25">
      <c r="A390" s="348">
        <f t="shared" si="18"/>
        <v>123</v>
      </c>
      <c r="B390" s="3" t="s">
        <v>128</v>
      </c>
      <c r="C390" s="3" t="s">
        <v>62</v>
      </c>
      <c r="D390" s="3" t="s">
        <v>63</v>
      </c>
      <c r="E390" s="3" t="s">
        <v>74</v>
      </c>
      <c r="F390" s="3" t="s">
        <v>297</v>
      </c>
      <c r="G390" s="4" t="s">
        <v>85</v>
      </c>
      <c r="H390" s="4">
        <v>2</v>
      </c>
      <c r="I390" s="4">
        <v>2</v>
      </c>
      <c r="J390" s="4">
        <v>2</v>
      </c>
      <c r="K390" s="5">
        <f t="shared" si="16"/>
        <v>1303.8499999999999</v>
      </c>
      <c r="L390" s="5">
        <v>0</v>
      </c>
      <c r="M390" s="5">
        <v>1303.8499999999999</v>
      </c>
      <c r="N390" s="4">
        <v>1</v>
      </c>
      <c r="O390" s="5">
        <f t="shared" si="17"/>
        <v>264.3</v>
      </c>
      <c r="P390" s="5">
        <v>264.3</v>
      </c>
      <c r="Q390" s="5">
        <v>0</v>
      </c>
      <c r="R390" s="6"/>
    </row>
    <row r="391" spans="1:18" ht="25.5" x14ac:dyDescent="0.25">
      <c r="A391" s="348">
        <f t="shared" si="18"/>
        <v>124</v>
      </c>
      <c r="B391" s="3" t="s">
        <v>508</v>
      </c>
      <c r="C391" s="3" t="s">
        <v>64</v>
      </c>
      <c r="D391" s="3" t="s">
        <v>551</v>
      </c>
      <c r="E391" s="3" t="s">
        <v>313</v>
      </c>
      <c r="F391" s="3" t="s">
        <v>552</v>
      </c>
      <c r="G391" s="4" t="s">
        <v>85</v>
      </c>
      <c r="H391" s="4">
        <v>18</v>
      </c>
      <c r="I391" s="4">
        <v>12</v>
      </c>
      <c r="J391" s="4">
        <v>12</v>
      </c>
      <c r="K391" s="5">
        <f t="shared" si="16"/>
        <v>2408.0500000000002</v>
      </c>
      <c r="L391" s="5">
        <v>0</v>
      </c>
      <c r="M391" s="5">
        <v>2408.0500000000002</v>
      </c>
      <c r="N391" s="4">
        <v>0</v>
      </c>
      <c r="O391" s="5">
        <f t="shared" si="17"/>
        <v>0</v>
      </c>
      <c r="P391" s="5">
        <v>0</v>
      </c>
      <c r="Q391" s="5">
        <v>0</v>
      </c>
      <c r="R391" s="6"/>
    </row>
    <row r="392" spans="1:18" ht="25.5" x14ac:dyDescent="0.25">
      <c r="A392" s="348">
        <f t="shared" si="18"/>
        <v>125</v>
      </c>
      <c r="B392" s="3" t="s">
        <v>497</v>
      </c>
      <c r="C392" s="3" t="s">
        <v>62</v>
      </c>
      <c r="D392" s="3" t="s">
        <v>611</v>
      </c>
      <c r="E392" s="3" t="s">
        <v>313</v>
      </c>
      <c r="F392" s="3" t="s">
        <v>498</v>
      </c>
      <c r="G392" s="4" t="s">
        <v>85</v>
      </c>
      <c r="H392" s="4">
        <v>51</v>
      </c>
      <c r="I392" s="4">
        <v>34</v>
      </c>
      <c r="J392" s="4">
        <v>35</v>
      </c>
      <c r="K392" s="5">
        <f t="shared" si="16"/>
        <v>27803.239999999998</v>
      </c>
      <c r="L392" s="5">
        <v>12556.71</v>
      </c>
      <c r="M392" s="5">
        <v>15246.53</v>
      </c>
      <c r="N392" s="4">
        <v>0</v>
      </c>
      <c r="O392" s="5">
        <f t="shared" si="17"/>
        <v>0</v>
      </c>
      <c r="P392" s="5">
        <v>0</v>
      </c>
      <c r="Q392" s="5">
        <v>0</v>
      </c>
      <c r="R392" s="6"/>
    </row>
    <row r="393" spans="1:18" x14ac:dyDescent="0.25">
      <c r="A393" s="348">
        <f t="shared" si="18"/>
        <v>126</v>
      </c>
      <c r="B393" s="3" t="s">
        <v>56</v>
      </c>
      <c r="C393" s="3" t="s">
        <v>62</v>
      </c>
      <c r="D393" s="3" t="s">
        <v>63</v>
      </c>
      <c r="E393" s="3" t="s">
        <v>83</v>
      </c>
      <c r="F393" s="3" t="s">
        <v>298</v>
      </c>
      <c r="G393" s="4" t="s">
        <v>85</v>
      </c>
      <c r="H393" s="4">
        <v>72</v>
      </c>
      <c r="I393" s="4">
        <v>62</v>
      </c>
      <c r="J393" s="4">
        <v>88</v>
      </c>
      <c r="K393" s="5">
        <f t="shared" si="16"/>
        <v>99429.35</v>
      </c>
      <c r="L393" s="5">
        <v>77067</v>
      </c>
      <c r="M393" s="5">
        <v>22362.35</v>
      </c>
      <c r="N393" s="4">
        <v>31</v>
      </c>
      <c r="O393" s="5">
        <f t="shared" si="17"/>
        <v>95408.48</v>
      </c>
      <c r="P393" s="5">
        <v>94809.4</v>
      </c>
      <c r="Q393" s="5">
        <v>599.08000000000004</v>
      </c>
      <c r="R393" s="6"/>
    </row>
    <row r="394" spans="1:18" ht="25.5" x14ac:dyDescent="0.25">
      <c r="A394" s="348">
        <f t="shared" si="18"/>
        <v>127</v>
      </c>
      <c r="B394" s="3" t="s">
        <v>299</v>
      </c>
      <c r="C394" s="3" t="s">
        <v>611</v>
      </c>
      <c r="D394" s="3" t="s">
        <v>611</v>
      </c>
      <c r="E394" s="3" t="s">
        <v>174</v>
      </c>
      <c r="F394" s="3" t="s">
        <v>300</v>
      </c>
      <c r="G394" s="4" t="s">
        <v>85</v>
      </c>
      <c r="H394" s="4">
        <v>21</v>
      </c>
      <c r="I394" s="4">
        <v>13</v>
      </c>
      <c r="J394" s="4">
        <v>14</v>
      </c>
      <c r="K394" s="5">
        <f t="shared" si="16"/>
        <v>4849.93</v>
      </c>
      <c r="L394" s="5">
        <v>2924.92</v>
      </c>
      <c r="M394" s="5">
        <v>1925.01</v>
      </c>
      <c r="N394" s="4">
        <v>0</v>
      </c>
      <c r="O394" s="5">
        <f t="shared" si="17"/>
        <v>0</v>
      </c>
      <c r="P394" s="5">
        <v>0</v>
      </c>
      <c r="Q394" s="5">
        <v>0</v>
      </c>
      <c r="R394" s="6"/>
    </row>
    <row r="395" spans="1:18" x14ac:dyDescent="0.25">
      <c r="A395" s="348">
        <f t="shared" si="18"/>
        <v>128</v>
      </c>
      <c r="B395" s="3" t="s">
        <v>156</v>
      </c>
      <c r="C395" s="3" t="s">
        <v>67</v>
      </c>
      <c r="D395" s="3" t="s">
        <v>499</v>
      </c>
      <c r="E395" s="3" t="s">
        <v>74</v>
      </c>
      <c r="F395" s="3" t="s">
        <v>301</v>
      </c>
      <c r="G395" s="4" t="s">
        <v>85</v>
      </c>
      <c r="H395" s="4">
        <v>34</v>
      </c>
      <c r="I395" s="4">
        <v>27</v>
      </c>
      <c r="J395" s="4">
        <v>31</v>
      </c>
      <c r="K395" s="5">
        <f t="shared" si="16"/>
        <v>34539.369999999995</v>
      </c>
      <c r="L395" s="5">
        <v>19255.759999999998</v>
      </c>
      <c r="M395" s="5">
        <v>15283.61</v>
      </c>
      <c r="N395" s="4">
        <v>34</v>
      </c>
      <c r="O395" s="5">
        <f t="shared" si="17"/>
        <v>58828.76</v>
      </c>
      <c r="P395" s="5">
        <v>51164.89</v>
      </c>
      <c r="Q395" s="5">
        <v>7663.87</v>
      </c>
      <c r="R395" s="6"/>
    </row>
    <row r="396" spans="1:18" x14ac:dyDescent="0.25">
      <c r="A396" s="348">
        <f t="shared" si="18"/>
        <v>129</v>
      </c>
      <c r="B396" s="3" t="s">
        <v>302</v>
      </c>
      <c r="C396" s="3" t="s">
        <v>611</v>
      </c>
      <c r="D396" s="3" t="s">
        <v>611</v>
      </c>
      <c r="E396" s="3" t="s">
        <v>63</v>
      </c>
      <c r="F396" s="3" t="s">
        <v>303</v>
      </c>
      <c r="G396" s="4" t="s">
        <v>85</v>
      </c>
      <c r="H396" s="4">
        <v>10</v>
      </c>
      <c r="I396" s="4">
        <v>7</v>
      </c>
      <c r="J396" s="4">
        <v>8</v>
      </c>
      <c r="K396" s="5">
        <f t="shared" si="16"/>
        <v>6468.1</v>
      </c>
      <c r="L396" s="5">
        <v>5218.84</v>
      </c>
      <c r="M396" s="5">
        <v>1249.26</v>
      </c>
      <c r="N396" s="4">
        <v>0</v>
      </c>
      <c r="O396" s="5">
        <f t="shared" si="17"/>
        <v>0</v>
      </c>
      <c r="P396" s="5">
        <v>0</v>
      </c>
      <c r="Q396" s="5">
        <v>0</v>
      </c>
      <c r="R396" s="6"/>
    </row>
    <row r="397" spans="1:18" x14ac:dyDescent="0.25">
      <c r="A397" s="348">
        <f t="shared" si="18"/>
        <v>130</v>
      </c>
      <c r="B397" s="3" t="s">
        <v>140</v>
      </c>
      <c r="C397" s="3" t="s">
        <v>62</v>
      </c>
      <c r="D397" s="3" t="s">
        <v>63</v>
      </c>
      <c r="E397" s="3" t="s">
        <v>74</v>
      </c>
      <c r="F397" s="3" t="s">
        <v>304</v>
      </c>
      <c r="G397" s="4" t="s">
        <v>85</v>
      </c>
      <c r="H397" s="4">
        <v>53</v>
      </c>
      <c r="I397" s="4">
        <v>45</v>
      </c>
      <c r="J397" s="4">
        <v>48</v>
      </c>
      <c r="K397" s="5">
        <f t="shared" ref="K397:K414" si="19">L397+M397</f>
        <v>47342.8</v>
      </c>
      <c r="L397" s="5">
        <v>35702.46</v>
      </c>
      <c r="M397" s="5">
        <v>11640.34</v>
      </c>
      <c r="N397" s="4">
        <v>19</v>
      </c>
      <c r="O397" s="5">
        <f t="shared" ref="O397:O414" si="20">P397+Q397</f>
        <v>43411.7</v>
      </c>
      <c r="P397" s="5">
        <v>38337.32</v>
      </c>
      <c r="Q397" s="5">
        <v>5074.38</v>
      </c>
      <c r="R397" s="6"/>
    </row>
    <row r="398" spans="1:18" ht="25.5" x14ac:dyDescent="0.25">
      <c r="A398" s="348">
        <f t="shared" ref="A398:A414" si="21">A397+1</f>
        <v>131</v>
      </c>
      <c r="B398" s="3" t="s">
        <v>305</v>
      </c>
      <c r="C398" s="3" t="s">
        <v>611</v>
      </c>
      <c r="D398" s="3" t="s">
        <v>611</v>
      </c>
      <c r="E398" s="3" t="s">
        <v>186</v>
      </c>
      <c r="F398" s="3" t="s">
        <v>513</v>
      </c>
      <c r="G398" s="4" t="s">
        <v>85</v>
      </c>
      <c r="H398" s="4">
        <v>12</v>
      </c>
      <c r="I398" s="4">
        <v>8</v>
      </c>
      <c r="J398" s="4">
        <v>9</v>
      </c>
      <c r="K398" s="5">
        <f t="shared" si="19"/>
        <v>4975.4399999999996</v>
      </c>
      <c r="L398" s="5">
        <v>4975.4399999999996</v>
      </c>
      <c r="M398" s="5">
        <v>0</v>
      </c>
      <c r="N398" s="4">
        <v>0</v>
      </c>
      <c r="O398" s="5">
        <f t="shared" si="20"/>
        <v>0</v>
      </c>
      <c r="P398" s="5">
        <v>0</v>
      </c>
      <c r="Q398" s="5">
        <v>0</v>
      </c>
      <c r="R398" s="6"/>
    </row>
    <row r="399" spans="1:18" x14ac:dyDescent="0.25">
      <c r="A399" s="348">
        <f t="shared" si="21"/>
        <v>132</v>
      </c>
      <c r="B399" s="3" t="s">
        <v>471</v>
      </c>
      <c r="C399" s="3" t="s">
        <v>64</v>
      </c>
      <c r="D399" s="3" t="s">
        <v>65</v>
      </c>
      <c r="E399" s="3" t="s">
        <v>74</v>
      </c>
      <c r="F399" s="3" t="s">
        <v>472</v>
      </c>
      <c r="G399" s="4" t="s">
        <v>85</v>
      </c>
      <c r="H399" s="4">
        <v>0</v>
      </c>
      <c r="I399" s="4">
        <v>0</v>
      </c>
      <c r="J399" s="4">
        <v>0</v>
      </c>
      <c r="K399" s="5">
        <f t="shared" si="19"/>
        <v>0</v>
      </c>
      <c r="L399" s="5">
        <v>0</v>
      </c>
      <c r="M399" s="5">
        <v>0</v>
      </c>
      <c r="N399" s="4">
        <v>1</v>
      </c>
      <c r="O399" s="5">
        <f t="shared" si="20"/>
        <v>0</v>
      </c>
      <c r="P399" s="5">
        <v>0</v>
      </c>
      <c r="Q399" s="5">
        <v>0</v>
      </c>
      <c r="R399" s="6"/>
    </row>
    <row r="400" spans="1:18" ht="38.25" x14ac:dyDescent="0.25">
      <c r="A400" s="348">
        <f t="shared" si="21"/>
        <v>133</v>
      </c>
      <c r="B400" s="3" t="s">
        <v>57</v>
      </c>
      <c r="C400" s="3" t="s">
        <v>62</v>
      </c>
      <c r="D400" s="3" t="s">
        <v>63</v>
      </c>
      <c r="E400" s="3" t="s">
        <v>244</v>
      </c>
      <c r="F400" s="3" t="s">
        <v>306</v>
      </c>
      <c r="G400" s="4" t="s">
        <v>85</v>
      </c>
      <c r="H400" s="4">
        <v>27</v>
      </c>
      <c r="I400" s="4">
        <v>11</v>
      </c>
      <c r="J400" s="4">
        <v>12</v>
      </c>
      <c r="K400" s="5">
        <f t="shared" si="19"/>
        <v>13826.66</v>
      </c>
      <c r="L400" s="5">
        <v>10382.219999999999</v>
      </c>
      <c r="M400" s="5">
        <v>3444.44</v>
      </c>
      <c r="N400" s="4">
        <v>18</v>
      </c>
      <c r="O400" s="5">
        <f t="shared" si="20"/>
        <v>84395.78</v>
      </c>
      <c r="P400" s="5">
        <v>75908.600000000006</v>
      </c>
      <c r="Q400" s="5">
        <v>8487.18</v>
      </c>
      <c r="R400" s="6"/>
    </row>
    <row r="401" spans="1:18" x14ac:dyDescent="0.25">
      <c r="A401" s="348">
        <f t="shared" si="21"/>
        <v>134</v>
      </c>
      <c r="B401" s="3" t="s">
        <v>473</v>
      </c>
      <c r="C401" s="3" t="s">
        <v>62</v>
      </c>
      <c r="D401" s="3" t="s">
        <v>632</v>
      </c>
      <c r="E401" s="3" t="s">
        <v>63</v>
      </c>
      <c r="F401" s="3" t="s">
        <v>500</v>
      </c>
      <c r="G401" s="4" t="s">
        <v>85</v>
      </c>
      <c r="H401" s="4">
        <v>15</v>
      </c>
      <c r="I401" s="4">
        <v>5</v>
      </c>
      <c r="J401" s="4">
        <v>6</v>
      </c>
      <c r="K401" s="5">
        <f t="shared" si="19"/>
        <v>9948.6799999999985</v>
      </c>
      <c r="L401" s="5">
        <v>1613.55</v>
      </c>
      <c r="M401" s="5">
        <v>8335.1299999999992</v>
      </c>
      <c r="N401" s="4">
        <v>4</v>
      </c>
      <c r="O401" s="5">
        <f t="shared" si="20"/>
        <v>20865.919999999998</v>
      </c>
      <c r="P401" s="5">
        <v>20865.919999999998</v>
      </c>
      <c r="Q401" s="5">
        <v>0</v>
      </c>
      <c r="R401" s="6"/>
    </row>
    <row r="402" spans="1:18" x14ac:dyDescent="0.25">
      <c r="A402" s="348">
        <f t="shared" si="21"/>
        <v>135</v>
      </c>
      <c r="B402" s="3" t="s">
        <v>129</v>
      </c>
      <c r="C402" s="3" t="s">
        <v>62</v>
      </c>
      <c r="D402" s="3" t="s">
        <v>63</v>
      </c>
      <c r="E402" s="3" t="s">
        <v>74</v>
      </c>
      <c r="F402" s="3" t="s">
        <v>307</v>
      </c>
      <c r="G402" s="4" t="s">
        <v>85</v>
      </c>
      <c r="H402" s="4">
        <v>0</v>
      </c>
      <c r="I402" s="4">
        <v>0</v>
      </c>
      <c r="J402" s="4">
        <v>0</v>
      </c>
      <c r="K402" s="5">
        <f t="shared" si="19"/>
        <v>0</v>
      </c>
      <c r="L402" s="5">
        <v>0</v>
      </c>
      <c r="M402" s="5">
        <v>0</v>
      </c>
      <c r="N402" s="4">
        <v>2</v>
      </c>
      <c r="O402" s="5">
        <f t="shared" si="20"/>
        <v>12997.88</v>
      </c>
      <c r="P402" s="5">
        <f>2390.47+3319.93</f>
        <v>5710.4</v>
      </c>
      <c r="Q402" s="5">
        <v>7287.48</v>
      </c>
      <c r="R402" s="6"/>
    </row>
    <row r="403" spans="1:18" ht="25.5" x14ac:dyDescent="0.25">
      <c r="A403" s="348">
        <f t="shared" si="21"/>
        <v>136</v>
      </c>
      <c r="B403" s="3" t="s">
        <v>58</v>
      </c>
      <c r="C403" s="3" t="s">
        <v>62</v>
      </c>
      <c r="D403" s="3" t="s">
        <v>63</v>
      </c>
      <c r="E403" s="3" t="s">
        <v>84</v>
      </c>
      <c r="F403" s="3" t="s">
        <v>308</v>
      </c>
      <c r="G403" s="4" t="s">
        <v>85</v>
      </c>
      <c r="H403" s="4">
        <v>191</v>
      </c>
      <c r="I403" s="4">
        <v>168</v>
      </c>
      <c r="J403" s="4">
        <v>188</v>
      </c>
      <c r="K403" s="5">
        <f t="shared" si="19"/>
        <v>174860.32</v>
      </c>
      <c r="L403" s="5">
        <v>127815.66</v>
      </c>
      <c r="M403" s="5">
        <v>47044.66</v>
      </c>
      <c r="N403" s="4">
        <v>60</v>
      </c>
      <c r="O403" s="5">
        <f t="shared" si="20"/>
        <v>187084.08</v>
      </c>
      <c r="P403" s="5">
        <v>155989.18</v>
      </c>
      <c r="Q403" s="5">
        <v>31094.9</v>
      </c>
      <c r="R403" s="6"/>
    </row>
    <row r="404" spans="1:18" ht="25.5" x14ac:dyDescent="0.25">
      <c r="A404" s="348">
        <f t="shared" si="21"/>
        <v>137</v>
      </c>
      <c r="B404" s="3" t="s">
        <v>59</v>
      </c>
      <c r="C404" s="3" t="s">
        <v>62</v>
      </c>
      <c r="D404" s="3" t="s">
        <v>66</v>
      </c>
      <c r="E404" s="3" t="s">
        <v>80</v>
      </c>
      <c r="F404" s="3" t="s">
        <v>309</v>
      </c>
      <c r="G404" s="4" t="s">
        <v>85</v>
      </c>
      <c r="H404" s="4">
        <v>40</v>
      </c>
      <c r="I404" s="4">
        <v>32</v>
      </c>
      <c r="J404" s="4">
        <v>48</v>
      </c>
      <c r="K404" s="5">
        <f t="shared" si="19"/>
        <v>51534.89</v>
      </c>
      <c r="L404" s="5">
        <v>31212.49</v>
      </c>
      <c r="M404" s="5">
        <v>20322.400000000001</v>
      </c>
      <c r="N404" s="4">
        <v>29</v>
      </c>
      <c r="O404" s="5">
        <f t="shared" si="20"/>
        <v>84860.209999999992</v>
      </c>
      <c r="P404" s="5">
        <v>60246.84</v>
      </c>
      <c r="Q404" s="5">
        <v>24613.37</v>
      </c>
      <c r="R404" s="6"/>
    </row>
    <row r="405" spans="1:18" x14ac:dyDescent="0.25">
      <c r="A405" s="348">
        <f t="shared" si="21"/>
        <v>138</v>
      </c>
      <c r="B405" s="3" t="s">
        <v>130</v>
      </c>
      <c r="C405" s="3" t="s">
        <v>62</v>
      </c>
      <c r="D405" s="3" t="s">
        <v>63</v>
      </c>
      <c r="E405" s="3" t="s">
        <v>74</v>
      </c>
      <c r="F405" s="3" t="s">
        <v>553</v>
      </c>
      <c r="G405" s="4" t="s">
        <v>85</v>
      </c>
      <c r="H405" s="4">
        <v>2</v>
      </c>
      <c r="I405" s="4">
        <v>1</v>
      </c>
      <c r="J405" s="4">
        <v>1</v>
      </c>
      <c r="K405" s="5">
        <f t="shared" si="19"/>
        <v>299.54000000000002</v>
      </c>
      <c r="L405" s="5">
        <v>299.54000000000002</v>
      </c>
      <c r="M405" s="5">
        <v>0</v>
      </c>
      <c r="N405" s="4">
        <v>2</v>
      </c>
      <c r="O405" s="5">
        <f t="shared" si="20"/>
        <v>10071.869999999999</v>
      </c>
      <c r="P405" s="5">
        <v>4807.33</v>
      </c>
      <c r="Q405" s="5">
        <v>5264.54</v>
      </c>
      <c r="R405" s="6"/>
    </row>
    <row r="406" spans="1:18" x14ac:dyDescent="0.25">
      <c r="A406" s="348">
        <f t="shared" si="21"/>
        <v>139</v>
      </c>
      <c r="B406" s="3" t="s">
        <v>97</v>
      </c>
      <c r="C406" s="3" t="s">
        <v>62</v>
      </c>
      <c r="D406" s="3" t="s">
        <v>63</v>
      </c>
      <c r="E406" s="3" t="s">
        <v>74</v>
      </c>
      <c r="F406" s="3" t="s">
        <v>310</v>
      </c>
      <c r="G406" s="4" t="s">
        <v>85</v>
      </c>
      <c r="H406" s="4">
        <v>6</v>
      </c>
      <c r="I406" s="4">
        <v>3</v>
      </c>
      <c r="J406" s="4">
        <v>3</v>
      </c>
      <c r="K406" s="5">
        <f t="shared" si="19"/>
        <v>3660.56</v>
      </c>
      <c r="L406" s="5">
        <f>687.18+2973.38</f>
        <v>3660.56</v>
      </c>
      <c r="M406" s="5">
        <v>0</v>
      </c>
      <c r="N406" s="4">
        <v>1</v>
      </c>
      <c r="O406" s="5">
        <f t="shared" si="20"/>
        <v>808.76</v>
      </c>
      <c r="P406" s="5">
        <v>808.76</v>
      </c>
      <c r="Q406" s="5">
        <v>0</v>
      </c>
      <c r="R406" s="6"/>
    </row>
    <row r="407" spans="1:18" ht="25.5" x14ac:dyDescent="0.25">
      <c r="A407" s="348">
        <f t="shared" si="21"/>
        <v>140</v>
      </c>
      <c r="B407" s="3" t="s">
        <v>514</v>
      </c>
      <c r="C407" s="3" t="s">
        <v>62</v>
      </c>
      <c r="D407" s="3" t="s">
        <v>633</v>
      </c>
      <c r="E407" s="3" t="s">
        <v>223</v>
      </c>
      <c r="F407" s="3" t="s">
        <v>515</v>
      </c>
      <c r="G407" s="4" t="s">
        <v>85</v>
      </c>
      <c r="H407" s="4">
        <v>14</v>
      </c>
      <c r="I407" s="4">
        <v>11</v>
      </c>
      <c r="J407" s="4">
        <v>16</v>
      </c>
      <c r="K407" s="5">
        <f t="shared" si="19"/>
        <v>21122.21</v>
      </c>
      <c r="L407" s="5">
        <v>0</v>
      </c>
      <c r="M407" s="5">
        <v>21122.21</v>
      </c>
      <c r="N407" s="4">
        <v>0</v>
      </c>
      <c r="O407" s="5">
        <f t="shared" si="20"/>
        <v>0</v>
      </c>
      <c r="P407" s="5">
        <v>0</v>
      </c>
      <c r="Q407" s="5">
        <v>0</v>
      </c>
      <c r="R407" s="6"/>
    </row>
    <row r="408" spans="1:18" x14ac:dyDescent="0.25">
      <c r="A408" s="348">
        <f t="shared" si="21"/>
        <v>141</v>
      </c>
      <c r="B408" s="3" t="s">
        <v>132</v>
      </c>
      <c r="C408" s="3" t="s">
        <v>62</v>
      </c>
      <c r="D408" s="3" t="s">
        <v>63</v>
      </c>
      <c r="E408" s="3" t="s">
        <v>74</v>
      </c>
      <c r="F408" s="3" t="s">
        <v>311</v>
      </c>
      <c r="G408" s="4" t="s">
        <v>85</v>
      </c>
      <c r="H408" s="4">
        <v>17</v>
      </c>
      <c r="I408" s="4">
        <v>7</v>
      </c>
      <c r="J408" s="4">
        <v>8</v>
      </c>
      <c r="K408" s="5">
        <f t="shared" si="19"/>
        <v>7071.18</v>
      </c>
      <c r="L408" s="5">
        <v>6629.34</v>
      </c>
      <c r="M408" s="5">
        <v>441.84</v>
      </c>
      <c r="N408" s="4">
        <v>10</v>
      </c>
      <c r="O408" s="5">
        <f t="shared" si="20"/>
        <v>6240.07</v>
      </c>
      <c r="P408" s="5">
        <v>5871.87</v>
      </c>
      <c r="Q408" s="5">
        <v>368.2</v>
      </c>
      <c r="R408" s="6"/>
    </row>
    <row r="409" spans="1:18" ht="25.5" x14ac:dyDescent="0.25">
      <c r="A409" s="348">
        <f t="shared" si="21"/>
        <v>142</v>
      </c>
      <c r="B409" s="3" t="s">
        <v>312</v>
      </c>
      <c r="C409" s="3" t="s">
        <v>62</v>
      </c>
      <c r="D409" s="3" t="s">
        <v>611</v>
      </c>
      <c r="E409" s="3" t="s">
        <v>313</v>
      </c>
      <c r="F409" s="3" t="s">
        <v>314</v>
      </c>
      <c r="G409" s="4" t="s">
        <v>85</v>
      </c>
      <c r="H409" s="4">
        <v>41</v>
      </c>
      <c r="I409" s="4">
        <v>1</v>
      </c>
      <c r="J409" s="4">
        <v>1</v>
      </c>
      <c r="K409" s="5">
        <f t="shared" si="19"/>
        <v>0</v>
      </c>
      <c r="L409" s="5">
        <v>0</v>
      </c>
      <c r="M409" s="5">
        <v>0</v>
      </c>
      <c r="N409" s="4">
        <v>0</v>
      </c>
      <c r="O409" s="5">
        <f t="shared" si="20"/>
        <v>0</v>
      </c>
      <c r="P409" s="5">
        <v>0</v>
      </c>
      <c r="Q409" s="5">
        <v>0</v>
      </c>
      <c r="R409" s="6"/>
    </row>
    <row r="410" spans="1:18" x14ac:dyDescent="0.25">
      <c r="A410" s="348">
        <f t="shared" si="21"/>
        <v>143</v>
      </c>
      <c r="B410" s="3" t="s">
        <v>315</v>
      </c>
      <c r="C410" s="3" t="s">
        <v>62</v>
      </c>
      <c r="D410" s="3" t="s">
        <v>63</v>
      </c>
      <c r="E410" s="3" t="s">
        <v>74</v>
      </c>
      <c r="F410" s="3" t="s">
        <v>316</v>
      </c>
      <c r="G410" s="4" t="s">
        <v>85</v>
      </c>
      <c r="H410" s="4">
        <v>16</v>
      </c>
      <c r="I410" s="4">
        <v>9</v>
      </c>
      <c r="J410" s="4">
        <v>11</v>
      </c>
      <c r="K410" s="5">
        <f t="shared" si="19"/>
        <v>11020.91</v>
      </c>
      <c r="L410" s="5">
        <v>7088.53</v>
      </c>
      <c r="M410" s="5">
        <v>3932.38</v>
      </c>
      <c r="N410" s="4">
        <v>3</v>
      </c>
      <c r="O410" s="5">
        <f t="shared" si="20"/>
        <v>3889.02</v>
      </c>
      <c r="P410" s="5">
        <v>2596.64</v>
      </c>
      <c r="Q410" s="5">
        <v>1292.3800000000001</v>
      </c>
      <c r="R410" s="6"/>
    </row>
    <row r="411" spans="1:18" x14ac:dyDescent="0.25">
      <c r="A411" s="348">
        <f t="shared" si="21"/>
        <v>144</v>
      </c>
      <c r="B411" s="3" t="s">
        <v>317</v>
      </c>
      <c r="C411" s="3" t="s">
        <v>62</v>
      </c>
      <c r="D411" s="3" t="s">
        <v>611</v>
      </c>
      <c r="E411" s="3" t="s">
        <v>158</v>
      </c>
      <c r="F411" s="3" t="s">
        <v>474</v>
      </c>
      <c r="G411" s="4" t="s">
        <v>85</v>
      </c>
      <c r="H411" s="4">
        <v>9</v>
      </c>
      <c r="I411" s="4">
        <v>4</v>
      </c>
      <c r="J411" s="4">
        <v>4</v>
      </c>
      <c r="K411" s="5">
        <f t="shared" si="19"/>
        <v>2271.02</v>
      </c>
      <c r="L411" s="5">
        <v>0</v>
      </c>
      <c r="M411" s="5">
        <v>2271.02</v>
      </c>
      <c r="N411" s="4">
        <v>0</v>
      </c>
      <c r="O411" s="5">
        <f t="shared" si="20"/>
        <v>0</v>
      </c>
      <c r="P411" s="5">
        <v>0</v>
      </c>
      <c r="Q411" s="5">
        <v>0</v>
      </c>
      <c r="R411" s="6"/>
    </row>
    <row r="412" spans="1:18" ht="25.5" x14ac:dyDescent="0.25">
      <c r="A412" s="348">
        <f t="shared" si="21"/>
        <v>145</v>
      </c>
      <c r="B412" s="3" t="s">
        <v>318</v>
      </c>
      <c r="C412" s="3" t="s">
        <v>62</v>
      </c>
      <c r="D412" s="3" t="s">
        <v>611</v>
      </c>
      <c r="E412" s="3" t="s">
        <v>174</v>
      </c>
      <c r="F412" s="3" t="s">
        <v>319</v>
      </c>
      <c r="G412" s="4" t="s">
        <v>85</v>
      </c>
      <c r="H412" s="4">
        <v>28</v>
      </c>
      <c r="I412" s="4">
        <v>16</v>
      </c>
      <c r="J412" s="4">
        <v>19</v>
      </c>
      <c r="K412" s="5">
        <f t="shared" si="19"/>
        <v>18510.03</v>
      </c>
      <c r="L412" s="5">
        <v>16771.8</v>
      </c>
      <c r="M412" s="5">
        <v>1738.23</v>
      </c>
      <c r="N412" s="4">
        <v>0</v>
      </c>
      <c r="O412" s="5">
        <f t="shared" si="20"/>
        <v>0</v>
      </c>
      <c r="P412" s="5">
        <v>0</v>
      </c>
      <c r="Q412" s="5">
        <v>0</v>
      </c>
      <c r="R412" s="6"/>
    </row>
    <row r="413" spans="1:18" x14ac:dyDescent="0.25">
      <c r="A413" s="348">
        <f t="shared" si="21"/>
        <v>146</v>
      </c>
      <c r="B413" s="3" t="s">
        <v>60</v>
      </c>
      <c r="C413" s="3" t="s">
        <v>67</v>
      </c>
      <c r="D413" s="3" t="s">
        <v>68</v>
      </c>
      <c r="E413" s="3" t="s">
        <v>74</v>
      </c>
      <c r="F413" s="3" t="s">
        <v>320</v>
      </c>
      <c r="G413" s="4" t="s">
        <v>85</v>
      </c>
      <c r="H413" s="4">
        <v>60</v>
      </c>
      <c r="I413" s="4">
        <v>51</v>
      </c>
      <c r="J413" s="4">
        <v>76</v>
      </c>
      <c r="K413" s="5">
        <f t="shared" si="19"/>
        <v>137178.44</v>
      </c>
      <c r="L413" s="5">
        <v>107467.68</v>
      </c>
      <c r="M413" s="5">
        <v>29710.76</v>
      </c>
      <c r="N413" s="4">
        <v>41</v>
      </c>
      <c r="O413" s="5">
        <f t="shared" si="20"/>
        <v>91294.68</v>
      </c>
      <c r="P413" s="5">
        <v>82642.289999999994</v>
      </c>
      <c r="Q413" s="5">
        <v>8652.39</v>
      </c>
      <c r="R413" s="6"/>
    </row>
    <row r="414" spans="1:18" x14ac:dyDescent="0.25">
      <c r="A414" s="348">
        <f t="shared" si="21"/>
        <v>147</v>
      </c>
      <c r="B414" s="3" t="s">
        <v>61</v>
      </c>
      <c r="C414" s="3" t="s">
        <v>67</v>
      </c>
      <c r="D414" s="3" t="s">
        <v>69</v>
      </c>
      <c r="E414" s="3" t="s">
        <v>74</v>
      </c>
      <c r="F414" s="3" t="s">
        <v>321</v>
      </c>
      <c r="G414" s="4" t="s">
        <v>85</v>
      </c>
      <c r="H414" s="4">
        <v>9</v>
      </c>
      <c r="I414" s="4">
        <v>5</v>
      </c>
      <c r="J414" s="4">
        <v>6</v>
      </c>
      <c r="K414" s="5">
        <f t="shared" si="19"/>
        <v>11466.68</v>
      </c>
      <c r="L414" s="5">
        <v>9051.74</v>
      </c>
      <c r="M414" s="5">
        <v>2414.94</v>
      </c>
      <c r="N414" s="4">
        <v>7</v>
      </c>
      <c r="O414" s="5">
        <f t="shared" si="20"/>
        <v>7602.26</v>
      </c>
      <c r="P414" s="5">
        <v>7602.26</v>
      </c>
      <c r="Q414" s="5">
        <v>0</v>
      </c>
      <c r="R414" s="6"/>
    </row>
  </sheetData>
  <autoFilter ref="A8:Q137">
    <filterColumn colId="1">
      <filters>
        <filter val="Кіслова Олена Олександрівна"/>
      </filters>
    </filterColumn>
  </autoFilter>
  <mergeCells count="8">
    <mergeCell ref="B7:G7"/>
    <mergeCell ref="H7:M7"/>
    <mergeCell ref="N7:Q7"/>
    <mergeCell ref="O1:Q1"/>
    <mergeCell ref="A3:Q3"/>
    <mergeCell ref="A4:Q4"/>
    <mergeCell ref="A5:Q5"/>
    <mergeCell ref="A6:Q6"/>
  </mergeCells>
  <pageMargins left="0.31496062992125984" right="0.31496062992125984" top="0.55118110236220474" bottom="0.55118110236220474" header="0" footer="0"/>
  <pageSetup paperSize="9" scale="18" fitToWidth="2" orientation="landscape" horizontalDpi="300" verticalDpi="300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282"/>
  <sheetViews>
    <sheetView topLeftCell="A118" workbookViewId="0">
      <selection activeCell="A127" sqref="A127:XFD136"/>
    </sheetView>
  </sheetViews>
  <sheetFormatPr defaultRowHeight="15" customHeight="1" x14ac:dyDescent="0.25"/>
  <cols>
    <col min="1" max="1" width="4" customWidth="1"/>
    <col min="2" max="2" width="36.28515625" customWidth="1"/>
    <col min="3" max="3" width="11.28515625" customWidth="1"/>
    <col min="4" max="4" width="26.28515625" customWidth="1"/>
    <col min="5" max="5" width="15.7109375" customWidth="1"/>
    <col min="6" max="8" width="19.28515625" customWidth="1"/>
    <col min="9" max="9" width="11.85546875" customWidth="1"/>
    <col min="10" max="10" width="13.140625" customWidth="1"/>
    <col min="11" max="11" width="14.5703125" customWidth="1"/>
    <col min="12" max="12" width="13.42578125" customWidth="1"/>
    <col min="13" max="13" width="13.5703125" customWidth="1"/>
    <col min="14" max="14" width="13.28515625" customWidth="1"/>
    <col min="15" max="15" width="14.42578125" customWidth="1"/>
    <col min="16" max="17" width="13.42578125" customWidth="1"/>
  </cols>
  <sheetData>
    <row r="1" spans="1:18" x14ac:dyDescent="0.25">
      <c r="A1" s="295"/>
      <c r="B1" s="295"/>
      <c r="C1" s="295"/>
      <c r="D1" s="295"/>
      <c r="E1" s="295"/>
      <c r="F1" s="295"/>
      <c r="G1" s="295"/>
      <c r="H1" s="295"/>
      <c r="I1" s="295"/>
      <c r="J1" s="295"/>
      <c r="K1" s="7"/>
      <c r="L1" s="7"/>
      <c r="M1" s="7"/>
      <c r="N1" s="295"/>
      <c r="O1" s="620" t="s">
        <v>15</v>
      </c>
      <c r="P1" s="620"/>
      <c r="Q1" s="620"/>
      <c r="R1" s="6"/>
    </row>
    <row r="2" spans="1:18" x14ac:dyDescent="0.25">
      <c r="A2" s="295"/>
      <c r="B2" s="295"/>
      <c r="C2" s="295"/>
      <c r="D2" s="295"/>
      <c r="E2" s="295"/>
      <c r="F2" s="295"/>
      <c r="G2" s="295"/>
      <c r="H2" s="295"/>
      <c r="I2" s="295"/>
      <c r="J2" s="295"/>
      <c r="K2" s="7"/>
      <c r="L2" s="7"/>
      <c r="M2" s="7"/>
      <c r="N2" s="295"/>
      <c r="O2" s="7"/>
      <c r="P2" s="7"/>
      <c r="Q2" s="7"/>
      <c r="R2" s="6"/>
    </row>
    <row r="3" spans="1:18" x14ac:dyDescent="0.25">
      <c r="A3" s="621" t="s">
        <v>323</v>
      </c>
      <c r="B3" s="621"/>
      <c r="C3" s="621"/>
      <c r="D3" s="621"/>
      <c r="E3" s="621"/>
      <c r="F3" s="621"/>
      <c r="G3" s="621"/>
      <c r="H3" s="621"/>
      <c r="I3" s="621"/>
      <c r="J3" s="621"/>
      <c r="K3" s="621"/>
      <c r="L3" s="621"/>
      <c r="M3" s="621"/>
      <c r="N3" s="621"/>
      <c r="O3" s="621"/>
      <c r="P3" s="621"/>
      <c r="Q3" s="621"/>
      <c r="R3" s="6"/>
    </row>
    <row r="4" spans="1:18" ht="18.75" x14ac:dyDescent="0.25">
      <c r="A4" s="622" t="s">
        <v>16</v>
      </c>
      <c r="B4" s="622"/>
      <c r="C4" s="622"/>
      <c r="D4" s="622"/>
      <c r="E4" s="622"/>
      <c r="F4" s="622"/>
      <c r="G4" s="622"/>
      <c r="H4" s="622"/>
      <c r="I4" s="622"/>
      <c r="J4" s="622"/>
      <c r="K4" s="622"/>
      <c r="L4" s="622"/>
      <c r="M4" s="622"/>
      <c r="N4" s="622"/>
      <c r="O4" s="622"/>
      <c r="P4" s="622"/>
      <c r="Q4" s="622"/>
      <c r="R4" s="6"/>
    </row>
    <row r="5" spans="1:18" x14ac:dyDescent="0.25">
      <c r="A5" s="623" t="s">
        <v>14</v>
      </c>
      <c r="B5" s="623"/>
      <c r="C5" s="623"/>
      <c r="D5" s="623"/>
      <c r="E5" s="623"/>
      <c r="F5" s="623"/>
      <c r="G5" s="623"/>
      <c r="H5" s="623"/>
      <c r="I5" s="623"/>
      <c r="J5" s="623"/>
      <c r="K5" s="623"/>
      <c r="L5" s="623"/>
      <c r="M5" s="623"/>
      <c r="N5" s="623"/>
      <c r="O5" s="623"/>
      <c r="P5" s="623"/>
      <c r="Q5" s="623"/>
      <c r="R5" s="6"/>
    </row>
    <row r="6" spans="1:18" ht="21" x14ac:dyDescent="0.25">
      <c r="A6" s="624" t="s">
        <v>17</v>
      </c>
      <c r="B6" s="624"/>
      <c r="C6" s="624"/>
      <c r="D6" s="624"/>
      <c r="E6" s="624"/>
      <c r="F6" s="624"/>
      <c r="G6" s="624"/>
      <c r="H6" s="624"/>
      <c r="I6" s="624"/>
      <c r="J6" s="624"/>
      <c r="K6" s="624"/>
      <c r="L6" s="624"/>
      <c r="M6" s="624"/>
      <c r="N6" s="624"/>
      <c r="O6" s="624"/>
      <c r="P6" s="624"/>
      <c r="Q6" s="624"/>
      <c r="R6" s="6"/>
    </row>
    <row r="7" spans="1:18" x14ac:dyDescent="0.25">
      <c r="A7" s="9" t="s">
        <v>0</v>
      </c>
      <c r="B7" s="617" t="s">
        <v>10</v>
      </c>
      <c r="C7" s="618"/>
      <c r="D7" s="618"/>
      <c r="E7" s="618"/>
      <c r="F7" s="618"/>
      <c r="G7" s="619"/>
      <c r="H7" s="617" t="s">
        <v>322</v>
      </c>
      <c r="I7" s="618"/>
      <c r="J7" s="618"/>
      <c r="K7" s="618"/>
      <c r="L7" s="618"/>
      <c r="M7" s="618"/>
      <c r="N7" s="617" t="s">
        <v>324</v>
      </c>
      <c r="O7" s="618"/>
      <c r="P7" s="618"/>
      <c r="Q7" s="619"/>
      <c r="R7" s="6"/>
    </row>
    <row r="8" spans="1:18" ht="102" x14ac:dyDescent="0.25">
      <c r="A8" s="10"/>
      <c r="B8" s="11" t="s">
        <v>4</v>
      </c>
      <c r="C8" s="11" t="s">
        <v>1</v>
      </c>
      <c r="D8" s="11" t="s">
        <v>3</v>
      </c>
      <c r="E8" s="11" t="s">
        <v>2</v>
      </c>
      <c r="F8" s="11" t="s">
        <v>6</v>
      </c>
      <c r="G8" s="11" t="s">
        <v>5</v>
      </c>
      <c r="H8" s="12" t="s">
        <v>7</v>
      </c>
      <c r="I8" s="13" t="s">
        <v>8</v>
      </c>
      <c r="J8" s="13" t="s">
        <v>9</v>
      </c>
      <c r="K8" s="14" t="s">
        <v>11</v>
      </c>
      <c r="L8" s="14" t="s">
        <v>12</v>
      </c>
      <c r="M8" s="14" t="s">
        <v>13</v>
      </c>
      <c r="N8" s="13" t="s">
        <v>9</v>
      </c>
      <c r="O8" s="14" t="s">
        <v>11</v>
      </c>
      <c r="P8" s="14" t="s">
        <v>12</v>
      </c>
      <c r="Q8" s="15" t="s">
        <v>13</v>
      </c>
      <c r="R8" s="6"/>
    </row>
    <row r="9" spans="1:18" ht="25.5" x14ac:dyDescent="0.25">
      <c r="A9" s="226">
        <v>1</v>
      </c>
      <c r="B9" s="136" t="s">
        <v>134</v>
      </c>
      <c r="C9" s="134" t="s">
        <v>62</v>
      </c>
      <c r="D9" s="136"/>
      <c r="E9" s="134" t="s">
        <v>74</v>
      </c>
      <c r="F9" s="134" t="s">
        <v>408</v>
      </c>
      <c r="G9" s="136" t="s">
        <v>409</v>
      </c>
      <c r="H9" s="227">
        <v>25</v>
      </c>
      <c r="I9" s="227">
        <v>8</v>
      </c>
      <c r="J9" s="227">
        <v>8</v>
      </c>
      <c r="K9" s="228">
        <v>8844</v>
      </c>
      <c r="L9" s="228">
        <v>3910.4</v>
      </c>
      <c r="M9" s="193">
        <f t="shared" ref="M9:M53" si="0">K9-L9</f>
        <v>4933.6000000000004</v>
      </c>
      <c r="N9" s="227">
        <v>6</v>
      </c>
      <c r="O9" s="228">
        <v>15114.1</v>
      </c>
      <c r="P9" s="228">
        <v>13457.2</v>
      </c>
      <c r="Q9" s="228">
        <f t="shared" ref="Q9:Q53" si="1">O9-P9</f>
        <v>1656.8999999999996</v>
      </c>
      <c r="R9" s="6"/>
    </row>
    <row r="10" spans="1:18" ht="25.5" x14ac:dyDescent="0.25">
      <c r="A10" s="226">
        <v>2</v>
      </c>
      <c r="B10" s="136" t="s">
        <v>335</v>
      </c>
      <c r="C10" s="134" t="s">
        <v>62</v>
      </c>
      <c r="D10" s="136"/>
      <c r="E10" s="134" t="s">
        <v>74</v>
      </c>
      <c r="F10" s="134" t="s">
        <v>410</v>
      </c>
      <c r="G10" s="136" t="s">
        <v>409</v>
      </c>
      <c r="H10" s="227">
        <v>10</v>
      </c>
      <c r="I10" s="227">
        <v>5</v>
      </c>
      <c r="J10" s="227">
        <v>5</v>
      </c>
      <c r="K10" s="228">
        <v>5675.4</v>
      </c>
      <c r="L10" s="228">
        <v>5146.8</v>
      </c>
      <c r="M10" s="193">
        <f t="shared" si="0"/>
        <v>528.59999999999945</v>
      </c>
      <c r="N10" s="227">
        <v>12</v>
      </c>
      <c r="O10" s="228">
        <v>16642.8</v>
      </c>
      <c r="P10" s="228">
        <v>10652</v>
      </c>
      <c r="Q10" s="228">
        <f t="shared" si="1"/>
        <v>5990.7999999999993</v>
      </c>
      <c r="R10" s="6"/>
    </row>
    <row r="11" spans="1:18" ht="38.25" x14ac:dyDescent="0.25">
      <c r="A11" s="226">
        <v>3</v>
      </c>
      <c r="B11" s="136" t="s">
        <v>46</v>
      </c>
      <c r="C11" s="134" t="s">
        <v>62</v>
      </c>
      <c r="D11" s="136"/>
      <c r="E11" s="134" t="s">
        <v>267</v>
      </c>
      <c r="F11" s="134" t="s">
        <v>411</v>
      </c>
      <c r="G11" s="136" t="s">
        <v>409</v>
      </c>
      <c r="H11" s="227">
        <v>29</v>
      </c>
      <c r="I11" s="227">
        <v>17</v>
      </c>
      <c r="J11" s="227">
        <v>17</v>
      </c>
      <c r="K11" s="228">
        <v>28352.5</v>
      </c>
      <c r="L11" s="228">
        <v>9866.6</v>
      </c>
      <c r="M11" s="193">
        <f t="shared" si="0"/>
        <v>18485.900000000001</v>
      </c>
      <c r="N11" s="227">
        <v>18</v>
      </c>
      <c r="O11" s="228">
        <v>28461.056</v>
      </c>
      <c r="P11" s="228">
        <v>25515.45</v>
      </c>
      <c r="Q11" s="228">
        <f t="shared" si="1"/>
        <v>2945.6059999999998</v>
      </c>
      <c r="R11" s="6"/>
    </row>
    <row r="12" spans="1:18" ht="25.5" x14ac:dyDescent="0.25">
      <c r="A12" s="226">
        <v>4</v>
      </c>
      <c r="B12" s="136" t="s">
        <v>36</v>
      </c>
      <c r="C12" s="134" t="s">
        <v>62</v>
      </c>
      <c r="D12" s="136"/>
      <c r="E12" s="134" t="s">
        <v>74</v>
      </c>
      <c r="F12" s="134" t="s">
        <v>412</v>
      </c>
      <c r="G12" s="136" t="s">
        <v>409</v>
      </c>
      <c r="H12" s="227">
        <v>25</v>
      </c>
      <c r="I12" s="227">
        <v>11</v>
      </c>
      <c r="J12" s="227">
        <v>11</v>
      </c>
      <c r="K12" s="228">
        <v>15787.52</v>
      </c>
      <c r="L12" s="228">
        <v>14906.52</v>
      </c>
      <c r="M12" s="193">
        <f t="shared" si="0"/>
        <v>881</v>
      </c>
      <c r="N12" s="227">
        <v>19</v>
      </c>
      <c r="O12" s="228">
        <v>54022.92</v>
      </c>
      <c r="P12" s="228">
        <v>34112.32</v>
      </c>
      <c r="Q12" s="228">
        <f t="shared" si="1"/>
        <v>19910.599999999999</v>
      </c>
      <c r="R12" s="6"/>
    </row>
    <row r="13" spans="1:18" ht="25.5" x14ac:dyDescent="0.25">
      <c r="A13" s="226">
        <v>5</v>
      </c>
      <c r="B13" s="136" t="s">
        <v>27</v>
      </c>
      <c r="C13" s="134" t="s">
        <v>62</v>
      </c>
      <c r="D13" s="136"/>
      <c r="E13" s="134" t="s">
        <v>74</v>
      </c>
      <c r="F13" s="134" t="s">
        <v>413</v>
      </c>
      <c r="G13" s="136" t="s">
        <v>409</v>
      </c>
      <c r="H13" s="227">
        <v>10</v>
      </c>
      <c r="I13" s="227">
        <v>6</v>
      </c>
      <c r="J13" s="227">
        <v>6</v>
      </c>
      <c r="K13" s="228">
        <v>11514.02</v>
      </c>
      <c r="L13" s="228">
        <v>5051.82</v>
      </c>
      <c r="M13" s="193">
        <f t="shared" si="0"/>
        <v>6462.2000000000007</v>
      </c>
      <c r="N13" s="227">
        <v>9</v>
      </c>
      <c r="O13" s="228">
        <v>18274.5</v>
      </c>
      <c r="P13" s="228">
        <v>16676.7</v>
      </c>
      <c r="Q13" s="228">
        <f t="shared" si="1"/>
        <v>1597.7999999999993</v>
      </c>
      <c r="R13" s="6"/>
    </row>
    <row r="14" spans="1:18" ht="25.5" x14ac:dyDescent="0.25">
      <c r="A14" s="226">
        <v>6</v>
      </c>
      <c r="B14" s="136" t="s">
        <v>28</v>
      </c>
      <c r="C14" s="134" t="s">
        <v>62</v>
      </c>
      <c r="D14" s="136"/>
      <c r="E14" s="134" t="s">
        <v>74</v>
      </c>
      <c r="F14" s="134" t="s">
        <v>414</v>
      </c>
      <c r="G14" s="136" t="s">
        <v>409</v>
      </c>
      <c r="H14" s="227">
        <v>27</v>
      </c>
      <c r="I14" s="227">
        <v>11</v>
      </c>
      <c r="J14" s="227">
        <v>11</v>
      </c>
      <c r="K14" s="228">
        <v>14096.62</v>
      </c>
      <c r="L14" s="228">
        <v>7858.52</v>
      </c>
      <c r="M14" s="193">
        <f t="shared" si="0"/>
        <v>6238.1</v>
      </c>
      <c r="N14" s="227">
        <v>11</v>
      </c>
      <c r="O14" s="228">
        <v>20692</v>
      </c>
      <c r="P14" s="228">
        <v>12334</v>
      </c>
      <c r="Q14" s="228">
        <f t="shared" si="1"/>
        <v>8358</v>
      </c>
      <c r="R14" s="6"/>
    </row>
    <row r="15" spans="1:18" ht="25.5" x14ac:dyDescent="0.25">
      <c r="A15" s="226">
        <v>7</v>
      </c>
      <c r="B15" s="194" t="s">
        <v>246</v>
      </c>
      <c r="C15" s="226" t="s">
        <v>62</v>
      </c>
      <c r="D15" s="194"/>
      <c r="E15" s="134" t="s">
        <v>74</v>
      </c>
      <c r="F15" s="226" t="s">
        <v>415</v>
      </c>
      <c r="G15" s="136" t="s">
        <v>409</v>
      </c>
      <c r="H15" s="227">
        <v>26</v>
      </c>
      <c r="I15" s="227">
        <v>5</v>
      </c>
      <c r="J15" s="227">
        <v>5</v>
      </c>
      <c r="K15" s="228">
        <v>5673.64</v>
      </c>
      <c r="L15" s="228">
        <v>1374.36</v>
      </c>
      <c r="M15" s="193">
        <f t="shared" si="0"/>
        <v>4299.2800000000007</v>
      </c>
      <c r="N15" s="227">
        <v>0</v>
      </c>
      <c r="O15" s="228">
        <v>0</v>
      </c>
      <c r="P15" s="228">
        <v>0</v>
      </c>
      <c r="Q15" s="228">
        <f t="shared" si="1"/>
        <v>0</v>
      </c>
      <c r="R15" s="6"/>
    </row>
    <row r="16" spans="1:18" ht="25.5" x14ac:dyDescent="0.25">
      <c r="A16" s="229">
        <v>8</v>
      </c>
      <c r="B16" s="195" t="s">
        <v>330</v>
      </c>
      <c r="C16" s="226" t="s">
        <v>62</v>
      </c>
      <c r="D16" s="194"/>
      <c r="E16" s="134" t="s">
        <v>74</v>
      </c>
      <c r="F16" s="226" t="s">
        <v>416</v>
      </c>
      <c r="G16" s="136" t="s">
        <v>409</v>
      </c>
      <c r="H16" s="227">
        <v>5</v>
      </c>
      <c r="I16" s="227">
        <v>0</v>
      </c>
      <c r="J16" s="227">
        <v>0</v>
      </c>
      <c r="K16" s="228">
        <v>0</v>
      </c>
      <c r="L16" s="228">
        <v>0</v>
      </c>
      <c r="M16" s="193">
        <f t="shared" si="0"/>
        <v>0</v>
      </c>
      <c r="N16" s="227">
        <v>0</v>
      </c>
      <c r="O16" s="228">
        <v>0</v>
      </c>
      <c r="P16" s="228">
        <v>0</v>
      </c>
      <c r="Q16" s="228">
        <f t="shared" si="1"/>
        <v>0</v>
      </c>
      <c r="R16" s="6"/>
    </row>
    <row r="17" spans="1:18" ht="25.5" x14ac:dyDescent="0.25">
      <c r="A17" s="229">
        <v>9</v>
      </c>
      <c r="B17" s="195" t="s">
        <v>402</v>
      </c>
      <c r="C17" s="226" t="s">
        <v>62</v>
      </c>
      <c r="D17" s="194"/>
      <c r="E17" s="134" t="s">
        <v>74</v>
      </c>
      <c r="F17" s="226" t="s">
        <v>417</v>
      </c>
      <c r="G17" s="136" t="s">
        <v>409</v>
      </c>
      <c r="H17" s="227">
        <v>15</v>
      </c>
      <c r="I17" s="227">
        <v>8</v>
      </c>
      <c r="J17" s="227">
        <v>8</v>
      </c>
      <c r="K17" s="228">
        <v>10290.82</v>
      </c>
      <c r="L17" s="228">
        <v>4968.82</v>
      </c>
      <c r="M17" s="193">
        <f t="shared" si="0"/>
        <v>5322</v>
      </c>
      <c r="N17" s="227">
        <v>0</v>
      </c>
      <c r="O17" s="228">
        <v>0</v>
      </c>
      <c r="P17" s="228">
        <v>0</v>
      </c>
      <c r="Q17" s="228">
        <f t="shared" si="1"/>
        <v>0</v>
      </c>
      <c r="R17" s="6"/>
    </row>
    <row r="18" spans="1:18" ht="25.5" x14ac:dyDescent="0.25">
      <c r="A18" s="229">
        <v>10</v>
      </c>
      <c r="B18" s="195" t="s">
        <v>154</v>
      </c>
      <c r="C18" s="226" t="s">
        <v>62</v>
      </c>
      <c r="D18" s="194"/>
      <c r="E18" s="134" t="s">
        <v>72</v>
      </c>
      <c r="F18" s="226" t="s">
        <v>418</v>
      </c>
      <c r="G18" s="136" t="s">
        <v>409</v>
      </c>
      <c r="H18" s="227">
        <v>8</v>
      </c>
      <c r="I18" s="227">
        <v>1</v>
      </c>
      <c r="J18" s="227">
        <v>1</v>
      </c>
      <c r="K18" s="228">
        <v>925.05</v>
      </c>
      <c r="L18" s="228">
        <v>0</v>
      </c>
      <c r="M18" s="193">
        <f t="shared" si="0"/>
        <v>925.05</v>
      </c>
      <c r="N18" s="227">
        <v>7</v>
      </c>
      <c r="O18" s="228">
        <v>8966.7000000000007</v>
      </c>
      <c r="P18" s="228">
        <v>4737.8999999999996</v>
      </c>
      <c r="Q18" s="228">
        <f t="shared" si="1"/>
        <v>4228.8000000000011</v>
      </c>
      <c r="R18" s="6"/>
    </row>
    <row r="19" spans="1:18" ht="25.5" x14ac:dyDescent="0.25">
      <c r="A19" s="229">
        <v>11</v>
      </c>
      <c r="B19" s="195" t="s">
        <v>153</v>
      </c>
      <c r="C19" s="226" t="s">
        <v>62</v>
      </c>
      <c r="D19" s="194"/>
      <c r="E19" s="134" t="s">
        <v>74</v>
      </c>
      <c r="F19" s="226" t="s">
        <v>419</v>
      </c>
      <c r="G19" s="136" t="s">
        <v>409</v>
      </c>
      <c r="H19" s="227">
        <v>4</v>
      </c>
      <c r="I19" s="227">
        <v>1</v>
      </c>
      <c r="J19" s="227">
        <v>1</v>
      </c>
      <c r="K19" s="228">
        <v>1635.8</v>
      </c>
      <c r="L19" s="228">
        <v>0</v>
      </c>
      <c r="M19" s="193">
        <f t="shared" si="0"/>
        <v>1635.8</v>
      </c>
      <c r="N19" s="227">
        <v>11</v>
      </c>
      <c r="O19" s="228">
        <v>35551.379999999997</v>
      </c>
      <c r="P19" s="228">
        <v>18053.7</v>
      </c>
      <c r="Q19" s="228">
        <f t="shared" si="1"/>
        <v>17497.679999999997</v>
      </c>
      <c r="R19" s="6"/>
    </row>
    <row r="20" spans="1:18" ht="25.5" x14ac:dyDescent="0.25">
      <c r="A20" s="229">
        <v>12</v>
      </c>
      <c r="B20" s="195" t="s">
        <v>89</v>
      </c>
      <c r="C20" s="226" t="s">
        <v>62</v>
      </c>
      <c r="D20" s="194"/>
      <c r="E20" s="134" t="s">
        <v>74</v>
      </c>
      <c r="F20" s="226" t="s">
        <v>420</v>
      </c>
      <c r="G20" s="136" t="s">
        <v>409</v>
      </c>
      <c r="H20" s="227">
        <v>11</v>
      </c>
      <c r="I20" s="227">
        <v>4</v>
      </c>
      <c r="J20" s="227">
        <v>4</v>
      </c>
      <c r="K20" s="228">
        <v>6122.95</v>
      </c>
      <c r="L20" s="228">
        <v>528.6</v>
      </c>
      <c r="M20" s="193">
        <f t="shared" si="0"/>
        <v>5594.3499999999995</v>
      </c>
      <c r="N20" s="227">
        <v>3</v>
      </c>
      <c r="O20" s="228">
        <v>9514.7999999999993</v>
      </c>
      <c r="P20" s="228">
        <v>4052.6</v>
      </c>
      <c r="Q20" s="228">
        <f t="shared" si="1"/>
        <v>5462.1999999999989</v>
      </c>
      <c r="R20" s="6"/>
    </row>
    <row r="21" spans="1:18" ht="25.5" x14ac:dyDescent="0.25">
      <c r="A21" s="229">
        <v>13</v>
      </c>
      <c r="B21" s="195" t="s">
        <v>379</v>
      </c>
      <c r="C21" s="226" t="s">
        <v>62</v>
      </c>
      <c r="D21" s="194"/>
      <c r="E21" s="134" t="s">
        <v>74</v>
      </c>
      <c r="F21" s="226" t="s">
        <v>421</v>
      </c>
      <c r="G21" s="136" t="s">
        <v>409</v>
      </c>
      <c r="H21" s="227">
        <v>5</v>
      </c>
      <c r="I21" s="227">
        <v>2</v>
      </c>
      <c r="J21" s="227">
        <v>2</v>
      </c>
      <c r="K21" s="228">
        <v>1409.6</v>
      </c>
      <c r="L21" s="228">
        <v>1409.6</v>
      </c>
      <c r="M21" s="193">
        <f t="shared" si="0"/>
        <v>0</v>
      </c>
      <c r="N21" s="227">
        <v>0</v>
      </c>
      <c r="O21" s="228">
        <v>0</v>
      </c>
      <c r="P21" s="228">
        <v>0</v>
      </c>
      <c r="Q21" s="228">
        <f t="shared" si="1"/>
        <v>0</v>
      </c>
      <c r="R21" s="6"/>
    </row>
    <row r="22" spans="1:18" ht="25.5" x14ac:dyDescent="0.25">
      <c r="A22" s="229">
        <v>14</v>
      </c>
      <c r="B22" s="195" t="s">
        <v>264</v>
      </c>
      <c r="C22" s="226" t="s">
        <v>62</v>
      </c>
      <c r="D22" s="194"/>
      <c r="E22" s="134" t="s">
        <v>74</v>
      </c>
      <c r="F22" s="226" t="s">
        <v>422</v>
      </c>
      <c r="G22" s="136" t="s">
        <v>409</v>
      </c>
      <c r="H22" s="227">
        <v>3</v>
      </c>
      <c r="I22" s="227">
        <v>0</v>
      </c>
      <c r="J22" s="227">
        <v>0</v>
      </c>
      <c r="K22" s="228">
        <v>0</v>
      </c>
      <c r="L22" s="228">
        <v>0</v>
      </c>
      <c r="M22" s="193">
        <f t="shared" si="0"/>
        <v>0</v>
      </c>
      <c r="N22" s="227">
        <v>0</v>
      </c>
      <c r="O22" s="228">
        <v>0</v>
      </c>
      <c r="P22" s="228">
        <v>0</v>
      </c>
      <c r="Q22" s="228">
        <f t="shared" si="1"/>
        <v>0</v>
      </c>
      <c r="R22" s="6"/>
    </row>
    <row r="23" spans="1:18" ht="25.5" x14ac:dyDescent="0.25">
      <c r="A23" s="229">
        <v>15</v>
      </c>
      <c r="B23" s="195" t="s">
        <v>475</v>
      </c>
      <c r="C23" s="226" t="s">
        <v>67</v>
      </c>
      <c r="D23" s="136" t="s">
        <v>123</v>
      </c>
      <c r="E23" s="134" t="s">
        <v>82</v>
      </c>
      <c r="F23" s="226" t="s">
        <v>423</v>
      </c>
      <c r="G23" s="136" t="s">
        <v>409</v>
      </c>
      <c r="H23" s="227">
        <v>3</v>
      </c>
      <c r="I23" s="227">
        <v>0</v>
      </c>
      <c r="J23" s="227">
        <v>0</v>
      </c>
      <c r="K23" s="228">
        <v>0</v>
      </c>
      <c r="L23" s="228">
        <v>0</v>
      </c>
      <c r="M23" s="193">
        <f t="shared" si="0"/>
        <v>0</v>
      </c>
      <c r="N23" s="227">
        <v>0</v>
      </c>
      <c r="O23" s="228">
        <v>0</v>
      </c>
      <c r="P23" s="228">
        <v>0</v>
      </c>
      <c r="Q23" s="228">
        <f t="shared" si="1"/>
        <v>0</v>
      </c>
      <c r="R23" s="6"/>
    </row>
    <row r="24" spans="1:18" ht="25.5" x14ac:dyDescent="0.25">
      <c r="A24" s="229">
        <v>16</v>
      </c>
      <c r="B24" s="195" t="s">
        <v>137</v>
      </c>
      <c r="C24" s="226" t="s">
        <v>62</v>
      </c>
      <c r="D24" s="194"/>
      <c r="E24" s="134" t="s">
        <v>78</v>
      </c>
      <c r="F24" s="226" t="s">
        <v>424</v>
      </c>
      <c r="G24" s="136" t="s">
        <v>409</v>
      </c>
      <c r="H24" s="227">
        <v>4</v>
      </c>
      <c r="I24" s="227">
        <v>1</v>
      </c>
      <c r="J24" s="227">
        <v>1</v>
      </c>
      <c r="K24" s="228">
        <v>1691.52</v>
      </c>
      <c r="L24" s="228">
        <v>1691.52</v>
      </c>
      <c r="M24" s="193">
        <f t="shared" si="0"/>
        <v>0</v>
      </c>
      <c r="N24" s="227">
        <v>0</v>
      </c>
      <c r="O24" s="228">
        <v>0</v>
      </c>
      <c r="P24" s="228">
        <v>0</v>
      </c>
      <c r="Q24" s="228">
        <f t="shared" si="1"/>
        <v>0</v>
      </c>
      <c r="R24" s="6"/>
    </row>
    <row r="25" spans="1:18" ht="25.5" x14ac:dyDescent="0.25">
      <c r="A25" s="229">
        <v>17</v>
      </c>
      <c r="B25" s="195" t="s">
        <v>173</v>
      </c>
      <c r="C25" s="226" t="s">
        <v>67</v>
      </c>
      <c r="D25" s="194" t="s">
        <v>425</v>
      </c>
      <c r="E25" s="134" t="s">
        <v>74</v>
      </c>
      <c r="F25" s="226" t="s">
        <v>426</v>
      </c>
      <c r="G25" s="136" t="s">
        <v>409</v>
      </c>
      <c r="H25" s="227">
        <v>12</v>
      </c>
      <c r="I25" s="227">
        <v>3</v>
      </c>
      <c r="J25" s="227">
        <v>3</v>
      </c>
      <c r="K25" s="228">
        <v>6167</v>
      </c>
      <c r="L25" s="228">
        <v>2114.4</v>
      </c>
      <c r="M25" s="193">
        <f t="shared" si="0"/>
        <v>4052.6</v>
      </c>
      <c r="N25" s="227">
        <v>0</v>
      </c>
      <c r="O25" s="228">
        <v>0</v>
      </c>
      <c r="P25" s="228">
        <v>0</v>
      </c>
      <c r="Q25" s="228">
        <f t="shared" si="1"/>
        <v>0</v>
      </c>
      <c r="R25" s="6"/>
    </row>
    <row r="26" spans="1:18" ht="25.5" x14ac:dyDescent="0.25">
      <c r="A26" s="229">
        <v>18</v>
      </c>
      <c r="B26" s="195" t="s">
        <v>135</v>
      </c>
      <c r="C26" s="226" t="s">
        <v>62</v>
      </c>
      <c r="D26" s="194"/>
      <c r="E26" s="134" t="s">
        <v>74</v>
      </c>
      <c r="F26" s="226" t="s">
        <v>427</v>
      </c>
      <c r="G26" s="136" t="s">
        <v>409</v>
      </c>
      <c r="H26" s="227">
        <v>4</v>
      </c>
      <c r="I26" s="227">
        <v>2</v>
      </c>
      <c r="J26" s="227">
        <v>2</v>
      </c>
      <c r="K26" s="228">
        <v>2396.3200000000002</v>
      </c>
      <c r="L26" s="228">
        <v>2396.3200000000002</v>
      </c>
      <c r="M26" s="193">
        <f t="shared" si="0"/>
        <v>0</v>
      </c>
      <c r="N26" s="227">
        <v>4</v>
      </c>
      <c r="O26" s="228">
        <v>12758.52</v>
      </c>
      <c r="P26" s="228">
        <v>12758.52</v>
      </c>
      <c r="Q26" s="228">
        <f t="shared" si="1"/>
        <v>0</v>
      </c>
      <c r="R26" s="6"/>
    </row>
    <row r="27" spans="1:18" ht="25.5" x14ac:dyDescent="0.25">
      <c r="A27" s="229">
        <v>19</v>
      </c>
      <c r="B27" s="195" t="s">
        <v>148</v>
      </c>
      <c r="C27" s="226" t="s">
        <v>62</v>
      </c>
      <c r="D27" s="194"/>
      <c r="E27" s="134" t="s">
        <v>149</v>
      </c>
      <c r="F27" s="226" t="s">
        <v>375</v>
      </c>
      <c r="G27" s="136" t="s">
        <v>409</v>
      </c>
      <c r="H27" s="227">
        <v>21</v>
      </c>
      <c r="I27" s="227">
        <v>0</v>
      </c>
      <c r="J27" s="227">
        <v>0</v>
      </c>
      <c r="K27" s="228">
        <v>0</v>
      </c>
      <c r="L27" s="228">
        <v>0</v>
      </c>
      <c r="M27" s="193">
        <f t="shared" si="0"/>
        <v>0</v>
      </c>
      <c r="N27" s="227">
        <v>12</v>
      </c>
      <c r="O27" s="228">
        <v>34292.080000000002</v>
      </c>
      <c r="P27" s="228">
        <v>34292.080000000002</v>
      </c>
      <c r="Q27" s="228">
        <f t="shared" si="1"/>
        <v>0</v>
      </c>
      <c r="R27" s="6"/>
    </row>
    <row r="28" spans="1:18" ht="25.5" x14ac:dyDescent="0.25">
      <c r="A28" s="229">
        <v>20</v>
      </c>
      <c r="B28" s="195" t="s">
        <v>147</v>
      </c>
      <c r="C28" s="226" t="s">
        <v>62</v>
      </c>
      <c r="D28" s="194"/>
      <c r="E28" s="134" t="s">
        <v>74</v>
      </c>
      <c r="F28" s="226" t="s">
        <v>331</v>
      </c>
      <c r="G28" s="136" t="s">
        <v>409</v>
      </c>
      <c r="H28" s="227">
        <v>6</v>
      </c>
      <c r="I28" s="227">
        <v>0</v>
      </c>
      <c r="J28" s="227">
        <v>0</v>
      </c>
      <c r="K28" s="228">
        <v>0</v>
      </c>
      <c r="L28" s="228">
        <v>0</v>
      </c>
      <c r="M28" s="193">
        <f t="shared" si="0"/>
        <v>0</v>
      </c>
      <c r="N28" s="227">
        <v>6</v>
      </c>
      <c r="O28" s="228">
        <v>10763.2</v>
      </c>
      <c r="P28" s="228">
        <v>10763.2</v>
      </c>
      <c r="Q28" s="228">
        <f t="shared" si="1"/>
        <v>0</v>
      </c>
      <c r="R28" s="6"/>
    </row>
    <row r="29" spans="1:18" ht="25.5" x14ac:dyDescent="0.25">
      <c r="A29" s="229">
        <v>21</v>
      </c>
      <c r="B29" s="195" t="s">
        <v>124</v>
      </c>
      <c r="C29" s="226" t="s">
        <v>62</v>
      </c>
      <c r="D29" s="194"/>
      <c r="E29" s="134" t="s">
        <v>428</v>
      </c>
      <c r="F29" s="226" t="s">
        <v>329</v>
      </c>
      <c r="G29" s="136" t="s">
        <v>409</v>
      </c>
      <c r="H29" s="227">
        <v>17</v>
      </c>
      <c r="I29" s="227">
        <v>1</v>
      </c>
      <c r="J29" s="227">
        <v>1</v>
      </c>
      <c r="K29" s="228">
        <v>1762</v>
      </c>
      <c r="L29" s="228">
        <v>1762</v>
      </c>
      <c r="M29" s="193">
        <f t="shared" si="0"/>
        <v>0</v>
      </c>
      <c r="N29" s="227">
        <v>17</v>
      </c>
      <c r="O29" s="228">
        <v>20373.14</v>
      </c>
      <c r="P29" s="228">
        <v>18624.53</v>
      </c>
      <c r="Q29" s="228">
        <f t="shared" si="1"/>
        <v>1748.6100000000006</v>
      </c>
      <c r="R29" s="6"/>
    </row>
    <row r="30" spans="1:18" ht="25.5" x14ac:dyDescent="0.25">
      <c r="A30" s="229">
        <v>22</v>
      </c>
      <c r="B30" s="195" t="s">
        <v>168</v>
      </c>
      <c r="C30" s="226" t="s">
        <v>62</v>
      </c>
      <c r="D30" s="194"/>
      <c r="E30" s="226" t="s">
        <v>371</v>
      </c>
      <c r="F30" s="226" t="s">
        <v>353</v>
      </c>
      <c r="G30" s="136" t="s">
        <v>409</v>
      </c>
      <c r="H30" s="227">
        <v>6</v>
      </c>
      <c r="I30" s="227">
        <v>1</v>
      </c>
      <c r="J30" s="227">
        <v>1</v>
      </c>
      <c r="K30" s="228">
        <v>1409.6</v>
      </c>
      <c r="L30" s="228">
        <v>0</v>
      </c>
      <c r="M30" s="193">
        <f t="shared" si="0"/>
        <v>1409.6</v>
      </c>
      <c r="N30" s="227">
        <v>0</v>
      </c>
      <c r="O30" s="228">
        <v>0</v>
      </c>
      <c r="P30" s="228">
        <v>0</v>
      </c>
      <c r="Q30" s="228">
        <f t="shared" si="1"/>
        <v>0</v>
      </c>
      <c r="R30" s="6"/>
    </row>
    <row r="31" spans="1:18" ht="25.5" x14ac:dyDescent="0.25">
      <c r="A31" s="229">
        <v>23</v>
      </c>
      <c r="B31" s="195" t="s">
        <v>429</v>
      </c>
      <c r="C31" s="226" t="s">
        <v>62</v>
      </c>
      <c r="D31" s="194"/>
      <c r="E31" s="134" t="s">
        <v>74</v>
      </c>
      <c r="F31" s="226" t="s">
        <v>430</v>
      </c>
      <c r="G31" s="136" t="s">
        <v>409</v>
      </c>
      <c r="H31" s="227">
        <v>5</v>
      </c>
      <c r="I31" s="227">
        <v>2</v>
      </c>
      <c r="J31" s="227">
        <v>2</v>
      </c>
      <c r="K31" s="228">
        <v>2748.72</v>
      </c>
      <c r="L31" s="228">
        <v>2748.72</v>
      </c>
      <c r="M31" s="193">
        <f t="shared" si="0"/>
        <v>0</v>
      </c>
      <c r="N31" s="227">
        <v>4</v>
      </c>
      <c r="O31" s="228">
        <v>3488.76</v>
      </c>
      <c r="P31" s="228">
        <v>3488.76</v>
      </c>
      <c r="Q31" s="228">
        <f t="shared" si="1"/>
        <v>0</v>
      </c>
      <c r="R31" s="6"/>
    </row>
    <row r="32" spans="1:18" ht="25.5" x14ac:dyDescent="0.25">
      <c r="A32" s="229">
        <v>24</v>
      </c>
      <c r="B32" s="195" t="s">
        <v>130</v>
      </c>
      <c r="C32" s="226" t="s">
        <v>62</v>
      </c>
      <c r="D32" s="194"/>
      <c r="E32" s="134" t="s">
        <v>74</v>
      </c>
      <c r="F32" s="226" t="s">
        <v>431</v>
      </c>
      <c r="G32" s="136" t="s">
        <v>409</v>
      </c>
      <c r="H32" s="227">
        <v>4</v>
      </c>
      <c r="I32" s="227">
        <v>4</v>
      </c>
      <c r="J32" s="227">
        <v>4</v>
      </c>
      <c r="K32" s="228">
        <v>5204.28</v>
      </c>
      <c r="L32" s="228">
        <v>2220.12</v>
      </c>
      <c r="M32" s="193">
        <f t="shared" si="0"/>
        <v>2984.16</v>
      </c>
      <c r="N32" s="227">
        <v>1</v>
      </c>
      <c r="O32" s="228">
        <v>845.76</v>
      </c>
      <c r="P32" s="228">
        <v>845.76</v>
      </c>
      <c r="Q32" s="228">
        <f t="shared" si="1"/>
        <v>0</v>
      </c>
      <c r="R32" s="6"/>
    </row>
    <row r="33" spans="1:18" ht="25.5" x14ac:dyDescent="0.25">
      <c r="A33" s="229">
        <v>25</v>
      </c>
      <c r="B33" s="195" t="s">
        <v>32</v>
      </c>
      <c r="C33" s="226" t="s">
        <v>62</v>
      </c>
      <c r="D33" s="194"/>
      <c r="E33" s="134" t="s">
        <v>74</v>
      </c>
      <c r="F33" s="226" t="s">
        <v>432</v>
      </c>
      <c r="G33" s="136" t="s">
        <v>409</v>
      </c>
      <c r="H33" s="227">
        <v>9</v>
      </c>
      <c r="I33" s="227">
        <v>2</v>
      </c>
      <c r="J33" s="227">
        <v>2</v>
      </c>
      <c r="K33" s="228">
        <v>2114.4</v>
      </c>
      <c r="L33" s="228">
        <v>2114.4</v>
      </c>
      <c r="M33" s="193">
        <f t="shared" si="0"/>
        <v>0</v>
      </c>
      <c r="N33" s="227">
        <v>4</v>
      </c>
      <c r="O33" s="228">
        <v>4581.2</v>
      </c>
      <c r="P33" s="228">
        <v>4581.2</v>
      </c>
      <c r="Q33" s="228">
        <f t="shared" si="1"/>
        <v>0</v>
      </c>
      <c r="R33" s="6"/>
    </row>
    <row r="34" spans="1:18" ht="25.5" x14ac:dyDescent="0.25">
      <c r="A34" s="229">
        <v>26</v>
      </c>
      <c r="B34" s="195" t="s">
        <v>343</v>
      </c>
      <c r="C34" s="226" t="s">
        <v>62</v>
      </c>
      <c r="D34" s="194"/>
      <c r="E34" s="134" t="s">
        <v>74</v>
      </c>
      <c r="F34" s="226" t="s">
        <v>433</v>
      </c>
      <c r="G34" s="136" t="s">
        <v>409</v>
      </c>
      <c r="H34" s="227">
        <v>11</v>
      </c>
      <c r="I34" s="227">
        <v>2</v>
      </c>
      <c r="J34" s="227">
        <v>2</v>
      </c>
      <c r="K34" s="228">
        <v>2114.4</v>
      </c>
      <c r="L34" s="228">
        <v>1585.8</v>
      </c>
      <c r="M34" s="193">
        <f t="shared" si="0"/>
        <v>528.60000000000014</v>
      </c>
      <c r="N34" s="227">
        <v>0</v>
      </c>
      <c r="O34" s="228">
        <v>0</v>
      </c>
      <c r="P34" s="228">
        <v>0</v>
      </c>
      <c r="Q34" s="228">
        <f t="shared" si="1"/>
        <v>0</v>
      </c>
      <c r="R34" s="6"/>
    </row>
    <row r="35" spans="1:18" ht="25.5" x14ac:dyDescent="0.25">
      <c r="A35" s="229">
        <v>27</v>
      </c>
      <c r="B35" s="195" t="s">
        <v>290</v>
      </c>
      <c r="C35" s="226" t="s">
        <v>62</v>
      </c>
      <c r="D35" s="194"/>
      <c r="E35" s="226" t="s">
        <v>371</v>
      </c>
      <c r="F35" s="226" t="s">
        <v>434</v>
      </c>
      <c r="G35" s="136" t="s">
        <v>409</v>
      </c>
      <c r="H35" s="227">
        <v>4</v>
      </c>
      <c r="I35" s="227">
        <v>0</v>
      </c>
      <c r="J35" s="227">
        <v>0</v>
      </c>
      <c r="K35" s="228">
        <v>0</v>
      </c>
      <c r="L35" s="228">
        <v>0</v>
      </c>
      <c r="M35" s="193">
        <f t="shared" si="0"/>
        <v>0</v>
      </c>
      <c r="N35" s="227">
        <v>0</v>
      </c>
      <c r="O35" s="228">
        <v>0</v>
      </c>
      <c r="P35" s="228">
        <v>0</v>
      </c>
      <c r="Q35" s="228">
        <f t="shared" si="1"/>
        <v>0</v>
      </c>
      <c r="R35" s="6"/>
    </row>
    <row r="36" spans="1:18" ht="25.5" x14ac:dyDescent="0.25">
      <c r="A36" s="229">
        <v>28</v>
      </c>
      <c r="B36" s="195" t="s">
        <v>315</v>
      </c>
      <c r="C36" s="226" t="s">
        <v>62</v>
      </c>
      <c r="D36" s="194"/>
      <c r="E36" s="134" t="s">
        <v>74</v>
      </c>
      <c r="F36" s="226" t="s">
        <v>435</v>
      </c>
      <c r="G36" s="136" t="s">
        <v>409</v>
      </c>
      <c r="H36" s="227">
        <v>13</v>
      </c>
      <c r="I36" s="227">
        <v>0</v>
      </c>
      <c r="J36" s="227">
        <v>0</v>
      </c>
      <c r="K36" s="228">
        <v>0</v>
      </c>
      <c r="L36" s="228">
        <v>0</v>
      </c>
      <c r="M36" s="193">
        <f t="shared" si="0"/>
        <v>0</v>
      </c>
      <c r="N36" s="227">
        <v>4</v>
      </c>
      <c r="O36" s="228">
        <v>5622.22</v>
      </c>
      <c r="P36" s="228">
        <v>5622.22</v>
      </c>
      <c r="Q36" s="228">
        <f t="shared" si="1"/>
        <v>0</v>
      </c>
      <c r="R36" s="6"/>
    </row>
    <row r="37" spans="1:18" ht="25.5" x14ac:dyDescent="0.25">
      <c r="A37" s="229">
        <v>29</v>
      </c>
      <c r="B37" s="195" t="s">
        <v>216</v>
      </c>
      <c r="C37" s="226" t="s">
        <v>67</v>
      </c>
      <c r="D37" s="194" t="s">
        <v>436</v>
      </c>
      <c r="E37" s="134" t="s">
        <v>74</v>
      </c>
      <c r="F37" s="226" t="s">
        <v>437</v>
      </c>
      <c r="G37" s="136" t="s">
        <v>409</v>
      </c>
      <c r="H37" s="227">
        <v>18</v>
      </c>
      <c r="I37" s="227">
        <v>3</v>
      </c>
      <c r="J37" s="227">
        <v>3</v>
      </c>
      <c r="K37" s="228">
        <v>5141.1499999999996</v>
      </c>
      <c r="L37" s="228">
        <v>1409.6</v>
      </c>
      <c r="M37" s="193">
        <f t="shared" si="0"/>
        <v>3731.5499999999997</v>
      </c>
      <c r="N37" s="227">
        <v>0</v>
      </c>
      <c r="O37" s="228">
        <v>0</v>
      </c>
      <c r="P37" s="228">
        <v>0</v>
      </c>
      <c r="Q37" s="228">
        <f t="shared" si="1"/>
        <v>0</v>
      </c>
      <c r="R37" s="6"/>
    </row>
    <row r="38" spans="1:18" ht="25.5" x14ac:dyDescent="0.25">
      <c r="A38" s="229">
        <v>30</v>
      </c>
      <c r="B38" s="195" t="s">
        <v>438</v>
      </c>
      <c r="C38" s="226" t="s">
        <v>62</v>
      </c>
      <c r="D38" s="194"/>
      <c r="E38" s="134" t="s">
        <v>74</v>
      </c>
      <c r="F38" s="226" t="s">
        <v>439</v>
      </c>
      <c r="G38" s="136" t="s">
        <v>409</v>
      </c>
      <c r="H38" s="227">
        <v>7</v>
      </c>
      <c r="I38" s="227">
        <v>0</v>
      </c>
      <c r="J38" s="227">
        <v>0</v>
      </c>
      <c r="K38" s="228">
        <v>0</v>
      </c>
      <c r="L38" s="228">
        <v>0</v>
      </c>
      <c r="M38" s="193">
        <f t="shared" si="0"/>
        <v>0</v>
      </c>
      <c r="N38" s="227">
        <v>0</v>
      </c>
      <c r="O38" s="228">
        <v>0</v>
      </c>
      <c r="P38" s="228">
        <v>0</v>
      </c>
      <c r="Q38" s="228">
        <f t="shared" si="1"/>
        <v>0</v>
      </c>
      <c r="R38" s="6"/>
    </row>
    <row r="39" spans="1:18" ht="25.5" x14ac:dyDescent="0.25">
      <c r="A39" s="229">
        <v>31</v>
      </c>
      <c r="B39" s="195" t="s">
        <v>440</v>
      </c>
      <c r="C39" s="226" t="s">
        <v>62</v>
      </c>
      <c r="D39" s="194"/>
      <c r="E39" s="134" t="s">
        <v>74</v>
      </c>
      <c r="F39" s="226" t="s">
        <v>441</v>
      </c>
      <c r="G39" s="136" t="s">
        <v>409</v>
      </c>
      <c r="H39" s="227">
        <v>7</v>
      </c>
      <c r="I39" s="227">
        <v>3</v>
      </c>
      <c r="J39" s="227">
        <v>3</v>
      </c>
      <c r="K39" s="228">
        <v>3171.6</v>
      </c>
      <c r="L39" s="228">
        <v>1409.6</v>
      </c>
      <c r="M39" s="193">
        <f t="shared" si="0"/>
        <v>1762</v>
      </c>
      <c r="N39" s="227">
        <v>0</v>
      </c>
      <c r="O39" s="228">
        <v>0</v>
      </c>
      <c r="P39" s="228">
        <v>0</v>
      </c>
      <c r="Q39" s="228">
        <f t="shared" si="1"/>
        <v>0</v>
      </c>
      <c r="R39" s="6"/>
    </row>
    <row r="40" spans="1:18" ht="26.25" x14ac:dyDescent="0.25">
      <c r="A40" s="229">
        <v>32</v>
      </c>
      <c r="B40" s="195" t="s">
        <v>222</v>
      </c>
      <c r="C40" s="226" t="s">
        <v>64</v>
      </c>
      <c r="D40" s="196" t="s">
        <v>442</v>
      </c>
      <c r="E40" s="134" t="s">
        <v>74</v>
      </c>
      <c r="F40" s="226" t="s">
        <v>443</v>
      </c>
      <c r="G40" s="136" t="s">
        <v>409</v>
      </c>
      <c r="H40" s="227">
        <v>1</v>
      </c>
      <c r="I40" s="227">
        <v>0</v>
      </c>
      <c r="J40" s="227">
        <v>0</v>
      </c>
      <c r="K40" s="228">
        <v>0</v>
      </c>
      <c r="L40" s="228">
        <v>0</v>
      </c>
      <c r="M40" s="193">
        <f t="shared" si="0"/>
        <v>0</v>
      </c>
      <c r="N40" s="227">
        <v>0</v>
      </c>
      <c r="O40" s="228">
        <v>0</v>
      </c>
      <c r="P40" s="228">
        <v>0</v>
      </c>
      <c r="Q40" s="228">
        <f t="shared" si="1"/>
        <v>0</v>
      </c>
      <c r="R40" s="6"/>
    </row>
    <row r="41" spans="1:18" ht="25.5" x14ac:dyDescent="0.25">
      <c r="A41" s="229">
        <v>33</v>
      </c>
      <c r="B41" s="195" t="s">
        <v>444</v>
      </c>
      <c r="C41" s="226" t="s">
        <v>62</v>
      </c>
      <c r="D41" s="194"/>
      <c r="E41" s="134" t="s">
        <v>74</v>
      </c>
      <c r="F41" s="226" t="s">
        <v>445</v>
      </c>
      <c r="G41" s="136" t="s">
        <v>409</v>
      </c>
      <c r="H41" s="227">
        <v>5</v>
      </c>
      <c r="I41" s="227">
        <v>2</v>
      </c>
      <c r="J41" s="227">
        <v>2</v>
      </c>
      <c r="K41" s="228">
        <v>1409.6</v>
      </c>
      <c r="L41" s="228">
        <v>1409.6</v>
      </c>
      <c r="M41" s="193">
        <f t="shared" si="0"/>
        <v>0</v>
      </c>
      <c r="N41" s="227">
        <v>0</v>
      </c>
      <c r="O41" s="228">
        <v>0</v>
      </c>
      <c r="P41" s="228">
        <v>0</v>
      </c>
      <c r="Q41" s="228">
        <f t="shared" si="1"/>
        <v>0</v>
      </c>
      <c r="R41" s="6"/>
    </row>
    <row r="42" spans="1:18" ht="25.5" x14ac:dyDescent="0.25">
      <c r="A42" s="229">
        <v>34</v>
      </c>
      <c r="B42" s="195" t="s">
        <v>129</v>
      </c>
      <c r="C42" s="226" t="s">
        <v>62</v>
      </c>
      <c r="D42" s="194"/>
      <c r="E42" s="134" t="s">
        <v>74</v>
      </c>
      <c r="F42" s="226" t="s">
        <v>446</v>
      </c>
      <c r="G42" s="136" t="s">
        <v>409</v>
      </c>
      <c r="H42" s="227">
        <v>5</v>
      </c>
      <c r="I42" s="227">
        <v>3</v>
      </c>
      <c r="J42" s="227">
        <v>3</v>
      </c>
      <c r="K42" s="228">
        <v>3015.4</v>
      </c>
      <c r="L42" s="228">
        <v>3015.4</v>
      </c>
      <c r="M42" s="193">
        <f t="shared" si="0"/>
        <v>0</v>
      </c>
      <c r="N42" s="227">
        <v>8</v>
      </c>
      <c r="O42" s="228">
        <v>12141.18</v>
      </c>
      <c r="P42" s="228">
        <v>10887.78</v>
      </c>
      <c r="Q42" s="228">
        <f t="shared" si="1"/>
        <v>1253.3999999999996</v>
      </c>
      <c r="R42" s="6"/>
    </row>
    <row r="43" spans="1:18" ht="25.5" x14ac:dyDescent="0.25">
      <c r="A43" s="229">
        <v>35</v>
      </c>
      <c r="B43" s="197" t="s">
        <v>104</v>
      </c>
      <c r="C43" s="226" t="s">
        <v>62</v>
      </c>
      <c r="D43" s="194"/>
      <c r="E43" s="134" t="s">
        <v>105</v>
      </c>
      <c r="F43" s="226" t="s">
        <v>447</v>
      </c>
      <c r="G43" s="136" t="s">
        <v>409</v>
      </c>
      <c r="H43" s="227">
        <v>0</v>
      </c>
      <c r="I43" s="227">
        <v>0</v>
      </c>
      <c r="J43" s="227">
        <v>0</v>
      </c>
      <c r="K43" s="228">
        <v>0</v>
      </c>
      <c r="L43" s="228">
        <v>0</v>
      </c>
      <c r="M43" s="193">
        <f t="shared" si="0"/>
        <v>0</v>
      </c>
      <c r="N43" s="227">
        <v>7</v>
      </c>
      <c r="O43" s="228">
        <v>5726.5</v>
      </c>
      <c r="P43" s="228">
        <v>5726.5</v>
      </c>
      <c r="Q43" s="228">
        <f t="shared" si="1"/>
        <v>0</v>
      </c>
      <c r="R43" s="6"/>
    </row>
    <row r="44" spans="1:18" ht="25.5" x14ac:dyDescent="0.25">
      <c r="A44" s="226">
        <v>36</v>
      </c>
      <c r="B44" s="194" t="s">
        <v>156</v>
      </c>
      <c r="C44" s="226" t="s">
        <v>67</v>
      </c>
      <c r="D44" s="194" t="s">
        <v>501</v>
      </c>
      <c r="E44" s="134" t="s">
        <v>74</v>
      </c>
      <c r="F44" s="226" t="s">
        <v>502</v>
      </c>
      <c r="G44" s="136" t="s">
        <v>409</v>
      </c>
      <c r="H44" s="227">
        <v>3</v>
      </c>
      <c r="I44" s="227">
        <v>0</v>
      </c>
      <c r="J44" s="227">
        <v>0</v>
      </c>
      <c r="K44" s="228">
        <v>0</v>
      </c>
      <c r="L44" s="228">
        <v>0</v>
      </c>
      <c r="M44" s="193">
        <f t="shared" si="0"/>
        <v>0</v>
      </c>
      <c r="N44" s="227">
        <v>3</v>
      </c>
      <c r="O44" s="228">
        <v>6167</v>
      </c>
      <c r="P44" s="228">
        <v>6167</v>
      </c>
      <c r="Q44" s="228">
        <f t="shared" si="1"/>
        <v>0</v>
      </c>
      <c r="R44" s="6"/>
    </row>
    <row r="45" spans="1:18" ht="25.5" x14ac:dyDescent="0.25">
      <c r="A45" s="226">
        <v>37</v>
      </c>
      <c r="B45" s="194" t="s">
        <v>133</v>
      </c>
      <c r="C45" s="226" t="s">
        <v>67</v>
      </c>
      <c r="D45" s="194" t="s">
        <v>397</v>
      </c>
      <c r="E45" s="134" t="s">
        <v>74</v>
      </c>
      <c r="F45" s="226" t="s">
        <v>503</v>
      </c>
      <c r="G45" s="136" t="s">
        <v>409</v>
      </c>
      <c r="H45" s="227">
        <v>11</v>
      </c>
      <c r="I45" s="227">
        <v>0</v>
      </c>
      <c r="J45" s="227">
        <v>0</v>
      </c>
      <c r="K45" s="228">
        <v>0</v>
      </c>
      <c r="L45" s="228">
        <v>0</v>
      </c>
      <c r="M45" s="193">
        <f t="shared" si="0"/>
        <v>0</v>
      </c>
      <c r="N45" s="227">
        <v>8</v>
      </c>
      <c r="O45" s="228">
        <v>21929.06</v>
      </c>
      <c r="P45" s="228">
        <v>21929.06</v>
      </c>
      <c r="Q45" s="228">
        <f t="shared" si="1"/>
        <v>0</v>
      </c>
      <c r="R45" s="6"/>
    </row>
    <row r="46" spans="1:18" ht="25.5" x14ac:dyDescent="0.25">
      <c r="A46" s="226">
        <v>38</v>
      </c>
      <c r="B46" s="194" t="s">
        <v>114</v>
      </c>
      <c r="C46" s="226" t="s">
        <v>62</v>
      </c>
      <c r="D46" s="194"/>
      <c r="E46" s="134" t="s">
        <v>115</v>
      </c>
      <c r="F46" s="226" t="s">
        <v>504</v>
      </c>
      <c r="G46" s="136" t="s">
        <v>409</v>
      </c>
      <c r="H46" s="227">
        <v>0</v>
      </c>
      <c r="I46" s="227">
        <v>0</v>
      </c>
      <c r="J46" s="227">
        <v>0</v>
      </c>
      <c r="K46" s="228">
        <v>0</v>
      </c>
      <c r="L46" s="228">
        <v>0</v>
      </c>
      <c r="M46" s="193">
        <f t="shared" si="0"/>
        <v>0</v>
      </c>
      <c r="N46" s="227">
        <v>2</v>
      </c>
      <c r="O46" s="228">
        <v>1762</v>
      </c>
      <c r="P46" s="228">
        <v>1762</v>
      </c>
      <c r="Q46" s="228">
        <f t="shared" si="1"/>
        <v>0</v>
      </c>
      <c r="R46" s="6"/>
    </row>
    <row r="47" spans="1:18" ht="25.5" x14ac:dyDescent="0.25">
      <c r="A47" s="226">
        <v>39</v>
      </c>
      <c r="B47" s="194" t="s">
        <v>505</v>
      </c>
      <c r="C47" s="226" t="s">
        <v>62</v>
      </c>
      <c r="D47" s="194"/>
      <c r="E47" s="134" t="s">
        <v>74</v>
      </c>
      <c r="F47" s="226" t="s">
        <v>506</v>
      </c>
      <c r="G47" s="136" t="s">
        <v>409</v>
      </c>
      <c r="H47" s="227">
        <v>1</v>
      </c>
      <c r="I47" s="227">
        <v>0</v>
      </c>
      <c r="J47" s="227">
        <v>0</v>
      </c>
      <c r="K47" s="228">
        <v>0</v>
      </c>
      <c r="L47" s="228">
        <v>0</v>
      </c>
      <c r="M47" s="193">
        <f t="shared" si="0"/>
        <v>0</v>
      </c>
      <c r="N47" s="227">
        <v>0</v>
      </c>
      <c r="O47" s="228">
        <v>0</v>
      </c>
      <c r="P47" s="228">
        <v>0</v>
      </c>
      <c r="Q47" s="228">
        <f t="shared" si="1"/>
        <v>0</v>
      </c>
      <c r="R47" s="6"/>
    </row>
    <row r="48" spans="1:18" ht="25.5" x14ac:dyDescent="0.25">
      <c r="A48" s="226">
        <v>40</v>
      </c>
      <c r="B48" s="194" t="s">
        <v>473</v>
      </c>
      <c r="C48" s="226" t="s">
        <v>62</v>
      </c>
      <c r="D48" s="194"/>
      <c r="E48" s="226" t="s">
        <v>74</v>
      </c>
      <c r="F48" s="226" t="s">
        <v>558</v>
      </c>
      <c r="G48" s="136" t="s">
        <v>409</v>
      </c>
      <c r="H48" s="227">
        <v>0</v>
      </c>
      <c r="I48" s="227">
        <v>0</v>
      </c>
      <c r="J48" s="227">
        <v>0</v>
      </c>
      <c r="K48" s="228">
        <v>0</v>
      </c>
      <c r="L48" s="228">
        <v>0</v>
      </c>
      <c r="M48" s="193">
        <f t="shared" si="0"/>
        <v>0</v>
      </c>
      <c r="N48" s="227">
        <v>0</v>
      </c>
      <c r="O48" s="228">
        <v>0</v>
      </c>
      <c r="P48" s="228">
        <v>0</v>
      </c>
      <c r="Q48" s="228">
        <f t="shared" si="1"/>
        <v>0</v>
      </c>
      <c r="R48" s="6"/>
    </row>
    <row r="49" spans="1:18" ht="25.5" x14ac:dyDescent="0.25">
      <c r="A49" s="226">
        <v>41</v>
      </c>
      <c r="B49" s="194" t="s">
        <v>376</v>
      </c>
      <c r="C49" s="226" t="s">
        <v>62</v>
      </c>
      <c r="D49" s="194"/>
      <c r="E49" s="226" t="s">
        <v>74</v>
      </c>
      <c r="F49" s="226" t="s">
        <v>559</v>
      </c>
      <c r="G49" s="136" t="s">
        <v>409</v>
      </c>
      <c r="H49" s="227">
        <v>0</v>
      </c>
      <c r="I49" s="227">
        <v>0</v>
      </c>
      <c r="J49" s="227">
        <v>0</v>
      </c>
      <c r="K49" s="228">
        <v>0</v>
      </c>
      <c r="L49" s="228">
        <v>0</v>
      </c>
      <c r="M49" s="193">
        <f t="shared" si="0"/>
        <v>0</v>
      </c>
      <c r="N49" s="227">
        <v>0</v>
      </c>
      <c r="O49" s="228">
        <v>0</v>
      </c>
      <c r="P49" s="228">
        <v>0</v>
      </c>
      <c r="Q49" s="228">
        <f t="shared" si="1"/>
        <v>0</v>
      </c>
      <c r="R49" s="6"/>
    </row>
    <row r="50" spans="1:18" ht="25.5" x14ac:dyDescent="0.25">
      <c r="A50" s="226">
        <v>42</v>
      </c>
      <c r="B50" s="194" t="s">
        <v>119</v>
      </c>
      <c r="C50" s="226" t="s">
        <v>62</v>
      </c>
      <c r="D50" s="194"/>
      <c r="E50" s="226" t="s">
        <v>74</v>
      </c>
      <c r="F50" s="226" t="s">
        <v>560</v>
      </c>
      <c r="G50" s="136" t="s">
        <v>409</v>
      </c>
      <c r="H50" s="227">
        <v>6</v>
      </c>
      <c r="I50" s="227">
        <v>1</v>
      </c>
      <c r="J50" s="227">
        <v>1</v>
      </c>
      <c r="K50" s="228">
        <v>1691.52</v>
      </c>
      <c r="L50" s="228">
        <v>0</v>
      </c>
      <c r="M50" s="193">
        <f t="shared" si="0"/>
        <v>1691.52</v>
      </c>
      <c r="N50" s="227">
        <v>8</v>
      </c>
      <c r="O50" s="228">
        <v>12443.1</v>
      </c>
      <c r="P50" s="228">
        <v>0</v>
      </c>
      <c r="Q50" s="228">
        <f t="shared" si="1"/>
        <v>12443.1</v>
      </c>
      <c r="R50" s="6"/>
    </row>
    <row r="51" spans="1:18" ht="25.5" x14ac:dyDescent="0.25">
      <c r="A51" s="226">
        <v>43</v>
      </c>
      <c r="B51" s="194" t="s">
        <v>47</v>
      </c>
      <c r="C51" s="226" t="s">
        <v>62</v>
      </c>
      <c r="D51" s="194"/>
      <c r="E51" s="226" t="s">
        <v>141</v>
      </c>
      <c r="F51" s="226" t="s">
        <v>589</v>
      </c>
      <c r="G51" s="136" t="s">
        <v>409</v>
      </c>
      <c r="H51" s="227">
        <v>0</v>
      </c>
      <c r="I51" s="227">
        <v>0</v>
      </c>
      <c r="J51" s="227">
        <v>0</v>
      </c>
      <c r="K51" s="228">
        <v>0</v>
      </c>
      <c r="L51" s="228">
        <v>0</v>
      </c>
      <c r="M51" s="193">
        <f t="shared" si="0"/>
        <v>0</v>
      </c>
      <c r="N51" s="227">
        <v>0</v>
      </c>
      <c r="O51" s="228">
        <v>0</v>
      </c>
      <c r="P51" s="228">
        <v>0</v>
      </c>
      <c r="Q51" s="228">
        <f t="shared" si="1"/>
        <v>0</v>
      </c>
      <c r="R51" s="6"/>
    </row>
    <row r="52" spans="1:18" ht="25.5" x14ac:dyDescent="0.25">
      <c r="A52" s="226">
        <v>44</v>
      </c>
      <c r="B52" s="194" t="s">
        <v>37</v>
      </c>
      <c r="C52" s="226" t="s">
        <v>62</v>
      </c>
      <c r="D52" s="226"/>
      <c r="E52" s="226" t="s">
        <v>74</v>
      </c>
      <c r="F52" s="226" t="s">
        <v>590</v>
      </c>
      <c r="G52" s="136" t="s">
        <v>409</v>
      </c>
      <c r="H52" s="227">
        <v>1</v>
      </c>
      <c r="I52" s="227">
        <v>0</v>
      </c>
      <c r="J52" s="227">
        <v>0</v>
      </c>
      <c r="K52" s="228">
        <v>0</v>
      </c>
      <c r="L52" s="228">
        <v>0</v>
      </c>
      <c r="M52" s="193">
        <f t="shared" si="0"/>
        <v>0</v>
      </c>
      <c r="N52" s="227">
        <v>0</v>
      </c>
      <c r="O52" s="228">
        <v>0</v>
      </c>
      <c r="P52" s="228">
        <v>0</v>
      </c>
      <c r="Q52" s="228">
        <f t="shared" si="1"/>
        <v>0</v>
      </c>
      <c r="R52" s="6"/>
    </row>
    <row r="53" spans="1:18" ht="25.5" x14ac:dyDescent="0.25">
      <c r="A53" s="226">
        <v>45</v>
      </c>
      <c r="B53" s="194" t="s">
        <v>97</v>
      </c>
      <c r="C53" s="226" t="s">
        <v>62</v>
      </c>
      <c r="D53" s="226"/>
      <c r="E53" s="226" t="s">
        <v>74</v>
      </c>
      <c r="F53" s="226" t="s">
        <v>591</v>
      </c>
      <c r="G53" s="136" t="s">
        <v>409</v>
      </c>
      <c r="H53" s="227">
        <v>4</v>
      </c>
      <c r="I53" s="227">
        <v>0</v>
      </c>
      <c r="J53" s="227">
        <v>0</v>
      </c>
      <c r="K53" s="228">
        <v>0</v>
      </c>
      <c r="L53" s="228">
        <v>0</v>
      </c>
      <c r="M53" s="193">
        <f t="shared" si="0"/>
        <v>0</v>
      </c>
      <c r="N53" s="227">
        <v>0</v>
      </c>
      <c r="O53" s="228">
        <v>0</v>
      </c>
      <c r="P53" s="228">
        <v>0</v>
      </c>
      <c r="Q53" s="228">
        <f t="shared" si="1"/>
        <v>0</v>
      </c>
      <c r="R53" s="6"/>
    </row>
    <row r="54" spans="1:18" ht="25.5" x14ac:dyDescent="0.25">
      <c r="A54" s="226">
        <v>46</v>
      </c>
      <c r="B54" s="194" t="s">
        <v>613</v>
      </c>
      <c r="C54" s="226" t="s">
        <v>62</v>
      </c>
      <c r="D54" s="226"/>
      <c r="E54" s="226" t="s">
        <v>74</v>
      </c>
      <c r="F54" s="226" t="s">
        <v>614</v>
      </c>
      <c r="G54" s="136" t="s">
        <v>409</v>
      </c>
      <c r="H54" s="227">
        <v>4</v>
      </c>
      <c r="I54" s="227">
        <v>0</v>
      </c>
      <c r="J54" s="227">
        <v>0</v>
      </c>
      <c r="K54" s="228">
        <v>0</v>
      </c>
      <c r="L54" s="228">
        <v>0</v>
      </c>
      <c r="M54" s="193">
        <v>0</v>
      </c>
      <c r="N54" s="227">
        <v>0</v>
      </c>
      <c r="O54" s="228">
        <v>0</v>
      </c>
      <c r="P54" s="228">
        <v>0</v>
      </c>
      <c r="Q54" s="228">
        <v>0</v>
      </c>
      <c r="R54" s="6"/>
    </row>
    <row r="55" spans="1:18" ht="25.5" x14ac:dyDescent="0.25">
      <c r="A55" s="226">
        <v>47</v>
      </c>
      <c r="B55" s="194" t="s">
        <v>615</v>
      </c>
      <c r="C55" s="226" t="s">
        <v>62</v>
      </c>
      <c r="D55" s="226"/>
      <c r="E55" s="226" t="s">
        <v>74</v>
      </c>
      <c r="F55" s="226" t="s">
        <v>616</v>
      </c>
      <c r="G55" s="136" t="s">
        <v>409</v>
      </c>
      <c r="H55" s="227">
        <v>5</v>
      </c>
      <c r="I55" s="227">
        <v>0</v>
      </c>
      <c r="J55" s="227">
        <v>0</v>
      </c>
      <c r="K55" s="228">
        <v>0</v>
      </c>
      <c r="L55" s="228">
        <v>0</v>
      </c>
      <c r="M55" s="193">
        <v>0</v>
      </c>
      <c r="N55" s="227">
        <v>0</v>
      </c>
      <c r="O55" s="228">
        <v>0</v>
      </c>
      <c r="P55" s="228">
        <v>0</v>
      </c>
      <c r="Q55" s="228">
        <v>0</v>
      </c>
      <c r="R55" s="6"/>
    </row>
    <row r="56" spans="1:18" ht="26.25" x14ac:dyDescent="0.25">
      <c r="A56" s="226">
        <v>48</v>
      </c>
      <c r="B56" s="194" t="s">
        <v>357</v>
      </c>
      <c r="C56" s="279" t="s">
        <v>64</v>
      </c>
      <c r="D56" s="307" t="s">
        <v>617</v>
      </c>
      <c r="E56" s="226" t="s">
        <v>74</v>
      </c>
      <c r="F56" s="226" t="s">
        <v>618</v>
      </c>
      <c r="G56" s="136" t="s">
        <v>409</v>
      </c>
      <c r="H56" s="227">
        <v>2</v>
      </c>
      <c r="I56" s="227">
        <v>0</v>
      </c>
      <c r="J56" s="227">
        <v>0</v>
      </c>
      <c r="K56" s="228">
        <v>0</v>
      </c>
      <c r="L56" s="228">
        <v>0</v>
      </c>
      <c r="M56" s="227">
        <v>0</v>
      </c>
      <c r="N56" s="227">
        <v>0</v>
      </c>
      <c r="O56" s="228">
        <v>0</v>
      </c>
      <c r="P56" s="228">
        <v>0</v>
      </c>
      <c r="Q56" s="228">
        <v>0</v>
      </c>
      <c r="R56" s="6"/>
    </row>
    <row r="57" spans="1:18" ht="25.5" x14ac:dyDescent="0.25">
      <c r="A57" s="226">
        <v>49</v>
      </c>
      <c r="B57" s="194" t="s">
        <v>621</v>
      </c>
      <c r="C57" s="226" t="s">
        <v>62</v>
      </c>
      <c r="D57" s="226"/>
      <c r="E57" s="226" t="s">
        <v>74</v>
      </c>
      <c r="F57" s="226" t="s">
        <v>625</v>
      </c>
      <c r="G57" s="136" t="s">
        <v>409</v>
      </c>
      <c r="H57" s="227">
        <v>3</v>
      </c>
      <c r="I57" s="227">
        <v>0</v>
      </c>
      <c r="J57" s="227">
        <v>0</v>
      </c>
      <c r="K57" s="228">
        <v>0</v>
      </c>
      <c r="L57" s="228">
        <v>0</v>
      </c>
      <c r="M57" s="227">
        <v>0</v>
      </c>
      <c r="N57" s="227">
        <v>0</v>
      </c>
      <c r="O57" s="227">
        <v>0</v>
      </c>
      <c r="P57" s="227">
        <v>0</v>
      </c>
      <c r="Q57" s="227">
        <v>0</v>
      </c>
      <c r="R57" s="6"/>
    </row>
    <row r="58" spans="1:18" x14ac:dyDescent="0.25">
      <c r="A58" s="308">
        <v>1</v>
      </c>
      <c r="B58" s="309" t="s">
        <v>146</v>
      </c>
      <c r="C58" s="310" t="s">
        <v>62</v>
      </c>
      <c r="D58" s="310"/>
      <c r="E58" s="310" t="s">
        <v>74</v>
      </c>
      <c r="F58" s="309" t="s">
        <v>325</v>
      </c>
      <c r="G58" s="311" t="s">
        <v>326</v>
      </c>
      <c r="H58" s="311">
        <v>13</v>
      </c>
      <c r="I58" s="311">
        <v>6</v>
      </c>
      <c r="J58" s="311">
        <v>6</v>
      </c>
      <c r="K58" s="312">
        <f>2643+2466.8+2554.9</f>
        <v>7664.7000000000007</v>
      </c>
      <c r="L58" s="312">
        <f>5109.8</f>
        <v>5109.8</v>
      </c>
      <c r="M58" s="312">
        <f>K58-L58</f>
        <v>2554.9000000000005</v>
      </c>
      <c r="N58" s="313">
        <v>6</v>
      </c>
      <c r="O58" s="312">
        <v>5374.1</v>
      </c>
      <c r="P58" s="314">
        <f>2378.7+2995.4</f>
        <v>5374.1</v>
      </c>
      <c r="Q58" s="314">
        <f>O58-P58</f>
        <v>0</v>
      </c>
      <c r="R58" s="6"/>
    </row>
    <row r="59" spans="1:18" x14ac:dyDescent="0.25">
      <c r="A59" s="308">
        <v>2</v>
      </c>
      <c r="B59" s="309" t="s">
        <v>166</v>
      </c>
      <c r="C59" s="310" t="s">
        <v>62</v>
      </c>
      <c r="D59" s="310"/>
      <c r="E59" s="310" t="s">
        <v>158</v>
      </c>
      <c r="F59" s="309" t="s">
        <v>327</v>
      </c>
      <c r="G59" s="309" t="s">
        <v>326</v>
      </c>
      <c r="H59" s="311">
        <v>4</v>
      </c>
      <c r="I59" s="311">
        <v>2</v>
      </c>
      <c r="J59" s="311">
        <v>2</v>
      </c>
      <c r="K59" s="312">
        <f>1233.4+4228.8</f>
        <v>5462.2000000000007</v>
      </c>
      <c r="L59" s="312">
        <f>73.95+1159.45+4228.8</f>
        <v>5462.2000000000007</v>
      </c>
      <c r="M59" s="312">
        <f>K59-L59</f>
        <v>0</v>
      </c>
      <c r="N59" s="313">
        <v>0</v>
      </c>
      <c r="O59" s="312">
        <v>0</v>
      </c>
      <c r="P59" s="314">
        <v>0</v>
      </c>
      <c r="Q59" s="314">
        <f>O59-P59</f>
        <v>0</v>
      </c>
      <c r="R59" s="6"/>
    </row>
    <row r="60" spans="1:18" x14ac:dyDescent="0.25">
      <c r="A60" s="308">
        <v>3</v>
      </c>
      <c r="B60" s="309" t="s">
        <v>173</v>
      </c>
      <c r="C60" s="310" t="s">
        <v>67</v>
      </c>
      <c r="D60" s="310" t="s">
        <v>328</v>
      </c>
      <c r="E60" s="310" t="s">
        <v>158</v>
      </c>
      <c r="F60" s="309" t="s">
        <v>329</v>
      </c>
      <c r="G60" s="309" t="s">
        <v>326</v>
      </c>
      <c r="H60" s="311">
        <v>7</v>
      </c>
      <c r="I60" s="311">
        <v>3</v>
      </c>
      <c r="J60" s="311">
        <v>3</v>
      </c>
      <c r="K60" s="312">
        <f>704.8+2945.6</f>
        <v>3650.3999999999996</v>
      </c>
      <c r="L60" s="312">
        <f>704.8</f>
        <v>704.8</v>
      </c>
      <c r="M60" s="312">
        <f>K60-L60</f>
        <v>2945.5999999999995</v>
      </c>
      <c r="N60" s="313">
        <v>0</v>
      </c>
      <c r="O60" s="312">
        <v>0</v>
      </c>
      <c r="P60" s="314">
        <v>0</v>
      </c>
      <c r="Q60" s="314">
        <f>O60-P60</f>
        <v>0</v>
      </c>
      <c r="R60" s="6"/>
    </row>
    <row r="61" spans="1:18" x14ac:dyDescent="0.25">
      <c r="A61" s="308">
        <v>4</v>
      </c>
      <c r="B61" s="309" t="s">
        <v>330</v>
      </c>
      <c r="C61" s="310" t="s">
        <v>62</v>
      </c>
      <c r="D61" s="310"/>
      <c r="E61" s="310" t="s">
        <v>158</v>
      </c>
      <c r="F61" s="309" t="s">
        <v>331</v>
      </c>
      <c r="G61" s="309" t="s">
        <v>326</v>
      </c>
      <c r="H61" s="311">
        <v>15</v>
      </c>
      <c r="I61" s="311">
        <v>9</v>
      </c>
      <c r="J61" s="311">
        <v>9</v>
      </c>
      <c r="K61" s="312">
        <f>704.8+11276.8</f>
        <v>11981.599999999999</v>
      </c>
      <c r="L61" s="312">
        <f>704.8+11276.8</f>
        <v>11981.599999999999</v>
      </c>
      <c r="M61" s="312">
        <f>K61-L61</f>
        <v>0</v>
      </c>
      <c r="N61" s="313">
        <v>0</v>
      </c>
      <c r="O61" s="312">
        <v>0</v>
      </c>
      <c r="P61" s="314">
        <v>0</v>
      </c>
      <c r="Q61" s="314">
        <f>O61-P61</f>
        <v>0</v>
      </c>
      <c r="R61" s="6"/>
    </row>
    <row r="62" spans="1:18" x14ac:dyDescent="0.25">
      <c r="A62" s="308">
        <v>5</v>
      </c>
      <c r="B62" s="309" t="s">
        <v>147</v>
      </c>
      <c r="C62" s="310" t="s">
        <v>62</v>
      </c>
      <c r="D62" s="315"/>
      <c r="E62" s="310" t="s">
        <v>74</v>
      </c>
      <c r="F62" s="309" t="s">
        <v>332</v>
      </c>
      <c r="G62" s="309" t="s">
        <v>326</v>
      </c>
      <c r="H62" s="316">
        <v>14</v>
      </c>
      <c r="I62" s="316">
        <v>5</v>
      </c>
      <c r="J62" s="316">
        <v>5</v>
      </c>
      <c r="K62" s="317">
        <f>1409.6+1762+3347.8+2209.2</f>
        <v>8728.5999999999985</v>
      </c>
      <c r="L62" s="312">
        <f>1409.6+1762+3347.8</f>
        <v>6519.4</v>
      </c>
      <c r="M62" s="312">
        <f>K62-L62</f>
        <v>2209.1999999999989</v>
      </c>
      <c r="N62" s="313">
        <v>3</v>
      </c>
      <c r="O62" s="318">
        <v>4757.3999999999996</v>
      </c>
      <c r="P62" s="319">
        <f>4052.6+704.8</f>
        <v>4757.3999999999996</v>
      </c>
      <c r="Q62" s="314">
        <f>O62-P62</f>
        <v>0</v>
      </c>
      <c r="R62" s="6"/>
    </row>
    <row r="63" spans="1:18" ht="45" x14ac:dyDescent="0.25">
      <c r="A63" s="308">
        <v>6</v>
      </c>
      <c r="B63" s="309" t="s">
        <v>554</v>
      </c>
      <c r="C63" s="310" t="s">
        <v>67</v>
      </c>
      <c r="D63" s="320" t="s">
        <v>555</v>
      </c>
      <c r="E63" s="310" t="s">
        <v>74</v>
      </c>
      <c r="F63" s="309" t="s">
        <v>556</v>
      </c>
      <c r="G63" s="309" t="s">
        <v>326</v>
      </c>
      <c r="H63" s="316">
        <v>2</v>
      </c>
      <c r="I63" s="316">
        <v>0</v>
      </c>
      <c r="J63" s="316">
        <v>0</v>
      </c>
      <c r="K63" s="317">
        <v>0</v>
      </c>
      <c r="L63" s="312">
        <v>0</v>
      </c>
      <c r="M63" s="312">
        <v>0</v>
      </c>
      <c r="N63" s="313">
        <v>0</v>
      </c>
      <c r="O63" s="312">
        <v>0</v>
      </c>
      <c r="P63" s="314">
        <v>0</v>
      </c>
      <c r="Q63" s="314">
        <v>0</v>
      </c>
      <c r="R63" s="6"/>
    </row>
    <row r="64" spans="1:18" x14ac:dyDescent="0.25">
      <c r="A64" s="308">
        <v>7</v>
      </c>
      <c r="B64" s="309" t="s">
        <v>88</v>
      </c>
      <c r="C64" s="310" t="s">
        <v>62</v>
      </c>
      <c r="D64" s="315"/>
      <c r="E64" s="310" t="s">
        <v>74</v>
      </c>
      <c r="F64" s="309" t="s">
        <v>333</v>
      </c>
      <c r="G64" s="309" t="s">
        <v>326</v>
      </c>
      <c r="H64" s="316">
        <v>2</v>
      </c>
      <c r="I64" s="316">
        <v>2</v>
      </c>
      <c r="J64" s="316">
        <v>2</v>
      </c>
      <c r="K64" s="317">
        <f>704.8+1585.8</f>
        <v>2290.6</v>
      </c>
      <c r="L64" s="312">
        <f>704.8+1585.8</f>
        <v>2290.6</v>
      </c>
      <c r="M64" s="312">
        <f t="shared" ref="M64:M94" si="2">K64-L64</f>
        <v>0</v>
      </c>
      <c r="N64" s="313">
        <v>1</v>
      </c>
      <c r="O64" s="318">
        <v>1145.3</v>
      </c>
      <c r="P64" s="314">
        <v>1145.3</v>
      </c>
      <c r="Q64" s="314">
        <f t="shared" ref="Q64:Q85" si="3">O64-P64</f>
        <v>0</v>
      </c>
      <c r="R64" s="6"/>
    </row>
    <row r="65" spans="1:18" x14ac:dyDescent="0.25">
      <c r="A65" s="308">
        <v>8</v>
      </c>
      <c r="B65" s="309" t="s">
        <v>182</v>
      </c>
      <c r="C65" s="310" t="s">
        <v>62</v>
      </c>
      <c r="D65" s="315"/>
      <c r="E65" s="310" t="s">
        <v>158</v>
      </c>
      <c r="F65" s="309" t="s">
        <v>334</v>
      </c>
      <c r="G65" s="309" t="s">
        <v>326</v>
      </c>
      <c r="H65" s="316">
        <v>5</v>
      </c>
      <c r="I65" s="316">
        <v>1</v>
      </c>
      <c r="J65" s="316">
        <v>1</v>
      </c>
      <c r="K65" s="317">
        <f>1233.4</f>
        <v>1233.4000000000001</v>
      </c>
      <c r="L65" s="312">
        <f>1233.4</f>
        <v>1233.4000000000001</v>
      </c>
      <c r="M65" s="312">
        <f t="shared" si="2"/>
        <v>0</v>
      </c>
      <c r="N65" s="313">
        <v>0</v>
      </c>
      <c r="O65" s="318">
        <v>0</v>
      </c>
      <c r="P65" s="314">
        <v>0</v>
      </c>
      <c r="Q65" s="314">
        <f t="shared" si="3"/>
        <v>0</v>
      </c>
      <c r="R65" s="6"/>
    </row>
    <row r="66" spans="1:18" x14ac:dyDescent="0.25">
      <c r="A66" s="308">
        <v>9</v>
      </c>
      <c r="B66" s="309" t="s">
        <v>335</v>
      </c>
      <c r="C66" s="310" t="s">
        <v>62</v>
      </c>
      <c r="D66" s="321"/>
      <c r="E66" s="310" t="s">
        <v>74</v>
      </c>
      <c r="F66" s="309" t="s">
        <v>336</v>
      </c>
      <c r="G66" s="309" t="s">
        <v>326</v>
      </c>
      <c r="H66" s="316">
        <v>15</v>
      </c>
      <c r="I66" s="316">
        <v>6</v>
      </c>
      <c r="J66" s="316">
        <v>6</v>
      </c>
      <c r="K66" s="317">
        <f>3700.2+704.8+2114.4+2819.2</f>
        <v>9338.5999999999985</v>
      </c>
      <c r="L66" s="312">
        <f>3700.2+704.8+2114.4</f>
        <v>6519.4</v>
      </c>
      <c r="M66" s="312">
        <f t="shared" si="2"/>
        <v>2819.1999999999989</v>
      </c>
      <c r="N66" s="313">
        <v>7</v>
      </c>
      <c r="O66" s="312">
        <f>3435.9+3171.6+132.15</f>
        <v>6739.65</v>
      </c>
      <c r="P66" s="314">
        <f>3435.9+3171.6+132.15</f>
        <v>6739.65</v>
      </c>
      <c r="Q66" s="314">
        <f t="shared" si="3"/>
        <v>0</v>
      </c>
      <c r="R66" s="6"/>
    </row>
    <row r="67" spans="1:18" x14ac:dyDescent="0.25">
      <c r="A67" s="308">
        <v>10</v>
      </c>
      <c r="B67" s="309" t="s">
        <v>27</v>
      </c>
      <c r="C67" s="310" t="s">
        <v>62</v>
      </c>
      <c r="D67" s="315"/>
      <c r="E67" s="310" t="s">
        <v>158</v>
      </c>
      <c r="F67" s="309" t="s">
        <v>337</v>
      </c>
      <c r="G67" s="309" t="s">
        <v>326</v>
      </c>
      <c r="H67" s="316">
        <v>13</v>
      </c>
      <c r="I67" s="316">
        <v>11</v>
      </c>
      <c r="J67" s="316">
        <v>11</v>
      </c>
      <c r="K67" s="317">
        <f>5638.4+2819.2+528.6+1964.2</f>
        <v>10950.4</v>
      </c>
      <c r="L67" s="312">
        <f>1233.4+4405+2819.2+528.6</f>
        <v>8986.1999999999989</v>
      </c>
      <c r="M67" s="312">
        <f t="shared" si="2"/>
        <v>1964.2000000000007</v>
      </c>
      <c r="N67" s="313">
        <v>0</v>
      </c>
      <c r="O67" s="318">
        <v>0</v>
      </c>
      <c r="P67" s="319">
        <v>0</v>
      </c>
      <c r="Q67" s="314">
        <f t="shared" si="3"/>
        <v>0</v>
      </c>
      <c r="R67" s="6"/>
    </row>
    <row r="68" spans="1:18" x14ac:dyDescent="0.25">
      <c r="A68" s="322">
        <v>11</v>
      </c>
      <c r="B68" s="309" t="s">
        <v>190</v>
      </c>
      <c r="C68" s="310" t="s">
        <v>62</v>
      </c>
      <c r="D68" s="315"/>
      <c r="E68" s="310" t="s">
        <v>338</v>
      </c>
      <c r="F68" s="309" t="s">
        <v>339</v>
      </c>
      <c r="G68" s="309" t="s">
        <v>326</v>
      </c>
      <c r="H68" s="316">
        <v>20</v>
      </c>
      <c r="I68" s="316">
        <v>9</v>
      </c>
      <c r="J68" s="316">
        <v>9</v>
      </c>
      <c r="K68" s="317">
        <f>1938.2+2819.2+2819.2+2290.6+1862</f>
        <v>11729.199999999999</v>
      </c>
      <c r="L68" s="312">
        <f>704.8+704.8+528.6+2819.2+2819.2+2290.6+1592.92</f>
        <v>11460.119999999999</v>
      </c>
      <c r="M68" s="312">
        <f t="shared" si="2"/>
        <v>269.07999999999993</v>
      </c>
      <c r="N68" s="313">
        <v>0</v>
      </c>
      <c r="O68" s="318">
        <v>0</v>
      </c>
      <c r="P68" s="314">
        <v>0</v>
      </c>
      <c r="Q68" s="314">
        <f t="shared" si="3"/>
        <v>0</v>
      </c>
      <c r="R68" s="6"/>
    </row>
    <row r="69" spans="1:18" x14ac:dyDescent="0.25">
      <c r="A69" s="322">
        <v>12</v>
      </c>
      <c r="B69" s="309" t="s">
        <v>89</v>
      </c>
      <c r="C69" s="310" t="s">
        <v>62</v>
      </c>
      <c r="D69" s="315"/>
      <c r="E69" s="310" t="s">
        <v>74</v>
      </c>
      <c r="F69" s="309" t="s">
        <v>340</v>
      </c>
      <c r="G69" s="309" t="s">
        <v>326</v>
      </c>
      <c r="H69" s="316">
        <v>6</v>
      </c>
      <c r="I69" s="316">
        <v>6</v>
      </c>
      <c r="J69" s="316">
        <v>6</v>
      </c>
      <c r="K69" s="317">
        <f>1762+3876.4+2995.4</f>
        <v>8633.7999999999993</v>
      </c>
      <c r="L69" s="312">
        <f>1762+3876.4</f>
        <v>5638.4</v>
      </c>
      <c r="M69" s="312">
        <f t="shared" si="2"/>
        <v>2995.3999999999996</v>
      </c>
      <c r="N69" s="313">
        <v>4</v>
      </c>
      <c r="O69" s="318">
        <f>440.5+5990.8+2819.2</f>
        <v>9250.5</v>
      </c>
      <c r="P69" s="314">
        <f>440.5+5990.8</f>
        <v>6431.3</v>
      </c>
      <c r="Q69" s="314">
        <f t="shared" si="3"/>
        <v>2819.2</v>
      </c>
      <c r="R69" s="6"/>
    </row>
    <row r="70" spans="1:18" x14ac:dyDescent="0.25">
      <c r="A70" s="322">
        <v>13</v>
      </c>
      <c r="B70" s="309" t="s">
        <v>196</v>
      </c>
      <c r="C70" s="310" t="s">
        <v>62</v>
      </c>
      <c r="D70" s="315"/>
      <c r="E70" s="310" t="s">
        <v>341</v>
      </c>
      <c r="F70" s="309" t="s">
        <v>342</v>
      </c>
      <c r="G70" s="309" t="s">
        <v>326</v>
      </c>
      <c r="H70" s="316">
        <v>7</v>
      </c>
      <c r="I70" s="316">
        <v>5</v>
      </c>
      <c r="J70" s="316">
        <v>5</v>
      </c>
      <c r="K70" s="317">
        <v>4933.6000000000004</v>
      </c>
      <c r="L70" s="312">
        <f>4933.6</f>
        <v>4933.6000000000004</v>
      </c>
      <c r="M70" s="312">
        <f t="shared" si="2"/>
        <v>0</v>
      </c>
      <c r="N70" s="313">
        <v>0</v>
      </c>
      <c r="O70" s="318">
        <v>0</v>
      </c>
      <c r="P70" s="314">
        <v>0</v>
      </c>
      <c r="Q70" s="314">
        <f t="shared" si="3"/>
        <v>0</v>
      </c>
      <c r="R70" s="6"/>
    </row>
    <row r="71" spans="1:18" x14ac:dyDescent="0.25">
      <c r="A71" s="322">
        <v>14</v>
      </c>
      <c r="B71" s="309" t="s">
        <v>343</v>
      </c>
      <c r="C71" s="310" t="s">
        <v>62</v>
      </c>
      <c r="D71" s="315"/>
      <c r="E71" s="310" t="s">
        <v>74</v>
      </c>
      <c r="F71" s="309" t="s">
        <v>344</v>
      </c>
      <c r="G71" s="309" t="s">
        <v>326</v>
      </c>
      <c r="H71" s="316">
        <v>9</v>
      </c>
      <c r="I71" s="316">
        <v>2</v>
      </c>
      <c r="J71" s="316">
        <v>2</v>
      </c>
      <c r="K71" s="317">
        <f>2466.8</f>
        <v>2466.8000000000002</v>
      </c>
      <c r="L71" s="312">
        <f>2466.8</f>
        <v>2466.8000000000002</v>
      </c>
      <c r="M71" s="312">
        <f t="shared" si="2"/>
        <v>0</v>
      </c>
      <c r="N71" s="313">
        <v>0</v>
      </c>
      <c r="O71" s="318">
        <v>0</v>
      </c>
      <c r="P71" s="314">
        <v>0</v>
      </c>
      <c r="Q71" s="314">
        <f t="shared" si="3"/>
        <v>0</v>
      </c>
      <c r="R71" s="6"/>
    </row>
    <row r="72" spans="1:18" x14ac:dyDescent="0.25">
      <c r="A72" s="322">
        <v>15</v>
      </c>
      <c r="B72" s="309" t="s">
        <v>154</v>
      </c>
      <c r="C72" s="310" t="s">
        <v>62</v>
      </c>
      <c r="D72" s="315"/>
      <c r="E72" s="310" t="s">
        <v>74</v>
      </c>
      <c r="F72" s="309" t="s">
        <v>345</v>
      </c>
      <c r="G72" s="309" t="s">
        <v>326</v>
      </c>
      <c r="H72" s="316">
        <v>6</v>
      </c>
      <c r="I72" s="316">
        <v>3</v>
      </c>
      <c r="J72" s="316">
        <v>3</v>
      </c>
      <c r="K72" s="317">
        <f>1497.7</f>
        <v>1497.7</v>
      </c>
      <c r="L72" s="312">
        <f>1497.7</f>
        <v>1497.7</v>
      </c>
      <c r="M72" s="312">
        <f t="shared" si="2"/>
        <v>0</v>
      </c>
      <c r="N72" s="313">
        <v>6</v>
      </c>
      <c r="O72" s="318">
        <f>4228.8+3700.2</f>
        <v>7929</v>
      </c>
      <c r="P72" s="319">
        <f>4228.8+3700.2</f>
        <v>7929</v>
      </c>
      <c r="Q72" s="314">
        <f t="shared" si="3"/>
        <v>0</v>
      </c>
      <c r="R72" s="6"/>
    </row>
    <row r="73" spans="1:18" x14ac:dyDescent="0.25">
      <c r="A73" s="322">
        <v>16</v>
      </c>
      <c r="B73" s="309" t="s">
        <v>346</v>
      </c>
      <c r="C73" s="310" t="s">
        <v>62</v>
      </c>
      <c r="D73" s="315"/>
      <c r="E73" s="310" t="s">
        <v>158</v>
      </c>
      <c r="F73" s="309" t="s">
        <v>347</v>
      </c>
      <c r="G73" s="309" t="s">
        <v>326</v>
      </c>
      <c r="H73" s="316">
        <v>2</v>
      </c>
      <c r="I73" s="316">
        <v>0</v>
      </c>
      <c r="J73" s="316">
        <v>0</v>
      </c>
      <c r="K73" s="317">
        <v>0</v>
      </c>
      <c r="L73" s="312">
        <v>0</v>
      </c>
      <c r="M73" s="312">
        <f t="shared" si="2"/>
        <v>0</v>
      </c>
      <c r="N73" s="313">
        <v>0</v>
      </c>
      <c r="O73" s="318">
        <v>0</v>
      </c>
      <c r="P73" s="314">
        <v>0</v>
      </c>
      <c r="Q73" s="314">
        <f t="shared" si="3"/>
        <v>0</v>
      </c>
      <c r="R73" s="6"/>
    </row>
    <row r="74" spans="1:18" x14ac:dyDescent="0.25">
      <c r="A74" s="322">
        <v>17</v>
      </c>
      <c r="B74" s="309" t="s">
        <v>348</v>
      </c>
      <c r="C74" s="310" t="s">
        <v>62</v>
      </c>
      <c r="D74" s="315"/>
      <c r="E74" s="310" t="s">
        <v>158</v>
      </c>
      <c r="F74" s="309" t="s">
        <v>349</v>
      </c>
      <c r="G74" s="309" t="s">
        <v>326</v>
      </c>
      <c r="H74" s="316">
        <v>6</v>
      </c>
      <c r="I74" s="316">
        <v>0</v>
      </c>
      <c r="J74" s="316">
        <v>0</v>
      </c>
      <c r="K74" s="317">
        <v>0</v>
      </c>
      <c r="L74" s="312">
        <v>0</v>
      </c>
      <c r="M74" s="312">
        <f t="shared" si="2"/>
        <v>0</v>
      </c>
      <c r="N74" s="313">
        <v>0</v>
      </c>
      <c r="O74" s="318">
        <v>0</v>
      </c>
      <c r="P74" s="314">
        <v>0</v>
      </c>
      <c r="Q74" s="314">
        <f t="shared" si="3"/>
        <v>0</v>
      </c>
      <c r="R74" s="6"/>
    </row>
    <row r="75" spans="1:18" x14ac:dyDescent="0.25">
      <c r="A75" s="322">
        <v>18</v>
      </c>
      <c r="B75" s="309" t="s">
        <v>350</v>
      </c>
      <c r="C75" s="310" t="s">
        <v>62</v>
      </c>
      <c r="D75" s="315"/>
      <c r="E75" s="310" t="s">
        <v>74</v>
      </c>
      <c r="F75" s="309" t="s">
        <v>351</v>
      </c>
      <c r="G75" s="309" t="s">
        <v>326</v>
      </c>
      <c r="H75" s="316">
        <v>1</v>
      </c>
      <c r="I75" s="316">
        <v>1</v>
      </c>
      <c r="J75" s="316">
        <v>1</v>
      </c>
      <c r="K75" s="317">
        <f>528.6</f>
        <v>528.6</v>
      </c>
      <c r="L75" s="312">
        <f>528.6</f>
        <v>528.6</v>
      </c>
      <c r="M75" s="312">
        <f t="shared" si="2"/>
        <v>0</v>
      </c>
      <c r="N75" s="313">
        <v>4</v>
      </c>
      <c r="O75" s="318">
        <v>5065.75</v>
      </c>
      <c r="P75" s="314">
        <f>1894.15+3171.6</f>
        <v>5065.75</v>
      </c>
      <c r="Q75" s="314">
        <f t="shared" si="3"/>
        <v>0</v>
      </c>
      <c r="R75" s="6"/>
    </row>
    <row r="76" spans="1:18" ht="60" x14ac:dyDescent="0.25">
      <c r="A76" s="323">
        <v>19</v>
      </c>
      <c r="B76" s="309" t="s">
        <v>222</v>
      </c>
      <c r="C76" s="310" t="s">
        <v>64</v>
      </c>
      <c r="D76" s="324" t="s">
        <v>352</v>
      </c>
      <c r="E76" s="310" t="s">
        <v>158</v>
      </c>
      <c r="F76" s="309" t="s">
        <v>353</v>
      </c>
      <c r="G76" s="309" t="s">
        <v>326</v>
      </c>
      <c r="H76" s="316">
        <v>6</v>
      </c>
      <c r="I76" s="316">
        <v>2</v>
      </c>
      <c r="J76" s="316">
        <v>2</v>
      </c>
      <c r="K76" s="317">
        <f>1233.4+2290.6</f>
        <v>3524</v>
      </c>
      <c r="L76" s="312">
        <f>1233.4+2290.6</f>
        <v>3524</v>
      </c>
      <c r="M76" s="312">
        <f t="shared" si="2"/>
        <v>0</v>
      </c>
      <c r="N76" s="313">
        <v>0</v>
      </c>
      <c r="O76" s="312">
        <v>0</v>
      </c>
      <c r="P76" s="314">
        <v>0</v>
      </c>
      <c r="Q76" s="314">
        <f t="shared" si="3"/>
        <v>0</v>
      </c>
      <c r="R76" s="6"/>
    </row>
    <row r="77" spans="1:18" x14ac:dyDescent="0.25">
      <c r="A77" s="322">
        <v>20</v>
      </c>
      <c r="B77" s="309" t="s">
        <v>238</v>
      </c>
      <c r="C77" s="310" t="s">
        <v>62</v>
      </c>
      <c r="D77" s="315"/>
      <c r="E77" s="310" t="s">
        <v>158</v>
      </c>
      <c r="F77" s="309" t="s">
        <v>354</v>
      </c>
      <c r="G77" s="309" t="s">
        <v>326</v>
      </c>
      <c r="H77" s="316">
        <v>7</v>
      </c>
      <c r="I77" s="316">
        <v>6</v>
      </c>
      <c r="J77" s="316">
        <v>6</v>
      </c>
      <c r="K77" s="317">
        <f>2466.8+4581.2</f>
        <v>7048</v>
      </c>
      <c r="L77" s="312">
        <f>1233.4+1233.4+4581.2</f>
        <v>7048</v>
      </c>
      <c r="M77" s="312">
        <f t="shared" si="2"/>
        <v>0</v>
      </c>
      <c r="N77" s="313">
        <v>0</v>
      </c>
      <c r="O77" s="318">
        <v>0</v>
      </c>
      <c r="P77" s="314">
        <v>0</v>
      </c>
      <c r="Q77" s="314">
        <f t="shared" si="3"/>
        <v>0</v>
      </c>
      <c r="R77" s="6"/>
    </row>
    <row r="78" spans="1:18" x14ac:dyDescent="0.25">
      <c r="A78" s="322">
        <v>21</v>
      </c>
      <c r="B78" s="309" t="s">
        <v>355</v>
      </c>
      <c r="C78" s="310" t="s">
        <v>62</v>
      </c>
      <c r="D78" s="315"/>
      <c r="E78" s="310" t="s">
        <v>158</v>
      </c>
      <c r="F78" s="309" t="s">
        <v>356</v>
      </c>
      <c r="G78" s="309" t="s">
        <v>326</v>
      </c>
      <c r="H78" s="316">
        <v>7</v>
      </c>
      <c r="I78" s="316">
        <v>2</v>
      </c>
      <c r="J78" s="316">
        <v>2</v>
      </c>
      <c r="K78" s="317">
        <v>1762</v>
      </c>
      <c r="L78" s="312">
        <f>1233.4+528.6</f>
        <v>1762</v>
      </c>
      <c r="M78" s="312">
        <f t="shared" si="2"/>
        <v>0</v>
      </c>
      <c r="N78" s="313">
        <v>0</v>
      </c>
      <c r="O78" s="318">
        <v>0</v>
      </c>
      <c r="P78" s="314">
        <v>0</v>
      </c>
      <c r="Q78" s="314">
        <f t="shared" si="3"/>
        <v>0</v>
      </c>
      <c r="R78" s="6"/>
    </row>
    <row r="79" spans="1:18" ht="38.25" x14ac:dyDescent="0.25">
      <c r="A79" s="323">
        <v>22</v>
      </c>
      <c r="B79" s="309" t="s">
        <v>357</v>
      </c>
      <c r="C79" s="310" t="s">
        <v>64</v>
      </c>
      <c r="D79" s="308" t="s">
        <v>358</v>
      </c>
      <c r="E79" s="310" t="s">
        <v>158</v>
      </c>
      <c r="F79" s="310" t="s">
        <v>507</v>
      </c>
      <c r="G79" s="309" t="s">
        <v>326</v>
      </c>
      <c r="H79" s="316">
        <v>3</v>
      </c>
      <c r="I79" s="321">
        <v>1</v>
      </c>
      <c r="J79" s="321">
        <v>1</v>
      </c>
      <c r="K79" s="317">
        <v>0</v>
      </c>
      <c r="L79" s="312">
        <v>0</v>
      </c>
      <c r="M79" s="312">
        <f t="shared" si="2"/>
        <v>0</v>
      </c>
      <c r="N79" s="313">
        <v>0</v>
      </c>
      <c r="O79" s="312">
        <v>0</v>
      </c>
      <c r="P79" s="314">
        <v>0</v>
      </c>
      <c r="Q79" s="314">
        <f t="shared" si="3"/>
        <v>0</v>
      </c>
      <c r="R79" s="6"/>
    </row>
    <row r="80" spans="1:18" x14ac:dyDescent="0.25">
      <c r="A80" s="322">
        <v>23</v>
      </c>
      <c r="B80" s="309" t="s">
        <v>359</v>
      </c>
      <c r="C80" s="310" t="s">
        <v>62</v>
      </c>
      <c r="D80" s="308"/>
      <c r="E80" s="310" t="s">
        <v>158</v>
      </c>
      <c r="F80" s="310" t="s">
        <v>360</v>
      </c>
      <c r="G80" s="309" t="s">
        <v>326</v>
      </c>
      <c r="H80" s="316">
        <v>5</v>
      </c>
      <c r="I80" s="316">
        <v>5</v>
      </c>
      <c r="J80" s="316">
        <v>5</v>
      </c>
      <c r="K80" s="317">
        <f>1409.6+704.8+528.6+2290.6</f>
        <v>4933.5999999999995</v>
      </c>
      <c r="L80" s="312">
        <f>704.8+704.8+704.8+9.97+518.63+2290.6</f>
        <v>4933.5999999999995</v>
      </c>
      <c r="M80" s="312">
        <f t="shared" si="2"/>
        <v>0</v>
      </c>
      <c r="N80" s="313">
        <v>0</v>
      </c>
      <c r="O80" s="318">
        <v>0</v>
      </c>
      <c r="P80" s="319">
        <v>0</v>
      </c>
      <c r="Q80" s="314">
        <f t="shared" si="3"/>
        <v>0</v>
      </c>
      <c r="R80" s="6"/>
    </row>
    <row r="81" spans="1:18" x14ac:dyDescent="0.25">
      <c r="A81" s="322">
        <v>24</v>
      </c>
      <c r="B81" s="309" t="s">
        <v>118</v>
      </c>
      <c r="C81" s="310" t="s">
        <v>62</v>
      </c>
      <c r="D81" s="315"/>
      <c r="E81" s="310" t="s">
        <v>338</v>
      </c>
      <c r="F81" s="309" t="s">
        <v>361</v>
      </c>
      <c r="G81" s="309" t="s">
        <v>326</v>
      </c>
      <c r="H81" s="316">
        <v>1</v>
      </c>
      <c r="I81" s="316">
        <v>1</v>
      </c>
      <c r="J81" s="316">
        <v>1</v>
      </c>
      <c r="K81" s="317">
        <v>0</v>
      </c>
      <c r="L81" s="312">
        <v>0</v>
      </c>
      <c r="M81" s="312">
        <f t="shared" si="2"/>
        <v>0</v>
      </c>
      <c r="N81" s="313">
        <v>0</v>
      </c>
      <c r="O81" s="318">
        <v>0</v>
      </c>
      <c r="P81" s="314">
        <v>0</v>
      </c>
      <c r="Q81" s="314">
        <f t="shared" si="3"/>
        <v>0</v>
      </c>
      <c r="R81" s="6"/>
    </row>
    <row r="82" spans="1:18" x14ac:dyDescent="0.25">
      <c r="A82" s="322">
        <v>25</v>
      </c>
      <c r="B82" s="309" t="s">
        <v>246</v>
      </c>
      <c r="C82" s="310" t="s">
        <v>62</v>
      </c>
      <c r="D82" s="315"/>
      <c r="E82" s="310" t="s">
        <v>158</v>
      </c>
      <c r="F82" s="309" t="s">
        <v>362</v>
      </c>
      <c r="G82" s="309" t="s">
        <v>326</v>
      </c>
      <c r="H82" s="316">
        <v>5</v>
      </c>
      <c r="I82" s="316">
        <v>1</v>
      </c>
      <c r="J82" s="316">
        <v>1</v>
      </c>
      <c r="K82" s="317">
        <f>1233.4</f>
        <v>1233.4000000000001</v>
      </c>
      <c r="L82" s="312">
        <f>1233.4</f>
        <v>1233.4000000000001</v>
      </c>
      <c r="M82" s="312">
        <f t="shared" si="2"/>
        <v>0</v>
      </c>
      <c r="N82" s="313">
        <v>0</v>
      </c>
      <c r="O82" s="318">
        <v>0</v>
      </c>
      <c r="P82" s="314">
        <v>0</v>
      </c>
      <c r="Q82" s="314">
        <f t="shared" si="3"/>
        <v>0</v>
      </c>
      <c r="R82" s="6"/>
    </row>
    <row r="83" spans="1:18" x14ac:dyDescent="0.25">
      <c r="A83" s="322">
        <v>26</v>
      </c>
      <c r="B83" s="309" t="s">
        <v>43</v>
      </c>
      <c r="C83" s="310" t="s">
        <v>62</v>
      </c>
      <c r="D83" s="315"/>
      <c r="E83" s="310" t="s">
        <v>74</v>
      </c>
      <c r="F83" s="309" t="s">
        <v>363</v>
      </c>
      <c r="G83" s="309" t="s">
        <v>326</v>
      </c>
      <c r="H83" s="316">
        <v>4</v>
      </c>
      <c r="I83" s="316">
        <v>1</v>
      </c>
      <c r="J83" s="316">
        <v>1</v>
      </c>
      <c r="K83" s="317">
        <v>660.75</v>
      </c>
      <c r="L83" s="312">
        <f>660.75</f>
        <v>660.75</v>
      </c>
      <c r="M83" s="312">
        <f t="shared" si="2"/>
        <v>0</v>
      </c>
      <c r="N83" s="313">
        <v>0</v>
      </c>
      <c r="O83" s="318">
        <v>0</v>
      </c>
      <c r="P83" s="314">
        <v>0</v>
      </c>
      <c r="Q83" s="314">
        <f t="shared" si="3"/>
        <v>0</v>
      </c>
      <c r="R83" s="6"/>
    </row>
    <row r="84" spans="1:18" x14ac:dyDescent="0.25">
      <c r="A84" s="322">
        <v>27</v>
      </c>
      <c r="B84" s="309" t="s">
        <v>364</v>
      </c>
      <c r="C84" s="310" t="s">
        <v>62</v>
      </c>
      <c r="D84" s="315"/>
      <c r="E84" s="310" t="s">
        <v>74</v>
      </c>
      <c r="F84" s="309" t="s">
        <v>365</v>
      </c>
      <c r="G84" s="309" t="s">
        <v>326</v>
      </c>
      <c r="H84" s="316">
        <v>8</v>
      </c>
      <c r="I84" s="316">
        <v>2</v>
      </c>
      <c r="J84" s="316">
        <v>2</v>
      </c>
      <c r="K84" s="317">
        <v>2466.8000000000002</v>
      </c>
      <c r="L84" s="312">
        <v>2466.8000000000002</v>
      </c>
      <c r="M84" s="312">
        <f t="shared" si="2"/>
        <v>0</v>
      </c>
      <c r="N84" s="313">
        <v>3</v>
      </c>
      <c r="O84" s="318">
        <f>3524+2671.06+3497.9</f>
        <v>9692.9599999999991</v>
      </c>
      <c r="P84" s="314">
        <v>3524</v>
      </c>
      <c r="Q84" s="314">
        <f t="shared" si="3"/>
        <v>6168.9599999999991</v>
      </c>
      <c r="R84" s="6"/>
    </row>
    <row r="85" spans="1:18" x14ac:dyDescent="0.25">
      <c r="A85" s="322">
        <v>28</v>
      </c>
      <c r="B85" s="309" t="s">
        <v>46</v>
      </c>
      <c r="C85" s="310" t="s">
        <v>62</v>
      </c>
      <c r="D85" s="315"/>
      <c r="E85" s="310" t="s">
        <v>366</v>
      </c>
      <c r="F85" s="309" t="s">
        <v>367</v>
      </c>
      <c r="G85" s="309" t="s">
        <v>326</v>
      </c>
      <c r="H85" s="316">
        <v>0</v>
      </c>
      <c r="I85" s="316">
        <v>0</v>
      </c>
      <c r="J85" s="316">
        <v>0</v>
      </c>
      <c r="K85" s="317">
        <v>0</v>
      </c>
      <c r="L85" s="312">
        <v>0</v>
      </c>
      <c r="M85" s="312">
        <f t="shared" si="2"/>
        <v>0</v>
      </c>
      <c r="N85" s="313">
        <v>2</v>
      </c>
      <c r="O85" s="318">
        <f>4140.7+528.6</f>
        <v>4669.3</v>
      </c>
      <c r="P85" s="319">
        <f>4140.7+528.6</f>
        <v>4669.3</v>
      </c>
      <c r="Q85" s="314">
        <f t="shared" si="3"/>
        <v>0</v>
      </c>
      <c r="R85" s="6"/>
    </row>
    <row r="86" spans="1:18" x14ac:dyDescent="0.25">
      <c r="A86" s="322">
        <v>29</v>
      </c>
      <c r="B86" s="309" t="s">
        <v>270</v>
      </c>
      <c r="C86" s="310" t="s">
        <v>62</v>
      </c>
      <c r="D86" s="315"/>
      <c r="E86" s="310" t="s">
        <v>74</v>
      </c>
      <c r="F86" s="309" t="s">
        <v>539</v>
      </c>
      <c r="G86" s="309" t="s">
        <v>326</v>
      </c>
      <c r="H86" s="316">
        <v>2</v>
      </c>
      <c r="I86" s="316">
        <v>0</v>
      </c>
      <c r="J86" s="316">
        <v>0</v>
      </c>
      <c r="K86" s="317">
        <v>0</v>
      </c>
      <c r="L86" s="312">
        <v>0</v>
      </c>
      <c r="M86" s="312">
        <f t="shared" si="2"/>
        <v>0</v>
      </c>
      <c r="N86" s="313">
        <v>0</v>
      </c>
      <c r="O86" s="318">
        <v>0</v>
      </c>
      <c r="P86" s="319">
        <v>0</v>
      </c>
      <c r="Q86" s="314">
        <v>0</v>
      </c>
      <c r="R86" s="6"/>
    </row>
    <row r="87" spans="1:18" x14ac:dyDescent="0.25">
      <c r="A87" s="322">
        <v>30</v>
      </c>
      <c r="B87" s="309" t="s">
        <v>621</v>
      </c>
      <c r="C87" s="310" t="s">
        <v>62</v>
      </c>
      <c r="D87" s="315"/>
      <c r="E87" s="310" t="s">
        <v>74</v>
      </c>
      <c r="F87" s="309" t="s">
        <v>622</v>
      </c>
      <c r="G87" s="309" t="s">
        <v>326</v>
      </c>
      <c r="H87" s="316">
        <v>2</v>
      </c>
      <c r="I87" s="316">
        <v>0</v>
      </c>
      <c r="J87" s="316">
        <v>0</v>
      </c>
      <c r="K87" s="317">
        <v>0</v>
      </c>
      <c r="L87" s="312">
        <v>0</v>
      </c>
      <c r="M87" s="312">
        <f t="shared" si="2"/>
        <v>0</v>
      </c>
      <c r="N87" s="313">
        <v>0</v>
      </c>
      <c r="O87" s="318">
        <v>0</v>
      </c>
      <c r="P87" s="319">
        <v>0</v>
      </c>
      <c r="Q87" s="314">
        <v>0</v>
      </c>
      <c r="R87" s="6"/>
    </row>
    <row r="88" spans="1:18" x14ac:dyDescent="0.25">
      <c r="A88" s="322">
        <v>31</v>
      </c>
      <c r="B88" s="309" t="s">
        <v>96</v>
      </c>
      <c r="C88" s="310" t="s">
        <v>62</v>
      </c>
      <c r="D88" s="315"/>
      <c r="E88" s="310" t="s">
        <v>98</v>
      </c>
      <c r="F88" s="309" t="s">
        <v>540</v>
      </c>
      <c r="G88" s="309" t="s">
        <v>326</v>
      </c>
      <c r="H88" s="316">
        <v>1</v>
      </c>
      <c r="I88" s="316">
        <v>0</v>
      </c>
      <c r="J88" s="316">
        <v>0</v>
      </c>
      <c r="K88" s="317">
        <v>0</v>
      </c>
      <c r="L88" s="312">
        <v>0</v>
      </c>
      <c r="M88" s="312">
        <f t="shared" si="2"/>
        <v>0</v>
      </c>
      <c r="N88" s="313">
        <v>1</v>
      </c>
      <c r="O88" s="318">
        <v>0</v>
      </c>
      <c r="P88" s="319">
        <v>0</v>
      </c>
      <c r="Q88" s="314">
        <v>0</v>
      </c>
      <c r="R88" s="6"/>
    </row>
    <row r="89" spans="1:18" x14ac:dyDescent="0.25">
      <c r="A89" s="322">
        <v>32</v>
      </c>
      <c r="B89" s="309" t="s">
        <v>124</v>
      </c>
      <c r="C89" s="310" t="s">
        <v>62</v>
      </c>
      <c r="D89" s="315"/>
      <c r="E89" s="310" t="s">
        <v>74</v>
      </c>
      <c r="F89" s="309" t="s">
        <v>368</v>
      </c>
      <c r="G89" s="309" t="s">
        <v>326</v>
      </c>
      <c r="H89" s="316">
        <v>26</v>
      </c>
      <c r="I89" s="316">
        <v>11</v>
      </c>
      <c r="J89" s="316">
        <v>11</v>
      </c>
      <c r="K89" s="317">
        <f>6343.2+3700.2</f>
        <v>10043.4</v>
      </c>
      <c r="L89" s="312">
        <f>1762+1762+2819.2+3700.2</f>
        <v>10043.4</v>
      </c>
      <c r="M89" s="312">
        <f t="shared" si="2"/>
        <v>0</v>
      </c>
      <c r="N89" s="313">
        <v>8</v>
      </c>
      <c r="O89" s="318">
        <f>3171.6+88+1493.8-704.8+704.8</f>
        <v>4753.3999999999996</v>
      </c>
      <c r="P89" s="314">
        <f>1765.8+1493.8+789+704.8</f>
        <v>4753.3999999999996</v>
      </c>
      <c r="Q89" s="312">
        <f>O89-P89</f>
        <v>0</v>
      </c>
      <c r="R89" s="6"/>
    </row>
    <row r="90" spans="1:18" x14ac:dyDescent="0.25">
      <c r="A90" s="322">
        <v>33</v>
      </c>
      <c r="B90" s="309" t="s">
        <v>51</v>
      </c>
      <c r="C90" s="310" t="s">
        <v>62</v>
      </c>
      <c r="D90" s="315"/>
      <c r="E90" s="310" t="s">
        <v>74</v>
      </c>
      <c r="F90" s="309" t="s">
        <v>369</v>
      </c>
      <c r="G90" s="309" t="s">
        <v>326</v>
      </c>
      <c r="H90" s="316">
        <v>0</v>
      </c>
      <c r="I90" s="316">
        <v>0</v>
      </c>
      <c r="J90" s="316">
        <v>0</v>
      </c>
      <c r="K90" s="317">
        <v>0</v>
      </c>
      <c r="L90" s="312">
        <v>0</v>
      </c>
      <c r="M90" s="312">
        <f t="shared" si="2"/>
        <v>0</v>
      </c>
      <c r="N90" s="313">
        <v>1</v>
      </c>
      <c r="O90" s="318">
        <v>2290.6</v>
      </c>
      <c r="P90" s="314">
        <v>2290.6</v>
      </c>
      <c r="Q90" s="314">
        <f>O90-P90</f>
        <v>0</v>
      </c>
      <c r="R90" s="6"/>
    </row>
    <row r="91" spans="1:18" x14ac:dyDescent="0.25">
      <c r="A91" s="322">
        <v>34</v>
      </c>
      <c r="B91" s="309" t="s">
        <v>286</v>
      </c>
      <c r="C91" s="310" t="s">
        <v>62</v>
      </c>
      <c r="D91" s="315"/>
      <c r="E91" s="310" t="s">
        <v>74</v>
      </c>
      <c r="F91" s="309" t="s">
        <v>476</v>
      </c>
      <c r="G91" s="309" t="s">
        <v>326</v>
      </c>
      <c r="H91" s="316">
        <v>8</v>
      </c>
      <c r="I91" s="316">
        <v>4</v>
      </c>
      <c r="J91" s="316">
        <v>4</v>
      </c>
      <c r="K91" s="317">
        <f>1233.4+1409.6</f>
        <v>2643</v>
      </c>
      <c r="L91" s="312">
        <f>1233.4+1409.6</f>
        <v>2643</v>
      </c>
      <c r="M91" s="312">
        <f t="shared" si="2"/>
        <v>0</v>
      </c>
      <c r="N91" s="313">
        <v>0</v>
      </c>
      <c r="O91" s="318">
        <v>0</v>
      </c>
      <c r="P91" s="314">
        <v>0</v>
      </c>
      <c r="Q91" s="314">
        <v>0</v>
      </c>
      <c r="R91" s="6"/>
    </row>
    <row r="92" spans="1:18" x14ac:dyDescent="0.25">
      <c r="A92" s="322">
        <v>35</v>
      </c>
      <c r="B92" s="309" t="s">
        <v>290</v>
      </c>
      <c r="C92" s="310" t="s">
        <v>62</v>
      </c>
      <c r="D92" s="315"/>
      <c r="E92" s="310" t="s">
        <v>371</v>
      </c>
      <c r="F92" s="309" t="s">
        <v>372</v>
      </c>
      <c r="G92" s="309" t="s">
        <v>326</v>
      </c>
      <c r="H92" s="316">
        <v>9</v>
      </c>
      <c r="I92" s="316">
        <v>3</v>
      </c>
      <c r="J92" s="316">
        <v>3</v>
      </c>
      <c r="K92" s="317">
        <f>1409.6+704.8</f>
        <v>2114.3999999999996</v>
      </c>
      <c r="L92" s="312">
        <f>1409.6+704.8</f>
        <v>2114.3999999999996</v>
      </c>
      <c r="M92" s="312">
        <f t="shared" si="2"/>
        <v>0</v>
      </c>
      <c r="N92" s="313">
        <v>0</v>
      </c>
      <c r="O92" s="318">
        <v>0</v>
      </c>
      <c r="P92" s="319">
        <v>0</v>
      </c>
      <c r="Q92" s="314">
        <f>O92-P92</f>
        <v>0</v>
      </c>
      <c r="R92" s="6"/>
    </row>
    <row r="93" spans="1:18" x14ac:dyDescent="0.25">
      <c r="A93" s="322">
        <v>36</v>
      </c>
      <c r="B93" s="309" t="s">
        <v>134</v>
      </c>
      <c r="C93" s="310" t="s">
        <v>62</v>
      </c>
      <c r="D93" s="315"/>
      <c r="E93" s="310" t="s">
        <v>74</v>
      </c>
      <c r="F93" s="309" t="s">
        <v>373</v>
      </c>
      <c r="G93" s="309" t="s">
        <v>326</v>
      </c>
      <c r="H93" s="316">
        <v>3</v>
      </c>
      <c r="I93" s="316">
        <v>1</v>
      </c>
      <c r="J93" s="316">
        <v>1</v>
      </c>
      <c r="K93" s="317">
        <f>1938.2</f>
        <v>1938.2</v>
      </c>
      <c r="L93" s="312">
        <v>1938.2</v>
      </c>
      <c r="M93" s="312">
        <f t="shared" si="2"/>
        <v>0</v>
      </c>
      <c r="N93" s="313">
        <v>2</v>
      </c>
      <c r="O93" s="318">
        <v>2643</v>
      </c>
      <c r="P93" s="314">
        <f>881+1762</f>
        <v>2643</v>
      </c>
      <c r="Q93" s="314">
        <f>O93-P93</f>
        <v>0</v>
      </c>
      <c r="R93" s="6"/>
    </row>
    <row r="94" spans="1:18" x14ac:dyDescent="0.25">
      <c r="A94" s="322">
        <v>37</v>
      </c>
      <c r="B94" s="309" t="s">
        <v>135</v>
      </c>
      <c r="C94" s="310" t="s">
        <v>62</v>
      </c>
      <c r="D94" s="315"/>
      <c r="E94" s="310" t="s">
        <v>74</v>
      </c>
      <c r="F94" s="309" t="s">
        <v>374</v>
      </c>
      <c r="G94" s="309" t="s">
        <v>326</v>
      </c>
      <c r="H94" s="316">
        <v>19</v>
      </c>
      <c r="I94" s="316">
        <v>4</v>
      </c>
      <c r="J94" s="316">
        <v>4</v>
      </c>
      <c r="K94" s="317">
        <f>5109.8+881</f>
        <v>5990.8</v>
      </c>
      <c r="L94" s="312">
        <f>2290.6+2819.2+881</f>
        <v>5990.7999999999993</v>
      </c>
      <c r="M94" s="312">
        <f t="shared" si="2"/>
        <v>0</v>
      </c>
      <c r="N94" s="313">
        <v>38</v>
      </c>
      <c r="O94" s="318">
        <f>15109.16+9717+2845.2+3774.05</f>
        <v>31445.41</v>
      </c>
      <c r="P94" s="314">
        <f>14228.16+881+9717+2845.2</f>
        <v>27671.360000000001</v>
      </c>
      <c r="Q94" s="312">
        <f>O94-P94</f>
        <v>3774.0499999999993</v>
      </c>
      <c r="R94" s="6"/>
    </row>
    <row r="95" spans="1:18" ht="25.5" x14ac:dyDescent="0.25">
      <c r="A95" s="323">
        <v>38</v>
      </c>
      <c r="B95" s="309" t="s">
        <v>508</v>
      </c>
      <c r="C95" s="310" t="s">
        <v>64</v>
      </c>
      <c r="D95" s="308" t="s">
        <v>509</v>
      </c>
      <c r="E95" s="310" t="s">
        <v>74</v>
      </c>
      <c r="F95" s="309" t="s">
        <v>510</v>
      </c>
      <c r="G95" s="309" t="s">
        <v>326</v>
      </c>
      <c r="H95" s="316">
        <v>3</v>
      </c>
      <c r="I95" s="316">
        <v>1</v>
      </c>
      <c r="J95" s="316">
        <v>1</v>
      </c>
      <c r="K95" s="317">
        <v>0</v>
      </c>
      <c r="L95" s="312">
        <v>0</v>
      </c>
      <c r="M95" s="312">
        <v>0</v>
      </c>
      <c r="N95" s="313">
        <v>0</v>
      </c>
      <c r="O95" s="312">
        <v>0</v>
      </c>
      <c r="P95" s="314">
        <v>0</v>
      </c>
      <c r="Q95" s="314">
        <v>0</v>
      </c>
      <c r="R95" s="6"/>
    </row>
    <row r="96" spans="1:18" x14ac:dyDescent="0.25">
      <c r="A96" s="322">
        <v>39</v>
      </c>
      <c r="B96" s="309" t="s">
        <v>299</v>
      </c>
      <c r="C96" s="310" t="s">
        <v>62</v>
      </c>
      <c r="D96" s="315"/>
      <c r="E96" s="310" t="s">
        <v>158</v>
      </c>
      <c r="F96" s="309" t="s">
        <v>375</v>
      </c>
      <c r="G96" s="309" t="s">
        <v>326</v>
      </c>
      <c r="H96" s="316">
        <v>3</v>
      </c>
      <c r="I96" s="316">
        <v>1</v>
      </c>
      <c r="J96" s="316">
        <v>1</v>
      </c>
      <c r="K96" s="317">
        <f>704.8</f>
        <v>704.8</v>
      </c>
      <c r="L96" s="312">
        <f>704.8</f>
        <v>704.8</v>
      </c>
      <c r="M96" s="312">
        <f t="shared" ref="M96:M102" si="4">K96-L96</f>
        <v>0</v>
      </c>
      <c r="N96" s="313">
        <v>0</v>
      </c>
      <c r="O96" s="318">
        <v>0</v>
      </c>
      <c r="P96" s="314">
        <v>0</v>
      </c>
      <c r="Q96" s="314">
        <f t="shared" ref="Q96:Q102" si="5">O96-P96</f>
        <v>0</v>
      </c>
      <c r="R96" s="6"/>
    </row>
    <row r="97" spans="1:18" x14ac:dyDescent="0.25">
      <c r="A97" s="322">
        <v>40</v>
      </c>
      <c r="B97" s="309" t="s">
        <v>376</v>
      </c>
      <c r="C97" s="310" t="s">
        <v>62</v>
      </c>
      <c r="D97" s="315"/>
      <c r="E97" s="310" t="s">
        <v>74</v>
      </c>
      <c r="F97" s="309" t="s">
        <v>377</v>
      </c>
      <c r="G97" s="309" t="s">
        <v>326</v>
      </c>
      <c r="H97" s="316">
        <v>4</v>
      </c>
      <c r="I97" s="316">
        <v>3</v>
      </c>
      <c r="J97" s="316">
        <v>3</v>
      </c>
      <c r="K97" s="317">
        <f>1409.6+2643</f>
        <v>4052.6</v>
      </c>
      <c r="L97" s="312">
        <f>1409.6+2339.82+303.18</f>
        <v>4052.6</v>
      </c>
      <c r="M97" s="312">
        <f t="shared" si="4"/>
        <v>0</v>
      </c>
      <c r="N97" s="313">
        <v>0</v>
      </c>
      <c r="O97" s="318">
        <v>0</v>
      </c>
      <c r="P97" s="314">
        <v>0</v>
      </c>
      <c r="Q97" s="314">
        <f t="shared" si="5"/>
        <v>0</v>
      </c>
      <c r="R97" s="6"/>
    </row>
    <row r="98" spans="1:18" x14ac:dyDescent="0.25">
      <c r="A98" s="322">
        <v>41</v>
      </c>
      <c r="B98" s="309" t="s">
        <v>129</v>
      </c>
      <c r="C98" s="310" t="s">
        <v>62</v>
      </c>
      <c r="D98" s="315"/>
      <c r="E98" s="310" t="s">
        <v>74</v>
      </c>
      <c r="F98" s="309" t="s">
        <v>378</v>
      </c>
      <c r="G98" s="309" t="s">
        <v>326</v>
      </c>
      <c r="H98" s="316">
        <v>41</v>
      </c>
      <c r="I98" s="316">
        <v>17</v>
      </c>
      <c r="J98" s="316">
        <v>17</v>
      </c>
      <c r="K98" s="317">
        <f>7355.96+1306.55+4415.93+5710.35+1310.55</f>
        <v>20099.34</v>
      </c>
      <c r="L98" s="312">
        <f>3615.96+5046.55+4415.93+2821.97+2888.38</f>
        <v>18788.79</v>
      </c>
      <c r="M98" s="312">
        <f t="shared" si="4"/>
        <v>1310.5499999999993</v>
      </c>
      <c r="N98" s="313">
        <v>29</v>
      </c>
      <c r="O98" s="318">
        <f>28417.04+2923.96+3402.23+528.6+3259.4+1369.4+10104.55</f>
        <v>50005.180000000008</v>
      </c>
      <c r="P98" s="319">
        <f>22002.43+5101.53+1313.08+2923.96+3402.23+528.6+3259.4</f>
        <v>38531.230000000003</v>
      </c>
      <c r="Q98" s="314">
        <f t="shared" si="5"/>
        <v>11473.950000000004</v>
      </c>
      <c r="R98" s="6"/>
    </row>
    <row r="99" spans="1:18" x14ac:dyDescent="0.25">
      <c r="A99" s="322">
        <v>42</v>
      </c>
      <c r="B99" s="309" t="s">
        <v>379</v>
      </c>
      <c r="C99" s="310" t="s">
        <v>62</v>
      </c>
      <c r="D99" s="315"/>
      <c r="E99" s="310" t="s">
        <v>158</v>
      </c>
      <c r="F99" s="309" t="s">
        <v>380</v>
      </c>
      <c r="G99" s="309" t="s">
        <v>326</v>
      </c>
      <c r="H99" s="316">
        <v>3</v>
      </c>
      <c r="I99" s="316">
        <v>1</v>
      </c>
      <c r="J99" s="316">
        <v>1</v>
      </c>
      <c r="K99" s="317">
        <v>704.8</v>
      </c>
      <c r="L99" s="312">
        <f>704.8</f>
        <v>704.8</v>
      </c>
      <c r="M99" s="312">
        <f t="shared" si="4"/>
        <v>0</v>
      </c>
      <c r="N99" s="313">
        <v>0</v>
      </c>
      <c r="O99" s="318">
        <v>0</v>
      </c>
      <c r="P99" s="314">
        <v>0</v>
      </c>
      <c r="Q99" s="314">
        <f t="shared" si="5"/>
        <v>0</v>
      </c>
      <c r="R99" s="6"/>
    </row>
    <row r="100" spans="1:18" x14ac:dyDescent="0.25">
      <c r="A100" s="322">
        <v>43</v>
      </c>
      <c r="B100" s="309" t="s">
        <v>130</v>
      </c>
      <c r="C100" s="310" t="s">
        <v>62</v>
      </c>
      <c r="D100" s="315"/>
      <c r="E100" s="310" t="s">
        <v>74</v>
      </c>
      <c r="F100" s="309" t="s">
        <v>557</v>
      </c>
      <c r="G100" s="309" t="s">
        <v>326</v>
      </c>
      <c r="H100" s="316">
        <v>1</v>
      </c>
      <c r="I100" s="316">
        <v>0</v>
      </c>
      <c r="J100" s="316">
        <v>0</v>
      </c>
      <c r="K100" s="317">
        <v>0</v>
      </c>
      <c r="L100" s="312">
        <v>0</v>
      </c>
      <c r="M100" s="312">
        <f t="shared" si="4"/>
        <v>0</v>
      </c>
      <c r="N100" s="313">
        <v>2</v>
      </c>
      <c r="O100" s="318">
        <f>3700.2</f>
        <v>3700.2</v>
      </c>
      <c r="P100" s="314">
        <f>3700.2</f>
        <v>3700.2</v>
      </c>
      <c r="Q100" s="314">
        <f t="shared" si="5"/>
        <v>0</v>
      </c>
      <c r="R100" s="6"/>
    </row>
    <row r="101" spans="1:18" x14ac:dyDescent="0.25">
      <c r="A101" s="322">
        <v>44</v>
      </c>
      <c r="B101" s="309" t="s">
        <v>382</v>
      </c>
      <c r="C101" s="310" t="s">
        <v>62</v>
      </c>
      <c r="D101" s="315"/>
      <c r="E101" s="310" t="s">
        <v>383</v>
      </c>
      <c r="F101" s="309" t="s">
        <v>384</v>
      </c>
      <c r="G101" s="309" t="s">
        <v>326</v>
      </c>
      <c r="H101" s="316">
        <v>1</v>
      </c>
      <c r="I101" s="316">
        <v>1</v>
      </c>
      <c r="J101" s="316">
        <v>1</v>
      </c>
      <c r="K101" s="317">
        <v>704.8</v>
      </c>
      <c r="L101" s="312">
        <f>187.75+517.05</f>
        <v>704.8</v>
      </c>
      <c r="M101" s="312">
        <f t="shared" si="4"/>
        <v>0</v>
      </c>
      <c r="N101" s="313">
        <v>0</v>
      </c>
      <c r="O101" s="318">
        <v>0</v>
      </c>
      <c r="P101" s="314">
        <v>0</v>
      </c>
      <c r="Q101" s="314">
        <f t="shared" si="5"/>
        <v>0</v>
      </c>
      <c r="R101" s="6"/>
    </row>
    <row r="102" spans="1:18" x14ac:dyDescent="0.25">
      <c r="A102" s="322">
        <v>45</v>
      </c>
      <c r="B102" s="309" t="s">
        <v>385</v>
      </c>
      <c r="C102" s="310" t="s">
        <v>62</v>
      </c>
      <c r="D102" s="315"/>
      <c r="E102" s="315" t="s">
        <v>145</v>
      </c>
      <c r="F102" s="309" t="s">
        <v>386</v>
      </c>
      <c r="G102" s="309" t="s">
        <v>326</v>
      </c>
      <c r="H102" s="316">
        <v>12</v>
      </c>
      <c r="I102" s="316">
        <v>5</v>
      </c>
      <c r="J102" s="316">
        <v>5</v>
      </c>
      <c r="K102" s="317">
        <f>1762+2422.75</f>
        <v>4184.75</v>
      </c>
      <c r="L102" s="312">
        <f>1057.2+704.8+2422.75</f>
        <v>4184.75</v>
      </c>
      <c r="M102" s="312">
        <f t="shared" si="4"/>
        <v>0</v>
      </c>
      <c r="N102" s="313">
        <v>18</v>
      </c>
      <c r="O102" s="318">
        <v>9602.9</v>
      </c>
      <c r="P102" s="319">
        <f>9074.3+528.6</f>
        <v>9602.9</v>
      </c>
      <c r="Q102" s="314">
        <f t="shared" si="5"/>
        <v>0</v>
      </c>
      <c r="R102" s="6"/>
    </row>
    <row r="103" spans="1:18" x14ac:dyDescent="0.25">
      <c r="A103" s="322">
        <v>46</v>
      </c>
      <c r="B103" s="309" t="s">
        <v>150</v>
      </c>
      <c r="C103" s="310" t="s">
        <v>62</v>
      </c>
      <c r="D103" s="315"/>
      <c r="E103" s="310" t="s">
        <v>74</v>
      </c>
      <c r="F103" s="309" t="s">
        <v>370</v>
      </c>
      <c r="G103" s="309" t="s">
        <v>326</v>
      </c>
      <c r="H103" s="316">
        <v>0</v>
      </c>
      <c r="I103" s="316">
        <v>0</v>
      </c>
      <c r="J103" s="316">
        <v>0</v>
      </c>
      <c r="K103" s="317">
        <v>0</v>
      </c>
      <c r="L103" s="312">
        <v>0</v>
      </c>
      <c r="M103" s="312">
        <v>0</v>
      </c>
      <c r="N103" s="313">
        <v>0</v>
      </c>
      <c r="O103" s="318">
        <v>0</v>
      </c>
      <c r="P103" s="319">
        <v>0</v>
      </c>
      <c r="Q103" s="314">
        <v>0</v>
      </c>
      <c r="R103" s="6"/>
    </row>
    <row r="104" spans="1:18" x14ac:dyDescent="0.25">
      <c r="A104" s="322">
        <v>47</v>
      </c>
      <c r="B104" s="309" t="s">
        <v>387</v>
      </c>
      <c r="C104" s="310" t="s">
        <v>62</v>
      </c>
      <c r="D104" s="315"/>
      <c r="E104" s="310" t="s">
        <v>157</v>
      </c>
      <c r="F104" s="309" t="s">
        <v>388</v>
      </c>
      <c r="G104" s="309" t="s">
        <v>326</v>
      </c>
      <c r="H104" s="316">
        <v>0</v>
      </c>
      <c r="I104" s="316">
        <v>0</v>
      </c>
      <c r="J104" s="316">
        <v>0</v>
      </c>
      <c r="K104" s="325">
        <v>0</v>
      </c>
      <c r="L104" s="312">
        <v>0</v>
      </c>
      <c r="M104" s="312">
        <f>K104-L104</f>
        <v>0</v>
      </c>
      <c r="N104" s="313">
        <v>0</v>
      </c>
      <c r="O104" s="318">
        <v>0</v>
      </c>
      <c r="P104" s="314">
        <v>0</v>
      </c>
      <c r="Q104" s="314">
        <f>O104-P104</f>
        <v>0</v>
      </c>
      <c r="R104" s="6"/>
    </row>
    <row r="105" spans="1:18" x14ac:dyDescent="0.25">
      <c r="A105" s="322">
        <v>48</v>
      </c>
      <c r="B105" s="309" t="s">
        <v>54</v>
      </c>
      <c r="C105" s="310" t="s">
        <v>62</v>
      </c>
      <c r="D105" s="315"/>
      <c r="E105" s="310" t="s">
        <v>338</v>
      </c>
      <c r="F105" s="309" t="s">
        <v>391</v>
      </c>
      <c r="G105" s="309" t="s">
        <v>326</v>
      </c>
      <c r="H105" s="316">
        <v>0</v>
      </c>
      <c r="I105" s="316">
        <v>0</v>
      </c>
      <c r="J105" s="315">
        <v>0</v>
      </c>
      <c r="K105" s="325">
        <v>0</v>
      </c>
      <c r="L105" s="312">
        <v>0</v>
      </c>
      <c r="M105" s="312">
        <f>K105-L105</f>
        <v>0</v>
      </c>
      <c r="N105" s="313">
        <v>0</v>
      </c>
      <c r="O105" s="318">
        <v>0</v>
      </c>
      <c r="P105" s="319">
        <v>0</v>
      </c>
      <c r="Q105" s="314">
        <f>O105-P105</f>
        <v>0</v>
      </c>
      <c r="R105" s="6"/>
    </row>
    <row r="106" spans="1:18" ht="39" x14ac:dyDescent="0.25">
      <c r="A106" s="323">
        <v>49</v>
      </c>
      <c r="B106" s="309" t="s">
        <v>131</v>
      </c>
      <c r="C106" s="310" t="s">
        <v>64</v>
      </c>
      <c r="D106" s="326" t="s">
        <v>392</v>
      </c>
      <c r="E106" s="310" t="s">
        <v>158</v>
      </c>
      <c r="F106" s="311" t="s">
        <v>393</v>
      </c>
      <c r="G106" s="309" t="s">
        <v>326</v>
      </c>
      <c r="H106" s="316">
        <v>0</v>
      </c>
      <c r="I106" s="316">
        <v>0</v>
      </c>
      <c r="J106" s="321">
        <v>0</v>
      </c>
      <c r="K106" s="327">
        <v>0</v>
      </c>
      <c r="L106" s="314">
        <v>0</v>
      </c>
      <c r="M106" s="314">
        <f>K106-L106</f>
        <v>0</v>
      </c>
      <c r="N106" s="311">
        <v>0</v>
      </c>
      <c r="O106" s="314">
        <v>0</v>
      </c>
      <c r="P106" s="314">
        <v>0</v>
      </c>
      <c r="Q106" s="314">
        <f>O106-P106</f>
        <v>0</v>
      </c>
      <c r="R106" s="6"/>
    </row>
    <row r="107" spans="1:18" x14ac:dyDescent="0.25">
      <c r="A107" s="235">
        <v>1</v>
      </c>
      <c r="B107" s="243" t="s">
        <v>47</v>
      </c>
      <c r="C107" s="243" t="s">
        <v>62</v>
      </c>
      <c r="D107" s="235"/>
      <c r="E107" s="245" t="s">
        <v>141</v>
      </c>
      <c r="F107" s="236" t="s">
        <v>448</v>
      </c>
      <c r="G107" s="245" t="s">
        <v>142</v>
      </c>
      <c r="H107" s="238">
        <v>7</v>
      </c>
      <c r="I107" s="238">
        <v>1</v>
      </c>
      <c r="J107" s="238">
        <v>1</v>
      </c>
      <c r="K107" s="241">
        <v>1233.4000000000001</v>
      </c>
      <c r="L107" s="241">
        <v>1233.4000000000001</v>
      </c>
      <c r="M107" s="241">
        <v>0</v>
      </c>
      <c r="N107" s="238">
        <v>25</v>
      </c>
      <c r="O107" s="328">
        <v>28051.279999999999</v>
      </c>
      <c r="P107" s="241">
        <v>28051.279999999999</v>
      </c>
      <c r="Q107" s="241">
        <v>0</v>
      </c>
      <c r="R107" s="6"/>
    </row>
    <row r="108" spans="1:18" x14ac:dyDescent="0.25">
      <c r="A108" s="235">
        <f>A107+1</f>
        <v>2</v>
      </c>
      <c r="B108" s="243" t="s">
        <v>55</v>
      </c>
      <c r="C108" s="243" t="s">
        <v>62</v>
      </c>
      <c r="D108" s="235"/>
      <c r="E108" s="245" t="s">
        <v>141</v>
      </c>
      <c r="F108" s="236" t="s">
        <v>449</v>
      </c>
      <c r="G108" s="245" t="s">
        <v>142</v>
      </c>
      <c r="H108" s="238">
        <v>8</v>
      </c>
      <c r="I108" s="238">
        <v>3</v>
      </c>
      <c r="J108" s="238">
        <v>3</v>
      </c>
      <c r="K108" s="241">
        <v>2995.4</v>
      </c>
      <c r="L108" s="241">
        <v>2995.4</v>
      </c>
      <c r="M108" s="241">
        <v>0</v>
      </c>
      <c r="N108" s="238">
        <v>13</v>
      </c>
      <c r="O108" s="328">
        <v>26355.3</v>
      </c>
      <c r="P108" s="241">
        <v>26355.3</v>
      </c>
      <c r="Q108" s="241">
        <v>0</v>
      </c>
      <c r="R108" s="6"/>
    </row>
    <row r="109" spans="1:18" x14ac:dyDescent="0.25">
      <c r="A109" s="235">
        <f>A108+1</f>
        <v>3</v>
      </c>
      <c r="B109" s="243" t="s">
        <v>122</v>
      </c>
      <c r="C109" s="243" t="s">
        <v>62</v>
      </c>
      <c r="D109" s="235"/>
      <c r="E109" s="245" t="s">
        <v>143</v>
      </c>
      <c r="F109" s="236" t="s">
        <v>450</v>
      </c>
      <c r="G109" s="245" t="s">
        <v>142</v>
      </c>
      <c r="H109" s="329">
        <v>5</v>
      </c>
      <c r="I109" s="329">
        <v>1</v>
      </c>
      <c r="J109" s="329">
        <v>1</v>
      </c>
      <c r="K109" s="330">
        <v>1012.55</v>
      </c>
      <c r="L109" s="330">
        <v>0</v>
      </c>
      <c r="M109" s="330">
        <v>0</v>
      </c>
      <c r="N109" s="329">
        <v>4</v>
      </c>
      <c r="O109" s="330">
        <v>8841.5400000000009</v>
      </c>
      <c r="P109" s="330">
        <v>8841.5400000000009</v>
      </c>
      <c r="Q109" s="330">
        <v>0</v>
      </c>
      <c r="R109" s="6"/>
    </row>
    <row r="110" spans="1:18" x14ac:dyDescent="0.25">
      <c r="A110" s="235">
        <f>A109+1</f>
        <v>4</v>
      </c>
      <c r="B110" s="243" t="s">
        <v>144</v>
      </c>
      <c r="C110" s="243" t="s">
        <v>62</v>
      </c>
      <c r="D110" s="235"/>
      <c r="E110" s="245" t="s">
        <v>141</v>
      </c>
      <c r="F110" s="236" t="s">
        <v>451</v>
      </c>
      <c r="G110" s="245" t="s">
        <v>142</v>
      </c>
      <c r="H110" s="329">
        <v>7</v>
      </c>
      <c r="I110" s="329">
        <v>7</v>
      </c>
      <c r="J110" s="329">
        <v>7</v>
      </c>
      <c r="K110" s="330">
        <v>8121.62</v>
      </c>
      <c r="L110" s="330">
        <v>7636.72</v>
      </c>
      <c r="M110" s="330">
        <v>484.9</v>
      </c>
      <c r="N110" s="329">
        <v>3</v>
      </c>
      <c r="O110" s="330">
        <v>3595.1</v>
      </c>
      <c r="P110" s="330">
        <v>1938.2</v>
      </c>
      <c r="Q110" s="330">
        <v>0</v>
      </c>
      <c r="R110" s="6"/>
    </row>
    <row r="111" spans="1:18" ht="26.25" x14ac:dyDescent="0.25">
      <c r="A111" s="331">
        <f>A110+1</f>
        <v>5</v>
      </c>
      <c r="B111" s="332" t="s">
        <v>46</v>
      </c>
      <c r="C111" s="332" t="s">
        <v>62</v>
      </c>
      <c r="D111" s="331"/>
      <c r="E111" s="333" t="s">
        <v>452</v>
      </c>
      <c r="F111" s="334" t="s">
        <v>453</v>
      </c>
      <c r="G111" s="333" t="s">
        <v>142</v>
      </c>
      <c r="H111" s="329">
        <v>0</v>
      </c>
      <c r="I111" s="329">
        <v>0</v>
      </c>
      <c r="J111" s="329">
        <v>0</v>
      </c>
      <c r="K111" s="330">
        <v>0</v>
      </c>
      <c r="L111" s="330">
        <v>0</v>
      </c>
      <c r="M111" s="330">
        <v>0</v>
      </c>
      <c r="N111" s="329">
        <v>0</v>
      </c>
      <c r="O111" s="330">
        <v>0</v>
      </c>
      <c r="P111" s="330">
        <v>0</v>
      </c>
      <c r="Q111" s="330">
        <v>0</v>
      </c>
      <c r="R111" s="6"/>
    </row>
    <row r="112" spans="1:18" x14ac:dyDescent="0.25">
      <c r="A112" s="334">
        <v>6</v>
      </c>
      <c r="B112" s="333" t="s">
        <v>133</v>
      </c>
      <c r="C112" s="333" t="s">
        <v>67</v>
      </c>
      <c r="D112" s="333" t="s">
        <v>397</v>
      </c>
      <c r="E112" s="333" t="s">
        <v>74</v>
      </c>
      <c r="F112" s="334" t="s">
        <v>593</v>
      </c>
      <c r="G112" s="333" t="s">
        <v>142</v>
      </c>
      <c r="H112" s="329">
        <v>0</v>
      </c>
      <c r="I112" s="335">
        <v>0</v>
      </c>
      <c r="J112" s="335">
        <v>0</v>
      </c>
      <c r="K112" s="336">
        <v>0</v>
      </c>
      <c r="L112" s="336">
        <v>0</v>
      </c>
      <c r="M112" s="336">
        <v>0</v>
      </c>
      <c r="N112" s="329">
        <v>0</v>
      </c>
      <c r="O112" s="330">
        <v>0</v>
      </c>
      <c r="P112" s="330">
        <v>0</v>
      </c>
      <c r="Q112" s="330">
        <v>0</v>
      </c>
      <c r="R112" s="6"/>
    </row>
    <row r="113" spans="1:18" x14ac:dyDescent="0.25">
      <c r="A113" s="334">
        <v>7</v>
      </c>
      <c r="B113" s="333" t="s">
        <v>176</v>
      </c>
      <c r="C113" s="333" t="s">
        <v>62</v>
      </c>
      <c r="D113" s="334"/>
      <c r="E113" s="333" t="s">
        <v>141</v>
      </c>
      <c r="F113" s="334" t="s">
        <v>455</v>
      </c>
      <c r="G113" s="333" t="s">
        <v>142</v>
      </c>
      <c r="H113" s="329">
        <v>12</v>
      </c>
      <c r="I113" s="329">
        <v>7</v>
      </c>
      <c r="J113" s="329">
        <v>7</v>
      </c>
      <c r="K113" s="330">
        <v>8598.56</v>
      </c>
      <c r="L113" s="330">
        <v>8598.56</v>
      </c>
      <c r="M113" s="330">
        <v>0</v>
      </c>
      <c r="N113" s="329">
        <v>0</v>
      </c>
      <c r="O113" s="330">
        <v>0</v>
      </c>
      <c r="P113" s="330">
        <v>0</v>
      </c>
      <c r="Q113" s="330">
        <v>0</v>
      </c>
      <c r="R113" s="6"/>
    </row>
    <row r="114" spans="1:18" x14ac:dyDescent="0.25">
      <c r="A114" s="334">
        <v>8</v>
      </c>
      <c r="B114" s="333" t="s">
        <v>235</v>
      </c>
      <c r="C114" s="333" t="s">
        <v>62</v>
      </c>
      <c r="D114" s="334"/>
      <c r="E114" s="333" t="s">
        <v>456</v>
      </c>
      <c r="F114" s="334" t="s">
        <v>457</v>
      </c>
      <c r="G114" s="333" t="s">
        <v>142</v>
      </c>
      <c r="H114" s="335">
        <v>3</v>
      </c>
      <c r="I114" s="335">
        <v>3</v>
      </c>
      <c r="J114" s="335">
        <v>3</v>
      </c>
      <c r="K114" s="336">
        <v>2269.65</v>
      </c>
      <c r="L114" s="336">
        <v>0</v>
      </c>
      <c r="M114" s="336">
        <v>2269.65</v>
      </c>
      <c r="N114" s="329">
        <v>0</v>
      </c>
      <c r="O114" s="330">
        <v>0</v>
      </c>
      <c r="P114" s="330">
        <v>0</v>
      </c>
      <c r="Q114" s="330">
        <v>0</v>
      </c>
      <c r="R114" s="6"/>
    </row>
    <row r="115" spans="1:18" x14ac:dyDescent="0.25">
      <c r="A115" s="334">
        <v>9</v>
      </c>
      <c r="B115" s="333" t="s">
        <v>251</v>
      </c>
      <c r="C115" s="333" t="s">
        <v>62</v>
      </c>
      <c r="D115" s="334"/>
      <c r="E115" s="333" t="s">
        <v>141</v>
      </c>
      <c r="F115" s="334" t="s">
        <v>458</v>
      </c>
      <c r="G115" s="333" t="s">
        <v>142</v>
      </c>
      <c r="H115" s="329">
        <v>5</v>
      </c>
      <c r="I115" s="329">
        <v>2</v>
      </c>
      <c r="J115" s="329">
        <v>2</v>
      </c>
      <c r="K115" s="330">
        <v>1409.6</v>
      </c>
      <c r="L115" s="330">
        <v>1409.6</v>
      </c>
      <c r="M115" s="330">
        <v>0</v>
      </c>
      <c r="N115" s="329">
        <v>0</v>
      </c>
      <c r="O115" s="330">
        <v>0</v>
      </c>
      <c r="P115" s="330">
        <v>0</v>
      </c>
      <c r="Q115" s="330">
        <v>0</v>
      </c>
      <c r="R115" s="6"/>
    </row>
    <row r="116" spans="1:18" x14ac:dyDescent="0.25">
      <c r="A116" s="334">
        <v>10</v>
      </c>
      <c r="B116" s="333" t="s">
        <v>30</v>
      </c>
      <c r="C116" s="333" t="s">
        <v>62</v>
      </c>
      <c r="D116" s="334"/>
      <c r="E116" s="333" t="s">
        <v>459</v>
      </c>
      <c r="F116" s="334" t="s">
        <v>460</v>
      </c>
      <c r="G116" s="333" t="s">
        <v>142</v>
      </c>
      <c r="H116" s="329">
        <v>1</v>
      </c>
      <c r="I116" s="329">
        <v>0</v>
      </c>
      <c r="J116" s="329">
        <v>0</v>
      </c>
      <c r="K116" s="330">
        <v>0</v>
      </c>
      <c r="L116" s="330">
        <v>0</v>
      </c>
      <c r="M116" s="330">
        <v>0</v>
      </c>
      <c r="N116" s="329">
        <v>0</v>
      </c>
      <c r="O116" s="330">
        <v>0</v>
      </c>
      <c r="P116" s="330">
        <v>0</v>
      </c>
      <c r="Q116" s="330">
        <v>0</v>
      </c>
      <c r="R116" s="6"/>
    </row>
    <row r="117" spans="1:18" x14ac:dyDescent="0.25">
      <c r="A117" s="334">
        <v>11</v>
      </c>
      <c r="B117" s="333" t="s">
        <v>35</v>
      </c>
      <c r="C117" s="333" t="s">
        <v>62</v>
      </c>
      <c r="D117" s="334"/>
      <c r="E117" s="333" t="s">
        <v>461</v>
      </c>
      <c r="F117" s="334" t="s">
        <v>462</v>
      </c>
      <c r="G117" s="333" t="s">
        <v>142</v>
      </c>
      <c r="H117" s="329">
        <v>1</v>
      </c>
      <c r="I117" s="329">
        <v>0</v>
      </c>
      <c r="J117" s="329">
        <v>0</v>
      </c>
      <c r="K117" s="330">
        <v>0</v>
      </c>
      <c r="L117" s="330">
        <v>0</v>
      </c>
      <c r="M117" s="330">
        <v>0</v>
      </c>
      <c r="N117" s="329">
        <v>0</v>
      </c>
      <c r="O117" s="330">
        <v>0</v>
      </c>
      <c r="P117" s="330">
        <v>0</v>
      </c>
      <c r="Q117" s="330">
        <v>0</v>
      </c>
      <c r="R117" s="6"/>
    </row>
    <row r="118" spans="1:18" ht="25.5" x14ac:dyDescent="0.25">
      <c r="A118" s="63">
        <v>1</v>
      </c>
      <c r="B118" s="100" t="s">
        <v>21</v>
      </c>
      <c r="C118" s="100" t="s">
        <v>62</v>
      </c>
      <c r="D118" s="100"/>
      <c r="E118" s="100" t="s">
        <v>157</v>
      </c>
      <c r="F118" s="100" t="s">
        <v>523</v>
      </c>
      <c r="G118" s="100" t="s">
        <v>524</v>
      </c>
      <c r="H118" s="234">
        <v>1</v>
      </c>
      <c r="I118" s="234">
        <v>0</v>
      </c>
      <c r="J118" s="234">
        <v>0</v>
      </c>
      <c r="K118" s="215">
        <v>0</v>
      </c>
      <c r="L118" s="215">
        <v>0</v>
      </c>
      <c r="M118" s="215">
        <v>0</v>
      </c>
      <c r="N118" s="234">
        <v>1</v>
      </c>
      <c r="O118" s="215">
        <v>1233.4000000000001</v>
      </c>
      <c r="P118" s="215">
        <v>1233.4000000000001</v>
      </c>
      <c r="Q118" s="215">
        <v>0</v>
      </c>
      <c r="R118" s="6"/>
    </row>
    <row r="119" spans="1:18" ht="25.5" x14ac:dyDescent="0.25">
      <c r="A119" s="63">
        <v>2</v>
      </c>
      <c r="B119" s="100" t="s">
        <v>147</v>
      </c>
      <c r="C119" s="100" t="s">
        <v>62</v>
      </c>
      <c r="D119" s="100"/>
      <c r="E119" s="100" t="s">
        <v>158</v>
      </c>
      <c r="F119" s="100" t="s">
        <v>525</v>
      </c>
      <c r="G119" s="100" t="s">
        <v>524</v>
      </c>
      <c r="H119" s="234">
        <v>1</v>
      </c>
      <c r="I119" s="234">
        <v>1</v>
      </c>
      <c r="J119" s="234">
        <v>1</v>
      </c>
      <c r="K119" s="215">
        <v>1762</v>
      </c>
      <c r="L119" s="215">
        <v>1762</v>
      </c>
      <c r="M119" s="215">
        <v>0</v>
      </c>
      <c r="N119" s="234">
        <v>2</v>
      </c>
      <c r="O119" s="215">
        <v>10751.3</v>
      </c>
      <c r="P119" s="215">
        <v>8805.4</v>
      </c>
      <c r="Q119" s="215">
        <v>1945.9</v>
      </c>
      <c r="R119" s="6"/>
    </row>
    <row r="120" spans="1:18" ht="25.5" x14ac:dyDescent="0.25">
      <c r="A120" s="63">
        <v>3</v>
      </c>
      <c r="B120" s="232" t="s">
        <v>526</v>
      </c>
      <c r="C120" s="100" t="s">
        <v>62</v>
      </c>
      <c r="D120" s="100"/>
      <c r="E120" s="100" t="s">
        <v>527</v>
      </c>
      <c r="F120" s="100" t="s">
        <v>528</v>
      </c>
      <c r="G120" s="100" t="s">
        <v>524</v>
      </c>
      <c r="H120" s="234">
        <v>0</v>
      </c>
      <c r="I120" s="234">
        <v>0</v>
      </c>
      <c r="J120" s="234">
        <v>0</v>
      </c>
      <c r="K120" s="215">
        <v>0</v>
      </c>
      <c r="L120" s="215">
        <v>0</v>
      </c>
      <c r="M120" s="215">
        <v>0</v>
      </c>
      <c r="N120" s="234">
        <v>0</v>
      </c>
      <c r="O120" s="218">
        <v>0</v>
      </c>
      <c r="P120" s="215">
        <v>0</v>
      </c>
      <c r="Q120" s="215">
        <v>0</v>
      </c>
      <c r="R120" s="6"/>
    </row>
    <row r="121" spans="1:18" ht="25.5" x14ac:dyDescent="0.25">
      <c r="A121" s="63">
        <v>4</v>
      </c>
      <c r="B121" s="100" t="s">
        <v>305</v>
      </c>
      <c r="C121" s="100" t="s">
        <v>62</v>
      </c>
      <c r="D121" s="100"/>
      <c r="E121" s="100" t="s">
        <v>157</v>
      </c>
      <c r="F121" s="100" t="s">
        <v>531</v>
      </c>
      <c r="G121" s="100" t="s">
        <v>524</v>
      </c>
      <c r="H121" s="234">
        <v>4</v>
      </c>
      <c r="I121" s="234">
        <v>3</v>
      </c>
      <c r="J121" s="234">
        <v>3</v>
      </c>
      <c r="K121" s="215">
        <v>4107.8999999999996</v>
      </c>
      <c r="L121" s="215">
        <v>2819.2</v>
      </c>
      <c r="M121" s="215">
        <v>1288.7</v>
      </c>
      <c r="N121" s="234">
        <v>0</v>
      </c>
      <c r="O121" s="215">
        <v>0</v>
      </c>
      <c r="P121" s="215">
        <v>0</v>
      </c>
      <c r="Q121" s="215">
        <v>0</v>
      </c>
      <c r="R121" s="6"/>
    </row>
    <row r="122" spans="1:18" ht="25.5" x14ac:dyDescent="0.25">
      <c r="A122" s="63">
        <v>5</v>
      </c>
      <c r="B122" s="100" t="s">
        <v>407</v>
      </c>
      <c r="C122" s="100" t="s">
        <v>62</v>
      </c>
      <c r="D122" s="100"/>
      <c r="E122" s="100" t="s">
        <v>157</v>
      </c>
      <c r="F122" s="100" t="s">
        <v>532</v>
      </c>
      <c r="G122" s="100" t="s">
        <v>524</v>
      </c>
      <c r="H122" s="234">
        <v>4</v>
      </c>
      <c r="I122" s="234">
        <v>1</v>
      </c>
      <c r="J122" s="234">
        <v>1</v>
      </c>
      <c r="K122" s="215">
        <v>3866.1</v>
      </c>
      <c r="L122" s="215">
        <v>0</v>
      </c>
      <c r="M122" s="215">
        <v>3866.1</v>
      </c>
      <c r="N122" s="234">
        <v>0</v>
      </c>
      <c r="O122" s="215">
        <v>0</v>
      </c>
      <c r="P122" s="215">
        <v>0</v>
      </c>
      <c r="Q122" s="215">
        <v>0</v>
      </c>
      <c r="R122" s="6"/>
    </row>
    <row r="123" spans="1:18" ht="25.5" x14ac:dyDescent="0.25">
      <c r="A123" s="63">
        <v>6</v>
      </c>
      <c r="B123" s="100" t="s">
        <v>185</v>
      </c>
      <c r="C123" s="100" t="s">
        <v>62</v>
      </c>
      <c r="D123" s="100"/>
      <c r="E123" s="100" t="s">
        <v>157</v>
      </c>
      <c r="F123" s="100" t="s">
        <v>533</v>
      </c>
      <c r="G123" s="100" t="s">
        <v>524</v>
      </c>
      <c r="H123" s="234">
        <v>4</v>
      </c>
      <c r="I123" s="234">
        <v>3</v>
      </c>
      <c r="J123" s="234">
        <v>3</v>
      </c>
      <c r="K123" s="215">
        <v>12249.46</v>
      </c>
      <c r="L123" s="215">
        <v>0</v>
      </c>
      <c r="M123" s="215">
        <v>12249.46</v>
      </c>
      <c r="N123" s="234">
        <v>0</v>
      </c>
      <c r="O123" s="215">
        <v>0</v>
      </c>
      <c r="P123" s="215">
        <v>0</v>
      </c>
      <c r="Q123" s="215">
        <v>0</v>
      </c>
      <c r="R123" s="6"/>
    </row>
    <row r="124" spans="1:18" ht="25.5" x14ac:dyDescent="0.25">
      <c r="A124" s="63">
        <v>7</v>
      </c>
      <c r="B124" s="100" t="s">
        <v>534</v>
      </c>
      <c r="C124" s="100" t="s">
        <v>62</v>
      </c>
      <c r="D124" s="100"/>
      <c r="E124" s="100" t="s">
        <v>157</v>
      </c>
      <c r="F124" s="100" t="s">
        <v>535</v>
      </c>
      <c r="G124" s="100" t="s">
        <v>524</v>
      </c>
      <c r="H124" s="234">
        <v>1</v>
      </c>
      <c r="I124" s="234">
        <v>0</v>
      </c>
      <c r="J124" s="234">
        <v>0</v>
      </c>
      <c r="K124" s="215">
        <v>0</v>
      </c>
      <c r="L124" s="215">
        <v>0</v>
      </c>
      <c r="M124" s="215">
        <v>0</v>
      </c>
      <c r="N124" s="234">
        <v>0</v>
      </c>
      <c r="O124" s="215">
        <v>0</v>
      </c>
      <c r="P124" s="215">
        <v>0</v>
      </c>
      <c r="Q124" s="215">
        <v>0</v>
      </c>
      <c r="R124" s="6"/>
    </row>
    <row r="125" spans="1:18" ht="25.5" x14ac:dyDescent="0.25">
      <c r="A125" s="63">
        <v>8</v>
      </c>
      <c r="B125" s="100" t="s">
        <v>104</v>
      </c>
      <c r="C125" s="100" t="s">
        <v>62</v>
      </c>
      <c r="D125" s="100"/>
      <c r="E125" s="100" t="s">
        <v>158</v>
      </c>
      <c r="F125" s="233" t="s">
        <v>536</v>
      </c>
      <c r="G125" s="100" t="s">
        <v>524</v>
      </c>
      <c r="H125" s="234">
        <v>0</v>
      </c>
      <c r="I125" s="234">
        <v>0</v>
      </c>
      <c r="J125" s="234">
        <v>0</v>
      </c>
      <c r="K125" s="215">
        <v>0</v>
      </c>
      <c r="L125" s="215">
        <v>0</v>
      </c>
      <c r="M125" s="215">
        <v>0</v>
      </c>
      <c r="N125" s="234">
        <v>1</v>
      </c>
      <c r="O125" s="215">
        <v>0</v>
      </c>
      <c r="P125" s="215">
        <v>0</v>
      </c>
      <c r="Q125" s="215">
        <v>0</v>
      </c>
      <c r="R125" s="6"/>
    </row>
    <row r="126" spans="1:18" ht="25.5" x14ac:dyDescent="0.25">
      <c r="A126" s="63">
        <v>9</v>
      </c>
      <c r="B126" s="100" t="s">
        <v>30</v>
      </c>
      <c r="C126" s="100" t="s">
        <v>62</v>
      </c>
      <c r="D126" s="100"/>
      <c r="E126" s="100" t="s">
        <v>537</v>
      </c>
      <c r="F126" s="100" t="s">
        <v>592</v>
      </c>
      <c r="G126" s="100" t="s">
        <v>524</v>
      </c>
      <c r="H126" s="234">
        <v>0</v>
      </c>
      <c r="I126" s="234">
        <v>0</v>
      </c>
      <c r="J126" s="234">
        <v>0</v>
      </c>
      <c r="K126" s="215">
        <v>0</v>
      </c>
      <c r="L126" s="215">
        <v>0</v>
      </c>
      <c r="M126" s="215">
        <v>0</v>
      </c>
      <c r="N126" s="234">
        <v>0</v>
      </c>
      <c r="O126" s="215">
        <v>0</v>
      </c>
      <c r="P126" s="215">
        <v>0</v>
      </c>
      <c r="Q126" s="215">
        <v>0</v>
      </c>
      <c r="R126" s="6"/>
    </row>
    <row r="127" spans="1:18" x14ac:dyDescent="0.25">
      <c r="A127" s="47">
        <v>1</v>
      </c>
      <c r="B127" s="1" t="s">
        <v>19</v>
      </c>
      <c r="C127" s="1" t="s">
        <v>62</v>
      </c>
      <c r="D127" s="48"/>
      <c r="E127" s="1" t="s">
        <v>71</v>
      </c>
      <c r="F127" s="1" t="s">
        <v>394</v>
      </c>
      <c r="G127" s="48" t="s">
        <v>395</v>
      </c>
      <c r="H127" s="48">
        <v>1</v>
      </c>
      <c r="I127" s="289">
        <v>0</v>
      </c>
      <c r="J127" s="290">
        <v>0</v>
      </c>
      <c r="K127" s="28">
        <v>0</v>
      </c>
      <c r="L127" s="28">
        <v>0</v>
      </c>
      <c r="M127" s="28">
        <v>0</v>
      </c>
      <c r="N127" s="291">
        <v>0</v>
      </c>
      <c r="O127" s="292">
        <v>0</v>
      </c>
      <c r="P127" s="292">
        <v>0</v>
      </c>
      <c r="Q127" s="337">
        <f t="shared" ref="Q127:Q134" si="6">O127-P127</f>
        <v>0</v>
      </c>
      <c r="R127" s="6"/>
    </row>
    <row r="128" spans="1:18" ht="51" x14ac:dyDescent="0.25">
      <c r="A128" s="56">
        <f>A127+1</f>
        <v>2</v>
      </c>
      <c r="B128" s="1" t="s">
        <v>90</v>
      </c>
      <c r="C128" s="1" t="s">
        <v>62</v>
      </c>
      <c r="D128" s="1" t="s">
        <v>63</v>
      </c>
      <c r="E128" s="1" t="s">
        <v>205</v>
      </c>
      <c r="F128" s="1" t="s">
        <v>396</v>
      </c>
      <c r="G128" s="27" t="s">
        <v>395</v>
      </c>
      <c r="H128" s="27">
        <v>0</v>
      </c>
      <c r="I128" s="27">
        <v>9</v>
      </c>
      <c r="J128" s="27">
        <v>9</v>
      </c>
      <c r="K128" s="28">
        <v>11276.8</v>
      </c>
      <c r="L128" s="28">
        <v>7400.4</v>
      </c>
      <c r="M128" s="28">
        <f t="shared" ref="M128:M136" si="7">K128-L128</f>
        <v>3876.3999999999996</v>
      </c>
      <c r="N128" s="27">
        <v>20</v>
      </c>
      <c r="O128" s="28">
        <v>28791.88</v>
      </c>
      <c r="P128" s="28">
        <v>23170.3</v>
      </c>
      <c r="Q128" s="337">
        <f t="shared" si="6"/>
        <v>5621.5800000000017</v>
      </c>
      <c r="R128" s="6"/>
    </row>
    <row r="129" spans="1:18" x14ac:dyDescent="0.25">
      <c r="A129" s="56">
        <f>A128+1</f>
        <v>3</v>
      </c>
      <c r="B129" s="48" t="s">
        <v>133</v>
      </c>
      <c r="C129" s="48" t="s">
        <v>67</v>
      </c>
      <c r="D129" s="48" t="s">
        <v>397</v>
      </c>
      <c r="E129" s="48" t="s">
        <v>74</v>
      </c>
      <c r="F129" s="1" t="s">
        <v>398</v>
      </c>
      <c r="G129" s="27" t="s">
        <v>395</v>
      </c>
      <c r="H129" s="27">
        <v>9</v>
      </c>
      <c r="I129" s="27">
        <v>1</v>
      </c>
      <c r="J129" s="27">
        <v>1</v>
      </c>
      <c r="K129" s="28">
        <v>1057.2</v>
      </c>
      <c r="L129" s="28">
        <v>1057.2</v>
      </c>
      <c r="M129" s="28">
        <f t="shared" si="7"/>
        <v>0</v>
      </c>
      <c r="N129" s="27">
        <v>8</v>
      </c>
      <c r="O129" s="28">
        <v>11920.73</v>
      </c>
      <c r="P129" s="28">
        <v>11920.73</v>
      </c>
      <c r="Q129" s="337">
        <f t="shared" si="6"/>
        <v>0</v>
      </c>
      <c r="R129" s="6"/>
    </row>
    <row r="130" spans="1:18" ht="25.5" x14ac:dyDescent="0.25">
      <c r="A130" s="56">
        <v>4</v>
      </c>
      <c r="B130" s="1" t="s">
        <v>399</v>
      </c>
      <c r="C130" s="1" t="s">
        <v>62</v>
      </c>
      <c r="D130" s="1"/>
      <c r="E130" s="1" t="s">
        <v>400</v>
      </c>
      <c r="F130" s="1" t="s">
        <v>401</v>
      </c>
      <c r="G130" s="27" t="s">
        <v>395</v>
      </c>
      <c r="H130" s="27">
        <v>26</v>
      </c>
      <c r="I130" s="27">
        <v>6</v>
      </c>
      <c r="J130" s="27">
        <v>6</v>
      </c>
      <c r="K130" s="28">
        <v>8336.7000000000007</v>
      </c>
      <c r="L130" s="28">
        <v>1762</v>
      </c>
      <c r="M130" s="28">
        <f t="shared" si="7"/>
        <v>6574.7000000000007</v>
      </c>
      <c r="N130" s="27">
        <v>0</v>
      </c>
      <c r="O130" s="28">
        <v>0</v>
      </c>
      <c r="P130" s="28">
        <v>0</v>
      </c>
      <c r="Q130" s="337">
        <f t="shared" si="6"/>
        <v>0</v>
      </c>
      <c r="R130" s="6"/>
    </row>
    <row r="131" spans="1:18" x14ac:dyDescent="0.25">
      <c r="A131" s="56">
        <v>5</v>
      </c>
      <c r="B131" s="1" t="s">
        <v>402</v>
      </c>
      <c r="C131" s="1" t="s">
        <v>62</v>
      </c>
      <c r="D131" s="1"/>
      <c r="E131" s="48" t="s">
        <v>74</v>
      </c>
      <c r="F131" s="1" t="s">
        <v>403</v>
      </c>
      <c r="G131" s="27" t="s">
        <v>395</v>
      </c>
      <c r="H131" s="27">
        <v>2</v>
      </c>
      <c r="I131" s="27">
        <v>2</v>
      </c>
      <c r="J131" s="27">
        <v>2</v>
      </c>
      <c r="K131" s="28">
        <v>3815.6</v>
      </c>
      <c r="L131" s="28">
        <v>0</v>
      </c>
      <c r="M131" s="28">
        <f t="shared" si="7"/>
        <v>3815.6</v>
      </c>
      <c r="N131" s="27">
        <v>0</v>
      </c>
      <c r="O131" s="28">
        <v>0</v>
      </c>
      <c r="P131" s="28">
        <v>0</v>
      </c>
      <c r="Q131" s="337">
        <f t="shared" si="6"/>
        <v>0</v>
      </c>
      <c r="R131" s="6"/>
    </row>
    <row r="132" spans="1:18" ht="25.5" x14ac:dyDescent="0.25">
      <c r="A132" s="56">
        <v>6</v>
      </c>
      <c r="B132" s="1" t="s">
        <v>48</v>
      </c>
      <c r="C132" s="1" t="s">
        <v>62</v>
      </c>
      <c r="D132" s="1"/>
      <c r="E132" s="1" t="s">
        <v>81</v>
      </c>
      <c r="F132" s="1" t="s">
        <v>404</v>
      </c>
      <c r="G132" s="27" t="s">
        <v>395</v>
      </c>
      <c r="H132" s="27">
        <v>24</v>
      </c>
      <c r="I132" s="27">
        <v>4</v>
      </c>
      <c r="J132" s="27">
        <v>4</v>
      </c>
      <c r="K132" s="28">
        <v>4581.2</v>
      </c>
      <c r="L132" s="28">
        <v>528.6</v>
      </c>
      <c r="M132" s="28">
        <f t="shared" si="7"/>
        <v>4052.6</v>
      </c>
      <c r="N132" s="27">
        <v>15</v>
      </c>
      <c r="O132" s="28">
        <v>35480.239999999998</v>
      </c>
      <c r="P132" s="28">
        <v>11738.47</v>
      </c>
      <c r="Q132" s="337">
        <f t="shared" si="6"/>
        <v>23741.769999999997</v>
      </c>
      <c r="R132" s="6"/>
    </row>
    <row r="133" spans="1:18" x14ac:dyDescent="0.25">
      <c r="A133" s="56">
        <v>7</v>
      </c>
      <c r="B133" s="1" t="s">
        <v>39</v>
      </c>
      <c r="C133" s="1" t="s">
        <v>62</v>
      </c>
      <c r="D133" s="1"/>
      <c r="E133" s="1" t="s">
        <v>77</v>
      </c>
      <c r="F133" s="1" t="s">
        <v>405</v>
      </c>
      <c r="G133" s="27" t="s">
        <v>395</v>
      </c>
      <c r="H133" s="27">
        <v>30</v>
      </c>
      <c r="I133" s="27">
        <v>0</v>
      </c>
      <c r="J133" s="27">
        <v>0</v>
      </c>
      <c r="K133" s="28">
        <v>0</v>
      </c>
      <c r="L133" s="28">
        <v>0</v>
      </c>
      <c r="M133" s="28">
        <f t="shared" si="7"/>
        <v>0</v>
      </c>
      <c r="N133" s="27">
        <v>12</v>
      </c>
      <c r="O133" s="28">
        <v>19910.599999999999</v>
      </c>
      <c r="P133" s="28">
        <v>15858</v>
      </c>
      <c r="Q133" s="337">
        <f t="shared" si="6"/>
        <v>4052.5999999999985</v>
      </c>
      <c r="R133" s="6"/>
    </row>
    <row r="134" spans="1:18" x14ac:dyDescent="0.25">
      <c r="A134" s="56">
        <v>8</v>
      </c>
      <c r="B134" s="1" t="s">
        <v>127</v>
      </c>
      <c r="C134" s="1" t="s">
        <v>62</v>
      </c>
      <c r="D134" s="1"/>
      <c r="E134" s="48" t="s">
        <v>74</v>
      </c>
      <c r="F134" s="1" t="s">
        <v>406</v>
      </c>
      <c r="G134" s="27" t="s">
        <v>395</v>
      </c>
      <c r="H134" s="27">
        <v>0</v>
      </c>
      <c r="I134" s="27">
        <v>0</v>
      </c>
      <c r="J134" s="27">
        <v>0</v>
      </c>
      <c r="K134" s="28">
        <v>0</v>
      </c>
      <c r="L134" s="28">
        <v>0</v>
      </c>
      <c r="M134" s="28">
        <f t="shared" si="7"/>
        <v>0</v>
      </c>
      <c r="N134" s="27">
        <v>1</v>
      </c>
      <c r="O134" s="28">
        <v>264.3</v>
      </c>
      <c r="P134" s="28">
        <v>264.3</v>
      </c>
      <c r="Q134" s="337">
        <f t="shared" si="6"/>
        <v>0</v>
      </c>
      <c r="R134" s="6"/>
    </row>
    <row r="135" spans="1:18" ht="25.5" x14ac:dyDescent="0.25">
      <c r="A135" s="56">
        <v>9</v>
      </c>
      <c r="B135" s="1" t="s">
        <v>561</v>
      </c>
      <c r="C135" s="1" t="s">
        <v>62</v>
      </c>
      <c r="D135" s="1"/>
      <c r="E135" s="1" t="s">
        <v>81</v>
      </c>
      <c r="F135" s="1" t="s">
        <v>562</v>
      </c>
      <c r="G135" s="27" t="s">
        <v>395</v>
      </c>
      <c r="H135" s="27">
        <v>30</v>
      </c>
      <c r="I135" s="27">
        <v>0</v>
      </c>
      <c r="J135" s="27">
        <v>0</v>
      </c>
      <c r="K135" s="28">
        <v>0</v>
      </c>
      <c r="L135" s="28">
        <v>0</v>
      </c>
      <c r="M135" s="28">
        <f t="shared" si="7"/>
        <v>0</v>
      </c>
      <c r="N135" s="27">
        <v>0</v>
      </c>
      <c r="O135" s="28">
        <v>0</v>
      </c>
      <c r="P135" s="28">
        <v>0</v>
      </c>
      <c r="Q135" s="28">
        <v>0</v>
      </c>
      <c r="R135" s="6"/>
    </row>
    <row r="136" spans="1:18" ht="25.5" x14ac:dyDescent="0.25">
      <c r="A136" s="56">
        <v>10</v>
      </c>
      <c r="B136" s="1" t="s">
        <v>563</v>
      </c>
      <c r="C136" s="1" t="s">
        <v>62</v>
      </c>
      <c r="D136" s="1"/>
      <c r="E136" s="1" t="s">
        <v>81</v>
      </c>
      <c r="F136" s="1" t="s">
        <v>564</v>
      </c>
      <c r="G136" s="27" t="s">
        <v>395</v>
      </c>
      <c r="H136" s="27">
        <v>27</v>
      </c>
      <c r="I136" s="27">
        <v>0</v>
      </c>
      <c r="J136" s="27">
        <v>1</v>
      </c>
      <c r="K136" s="28">
        <v>2643</v>
      </c>
      <c r="L136" s="28">
        <v>0</v>
      </c>
      <c r="M136" s="28">
        <f t="shared" si="7"/>
        <v>2643</v>
      </c>
      <c r="N136" s="27">
        <v>0</v>
      </c>
      <c r="O136" s="28">
        <v>0</v>
      </c>
      <c r="P136" s="28">
        <v>0</v>
      </c>
      <c r="Q136" s="28">
        <v>0</v>
      </c>
      <c r="R136" s="6"/>
    </row>
    <row r="137" spans="1:18" ht="25.5" x14ac:dyDescent="0.25">
      <c r="A137" s="56">
        <v>1</v>
      </c>
      <c r="B137" s="3" t="s">
        <v>159</v>
      </c>
      <c r="C137" s="3" t="s">
        <v>62</v>
      </c>
      <c r="D137" s="3" t="s">
        <v>63</v>
      </c>
      <c r="E137" s="3" t="s">
        <v>121</v>
      </c>
      <c r="F137" s="3" t="s">
        <v>160</v>
      </c>
      <c r="G137" s="4" t="s">
        <v>85</v>
      </c>
      <c r="H137" s="4">
        <v>3</v>
      </c>
      <c r="I137" s="4">
        <v>3</v>
      </c>
      <c r="J137" s="4">
        <v>3</v>
      </c>
      <c r="K137" s="5">
        <f>L137+M137</f>
        <v>1493.3</v>
      </c>
      <c r="L137" s="5">
        <v>1493.3</v>
      </c>
      <c r="M137" s="5">
        <v>0</v>
      </c>
      <c r="N137" s="4">
        <v>8</v>
      </c>
      <c r="O137" s="5">
        <f>P137+Q137</f>
        <v>26421.62</v>
      </c>
      <c r="P137" s="5">
        <f>28053.94-1632.32</f>
        <v>26421.62</v>
      </c>
      <c r="Q137" s="5">
        <v>0</v>
      </c>
      <c r="R137" s="6"/>
    </row>
    <row r="138" spans="1:18" x14ac:dyDescent="0.25">
      <c r="A138" s="36">
        <f>A137+1</f>
        <v>2</v>
      </c>
      <c r="B138" s="3" t="s">
        <v>581</v>
      </c>
      <c r="C138" s="3" t="s">
        <v>62</v>
      </c>
      <c r="D138" s="3" t="s">
        <v>63</v>
      </c>
      <c r="E138" s="3" t="s">
        <v>74</v>
      </c>
      <c r="F138" s="3" t="s">
        <v>582</v>
      </c>
      <c r="G138" s="4" t="s">
        <v>85</v>
      </c>
      <c r="H138" s="4">
        <v>0</v>
      </c>
      <c r="I138" s="4">
        <v>0</v>
      </c>
      <c r="J138" s="4">
        <v>0</v>
      </c>
      <c r="K138" s="5">
        <f t="shared" ref="K138:K201" si="8">L138+M138</f>
        <v>0</v>
      </c>
      <c r="L138" s="5">
        <v>0</v>
      </c>
      <c r="M138" s="5">
        <v>0</v>
      </c>
      <c r="N138" s="4">
        <v>2</v>
      </c>
      <c r="O138" s="5">
        <f t="shared" ref="O138:O201" si="9">P138+Q138</f>
        <v>0</v>
      </c>
      <c r="P138" s="5">
        <v>0</v>
      </c>
      <c r="Q138" s="5">
        <v>0</v>
      </c>
      <c r="R138" s="6"/>
    </row>
    <row r="139" spans="1:18" ht="25.5" x14ac:dyDescent="0.25">
      <c r="A139" s="36">
        <f t="shared" ref="A139:A202" si="10">A138+1</f>
        <v>3</v>
      </c>
      <c r="B139" s="3" t="s">
        <v>18</v>
      </c>
      <c r="C139" s="3" t="s">
        <v>62</v>
      </c>
      <c r="D139" s="3" t="s">
        <v>63</v>
      </c>
      <c r="E139" s="3" t="s">
        <v>70</v>
      </c>
      <c r="F139" s="3" t="s">
        <v>565</v>
      </c>
      <c r="G139" s="4" t="s">
        <v>85</v>
      </c>
      <c r="H139" s="4">
        <v>5</v>
      </c>
      <c r="I139" s="4">
        <v>0</v>
      </c>
      <c r="J139" s="4">
        <v>0</v>
      </c>
      <c r="K139" s="5">
        <f t="shared" si="8"/>
        <v>0</v>
      </c>
      <c r="L139" s="5">
        <v>0</v>
      </c>
      <c r="M139" s="5">
        <v>0</v>
      </c>
      <c r="N139" s="4">
        <v>1</v>
      </c>
      <c r="O139" s="5">
        <f t="shared" si="9"/>
        <v>1585.8</v>
      </c>
      <c r="P139" s="5">
        <v>1585.8</v>
      </c>
      <c r="Q139" s="5">
        <v>0</v>
      </c>
      <c r="R139" s="6"/>
    </row>
    <row r="140" spans="1:18" x14ac:dyDescent="0.25">
      <c r="A140" s="36">
        <f t="shared" si="10"/>
        <v>4</v>
      </c>
      <c r="B140" s="3" t="s">
        <v>19</v>
      </c>
      <c r="C140" s="3" t="s">
        <v>62</v>
      </c>
      <c r="D140" s="3" t="s">
        <v>63</v>
      </c>
      <c r="E140" s="3" t="s">
        <v>71</v>
      </c>
      <c r="F140" s="3" t="s">
        <v>162</v>
      </c>
      <c r="G140" s="4" t="s">
        <v>85</v>
      </c>
      <c r="H140" s="4">
        <v>93</v>
      </c>
      <c r="I140" s="4">
        <v>73</v>
      </c>
      <c r="J140" s="4">
        <v>92</v>
      </c>
      <c r="K140" s="5">
        <f t="shared" si="8"/>
        <v>70165.41</v>
      </c>
      <c r="L140" s="5">
        <v>70165.41</v>
      </c>
      <c r="M140" s="5">
        <v>0</v>
      </c>
      <c r="N140" s="4">
        <v>26</v>
      </c>
      <c r="O140" s="5">
        <f t="shared" si="9"/>
        <v>69975.22</v>
      </c>
      <c r="P140" s="5">
        <v>69975.22</v>
      </c>
      <c r="Q140" s="5">
        <v>0</v>
      </c>
      <c r="R140" s="6"/>
    </row>
    <row r="141" spans="1:18" x14ac:dyDescent="0.25">
      <c r="A141" s="36">
        <f t="shared" si="10"/>
        <v>5</v>
      </c>
      <c r="B141" s="3" t="s">
        <v>86</v>
      </c>
      <c r="C141" s="3" t="s">
        <v>62</v>
      </c>
      <c r="D141" s="3" t="s">
        <v>63</v>
      </c>
      <c r="E141" s="3" t="s">
        <v>74</v>
      </c>
      <c r="F141" s="3" t="s">
        <v>165</v>
      </c>
      <c r="G141" s="4" t="s">
        <v>85</v>
      </c>
      <c r="H141" s="4">
        <v>48</v>
      </c>
      <c r="I141" s="4">
        <v>27</v>
      </c>
      <c r="J141" s="4">
        <v>29</v>
      </c>
      <c r="K141" s="5">
        <f t="shared" si="8"/>
        <v>24521.22</v>
      </c>
      <c r="L141" s="5">
        <v>24521.22</v>
      </c>
      <c r="M141" s="5">
        <v>0</v>
      </c>
      <c r="N141" s="4">
        <v>20</v>
      </c>
      <c r="O141" s="5">
        <f t="shared" si="9"/>
        <v>50081.729999999996</v>
      </c>
      <c r="P141" s="5">
        <f>49473.84+607.89</f>
        <v>50081.729999999996</v>
      </c>
      <c r="Q141" s="5">
        <v>0</v>
      </c>
      <c r="R141" s="6"/>
    </row>
    <row r="142" spans="1:18" x14ac:dyDescent="0.25">
      <c r="A142" s="36">
        <f t="shared" si="10"/>
        <v>6</v>
      </c>
      <c r="B142" s="3" t="s">
        <v>166</v>
      </c>
      <c r="C142" s="3" t="s">
        <v>62</v>
      </c>
      <c r="D142" s="3"/>
      <c r="E142" s="3" t="s">
        <v>63</v>
      </c>
      <c r="F142" s="3" t="s">
        <v>167</v>
      </c>
      <c r="G142" s="4" t="s">
        <v>85</v>
      </c>
      <c r="H142" s="4">
        <v>15</v>
      </c>
      <c r="I142" s="4">
        <v>11</v>
      </c>
      <c r="J142" s="4">
        <v>11</v>
      </c>
      <c r="K142" s="5">
        <f t="shared" si="8"/>
        <v>7503.35</v>
      </c>
      <c r="L142" s="5">
        <v>7503.35</v>
      </c>
      <c r="M142" s="5">
        <v>0</v>
      </c>
      <c r="N142" s="4">
        <v>0</v>
      </c>
      <c r="O142" s="5">
        <f t="shared" si="9"/>
        <v>0</v>
      </c>
      <c r="P142" s="5">
        <v>0</v>
      </c>
      <c r="Q142" s="5">
        <v>0</v>
      </c>
      <c r="R142" s="6"/>
    </row>
    <row r="143" spans="1:18" x14ac:dyDescent="0.25">
      <c r="A143" s="36">
        <f t="shared" si="10"/>
        <v>7</v>
      </c>
      <c r="B143" s="3" t="s">
        <v>168</v>
      </c>
      <c r="C143" s="3" t="s">
        <v>62</v>
      </c>
      <c r="D143" s="3"/>
      <c r="E143" s="3" t="s">
        <v>63</v>
      </c>
      <c r="F143" s="3" t="s">
        <v>169</v>
      </c>
      <c r="G143" s="4" t="s">
        <v>85</v>
      </c>
      <c r="H143" s="4">
        <v>29</v>
      </c>
      <c r="I143" s="4">
        <v>24</v>
      </c>
      <c r="J143" s="4">
        <v>27</v>
      </c>
      <c r="K143" s="5">
        <f t="shared" si="8"/>
        <v>13248.44</v>
      </c>
      <c r="L143" s="5">
        <v>13248.44</v>
      </c>
      <c r="M143" s="5">
        <v>0</v>
      </c>
      <c r="N143" s="4">
        <v>0</v>
      </c>
      <c r="O143" s="5">
        <f t="shared" si="9"/>
        <v>0</v>
      </c>
      <c r="P143" s="5">
        <v>0</v>
      </c>
      <c r="Q143" s="5">
        <v>0</v>
      </c>
      <c r="R143" s="6"/>
    </row>
    <row r="144" spans="1:18" x14ac:dyDescent="0.25">
      <c r="A144" s="36">
        <f t="shared" si="10"/>
        <v>8</v>
      </c>
      <c r="B144" s="3" t="s">
        <v>21</v>
      </c>
      <c r="C144" s="3" t="s">
        <v>62</v>
      </c>
      <c r="D144" s="3" t="s">
        <v>63</v>
      </c>
      <c r="E144" s="3" t="s">
        <v>73</v>
      </c>
      <c r="F144" s="3" t="s">
        <v>170</v>
      </c>
      <c r="G144" s="4" t="s">
        <v>85</v>
      </c>
      <c r="H144" s="4">
        <v>44</v>
      </c>
      <c r="I144" s="4">
        <v>38</v>
      </c>
      <c r="J144" s="4">
        <v>47</v>
      </c>
      <c r="K144" s="5">
        <f t="shared" si="8"/>
        <v>48661.43</v>
      </c>
      <c r="L144" s="5">
        <v>48661.43</v>
      </c>
      <c r="M144" s="5">
        <v>0</v>
      </c>
      <c r="N144" s="4">
        <v>37</v>
      </c>
      <c r="O144" s="5">
        <f t="shared" si="9"/>
        <v>119439.81</v>
      </c>
      <c r="P144" s="5">
        <v>119439.81</v>
      </c>
      <c r="Q144" s="5">
        <v>0</v>
      </c>
      <c r="R144" s="6"/>
    </row>
    <row r="145" spans="1:18" x14ac:dyDescent="0.25">
      <c r="A145" s="36">
        <f t="shared" si="10"/>
        <v>9</v>
      </c>
      <c r="B145" s="3" t="s">
        <v>22</v>
      </c>
      <c r="C145" s="3" t="s">
        <v>62</v>
      </c>
      <c r="D145" s="3" t="s">
        <v>63</v>
      </c>
      <c r="E145" s="3" t="s">
        <v>74</v>
      </c>
      <c r="F145" s="3" t="s">
        <v>171</v>
      </c>
      <c r="G145" s="4" t="s">
        <v>85</v>
      </c>
      <c r="H145" s="4">
        <v>33</v>
      </c>
      <c r="I145" s="4">
        <v>25</v>
      </c>
      <c r="J145" s="4">
        <v>32</v>
      </c>
      <c r="K145" s="5">
        <f t="shared" si="8"/>
        <v>34222.49</v>
      </c>
      <c r="L145" s="5">
        <v>34222.49</v>
      </c>
      <c r="M145" s="5">
        <v>0</v>
      </c>
      <c r="N145" s="4">
        <v>38</v>
      </c>
      <c r="O145" s="5">
        <f t="shared" si="9"/>
        <v>91206.43</v>
      </c>
      <c r="P145" s="5">
        <v>91206.43</v>
      </c>
      <c r="Q145" s="5">
        <v>0</v>
      </c>
      <c r="R145" s="6"/>
    </row>
    <row r="146" spans="1:18" ht="25.5" x14ac:dyDescent="0.25">
      <c r="A146" s="36">
        <f t="shared" si="10"/>
        <v>10</v>
      </c>
      <c r="B146" s="3" t="s">
        <v>20</v>
      </c>
      <c r="C146" s="3" t="s">
        <v>62</v>
      </c>
      <c r="D146" s="3" t="s">
        <v>63</v>
      </c>
      <c r="E146" s="3" t="s">
        <v>72</v>
      </c>
      <c r="F146" s="3" t="s">
        <v>163</v>
      </c>
      <c r="G146" s="4" t="s">
        <v>85</v>
      </c>
      <c r="H146" s="4">
        <v>0</v>
      </c>
      <c r="I146" s="4">
        <v>0</v>
      </c>
      <c r="J146" s="4">
        <v>0</v>
      </c>
      <c r="K146" s="5">
        <f t="shared" si="8"/>
        <v>0</v>
      </c>
      <c r="L146" s="5">
        <v>0</v>
      </c>
      <c r="M146" s="5">
        <v>0</v>
      </c>
      <c r="N146" s="4">
        <v>0</v>
      </c>
      <c r="O146" s="5">
        <f t="shared" si="9"/>
        <v>6138.73</v>
      </c>
      <c r="P146" s="5">
        <v>6138.73</v>
      </c>
      <c r="Q146" s="5">
        <v>0</v>
      </c>
      <c r="R146" s="6"/>
    </row>
    <row r="147" spans="1:18" ht="25.5" x14ac:dyDescent="0.25">
      <c r="A147" s="36">
        <f t="shared" si="10"/>
        <v>11</v>
      </c>
      <c r="B147" s="3" t="s">
        <v>100</v>
      </c>
      <c r="C147" s="3" t="s">
        <v>62</v>
      </c>
      <c r="D147" s="3" t="s">
        <v>63</v>
      </c>
      <c r="E147" s="3" t="s">
        <v>101</v>
      </c>
      <c r="F147" s="3" t="s">
        <v>164</v>
      </c>
      <c r="G147" s="4" t="s">
        <v>85</v>
      </c>
      <c r="H147" s="4">
        <v>15</v>
      </c>
      <c r="I147" s="4">
        <v>13</v>
      </c>
      <c r="J147" s="4">
        <v>17</v>
      </c>
      <c r="K147" s="5">
        <f t="shared" si="8"/>
        <v>20326.86</v>
      </c>
      <c r="L147" s="5">
        <v>20326.86</v>
      </c>
      <c r="M147" s="5">
        <v>0</v>
      </c>
      <c r="N147" s="4">
        <v>12</v>
      </c>
      <c r="O147" s="5">
        <f t="shared" si="9"/>
        <v>40299.47</v>
      </c>
      <c r="P147" s="5">
        <v>40299.47</v>
      </c>
      <c r="Q147" s="5">
        <v>0</v>
      </c>
      <c r="R147" s="6"/>
    </row>
    <row r="148" spans="1:18" ht="25.5" x14ac:dyDescent="0.25">
      <c r="A148" s="36">
        <f t="shared" si="10"/>
        <v>12</v>
      </c>
      <c r="B148" s="3" t="s">
        <v>23</v>
      </c>
      <c r="C148" s="3" t="s">
        <v>62</v>
      </c>
      <c r="D148" s="3" t="s">
        <v>63</v>
      </c>
      <c r="E148" s="3" t="s">
        <v>75</v>
      </c>
      <c r="F148" s="3" t="s">
        <v>136</v>
      </c>
      <c r="G148" s="4" t="s">
        <v>85</v>
      </c>
      <c r="H148" s="4">
        <v>2</v>
      </c>
      <c r="I148" s="4">
        <v>0</v>
      </c>
      <c r="J148" s="4">
        <v>0</v>
      </c>
      <c r="K148" s="5">
        <f t="shared" si="8"/>
        <v>0</v>
      </c>
      <c r="L148" s="5">
        <v>0</v>
      </c>
      <c r="M148" s="5">
        <v>0</v>
      </c>
      <c r="N148" s="4">
        <v>0</v>
      </c>
      <c r="O148" s="5">
        <f t="shared" si="9"/>
        <v>0</v>
      </c>
      <c r="P148" s="5">
        <v>0</v>
      </c>
      <c r="Q148" s="5">
        <v>0</v>
      </c>
      <c r="R148" s="6"/>
    </row>
    <row r="149" spans="1:18" x14ac:dyDescent="0.25">
      <c r="A149" s="36">
        <f t="shared" si="10"/>
        <v>13</v>
      </c>
      <c r="B149" s="3" t="s">
        <v>24</v>
      </c>
      <c r="C149" s="3" t="s">
        <v>62</v>
      </c>
      <c r="D149" s="3" t="s">
        <v>63</v>
      </c>
      <c r="E149" s="3" t="s">
        <v>74</v>
      </c>
      <c r="F149" s="3" t="s">
        <v>172</v>
      </c>
      <c r="G149" s="4" t="s">
        <v>85</v>
      </c>
      <c r="H149" s="4">
        <v>35</v>
      </c>
      <c r="I149" s="4">
        <v>28</v>
      </c>
      <c r="J149" s="4">
        <v>37</v>
      </c>
      <c r="K149" s="5">
        <f t="shared" si="8"/>
        <v>25223.69</v>
      </c>
      <c r="L149" s="5">
        <v>25223.69</v>
      </c>
      <c r="M149" s="5">
        <v>0</v>
      </c>
      <c r="N149" s="4">
        <v>25</v>
      </c>
      <c r="O149" s="5">
        <f t="shared" si="9"/>
        <v>89876.9</v>
      </c>
      <c r="P149" s="5">
        <v>89876.9</v>
      </c>
      <c r="Q149" s="5">
        <v>0</v>
      </c>
      <c r="R149" s="6"/>
    </row>
    <row r="150" spans="1:18" ht="25.5" x14ac:dyDescent="0.25">
      <c r="A150" s="36">
        <f t="shared" si="10"/>
        <v>14</v>
      </c>
      <c r="B150" s="3" t="s">
        <v>102</v>
      </c>
      <c r="C150" s="3" t="s">
        <v>67</v>
      </c>
      <c r="D150" s="3" t="s">
        <v>594</v>
      </c>
      <c r="E150" s="3" t="s">
        <v>74</v>
      </c>
      <c r="F150" s="3" t="s">
        <v>477</v>
      </c>
      <c r="G150" s="4" t="s">
        <v>85</v>
      </c>
      <c r="H150" s="4">
        <v>3</v>
      </c>
      <c r="I150" s="4">
        <v>1</v>
      </c>
      <c r="J150" s="4">
        <v>1</v>
      </c>
      <c r="K150" s="5">
        <f t="shared" si="8"/>
        <v>528.6</v>
      </c>
      <c r="L150" s="5">
        <v>528.6</v>
      </c>
      <c r="M150" s="5">
        <v>0</v>
      </c>
      <c r="N150" s="4">
        <v>4</v>
      </c>
      <c r="O150" s="5">
        <f t="shared" si="9"/>
        <v>9770.18</v>
      </c>
      <c r="P150" s="5">
        <v>9770.18</v>
      </c>
      <c r="Q150" s="5">
        <v>0</v>
      </c>
      <c r="R150" s="6"/>
    </row>
    <row r="151" spans="1:18" ht="25.5" x14ac:dyDescent="0.25">
      <c r="A151" s="36">
        <f t="shared" si="10"/>
        <v>15</v>
      </c>
      <c r="B151" s="3" t="s">
        <v>173</v>
      </c>
      <c r="C151" s="3" t="s">
        <v>67</v>
      </c>
      <c r="D151" s="3" t="s">
        <v>478</v>
      </c>
      <c r="E151" s="3" t="s">
        <v>174</v>
      </c>
      <c r="F151" s="3" t="s">
        <v>175</v>
      </c>
      <c r="G151" s="4" t="s">
        <v>85</v>
      </c>
      <c r="H151" s="4">
        <v>23</v>
      </c>
      <c r="I151" s="4">
        <v>16</v>
      </c>
      <c r="J151" s="4">
        <v>16</v>
      </c>
      <c r="K151" s="5">
        <f t="shared" si="8"/>
        <v>7354.87</v>
      </c>
      <c r="L151" s="5">
        <v>7354.87</v>
      </c>
      <c r="M151" s="5">
        <v>0</v>
      </c>
      <c r="N151" s="4">
        <v>0</v>
      </c>
      <c r="O151" s="5">
        <f t="shared" si="9"/>
        <v>0</v>
      </c>
      <c r="P151" s="5">
        <v>0</v>
      </c>
      <c r="Q151" s="5">
        <v>0</v>
      </c>
      <c r="R151" s="6"/>
    </row>
    <row r="152" spans="1:18" ht="25.5" x14ac:dyDescent="0.25">
      <c r="A152" s="36">
        <f t="shared" si="10"/>
        <v>16</v>
      </c>
      <c r="B152" s="3" t="s">
        <v>595</v>
      </c>
      <c r="C152" s="3" t="s">
        <v>64</v>
      </c>
      <c r="D152" s="3" t="s">
        <v>596</v>
      </c>
      <c r="E152" s="3" t="s">
        <v>597</v>
      </c>
      <c r="F152" s="3" t="s">
        <v>626</v>
      </c>
      <c r="G152" s="4" t="s">
        <v>85</v>
      </c>
      <c r="H152" s="4">
        <v>1</v>
      </c>
      <c r="I152" s="4">
        <v>1</v>
      </c>
      <c r="J152" s="4">
        <v>1</v>
      </c>
      <c r="K152" s="5">
        <f t="shared" si="8"/>
        <v>74361.439999999988</v>
      </c>
      <c r="L152" s="5">
        <f>3600.4+70761.04</f>
        <v>74361.439999999988</v>
      </c>
      <c r="M152" s="5">
        <v>0</v>
      </c>
      <c r="N152" s="4">
        <v>0</v>
      </c>
      <c r="O152" s="5">
        <f t="shared" si="9"/>
        <v>0</v>
      </c>
      <c r="P152" s="5">
        <v>0</v>
      </c>
      <c r="Q152" s="5">
        <v>0</v>
      </c>
      <c r="R152" s="6"/>
    </row>
    <row r="153" spans="1:18" ht="25.5" x14ac:dyDescent="0.25">
      <c r="A153" s="36">
        <f t="shared" si="10"/>
        <v>17</v>
      </c>
      <c r="B153" s="3" t="s">
        <v>25</v>
      </c>
      <c r="C153" s="3" t="s">
        <v>62</v>
      </c>
      <c r="D153" s="3" t="s">
        <v>63</v>
      </c>
      <c r="E153" s="3" t="s">
        <v>76</v>
      </c>
      <c r="F153" s="3" t="s">
        <v>584</v>
      </c>
      <c r="G153" s="4" t="s">
        <v>85</v>
      </c>
      <c r="H153" s="4">
        <v>42</v>
      </c>
      <c r="I153" s="4">
        <v>0</v>
      </c>
      <c r="J153" s="4">
        <v>0</v>
      </c>
      <c r="K153" s="5">
        <f t="shared" si="8"/>
        <v>0</v>
      </c>
      <c r="L153" s="5">
        <v>0</v>
      </c>
      <c r="M153" s="5">
        <v>0</v>
      </c>
      <c r="N153" s="4">
        <v>0</v>
      </c>
      <c r="O153" s="5">
        <f t="shared" si="9"/>
        <v>0</v>
      </c>
      <c r="P153" s="5">
        <v>0</v>
      </c>
      <c r="Q153" s="5">
        <v>0</v>
      </c>
      <c r="R153" s="6"/>
    </row>
    <row r="154" spans="1:18" ht="25.5" x14ac:dyDescent="0.25">
      <c r="A154" s="36">
        <f t="shared" si="10"/>
        <v>18</v>
      </c>
      <c r="B154" s="3" t="s">
        <v>600</v>
      </c>
      <c r="C154" s="3" t="s">
        <v>62</v>
      </c>
      <c r="D154" s="3" t="s">
        <v>63</v>
      </c>
      <c r="E154" s="3" t="s">
        <v>75</v>
      </c>
      <c r="F154" s="3" t="s">
        <v>103</v>
      </c>
      <c r="G154" s="4" t="s">
        <v>85</v>
      </c>
      <c r="H154" s="4">
        <v>0</v>
      </c>
      <c r="I154" s="4">
        <v>0</v>
      </c>
      <c r="J154" s="4">
        <v>0</v>
      </c>
      <c r="K154" s="5">
        <f t="shared" si="8"/>
        <v>0</v>
      </c>
      <c r="L154" s="5">
        <v>0</v>
      </c>
      <c r="M154" s="5">
        <v>0</v>
      </c>
      <c r="N154" s="4">
        <v>15</v>
      </c>
      <c r="O154" s="5">
        <f t="shared" si="9"/>
        <v>62481.86</v>
      </c>
      <c r="P154" s="5">
        <v>62481.86</v>
      </c>
      <c r="Q154" s="5">
        <v>0</v>
      </c>
      <c r="R154" s="6"/>
    </row>
    <row r="155" spans="1:18" ht="25.5" x14ac:dyDescent="0.25">
      <c r="A155" s="36">
        <f t="shared" si="10"/>
        <v>19</v>
      </c>
      <c r="B155" s="3" t="s">
        <v>479</v>
      </c>
      <c r="C155" s="3" t="s">
        <v>67</v>
      </c>
      <c r="D155" s="3" t="s">
        <v>480</v>
      </c>
      <c r="E155" s="3" t="s">
        <v>271</v>
      </c>
      <c r="F155" s="3" t="s">
        <v>481</v>
      </c>
      <c r="G155" s="4" t="s">
        <v>85</v>
      </c>
      <c r="H155" s="4">
        <v>12</v>
      </c>
      <c r="I155" s="4">
        <v>5</v>
      </c>
      <c r="J155" s="4">
        <v>5</v>
      </c>
      <c r="K155" s="5">
        <f t="shared" si="8"/>
        <v>1902.96</v>
      </c>
      <c r="L155" s="5">
        <v>1902.96</v>
      </c>
      <c r="M155" s="5">
        <v>0</v>
      </c>
      <c r="N155" s="4">
        <v>0</v>
      </c>
      <c r="O155" s="5">
        <f t="shared" si="9"/>
        <v>0</v>
      </c>
      <c r="P155" s="5">
        <v>0</v>
      </c>
      <c r="Q155" s="5">
        <v>0</v>
      </c>
      <c r="R155" s="6"/>
    </row>
    <row r="156" spans="1:18" ht="25.5" x14ac:dyDescent="0.25">
      <c r="A156" s="36">
        <f t="shared" si="10"/>
        <v>20</v>
      </c>
      <c r="B156" s="3" t="s">
        <v>176</v>
      </c>
      <c r="C156" s="3" t="s">
        <v>62</v>
      </c>
      <c r="D156" s="3"/>
      <c r="E156" s="3" t="s">
        <v>177</v>
      </c>
      <c r="F156" s="3" t="s">
        <v>178</v>
      </c>
      <c r="G156" s="4" t="s">
        <v>85</v>
      </c>
      <c r="H156" s="4">
        <v>18</v>
      </c>
      <c r="I156" s="4">
        <v>10</v>
      </c>
      <c r="J156" s="4">
        <v>11</v>
      </c>
      <c r="K156" s="5">
        <f t="shared" si="8"/>
        <v>5567.92</v>
      </c>
      <c r="L156" s="5">
        <v>5567.92</v>
      </c>
      <c r="M156" s="5">
        <v>0</v>
      </c>
      <c r="N156" s="4">
        <v>0</v>
      </c>
      <c r="O156" s="5">
        <f t="shared" si="9"/>
        <v>0</v>
      </c>
      <c r="P156" s="5">
        <v>0</v>
      </c>
      <c r="Q156" s="5">
        <v>0</v>
      </c>
      <c r="R156" s="6"/>
    </row>
    <row r="157" spans="1:18" x14ac:dyDescent="0.25">
      <c r="A157" s="36">
        <f t="shared" si="10"/>
        <v>21</v>
      </c>
      <c r="B157" s="3" t="s">
        <v>152</v>
      </c>
      <c r="C157" s="3" t="s">
        <v>62</v>
      </c>
      <c r="D157" s="3" t="s">
        <v>63</v>
      </c>
      <c r="E157" s="3" t="s">
        <v>63</v>
      </c>
      <c r="F157" s="3" t="s">
        <v>179</v>
      </c>
      <c r="G157" s="4" t="s">
        <v>85</v>
      </c>
      <c r="H157" s="4">
        <v>26</v>
      </c>
      <c r="I157" s="4">
        <v>13</v>
      </c>
      <c r="J157" s="4">
        <v>15</v>
      </c>
      <c r="K157" s="5">
        <f t="shared" si="8"/>
        <v>9467.91</v>
      </c>
      <c r="L157" s="5">
        <v>9467.91</v>
      </c>
      <c r="M157" s="5">
        <v>0</v>
      </c>
      <c r="N157" s="4">
        <v>15</v>
      </c>
      <c r="O157" s="5">
        <f t="shared" si="9"/>
        <v>10033.950000000001</v>
      </c>
      <c r="P157" s="5">
        <v>10033.950000000001</v>
      </c>
      <c r="Q157" s="5">
        <v>0</v>
      </c>
      <c r="R157" s="6"/>
    </row>
    <row r="158" spans="1:18" x14ac:dyDescent="0.25">
      <c r="A158" s="36">
        <f t="shared" si="10"/>
        <v>22</v>
      </c>
      <c r="B158" s="3" t="s">
        <v>88</v>
      </c>
      <c r="C158" s="3" t="s">
        <v>62</v>
      </c>
      <c r="D158" s="3" t="s">
        <v>63</v>
      </c>
      <c r="E158" s="3" t="s">
        <v>74</v>
      </c>
      <c r="F158" s="3" t="s">
        <v>180</v>
      </c>
      <c r="G158" s="4" t="s">
        <v>85</v>
      </c>
      <c r="H158" s="4">
        <v>9</v>
      </c>
      <c r="I158" s="4">
        <v>2</v>
      </c>
      <c r="J158" s="4">
        <v>2</v>
      </c>
      <c r="K158" s="5">
        <f t="shared" si="8"/>
        <v>2706.43</v>
      </c>
      <c r="L158" s="5">
        <v>2706.43</v>
      </c>
      <c r="M158" s="5">
        <v>0</v>
      </c>
      <c r="N158" s="4">
        <v>2</v>
      </c>
      <c r="O158" s="5">
        <f t="shared" si="9"/>
        <v>22884.99</v>
      </c>
      <c r="P158" s="5">
        <v>22884.99</v>
      </c>
      <c r="Q158" s="5">
        <v>0</v>
      </c>
      <c r="R158" s="6"/>
    </row>
    <row r="159" spans="1:18" x14ac:dyDescent="0.25">
      <c r="A159" s="36">
        <f t="shared" si="10"/>
        <v>23</v>
      </c>
      <c r="B159" s="3" t="s">
        <v>26</v>
      </c>
      <c r="C159" s="3" t="s">
        <v>62</v>
      </c>
      <c r="D159" s="3" t="s">
        <v>63</v>
      </c>
      <c r="E159" s="3" t="s">
        <v>74</v>
      </c>
      <c r="F159" s="3" t="s">
        <v>181</v>
      </c>
      <c r="G159" s="4" t="s">
        <v>85</v>
      </c>
      <c r="H159" s="4">
        <v>26</v>
      </c>
      <c r="I159" s="4">
        <v>22</v>
      </c>
      <c r="J159" s="4">
        <v>31</v>
      </c>
      <c r="K159" s="5">
        <f t="shared" si="8"/>
        <v>51716.02</v>
      </c>
      <c r="L159" s="5">
        <v>51716.02</v>
      </c>
      <c r="M159" s="5">
        <v>0</v>
      </c>
      <c r="N159" s="4">
        <v>12</v>
      </c>
      <c r="O159" s="5">
        <f t="shared" si="9"/>
        <v>23585.53</v>
      </c>
      <c r="P159" s="5">
        <v>23585.53</v>
      </c>
      <c r="Q159" s="5">
        <v>0</v>
      </c>
      <c r="R159" s="6"/>
    </row>
    <row r="160" spans="1:18" ht="25.5" x14ac:dyDescent="0.25">
      <c r="A160" s="36">
        <f t="shared" si="10"/>
        <v>24</v>
      </c>
      <c r="B160" s="3" t="s">
        <v>182</v>
      </c>
      <c r="C160" s="3" t="s">
        <v>62</v>
      </c>
      <c r="D160" s="3"/>
      <c r="E160" s="3" t="s">
        <v>174</v>
      </c>
      <c r="F160" s="3" t="s">
        <v>183</v>
      </c>
      <c r="G160" s="4" t="s">
        <v>85</v>
      </c>
      <c r="H160" s="4">
        <v>34</v>
      </c>
      <c r="I160" s="4">
        <v>23</v>
      </c>
      <c r="J160" s="4">
        <v>28</v>
      </c>
      <c r="K160" s="5">
        <f t="shared" si="8"/>
        <v>20895.2</v>
      </c>
      <c r="L160" s="5">
        <v>18424.240000000002</v>
      </c>
      <c r="M160" s="5">
        <v>2470.96</v>
      </c>
      <c r="N160" s="4">
        <v>0</v>
      </c>
      <c r="O160" s="5">
        <f t="shared" si="9"/>
        <v>0</v>
      </c>
      <c r="P160" s="5">
        <v>0</v>
      </c>
      <c r="Q160" s="5">
        <v>0</v>
      </c>
      <c r="R160" s="6"/>
    </row>
    <row r="161" spans="1:18" ht="25.5" x14ac:dyDescent="0.25">
      <c r="A161" s="36">
        <f t="shared" si="10"/>
        <v>25</v>
      </c>
      <c r="B161" s="3" t="s">
        <v>137</v>
      </c>
      <c r="C161" s="3" t="s">
        <v>62</v>
      </c>
      <c r="D161" s="3" t="s">
        <v>63</v>
      </c>
      <c r="E161" s="3" t="s">
        <v>78</v>
      </c>
      <c r="F161" s="3" t="s">
        <v>184</v>
      </c>
      <c r="G161" s="4" t="s">
        <v>85</v>
      </c>
      <c r="H161" s="4">
        <v>9</v>
      </c>
      <c r="I161" s="4">
        <v>4</v>
      </c>
      <c r="J161" s="4">
        <v>4</v>
      </c>
      <c r="K161" s="5">
        <f t="shared" si="8"/>
        <v>2678.24</v>
      </c>
      <c r="L161" s="5">
        <v>2678.24</v>
      </c>
      <c r="M161" s="5">
        <v>0</v>
      </c>
      <c r="N161" s="4">
        <v>4</v>
      </c>
      <c r="O161" s="5">
        <f t="shared" si="9"/>
        <v>9148.83</v>
      </c>
      <c r="P161" s="5">
        <v>9148.83</v>
      </c>
      <c r="Q161" s="5">
        <v>0</v>
      </c>
      <c r="R161" s="6"/>
    </row>
    <row r="162" spans="1:18" ht="25.5" x14ac:dyDescent="0.25">
      <c r="A162" s="36">
        <f t="shared" si="10"/>
        <v>26</v>
      </c>
      <c r="B162" s="3" t="s">
        <v>185</v>
      </c>
      <c r="C162" s="3" t="s">
        <v>62</v>
      </c>
      <c r="D162" s="3"/>
      <c r="E162" s="3" t="s">
        <v>186</v>
      </c>
      <c r="F162" s="3" t="s">
        <v>463</v>
      </c>
      <c r="G162" s="4" t="s">
        <v>85</v>
      </c>
      <c r="H162" s="4">
        <v>11</v>
      </c>
      <c r="I162" s="4">
        <v>6</v>
      </c>
      <c r="J162" s="4">
        <v>7</v>
      </c>
      <c r="K162" s="5">
        <f t="shared" si="8"/>
        <v>1409.6</v>
      </c>
      <c r="L162" s="5">
        <v>1409.6</v>
      </c>
      <c r="M162" s="5">
        <v>0</v>
      </c>
      <c r="N162" s="4">
        <v>0</v>
      </c>
      <c r="O162" s="5">
        <f t="shared" si="9"/>
        <v>0</v>
      </c>
      <c r="P162" s="5">
        <v>0</v>
      </c>
      <c r="Q162" s="5">
        <v>0</v>
      </c>
      <c r="R162" s="6"/>
    </row>
    <row r="163" spans="1:18" x14ac:dyDescent="0.25">
      <c r="A163" s="36">
        <f t="shared" si="10"/>
        <v>27</v>
      </c>
      <c r="B163" s="3" t="s">
        <v>27</v>
      </c>
      <c r="C163" s="3" t="s">
        <v>62</v>
      </c>
      <c r="D163" s="3" t="s">
        <v>63</v>
      </c>
      <c r="E163" s="3" t="s">
        <v>74</v>
      </c>
      <c r="F163" s="3" t="s">
        <v>187</v>
      </c>
      <c r="G163" s="4" t="s">
        <v>85</v>
      </c>
      <c r="H163" s="4">
        <v>16</v>
      </c>
      <c r="I163" s="4">
        <v>10</v>
      </c>
      <c r="J163" s="4">
        <v>8</v>
      </c>
      <c r="K163" s="5">
        <f t="shared" si="8"/>
        <v>6454.96</v>
      </c>
      <c r="L163" s="5">
        <v>6454.96</v>
      </c>
      <c r="M163" s="5">
        <v>0</v>
      </c>
      <c r="N163" s="4">
        <v>5</v>
      </c>
      <c r="O163" s="5">
        <f t="shared" si="9"/>
        <v>29814.94</v>
      </c>
      <c r="P163" s="5">
        <v>29814.94</v>
      </c>
      <c r="Q163" s="5">
        <v>0</v>
      </c>
      <c r="R163" s="6"/>
    </row>
    <row r="164" spans="1:18" x14ac:dyDescent="0.25">
      <c r="A164" s="36">
        <f t="shared" si="10"/>
        <v>28</v>
      </c>
      <c r="B164" s="3" t="s">
        <v>601</v>
      </c>
      <c r="C164" s="3" t="s">
        <v>62</v>
      </c>
      <c r="D164" s="3" t="s">
        <v>63</v>
      </c>
      <c r="E164" s="3" t="s">
        <v>366</v>
      </c>
      <c r="F164" s="3" t="s">
        <v>602</v>
      </c>
      <c r="G164" s="4" t="s">
        <v>85</v>
      </c>
      <c r="H164" s="4">
        <v>3</v>
      </c>
      <c r="I164" s="4">
        <v>0</v>
      </c>
      <c r="J164" s="4">
        <v>0</v>
      </c>
      <c r="K164" s="5">
        <f t="shared" si="8"/>
        <v>0</v>
      </c>
      <c r="L164" s="5">
        <v>0</v>
      </c>
      <c r="M164" s="5">
        <v>0</v>
      </c>
      <c r="N164" s="4">
        <v>0</v>
      </c>
      <c r="O164" s="5">
        <f t="shared" si="9"/>
        <v>0</v>
      </c>
      <c r="P164" s="5">
        <v>0</v>
      </c>
      <c r="Q164" s="5">
        <v>0</v>
      </c>
      <c r="R164" s="6"/>
    </row>
    <row r="165" spans="1:18" ht="25.5" x14ac:dyDescent="0.25">
      <c r="A165" s="36">
        <f t="shared" si="10"/>
        <v>29</v>
      </c>
      <c r="B165" s="3" t="s">
        <v>482</v>
      </c>
      <c r="C165" s="3" t="s">
        <v>64</v>
      </c>
      <c r="D165" s="3" t="s">
        <v>483</v>
      </c>
      <c r="E165" s="3" t="s">
        <v>313</v>
      </c>
      <c r="F165" s="3" t="s">
        <v>484</v>
      </c>
      <c r="G165" s="4" t="s">
        <v>85</v>
      </c>
      <c r="H165" s="4">
        <v>10</v>
      </c>
      <c r="I165" s="4">
        <v>0</v>
      </c>
      <c r="J165" s="4">
        <v>0</v>
      </c>
      <c r="K165" s="5">
        <f t="shared" si="8"/>
        <v>0</v>
      </c>
      <c r="L165" s="5">
        <v>0</v>
      </c>
      <c r="M165" s="5">
        <v>0</v>
      </c>
      <c r="N165" s="4">
        <v>0</v>
      </c>
      <c r="O165" s="5">
        <f t="shared" si="9"/>
        <v>0</v>
      </c>
      <c r="P165" s="5">
        <v>0</v>
      </c>
      <c r="Q165" s="5">
        <v>0</v>
      </c>
      <c r="R165" s="6"/>
    </row>
    <row r="166" spans="1:18" ht="25.5" x14ac:dyDescent="0.25">
      <c r="A166" s="36">
        <f t="shared" si="10"/>
        <v>30</v>
      </c>
      <c r="B166" s="3" t="s">
        <v>104</v>
      </c>
      <c r="C166" s="3" t="s">
        <v>62</v>
      </c>
      <c r="D166" s="3" t="s">
        <v>63</v>
      </c>
      <c r="E166" s="3" t="s">
        <v>105</v>
      </c>
      <c r="F166" s="3" t="s">
        <v>188</v>
      </c>
      <c r="G166" s="4" t="s">
        <v>85</v>
      </c>
      <c r="H166" s="4">
        <v>9</v>
      </c>
      <c r="I166" s="4">
        <v>7</v>
      </c>
      <c r="J166" s="4">
        <v>9</v>
      </c>
      <c r="K166" s="5">
        <f t="shared" si="8"/>
        <v>19587.169999999998</v>
      </c>
      <c r="L166" s="5">
        <v>19587.169999999998</v>
      </c>
      <c r="M166" s="5">
        <v>0</v>
      </c>
      <c r="N166" s="4">
        <v>23</v>
      </c>
      <c r="O166" s="5">
        <f t="shared" si="9"/>
        <v>48438</v>
      </c>
      <c r="P166" s="5">
        <f>43574.88+4863.12</f>
        <v>48438</v>
      </c>
      <c r="Q166" s="5">
        <v>0</v>
      </c>
      <c r="R166" s="6"/>
    </row>
    <row r="167" spans="1:18" ht="25.5" x14ac:dyDescent="0.25">
      <c r="A167" s="36">
        <f t="shared" si="10"/>
        <v>31</v>
      </c>
      <c r="B167" s="3" t="s">
        <v>517</v>
      </c>
      <c r="C167" s="3" t="s">
        <v>62</v>
      </c>
      <c r="D167" s="3"/>
      <c r="E167" s="3" t="s">
        <v>239</v>
      </c>
      <c r="F167" s="3" t="s">
        <v>567</v>
      </c>
      <c r="G167" s="4" t="s">
        <v>85</v>
      </c>
      <c r="H167" s="4">
        <v>11</v>
      </c>
      <c r="I167" s="4">
        <v>7</v>
      </c>
      <c r="J167" s="4">
        <v>7</v>
      </c>
      <c r="K167" s="5">
        <f t="shared" si="8"/>
        <v>0</v>
      </c>
      <c r="L167" s="5">
        <v>0</v>
      </c>
      <c r="M167" s="5">
        <v>0</v>
      </c>
      <c r="N167" s="4">
        <v>0</v>
      </c>
      <c r="O167" s="5">
        <f t="shared" si="9"/>
        <v>0</v>
      </c>
      <c r="P167" s="5">
        <v>0</v>
      </c>
      <c r="Q167" s="5">
        <v>0</v>
      </c>
      <c r="R167" s="6"/>
    </row>
    <row r="168" spans="1:18" x14ac:dyDescent="0.25">
      <c r="A168" s="36">
        <f t="shared" si="10"/>
        <v>32</v>
      </c>
      <c r="B168" s="3" t="s">
        <v>28</v>
      </c>
      <c r="C168" s="3" t="s">
        <v>62</v>
      </c>
      <c r="D168" s="3" t="s">
        <v>63</v>
      </c>
      <c r="E168" s="3" t="s">
        <v>74</v>
      </c>
      <c r="F168" s="3" t="s">
        <v>189</v>
      </c>
      <c r="G168" s="4" t="s">
        <v>85</v>
      </c>
      <c r="H168" s="4">
        <v>7</v>
      </c>
      <c r="I168" s="4">
        <v>6</v>
      </c>
      <c r="J168" s="4">
        <v>6</v>
      </c>
      <c r="K168" s="5">
        <f t="shared" si="8"/>
        <v>1004.34</v>
      </c>
      <c r="L168" s="5">
        <v>1004.34</v>
      </c>
      <c r="M168" s="5">
        <v>0</v>
      </c>
      <c r="N168" s="4">
        <v>6</v>
      </c>
      <c r="O168" s="5">
        <f t="shared" si="9"/>
        <v>10985.45</v>
      </c>
      <c r="P168" s="5">
        <v>10985.45</v>
      </c>
      <c r="Q168" s="5">
        <v>0</v>
      </c>
      <c r="R168" s="6"/>
    </row>
    <row r="169" spans="1:18" x14ac:dyDescent="0.25">
      <c r="A169" s="36">
        <f t="shared" si="10"/>
        <v>33</v>
      </c>
      <c r="B169" s="3" t="s">
        <v>190</v>
      </c>
      <c r="C169" s="3" t="s">
        <v>62</v>
      </c>
      <c r="D169" s="3"/>
      <c r="E169" s="3" t="s">
        <v>63</v>
      </c>
      <c r="F169" s="3" t="s">
        <v>191</v>
      </c>
      <c r="G169" s="4" t="s">
        <v>85</v>
      </c>
      <c r="H169" s="4">
        <v>16</v>
      </c>
      <c r="I169" s="4">
        <v>13</v>
      </c>
      <c r="J169" s="4">
        <v>13</v>
      </c>
      <c r="K169" s="5">
        <f t="shared" si="8"/>
        <v>10947.630000000001</v>
      </c>
      <c r="L169" s="5">
        <v>7428.02</v>
      </c>
      <c r="M169" s="5">
        <v>3519.61</v>
      </c>
      <c r="N169" s="4">
        <v>0</v>
      </c>
      <c r="O169" s="5">
        <f t="shared" si="9"/>
        <v>0</v>
      </c>
      <c r="P169" s="5">
        <v>0</v>
      </c>
      <c r="Q169" s="5">
        <v>0</v>
      </c>
      <c r="R169" s="6"/>
    </row>
    <row r="170" spans="1:18" ht="38.25" x14ac:dyDescent="0.25">
      <c r="A170" s="36">
        <f t="shared" si="10"/>
        <v>34</v>
      </c>
      <c r="B170" s="3" t="s">
        <v>192</v>
      </c>
      <c r="C170" s="3" t="s">
        <v>64</v>
      </c>
      <c r="D170" s="3" t="s">
        <v>193</v>
      </c>
      <c r="E170" s="3" t="s">
        <v>74</v>
      </c>
      <c r="F170" s="3" t="s">
        <v>194</v>
      </c>
      <c r="G170" s="4" t="s">
        <v>85</v>
      </c>
      <c r="H170" s="4">
        <v>1</v>
      </c>
      <c r="I170" s="4">
        <v>0</v>
      </c>
      <c r="J170" s="4">
        <v>0</v>
      </c>
      <c r="K170" s="5">
        <f t="shared" si="8"/>
        <v>0</v>
      </c>
      <c r="L170" s="5">
        <v>0</v>
      </c>
      <c r="M170" s="5">
        <v>0</v>
      </c>
      <c r="N170" s="4">
        <v>0</v>
      </c>
      <c r="O170" s="5">
        <f t="shared" si="9"/>
        <v>0</v>
      </c>
      <c r="P170" s="5">
        <v>0</v>
      </c>
      <c r="Q170" s="5">
        <v>0</v>
      </c>
      <c r="R170" s="6"/>
    </row>
    <row r="171" spans="1:18" x14ac:dyDescent="0.25">
      <c r="A171" s="36">
        <f t="shared" si="10"/>
        <v>35</v>
      </c>
      <c r="B171" s="3" t="s">
        <v>89</v>
      </c>
      <c r="C171" s="3" t="s">
        <v>62</v>
      </c>
      <c r="D171" s="3" t="s">
        <v>63</v>
      </c>
      <c r="E171" s="3" t="s">
        <v>74</v>
      </c>
      <c r="F171" s="3" t="s">
        <v>195</v>
      </c>
      <c r="G171" s="4" t="s">
        <v>85</v>
      </c>
      <c r="H171" s="4">
        <v>30</v>
      </c>
      <c r="I171" s="4">
        <v>25</v>
      </c>
      <c r="J171" s="4">
        <v>27</v>
      </c>
      <c r="K171" s="5">
        <f t="shared" si="8"/>
        <v>15670.88</v>
      </c>
      <c r="L171" s="5">
        <v>15670.88</v>
      </c>
      <c r="M171" s="5">
        <v>0</v>
      </c>
      <c r="N171" s="4">
        <v>6</v>
      </c>
      <c r="O171" s="5">
        <f t="shared" si="9"/>
        <v>32869.550000000003</v>
      </c>
      <c r="P171" s="5">
        <v>32869.550000000003</v>
      </c>
      <c r="Q171" s="5">
        <v>0</v>
      </c>
      <c r="R171" s="6"/>
    </row>
    <row r="172" spans="1:18" ht="25.5" x14ac:dyDescent="0.25">
      <c r="A172" s="36">
        <f t="shared" si="10"/>
        <v>36</v>
      </c>
      <c r="B172" s="3" t="s">
        <v>196</v>
      </c>
      <c r="C172" s="3" t="s">
        <v>62</v>
      </c>
      <c r="D172" s="3"/>
      <c r="E172" s="3" t="s">
        <v>197</v>
      </c>
      <c r="F172" s="3" t="s">
        <v>198</v>
      </c>
      <c r="G172" s="4" t="s">
        <v>85</v>
      </c>
      <c r="H172" s="4">
        <v>19</v>
      </c>
      <c r="I172" s="4">
        <v>16</v>
      </c>
      <c r="J172" s="4">
        <v>16</v>
      </c>
      <c r="K172" s="5">
        <f t="shared" si="8"/>
        <v>7931</v>
      </c>
      <c r="L172" s="5">
        <v>7931</v>
      </c>
      <c r="M172" s="5">
        <v>0</v>
      </c>
      <c r="N172" s="4">
        <v>0</v>
      </c>
      <c r="O172" s="5">
        <f t="shared" si="9"/>
        <v>0</v>
      </c>
      <c r="P172" s="5">
        <v>0</v>
      </c>
      <c r="Q172" s="5">
        <v>0</v>
      </c>
      <c r="R172" s="6"/>
    </row>
    <row r="173" spans="1:18" x14ac:dyDescent="0.25">
      <c r="A173" s="36">
        <f t="shared" si="10"/>
        <v>37</v>
      </c>
      <c r="B173" s="3" t="s">
        <v>106</v>
      </c>
      <c r="C173" s="3" t="s">
        <v>62</v>
      </c>
      <c r="D173" s="3" t="s">
        <v>63</v>
      </c>
      <c r="E173" s="3" t="s">
        <v>74</v>
      </c>
      <c r="F173" s="3" t="s">
        <v>199</v>
      </c>
      <c r="G173" s="4" t="s">
        <v>85</v>
      </c>
      <c r="H173" s="4">
        <v>41</v>
      </c>
      <c r="I173" s="4">
        <v>35</v>
      </c>
      <c r="J173" s="4">
        <v>44</v>
      </c>
      <c r="K173" s="5">
        <f t="shared" si="8"/>
        <v>38286.080000000002</v>
      </c>
      <c r="L173" s="5">
        <v>38286.080000000002</v>
      </c>
      <c r="M173" s="5">
        <v>0</v>
      </c>
      <c r="N173" s="4">
        <v>26</v>
      </c>
      <c r="O173" s="5">
        <f t="shared" si="9"/>
        <v>122226.76</v>
      </c>
      <c r="P173" s="5">
        <v>122226.76</v>
      </c>
      <c r="Q173" s="5">
        <v>0</v>
      </c>
      <c r="R173" s="6"/>
    </row>
    <row r="174" spans="1:18" x14ac:dyDescent="0.25">
      <c r="A174" s="36">
        <f t="shared" si="10"/>
        <v>38</v>
      </c>
      <c r="B174" s="3" t="s">
        <v>107</v>
      </c>
      <c r="C174" s="3" t="s">
        <v>62</v>
      </c>
      <c r="D174" s="3" t="s">
        <v>63</v>
      </c>
      <c r="E174" s="3" t="s">
        <v>74</v>
      </c>
      <c r="F174" s="3" t="s">
        <v>138</v>
      </c>
      <c r="G174" s="4" t="s">
        <v>85</v>
      </c>
      <c r="H174" s="4">
        <v>2</v>
      </c>
      <c r="I174" s="4">
        <v>0</v>
      </c>
      <c r="J174" s="4">
        <v>0</v>
      </c>
      <c r="K174" s="5">
        <f t="shared" si="8"/>
        <v>0</v>
      </c>
      <c r="L174" s="5">
        <v>0</v>
      </c>
      <c r="M174" s="5">
        <v>0</v>
      </c>
      <c r="N174" s="4">
        <v>0</v>
      </c>
      <c r="O174" s="5">
        <f t="shared" si="9"/>
        <v>0</v>
      </c>
      <c r="P174" s="5">
        <v>0</v>
      </c>
      <c r="Q174" s="5">
        <v>0</v>
      </c>
      <c r="R174" s="6"/>
    </row>
    <row r="175" spans="1:18" x14ac:dyDescent="0.25">
      <c r="A175" s="36">
        <f t="shared" si="10"/>
        <v>39</v>
      </c>
      <c r="B175" s="3" t="s">
        <v>29</v>
      </c>
      <c r="C175" s="3" t="s">
        <v>62</v>
      </c>
      <c r="D175" s="3" t="s">
        <v>63</v>
      </c>
      <c r="E175" s="3" t="s">
        <v>74</v>
      </c>
      <c r="F175" s="3" t="s">
        <v>200</v>
      </c>
      <c r="G175" s="4" t="s">
        <v>85</v>
      </c>
      <c r="H175" s="4">
        <v>26</v>
      </c>
      <c r="I175" s="4">
        <v>19</v>
      </c>
      <c r="J175" s="4">
        <v>28</v>
      </c>
      <c r="K175" s="5">
        <f t="shared" si="8"/>
        <v>38092.21</v>
      </c>
      <c r="L175" s="5">
        <v>38092.21</v>
      </c>
      <c r="M175" s="5">
        <v>0</v>
      </c>
      <c r="N175" s="4">
        <v>17</v>
      </c>
      <c r="O175" s="5">
        <f t="shared" si="9"/>
        <v>27388.87</v>
      </c>
      <c r="P175" s="5">
        <v>27388.87</v>
      </c>
      <c r="Q175" s="5">
        <v>0</v>
      </c>
      <c r="R175" s="6"/>
    </row>
    <row r="176" spans="1:18" x14ac:dyDescent="0.25">
      <c r="A176" s="36">
        <f t="shared" si="10"/>
        <v>40</v>
      </c>
      <c r="B176" s="3" t="s">
        <v>201</v>
      </c>
      <c r="C176" s="3" t="s">
        <v>67</v>
      </c>
      <c r="D176" s="3" t="s">
        <v>485</v>
      </c>
      <c r="E176" s="3" t="s">
        <v>74</v>
      </c>
      <c r="F176" s="3" t="s">
        <v>202</v>
      </c>
      <c r="G176" s="4" t="s">
        <v>85</v>
      </c>
      <c r="H176" s="4">
        <v>20</v>
      </c>
      <c r="I176" s="4">
        <v>13</v>
      </c>
      <c r="J176" s="4">
        <v>13</v>
      </c>
      <c r="K176" s="5">
        <f t="shared" si="8"/>
        <v>12613.22</v>
      </c>
      <c r="L176" s="5">
        <v>12613.22</v>
      </c>
      <c r="M176" s="5">
        <v>0</v>
      </c>
      <c r="N176" s="4">
        <v>1</v>
      </c>
      <c r="O176" s="5">
        <f t="shared" si="9"/>
        <v>1717.95</v>
      </c>
      <c r="P176" s="5">
        <v>1717.95</v>
      </c>
      <c r="Q176" s="5">
        <v>0</v>
      </c>
      <c r="R176" s="6"/>
    </row>
    <row r="177" spans="1:18" x14ac:dyDescent="0.25">
      <c r="A177" s="36">
        <f t="shared" si="10"/>
        <v>41</v>
      </c>
      <c r="B177" s="3" t="s">
        <v>95</v>
      </c>
      <c r="C177" s="3" t="s">
        <v>62</v>
      </c>
      <c r="D177" s="3" t="s">
        <v>63</v>
      </c>
      <c r="E177" s="3" t="s">
        <v>74</v>
      </c>
      <c r="F177" s="3" t="s">
        <v>161</v>
      </c>
      <c r="G177" s="4" t="s">
        <v>85</v>
      </c>
      <c r="H177" s="4">
        <v>38</v>
      </c>
      <c r="I177" s="4">
        <v>31</v>
      </c>
      <c r="J177" s="4">
        <v>40</v>
      </c>
      <c r="K177" s="5">
        <f t="shared" si="8"/>
        <v>57829.71</v>
      </c>
      <c r="L177" s="5">
        <v>46387.11</v>
      </c>
      <c r="M177" s="5">
        <v>11442.6</v>
      </c>
      <c r="N177" s="4">
        <v>23</v>
      </c>
      <c r="O177" s="5">
        <f t="shared" si="9"/>
        <v>82085.72</v>
      </c>
      <c r="P177" s="5">
        <v>74616.39</v>
      </c>
      <c r="Q177" s="5">
        <v>7469.33</v>
      </c>
      <c r="R177" s="6"/>
    </row>
    <row r="178" spans="1:18" ht="25.5" x14ac:dyDescent="0.25">
      <c r="A178" s="36">
        <f t="shared" si="10"/>
        <v>42</v>
      </c>
      <c r="B178" s="3" t="s">
        <v>30</v>
      </c>
      <c r="C178" s="3" t="s">
        <v>62</v>
      </c>
      <c r="D178" s="3" t="s">
        <v>63</v>
      </c>
      <c r="E178" s="3" t="s">
        <v>203</v>
      </c>
      <c r="F178" s="3" t="s">
        <v>204</v>
      </c>
      <c r="G178" s="4" t="s">
        <v>85</v>
      </c>
      <c r="H178" s="4">
        <v>20</v>
      </c>
      <c r="I178" s="4">
        <v>15</v>
      </c>
      <c r="J178" s="4">
        <v>22</v>
      </c>
      <c r="K178" s="5">
        <f t="shared" si="8"/>
        <v>57859.77</v>
      </c>
      <c r="L178" s="5">
        <v>45204.14</v>
      </c>
      <c r="M178" s="5">
        <v>12655.63</v>
      </c>
      <c r="N178" s="4">
        <v>19</v>
      </c>
      <c r="O178" s="5">
        <f t="shared" si="9"/>
        <v>67008.86</v>
      </c>
      <c r="P178" s="5">
        <f>52499.71-2054.38</f>
        <v>50445.33</v>
      </c>
      <c r="Q178" s="5">
        <f>16563.52+0.01</f>
        <v>16563.53</v>
      </c>
      <c r="R178" s="6"/>
    </row>
    <row r="179" spans="1:18" x14ac:dyDescent="0.25">
      <c r="A179" s="36">
        <f t="shared" si="10"/>
        <v>43</v>
      </c>
      <c r="B179" s="3" t="s">
        <v>31</v>
      </c>
      <c r="C179" s="3" t="s">
        <v>62</v>
      </c>
      <c r="D179" s="3" t="s">
        <v>63</v>
      </c>
      <c r="E179" s="3" t="s">
        <v>74</v>
      </c>
      <c r="F179" s="3" t="s">
        <v>206</v>
      </c>
      <c r="G179" s="4" t="s">
        <v>85</v>
      </c>
      <c r="H179" s="4">
        <v>47</v>
      </c>
      <c r="I179" s="4">
        <v>33</v>
      </c>
      <c r="J179" s="4">
        <v>42</v>
      </c>
      <c r="K179" s="5">
        <f t="shared" si="8"/>
        <v>87971.77</v>
      </c>
      <c r="L179" s="5">
        <v>87971.77</v>
      </c>
      <c r="M179" s="5">
        <v>0</v>
      </c>
      <c r="N179" s="4">
        <v>20</v>
      </c>
      <c r="O179" s="5">
        <f t="shared" si="9"/>
        <v>85171.839999999997</v>
      </c>
      <c r="P179" s="5">
        <f>78330.05+1234.31</f>
        <v>79564.36</v>
      </c>
      <c r="Q179" s="5">
        <f>6841.79-1234.31</f>
        <v>5607.48</v>
      </c>
      <c r="R179" s="6"/>
    </row>
    <row r="180" spans="1:18" ht="25.5" x14ac:dyDescent="0.25">
      <c r="A180" s="36">
        <f t="shared" si="10"/>
        <v>44</v>
      </c>
      <c r="B180" s="3" t="s">
        <v>605</v>
      </c>
      <c r="C180" s="3" t="s">
        <v>62</v>
      </c>
      <c r="D180" s="3" t="s">
        <v>63</v>
      </c>
      <c r="E180" s="3" t="s">
        <v>108</v>
      </c>
      <c r="F180" s="3" t="s">
        <v>619</v>
      </c>
      <c r="G180" s="4" t="s">
        <v>85</v>
      </c>
      <c r="H180" s="4">
        <v>1</v>
      </c>
      <c r="I180" s="4">
        <v>0</v>
      </c>
      <c r="J180" s="4">
        <v>0</v>
      </c>
      <c r="K180" s="5">
        <f t="shared" si="8"/>
        <v>0</v>
      </c>
      <c r="L180" s="5">
        <v>0</v>
      </c>
      <c r="M180" s="5">
        <v>0</v>
      </c>
      <c r="N180" s="4">
        <v>0</v>
      </c>
      <c r="O180" s="5">
        <f t="shared" si="9"/>
        <v>1200.69</v>
      </c>
      <c r="P180" s="5">
        <v>1200.69</v>
      </c>
      <c r="Q180" s="5">
        <v>0</v>
      </c>
      <c r="R180" s="6"/>
    </row>
    <row r="181" spans="1:18" ht="51" x14ac:dyDescent="0.25">
      <c r="A181" s="36">
        <f t="shared" si="10"/>
        <v>45</v>
      </c>
      <c r="B181" s="3" t="s">
        <v>90</v>
      </c>
      <c r="C181" s="3" t="s">
        <v>62</v>
      </c>
      <c r="D181" s="3" t="s">
        <v>63</v>
      </c>
      <c r="E181" s="3" t="s">
        <v>205</v>
      </c>
      <c r="F181" s="3" t="s">
        <v>464</v>
      </c>
      <c r="G181" s="4" t="s">
        <v>85</v>
      </c>
      <c r="H181" s="4">
        <v>18</v>
      </c>
      <c r="I181" s="4">
        <v>13</v>
      </c>
      <c r="J181" s="4">
        <v>19</v>
      </c>
      <c r="K181" s="5">
        <f t="shared" si="8"/>
        <v>12138.06</v>
      </c>
      <c r="L181" s="5">
        <v>12138.06</v>
      </c>
      <c r="M181" s="5">
        <v>0</v>
      </c>
      <c r="N181" s="4">
        <v>17</v>
      </c>
      <c r="O181" s="5">
        <f t="shared" si="9"/>
        <v>23475.1</v>
      </c>
      <c r="P181" s="5">
        <v>23475.1</v>
      </c>
      <c r="Q181" s="5">
        <v>0</v>
      </c>
      <c r="R181" s="6"/>
    </row>
    <row r="182" spans="1:18" x14ac:dyDescent="0.25">
      <c r="A182" s="36">
        <f t="shared" si="10"/>
        <v>46</v>
      </c>
      <c r="B182" s="3" t="s">
        <v>91</v>
      </c>
      <c r="C182" s="3" t="s">
        <v>62</v>
      </c>
      <c r="D182" s="3" t="s">
        <v>63</v>
      </c>
      <c r="E182" s="3" t="s">
        <v>63</v>
      </c>
      <c r="F182" s="3" t="s">
        <v>208</v>
      </c>
      <c r="G182" s="4" t="s">
        <v>85</v>
      </c>
      <c r="H182" s="4">
        <v>15</v>
      </c>
      <c r="I182" s="4">
        <v>11</v>
      </c>
      <c r="J182" s="4">
        <v>11</v>
      </c>
      <c r="K182" s="5">
        <f t="shared" si="8"/>
        <v>5992.57</v>
      </c>
      <c r="L182" s="5">
        <v>5992.57</v>
      </c>
      <c r="M182" s="5">
        <v>0</v>
      </c>
      <c r="N182" s="4">
        <v>2</v>
      </c>
      <c r="O182" s="5">
        <f t="shared" si="9"/>
        <v>17381.23</v>
      </c>
      <c r="P182" s="5">
        <v>17381.23</v>
      </c>
      <c r="Q182" s="5">
        <v>0</v>
      </c>
      <c r="R182" s="6"/>
    </row>
    <row r="183" spans="1:18" x14ac:dyDescent="0.25">
      <c r="A183" s="36">
        <f t="shared" si="10"/>
        <v>47</v>
      </c>
      <c r="B183" s="3" t="s">
        <v>33</v>
      </c>
      <c r="C183" s="3" t="s">
        <v>62</v>
      </c>
      <c r="D183" s="3" t="s">
        <v>63</v>
      </c>
      <c r="E183" s="3" t="s">
        <v>74</v>
      </c>
      <c r="F183" s="3" t="s">
        <v>209</v>
      </c>
      <c r="G183" s="4" t="s">
        <v>85</v>
      </c>
      <c r="H183" s="4">
        <v>36</v>
      </c>
      <c r="I183" s="4">
        <v>27</v>
      </c>
      <c r="J183" s="4">
        <v>36</v>
      </c>
      <c r="K183" s="5">
        <f t="shared" si="8"/>
        <v>31117.84</v>
      </c>
      <c r="L183" s="5">
        <v>31117.84</v>
      </c>
      <c r="M183" s="5">
        <v>0</v>
      </c>
      <c r="N183" s="4">
        <v>37</v>
      </c>
      <c r="O183" s="5">
        <f t="shared" si="9"/>
        <v>98292.800000000003</v>
      </c>
      <c r="P183" s="5">
        <f>81981.71+16311.09</f>
        <v>98292.800000000003</v>
      </c>
      <c r="Q183" s="5">
        <v>0</v>
      </c>
      <c r="R183" s="6"/>
    </row>
    <row r="184" spans="1:18" x14ac:dyDescent="0.25">
      <c r="A184" s="36">
        <f t="shared" si="10"/>
        <v>48</v>
      </c>
      <c r="B184" s="3" t="s">
        <v>32</v>
      </c>
      <c r="C184" s="3" t="s">
        <v>62</v>
      </c>
      <c r="D184" s="3" t="s">
        <v>63</v>
      </c>
      <c r="E184" s="3" t="s">
        <v>74</v>
      </c>
      <c r="F184" s="3" t="s">
        <v>207</v>
      </c>
      <c r="G184" s="4" t="s">
        <v>85</v>
      </c>
      <c r="H184" s="4">
        <v>43</v>
      </c>
      <c r="I184" s="4">
        <v>32</v>
      </c>
      <c r="J184" s="4">
        <v>35</v>
      </c>
      <c r="K184" s="5">
        <f t="shared" si="8"/>
        <v>19498.47</v>
      </c>
      <c r="L184" s="5">
        <v>19498.47</v>
      </c>
      <c r="M184" s="5">
        <v>0</v>
      </c>
      <c r="N184" s="4">
        <v>33</v>
      </c>
      <c r="O184" s="5">
        <f t="shared" si="9"/>
        <v>89431.18</v>
      </c>
      <c r="P184" s="5">
        <v>89431.18</v>
      </c>
      <c r="Q184" s="5">
        <v>0</v>
      </c>
      <c r="R184" s="6"/>
    </row>
    <row r="185" spans="1:18" ht="25.5" x14ac:dyDescent="0.25">
      <c r="A185" s="36">
        <f t="shared" si="10"/>
        <v>49</v>
      </c>
      <c r="B185" s="3" t="s">
        <v>541</v>
      </c>
      <c r="C185" s="3" t="s">
        <v>62</v>
      </c>
      <c r="D185" s="3"/>
      <c r="E185" s="3" t="s">
        <v>177</v>
      </c>
      <c r="F185" s="3" t="s">
        <v>542</v>
      </c>
      <c r="G185" s="4" t="s">
        <v>85</v>
      </c>
      <c r="H185" s="4">
        <v>19</v>
      </c>
      <c r="I185" s="4">
        <v>12</v>
      </c>
      <c r="J185" s="4">
        <v>16</v>
      </c>
      <c r="K185" s="5">
        <f t="shared" si="8"/>
        <v>1431.63</v>
      </c>
      <c r="L185" s="5">
        <v>1431.63</v>
      </c>
      <c r="M185" s="5">
        <v>0</v>
      </c>
      <c r="N185" s="4">
        <v>0</v>
      </c>
      <c r="O185" s="5">
        <f t="shared" si="9"/>
        <v>0</v>
      </c>
      <c r="P185" s="5">
        <v>0</v>
      </c>
      <c r="Q185" s="5">
        <v>0</v>
      </c>
      <c r="R185" s="6"/>
    </row>
    <row r="186" spans="1:18" x14ac:dyDescent="0.25">
      <c r="A186" s="36">
        <f t="shared" si="10"/>
        <v>50</v>
      </c>
      <c r="B186" s="3" t="s">
        <v>34</v>
      </c>
      <c r="C186" s="3" t="s">
        <v>62</v>
      </c>
      <c r="D186" s="3" t="s">
        <v>63</v>
      </c>
      <c r="E186" s="3" t="s">
        <v>74</v>
      </c>
      <c r="F186" s="3" t="s">
        <v>211</v>
      </c>
      <c r="G186" s="4" t="s">
        <v>85</v>
      </c>
      <c r="H186" s="4">
        <v>18</v>
      </c>
      <c r="I186" s="4">
        <v>9</v>
      </c>
      <c r="J186" s="4">
        <v>9</v>
      </c>
      <c r="K186" s="5">
        <f t="shared" si="8"/>
        <v>4532.5200000000004</v>
      </c>
      <c r="L186" s="5">
        <v>4532.5200000000004</v>
      </c>
      <c r="M186" s="5">
        <v>0</v>
      </c>
      <c r="N186" s="4">
        <v>24</v>
      </c>
      <c r="O186" s="5">
        <f t="shared" si="9"/>
        <v>94507.1</v>
      </c>
      <c r="P186" s="5">
        <v>94507.1</v>
      </c>
      <c r="Q186" s="5">
        <v>0</v>
      </c>
      <c r="R186" s="6"/>
    </row>
    <row r="187" spans="1:18" ht="25.5" x14ac:dyDescent="0.25">
      <c r="A187" s="36">
        <f t="shared" si="10"/>
        <v>51</v>
      </c>
      <c r="B187" s="3" t="s">
        <v>154</v>
      </c>
      <c r="C187" s="3" t="s">
        <v>62</v>
      </c>
      <c r="D187" s="3" t="s">
        <v>63</v>
      </c>
      <c r="E187" s="3" t="s">
        <v>72</v>
      </c>
      <c r="F187" s="3" t="s">
        <v>212</v>
      </c>
      <c r="G187" s="4" t="s">
        <v>85</v>
      </c>
      <c r="H187" s="4">
        <v>6</v>
      </c>
      <c r="I187" s="4">
        <v>2</v>
      </c>
      <c r="J187" s="4">
        <v>2</v>
      </c>
      <c r="K187" s="5">
        <f t="shared" si="8"/>
        <v>0</v>
      </c>
      <c r="L187" s="5">
        <v>0</v>
      </c>
      <c r="M187" s="5">
        <v>0</v>
      </c>
      <c r="N187" s="4">
        <v>2</v>
      </c>
      <c r="O187" s="5">
        <f t="shared" si="9"/>
        <v>4636.17</v>
      </c>
      <c r="P187" s="5">
        <v>4636.17</v>
      </c>
      <c r="Q187" s="5">
        <v>0</v>
      </c>
      <c r="R187" s="6"/>
    </row>
    <row r="188" spans="1:18" x14ac:dyDescent="0.25">
      <c r="A188" s="36">
        <f t="shared" si="10"/>
        <v>52</v>
      </c>
      <c r="B188" s="3" t="s">
        <v>153</v>
      </c>
      <c r="C188" s="3" t="s">
        <v>62</v>
      </c>
      <c r="D188" s="3" t="s">
        <v>63</v>
      </c>
      <c r="E188" s="3" t="s">
        <v>74</v>
      </c>
      <c r="F188" s="3" t="s">
        <v>210</v>
      </c>
      <c r="G188" s="4" t="s">
        <v>85</v>
      </c>
      <c r="H188" s="4">
        <v>0</v>
      </c>
      <c r="I188" s="4">
        <v>0</v>
      </c>
      <c r="J188" s="4">
        <v>0</v>
      </c>
      <c r="K188" s="5">
        <f t="shared" si="8"/>
        <v>0</v>
      </c>
      <c r="L188" s="5">
        <v>0</v>
      </c>
      <c r="M188" s="5">
        <v>0</v>
      </c>
      <c r="N188" s="4">
        <v>3</v>
      </c>
      <c r="O188" s="5">
        <f t="shared" si="9"/>
        <v>27274.93</v>
      </c>
      <c r="P188" s="5">
        <f>17789.33+9485.6</f>
        <v>27274.93</v>
      </c>
      <c r="Q188" s="5">
        <v>0</v>
      </c>
      <c r="R188" s="6"/>
    </row>
    <row r="189" spans="1:18" x14ac:dyDescent="0.25">
      <c r="A189" s="36">
        <f t="shared" si="10"/>
        <v>53</v>
      </c>
      <c r="B189" s="3" t="s">
        <v>109</v>
      </c>
      <c r="C189" s="3" t="s">
        <v>62</v>
      </c>
      <c r="D189" s="3" t="s">
        <v>63</v>
      </c>
      <c r="E189" s="3" t="s">
        <v>74</v>
      </c>
      <c r="F189" s="3" t="s">
        <v>213</v>
      </c>
      <c r="G189" s="4" t="s">
        <v>85</v>
      </c>
      <c r="H189" s="4">
        <v>0</v>
      </c>
      <c r="I189" s="4">
        <v>0</v>
      </c>
      <c r="J189" s="4">
        <v>0</v>
      </c>
      <c r="K189" s="5">
        <f t="shared" si="8"/>
        <v>0</v>
      </c>
      <c r="L189" s="5">
        <v>0</v>
      </c>
      <c r="M189" s="5">
        <v>0</v>
      </c>
      <c r="N189" s="4">
        <v>2</v>
      </c>
      <c r="O189" s="5">
        <f t="shared" si="9"/>
        <v>3812.68</v>
      </c>
      <c r="P189" s="5">
        <v>0</v>
      </c>
      <c r="Q189" s="5">
        <v>3812.68</v>
      </c>
      <c r="R189" s="6"/>
    </row>
    <row r="190" spans="1:18" x14ac:dyDescent="0.25">
      <c r="A190" s="36">
        <f t="shared" si="10"/>
        <v>54</v>
      </c>
      <c r="B190" s="3" t="s">
        <v>110</v>
      </c>
      <c r="C190" s="3" t="s">
        <v>62</v>
      </c>
      <c r="D190" s="3" t="s">
        <v>63</v>
      </c>
      <c r="E190" s="3" t="s">
        <v>74</v>
      </c>
      <c r="F190" s="3" t="s">
        <v>214</v>
      </c>
      <c r="G190" s="4" t="s">
        <v>85</v>
      </c>
      <c r="H190" s="4">
        <v>0</v>
      </c>
      <c r="I190" s="4">
        <v>0</v>
      </c>
      <c r="J190" s="4">
        <v>0</v>
      </c>
      <c r="K190" s="5">
        <f t="shared" si="8"/>
        <v>0</v>
      </c>
      <c r="L190" s="5">
        <v>0</v>
      </c>
      <c r="M190" s="5">
        <v>0</v>
      </c>
      <c r="N190" s="4">
        <v>0</v>
      </c>
      <c r="O190" s="5">
        <f t="shared" si="9"/>
        <v>12489.14</v>
      </c>
      <c r="P190" s="5">
        <v>12489.14</v>
      </c>
      <c r="Q190" s="5">
        <v>0</v>
      </c>
      <c r="R190" s="6"/>
    </row>
    <row r="191" spans="1:18" x14ac:dyDescent="0.25">
      <c r="A191" s="36">
        <f t="shared" si="10"/>
        <v>55</v>
      </c>
      <c r="B191" s="3" t="s">
        <v>111</v>
      </c>
      <c r="C191" s="3" t="s">
        <v>112</v>
      </c>
      <c r="D191" s="3" t="s">
        <v>113</v>
      </c>
      <c r="E191" s="3" t="s">
        <v>63</v>
      </c>
      <c r="F191" s="3" t="s">
        <v>139</v>
      </c>
      <c r="G191" s="4" t="s">
        <v>85</v>
      </c>
      <c r="H191" s="4">
        <v>1</v>
      </c>
      <c r="I191" s="4">
        <v>0</v>
      </c>
      <c r="J191" s="4">
        <v>0</v>
      </c>
      <c r="K191" s="5">
        <f t="shared" si="8"/>
        <v>0</v>
      </c>
      <c r="L191" s="5">
        <v>0</v>
      </c>
      <c r="M191" s="5">
        <v>0</v>
      </c>
      <c r="N191" s="4">
        <v>0</v>
      </c>
      <c r="O191" s="5">
        <f t="shared" si="9"/>
        <v>0</v>
      </c>
      <c r="P191" s="5">
        <v>0</v>
      </c>
      <c r="Q191" s="5">
        <v>0</v>
      </c>
      <c r="R191" s="6"/>
    </row>
    <row r="192" spans="1:18" ht="25.5" x14ac:dyDescent="0.25">
      <c r="A192" s="36">
        <f t="shared" si="10"/>
        <v>56</v>
      </c>
      <c r="B192" s="3" t="s">
        <v>570</v>
      </c>
      <c r="C192" s="3" t="s">
        <v>611</v>
      </c>
      <c r="D192" s="3" t="s">
        <v>611</v>
      </c>
      <c r="E192" s="3" t="s">
        <v>223</v>
      </c>
      <c r="F192" s="3" t="s">
        <v>63</v>
      </c>
      <c r="G192" s="4" t="s">
        <v>85</v>
      </c>
      <c r="H192" s="4">
        <v>2</v>
      </c>
      <c r="I192" s="4">
        <v>0</v>
      </c>
      <c r="J192" s="4">
        <v>0</v>
      </c>
      <c r="K192" s="5">
        <f t="shared" si="8"/>
        <v>0</v>
      </c>
      <c r="L192" s="5">
        <v>0</v>
      </c>
      <c r="M192" s="5">
        <v>0</v>
      </c>
      <c r="N192" s="4">
        <v>0</v>
      </c>
      <c r="O192" s="5">
        <f t="shared" si="9"/>
        <v>0</v>
      </c>
      <c r="P192" s="5">
        <v>0</v>
      </c>
      <c r="Q192" s="5">
        <v>0</v>
      </c>
      <c r="R192" s="6"/>
    </row>
    <row r="193" spans="1:18" x14ac:dyDescent="0.25">
      <c r="A193" s="36">
        <f t="shared" si="10"/>
        <v>57</v>
      </c>
      <c r="B193" s="3" t="s">
        <v>92</v>
      </c>
      <c r="C193" s="3" t="s">
        <v>62</v>
      </c>
      <c r="D193" s="3" t="s">
        <v>63</v>
      </c>
      <c r="E193" s="3" t="s">
        <v>74</v>
      </c>
      <c r="F193" s="3" t="s">
        <v>215</v>
      </c>
      <c r="G193" s="4" t="s">
        <v>85</v>
      </c>
      <c r="H193" s="4">
        <v>31</v>
      </c>
      <c r="I193" s="4">
        <v>26</v>
      </c>
      <c r="J193" s="4">
        <v>33</v>
      </c>
      <c r="K193" s="5">
        <f t="shared" si="8"/>
        <v>44523.09</v>
      </c>
      <c r="L193" s="5">
        <v>44523.09</v>
      </c>
      <c r="M193" s="5">
        <v>0</v>
      </c>
      <c r="N193" s="4">
        <v>12</v>
      </c>
      <c r="O193" s="5">
        <f t="shared" si="9"/>
        <v>26998.26</v>
      </c>
      <c r="P193" s="5">
        <v>26998.26</v>
      </c>
      <c r="Q193" s="5">
        <v>0</v>
      </c>
      <c r="R193" s="6"/>
    </row>
    <row r="194" spans="1:18" ht="25.5" x14ac:dyDescent="0.25">
      <c r="A194" s="36">
        <f t="shared" si="10"/>
        <v>58</v>
      </c>
      <c r="B194" s="3" t="s">
        <v>216</v>
      </c>
      <c r="C194" s="3" t="s">
        <v>67</v>
      </c>
      <c r="D194" s="3" t="s">
        <v>436</v>
      </c>
      <c r="E194" s="3" t="s">
        <v>217</v>
      </c>
      <c r="F194" s="3" t="s">
        <v>218</v>
      </c>
      <c r="G194" s="4" t="s">
        <v>85</v>
      </c>
      <c r="H194" s="4">
        <v>13</v>
      </c>
      <c r="I194" s="4">
        <v>8</v>
      </c>
      <c r="J194" s="4">
        <v>8</v>
      </c>
      <c r="K194" s="5">
        <f t="shared" si="8"/>
        <v>5844.73</v>
      </c>
      <c r="L194" s="5">
        <v>5844.73</v>
      </c>
      <c r="M194" s="5">
        <v>0</v>
      </c>
      <c r="N194" s="4">
        <v>0</v>
      </c>
      <c r="O194" s="5">
        <f t="shared" si="9"/>
        <v>0</v>
      </c>
      <c r="P194" s="5">
        <v>0</v>
      </c>
      <c r="Q194" s="5">
        <v>0</v>
      </c>
      <c r="R194" s="6"/>
    </row>
    <row r="195" spans="1:18" ht="25.5" x14ac:dyDescent="0.25">
      <c r="A195" s="36">
        <f t="shared" si="10"/>
        <v>59</v>
      </c>
      <c r="B195" s="3" t="s">
        <v>35</v>
      </c>
      <c r="C195" s="3" t="s">
        <v>62</v>
      </c>
      <c r="D195" s="3" t="s">
        <v>63</v>
      </c>
      <c r="E195" s="3" t="s">
        <v>219</v>
      </c>
      <c r="F195" s="3" t="s">
        <v>220</v>
      </c>
      <c r="G195" s="4" t="s">
        <v>85</v>
      </c>
      <c r="H195" s="4">
        <v>48</v>
      </c>
      <c r="I195" s="4">
        <v>40</v>
      </c>
      <c r="J195" s="4">
        <v>47</v>
      </c>
      <c r="K195" s="5">
        <f t="shared" si="8"/>
        <v>31130.07</v>
      </c>
      <c r="L195" s="5">
        <v>31130.07</v>
      </c>
      <c r="M195" s="5">
        <v>0</v>
      </c>
      <c r="N195" s="4">
        <v>30</v>
      </c>
      <c r="O195" s="5">
        <f t="shared" si="9"/>
        <v>52287.51</v>
      </c>
      <c r="P195" s="5">
        <v>52287.51</v>
      </c>
      <c r="Q195" s="5">
        <v>0</v>
      </c>
      <c r="R195" s="6"/>
    </row>
    <row r="196" spans="1:18" ht="25.5" x14ac:dyDescent="0.25">
      <c r="A196" s="36">
        <f t="shared" si="10"/>
        <v>60</v>
      </c>
      <c r="B196" s="3" t="s">
        <v>114</v>
      </c>
      <c r="C196" s="3" t="s">
        <v>62</v>
      </c>
      <c r="D196" s="3" t="s">
        <v>63</v>
      </c>
      <c r="E196" s="3" t="s">
        <v>115</v>
      </c>
      <c r="F196" s="3" t="s">
        <v>221</v>
      </c>
      <c r="G196" s="4" t="s">
        <v>85</v>
      </c>
      <c r="H196" s="4">
        <v>9</v>
      </c>
      <c r="I196" s="4">
        <v>2</v>
      </c>
      <c r="J196" s="4">
        <v>2</v>
      </c>
      <c r="K196" s="5">
        <f t="shared" si="8"/>
        <v>0</v>
      </c>
      <c r="L196" s="5">
        <v>0</v>
      </c>
      <c r="M196" s="5">
        <v>0</v>
      </c>
      <c r="N196" s="4">
        <v>0</v>
      </c>
      <c r="O196" s="5">
        <f t="shared" si="9"/>
        <v>1108.48</v>
      </c>
      <c r="P196" s="5">
        <v>1108.48</v>
      </c>
      <c r="Q196" s="5">
        <v>0</v>
      </c>
      <c r="R196" s="6"/>
    </row>
    <row r="197" spans="1:18" ht="25.5" x14ac:dyDescent="0.25">
      <c r="A197" s="36">
        <f t="shared" si="10"/>
        <v>61</v>
      </c>
      <c r="B197" s="3" t="s">
        <v>222</v>
      </c>
      <c r="C197" s="3" t="s">
        <v>64</v>
      </c>
      <c r="D197" s="3" t="s">
        <v>486</v>
      </c>
      <c r="E197" s="3" t="s">
        <v>223</v>
      </c>
      <c r="F197" s="3" t="s">
        <v>224</v>
      </c>
      <c r="G197" s="4" t="s">
        <v>85</v>
      </c>
      <c r="H197" s="4">
        <v>18</v>
      </c>
      <c r="I197" s="4">
        <v>11</v>
      </c>
      <c r="J197" s="4">
        <v>14</v>
      </c>
      <c r="K197" s="5">
        <f t="shared" si="8"/>
        <v>10358.92</v>
      </c>
      <c r="L197" s="5">
        <v>10358.92</v>
      </c>
      <c r="M197" s="5">
        <v>0</v>
      </c>
      <c r="N197" s="4">
        <v>0</v>
      </c>
      <c r="O197" s="5">
        <f t="shared" si="9"/>
        <v>0</v>
      </c>
      <c r="P197" s="5">
        <v>0</v>
      </c>
      <c r="Q197" s="5">
        <v>0</v>
      </c>
      <c r="R197" s="6"/>
    </row>
    <row r="198" spans="1:18" x14ac:dyDescent="0.25">
      <c r="A198" s="36">
        <f t="shared" si="10"/>
        <v>62</v>
      </c>
      <c r="B198" s="3" t="s">
        <v>93</v>
      </c>
      <c r="C198" s="3" t="s">
        <v>62</v>
      </c>
      <c r="D198" s="3" t="s">
        <v>63</v>
      </c>
      <c r="E198" s="3" t="s">
        <v>74</v>
      </c>
      <c r="F198" s="3" t="s">
        <v>225</v>
      </c>
      <c r="G198" s="4" t="s">
        <v>85</v>
      </c>
      <c r="H198" s="4">
        <v>14</v>
      </c>
      <c r="I198" s="4">
        <v>6</v>
      </c>
      <c r="J198" s="4">
        <v>7</v>
      </c>
      <c r="K198" s="5">
        <f t="shared" si="8"/>
        <v>11798.3</v>
      </c>
      <c r="L198" s="5">
        <v>11798.3</v>
      </c>
      <c r="M198" s="5">
        <v>0</v>
      </c>
      <c r="N198" s="4">
        <v>7</v>
      </c>
      <c r="O198" s="5">
        <f t="shared" si="9"/>
        <v>10672.71</v>
      </c>
      <c r="P198" s="5">
        <v>10672.71</v>
      </c>
      <c r="Q198" s="5">
        <v>0</v>
      </c>
      <c r="R198" s="6"/>
    </row>
    <row r="199" spans="1:18" ht="25.5" x14ac:dyDescent="0.25">
      <c r="A199" s="36">
        <f t="shared" si="10"/>
        <v>63</v>
      </c>
      <c r="B199" s="3" t="s">
        <v>226</v>
      </c>
      <c r="C199" s="3" t="s">
        <v>62</v>
      </c>
      <c r="D199" s="3"/>
      <c r="E199" s="3" t="s">
        <v>174</v>
      </c>
      <c r="F199" s="3" t="s">
        <v>227</v>
      </c>
      <c r="G199" s="4" t="s">
        <v>85</v>
      </c>
      <c r="H199" s="4">
        <v>26</v>
      </c>
      <c r="I199" s="4">
        <v>11</v>
      </c>
      <c r="J199" s="4">
        <v>13</v>
      </c>
      <c r="K199" s="5">
        <f t="shared" si="8"/>
        <v>16022.52</v>
      </c>
      <c r="L199" s="5">
        <v>16022.52</v>
      </c>
      <c r="M199" s="5">
        <v>0</v>
      </c>
      <c r="N199" s="4">
        <v>0</v>
      </c>
      <c r="O199" s="5">
        <f t="shared" si="9"/>
        <v>0</v>
      </c>
      <c r="P199" s="5">
        <v>0</v>
      </c>
      <c r="Q199" s="5">
        <v>0</v>
      </c>
      <c r="R199" s="6"/>
    </row>
    <row r="200" spans="1:18" ht="25.5" x14ac:dyDescent="0.25">
      <c r="A200" s="36">
        <f t="shared" si="10"/>
        <v>64</v>
      </c>
      <c r="B200" s="3" t="s">
        <v>228</v>
      </c>
      <c r="C200" s="3" t="s">
        <v>62</v>
      </c>
      <c r="D200" s="3"/>
      <c r="E200" s="3" t="s">
        <v>229</v>
      </c>
      <c r="F200" s="3" t="s">
        <v>230</v>
      </c>
      <c r="G200" s="4" t="s">
        <v>85</v>
      </c>
      <c r="H200" s="4">
        <v>28</v>
      </c>
      <c r="I200" s="4">
        <v>17</v>
      </c>
      <c r="J200" s="4">
        <v>18</v>
      </c>
      <c r="K200" s="5">
        <f t="shared" si="8"/>
        <v>264.3</v>
      </c>
      <c r="L200" s="5">
        <v>0</v>
      </c>
      <c r="M200" s="5">
        <v>264.3</v>
      </c>
      <c r="N200" s="4">
        <v>0</v>
      </c>
      <c r="O200" s="5">
        <f t="shared" si="9"/>
        <v>0</v>
      </c>
      <c r="P200" s="5">
        <v>0</v>
      </c>
      <c r="Q200" s="5">
        <v>0</v>
      </c>
      <c r="R200" s="6"/>
    </row>
    <row r="201" spans="1:18" ht="25.5" x14ac:dyDescent="0.25">
      <c r="A201" s="36">
        <f t="shared" si="10"/>
        <v>65</v>
      </c>
      <c r="B201" s="3" t="s">
        <v>232</v>
      </c>
      <c r="C201" s="3" t="s">
        <v>62</v>
      </c>
      <c r="D201" s="3"/>
      <c r="E201" s="3" t="s">
        <v>174</v>
      </c>
      <c r="F201" s="3" t="s">
        <v>233</v>
      </c>
      <c r="G201" s="4" t="s">
        <v>85</v>
      </c>
      <c r="H201" s="4">
        <v>11</v>
      </c>
      <c r="I201" s="4">
        <v>9</v>
      </c>
      <c r="J201" s="4">
        <v>10</v>
      </c>
      <c r="K201" s="5">
        <f t="shared" si="8"/>
        <v>1316.21</v>
      </c>
      <c r="L201" s="5">
        <v>1316.21</v>
      </c>
      <c r="M201" s="5">
        <v>0</v>
      </c>
      <c r="N201" s="4">
        <v>0</v>
      </c>
      <c r="O201" s="5">
        <f t="shared" si="9"/>
        <v>0</v>
      </c>
      <c r="P201" s="5">
        <v>0</v>
      </c>
      <c r="Q201" s="5">
        <v>0</v>
      </c>
      <c r="R201" s="6"/>
    </row>
    <row r="202" spans="1:18" ht="25.5" x14ac:dyDescent="0.25">
      <c r="A202" s="36">
        <f t="shared" si="10"/>
        <v>66</v>
      </c>
      <c r="B202" s="3" t="s">
        <v>487</v>
      </c>
      <c r="C202" s="3" t="s">
        <v>62</v>
      </c>
      <c r="D202" s="3"/>
      <c r="E202" s="3" t="s">
        <v>282</v>
      </c>
      <c r="F202" s="3" t="s">
        <v>488</v>
      </c>
      <c r="G202" s="4" t="s">
        <v>85</v>
      </c>
      <c r="H202" s="4">
        <v>8</v>
      </c>
      <c r="I202" s="4">
        <v>3</v>
      </c>
      <c r="J202" s="4">
        <v>3</v>
      </c>
      <c r="K202" s="5">
        <f t="shared" ref="K202:K265" si="11">L202+M202</f>
        <v>0</v>
      </c>
      <c r="L202" s="5">
        <v>0</v>
      </c>
      <c r="M202" s="5">
        <v>0</v>
      </c>
      <c r="N202" s="4">
        <v>0</v>
      </c>
      <c r="O202" s="5">
        <f t="shared" ref="O202:O265" si="12">P202+Q202</f>
        <v>0</v>
      </c>
      <c r="P202" s="5">
        <v>0</v>
      </c>
      <c r="Q202" s="5">
        <v>0</v>
      </c>
      <c r="R202" s="6"/>
    </row>
    <row r="203" spans="1:18" x14ac:dyDescent="0.25">
      <c r="A203" s="36">
        <f t="shared" ref="A203:A266" si="13">A202+1</f>
        <v>67</v>
      </c>
      <c r="B203" s="3" t="s">
        <v>116</v>
      </c>
      <c r="C203" s="3" t="s">
        <v>62</v>
      </c>
      <c r="D203" s="3" t="s">
        <v>63</v>
      </c>
      <c r="E203" s="3" t="s">
        <v>74</v>
      </c>
      <c r="F203" s="3" t="s">
        <v>231</v>
      </c>
      <c r="G203" s="4" t="s">
        <v>85</v>
      </c>
      <c r="H203" s="4">
        <v>32</v>
      </c>
      <c r="I203" s="4">
        <v>22</v>
      </c>
      <c r="J203" s="4">
        <v>24</v>
      </c>
      <c r="K203" s="5">
        <f t="shared" si="11"/>
        <v>33995.11</v>
      </c>
      <c r="L203" s="5">
        <v>33995.11</v>
      </c>
      <c r="M203" s="5">
        <v>0</v>
      </c>
      <c r="N203" s="4">
        <v>3</v>
      </c>
      <c r="O203" s="5">
        <f t="shared" si="12"/>
        <v>5058.49</v>
      </c>
      <c r="P203" s="5">
        <v>5058.49</v>
      </c>
      <c r="Q203" s="5">
        <v>0</v>
      </c>
      <c r="R203" s="6"/>
    </row>
    <row r="204" spans="1:18" ht="25.5" x14ac:dyDescent="0.25">
      <c r="A204" s="36">
        <f t="shared" si="13"/>
        <v>68</v>
      </c>
      <c r="B204" s="3" t="s">
        <v>37</v>
      </c>
      <c r="C204" s="3" t="s">
        <v>62</v>
      </c>
      <c r="D204" s="3" t="s">
        <v>63</v>
      </c>
      <c r="E204" s="3" t="s">
        <v>70</v>
      </c>
      <c r="F204" s="3" t="s">
        <v>234</v>
      </c>
      <c r="G204" s="4" t="s">
        <v>85</v>
      </c>
      <c r="H204" s="4">
        <v>15</v>
      </c>
      <c r="I204" s="4">
        <v>9</v>
      </c>
      <c r="J204" s="4">
        <v>9</v>
      </c>
      <c r="K204" s="5">
        <f t="shared" si="11"/>
        <v>5814.6</v>
      </c>
      <c r="L204" s="5">
        <v>5814.6</v>
      </c>
      <c r="M204" s="5">
        <v>0</v>
      </c>
      <c r="N204" s="4">
        <v>3</v>
      </c>
      <c r="O204" s="5">
        <f t="shared" si="12"/>
        <v>18731.91</v>
      </c>
      <c r="P204" s="5">
        <v>18731.91</v>
      </c>
      <c r="Q204" s="5">
        <v>0</v>
      </c>
      <c r="R204" s="6"/>
    </row>
    <row r="205" spans="1:18" ht="38.25" x14ac:dyDescent="0.25">
      <c r="A205" s="36">
        <f t="shared" si="13"/>
        <v>69</v>
      </c>
      <c r="B205" s="3" t="s">
        <v>235</v>
      </c>
      <c r="C205" s="3" t="s">
        <v>62</v>
      </c>
      <c r="D205" s="3"/>
      <c r="E205" s="3" t="s">
        <v>236</v>
      </c>
      <c r="F205" s="3" t="s">
        <v>237</v>
      </c>
      <c r="G205" s="4" t="s">
        <v>85</v>
      </c>
      <c r="H205" s="4">
        <v>8</v>
      </c>
      <c r="I205" s="4">
        <v>4</v>
      </c>
      <c r="J205" s="4">
        <v>5</v>
      </c>
      <c r="K205" s="5">
        <f t="shared" si="11"/>
        <v>2896.83</v>
      </c>
      <c r="L205" s="5">
        <v>2896.83</v>
      </c>
      <c r="M205" s="5">
        <v>0</v>
      </c>
      <c r="N205" s="4">
        <v>0</v>
      </c>
      <c r="O205" s="5">
        <f t="shared" si="12"/>
        <v>0</v>
      </c>
      <c r="P205" s="5">
        <v>0</v>
      </c>
      <c r="Q205" s="5">
        <v>0</v>
      </c>
      <c r="R205" s="6"/>
    </row>
    <row r="206" spans="1:18" ht="25.5" x14ac:dyDescent="0.25">
      <c r="A206" s="36">
        <f t="shared" si="13"/>
        <v>70</v>
      </c>
      <c r="B206" s="3" t="s">
        <v>238</v>
      </c>
      <c r="C206" s="3" t="s">
        <v>62</v>
      </c>
      <c r="D206" s="3"/>
      <c r="E206" s="3" t="s">
        <v>239</v>
      </c>
      <c r="F206" s="3" t="s">
        <v>240</v>
      </c>
      <c r="G206" s="4" t="s">
        <v>85</v>
      </c>
      <c r="H206" s="4">
        <v>13</v>
      </c>
      <c r="I206" s="4">
        <v>8</v>
      </c>
      <c r="J206" s="4">
        <v>9</v>
      </c>
      <c r="K206" s="5">
        <f t="shared" si="11"/>
        <v>8493.5499999999993</v>
      </c>
      <c r="L206" s="5">
        <v>8493.5499999999993</v>
      </c>
      <c r="M206" s="5">
        <v>0</v>
      </c>
      <c r="N206" s="4">
        <v>0</v>
      </c>
      <c r="O206" s="5">
        <f t="shared" si="12"/>
        <v>0</v>
      </c>
      <c r="P206" s="5">
        <v>0</v>
      </c>
      <c r="Q206" s="5">
        <v>0</v>
      </c>
      <c r="R206" s="6"/>
    </row>
    <row r="207" spans="1:18" ht="25.5" x14ac:dyDescent="0.25">
      <c r="A207" s="36">
        <f t="shared" si="13"/>
        <v>71</v>
      </c>
      <c r="B207" s="3" t="s">
        <v>357</v>
      </c>
      <c r="C207" s="3" t="s">
        <v>64</v>
      </c>
      <c r="D207" s="3" t="s">
        <v>585</v>
      </c>
      <c r="E207" s="3" t="s">
        <v>74</v>
      </c>
      <c r="F207" s="3" t="s">
        <v>586</v>
      </c>
      <c r="G207" s="4" t="s">
        <v>85</v>
      </c>
      <c r="H207" s="4">
        <v>5</v>
      </c>
      <c r="I207" s="4">
        <v>0</v>
      </c>
      <c r="J207" s="4">
        <v>0</v>
      </c>
      <c r="K207" s="5">
        <f t="shared" si="11"/>
        <v>0</v>
      </c>
      <c r="L207" s="5">
        <v>0</v>
      </c>
      <c r="M207" s="5">
        <v>0</v>
      </c>
      <c r="N207" s="4">
        <v>1</v>
      </c>
      <c r="O207" s="5">
        <f t="shared" si="12"/>
        <v>6753.85</v>
      </c>
      <c r="P207" s="5">
        <v>6753.85</v>
      </c>
      <c r="Q207" s="5">
        <v>0</v>
      </c>
      <c r="R207" s="6"/>
    </row>
    <row r="208" spans="1:18" x14ac:dyDescent="0.25">
      <c r="A208" s="36">
        <f t="shared" si="13"/>
        <v>72</v>
      </c>
      <c r="B208" s="3" t="s">
        <v>36</v>
      </c>
      <c r="C208" s="3" t="s">
        <v>62</v>
      </c>
      <c r="D208" s="3" t="s">
        <v>63</v>
      </c>
      <c r="E208" s="3" t="s">
        <v>74</v>
      </c>
      <c r="F208" s="3" t="s">
        <v>465</v>
      </c>
      <c r="G208" s="4" t="s">
        <v>85</v>
      </c>
      <c r="H208" s="4">
        <v>8</v>
      </c>
      <c r="I208" s="4">
        <v>1</v>
      </c>
      <c r="J208" s="4">
        <v>1</v>
      </c>
      <c r="K208" s="5">
        <f t="shared" si="11"/>
        <v>0</v>
      </c>
      <c r="L208" s="5">
        <v>0</v>
      </c>
      <c r="M208" s="5">
        <v>0</v>
      </c>
      <c r="N208" s="4">
        <v>4</v>
      </c>
      <c r="O208" s="5">
        <f t="shared" si="12"/>
        <v>14660.73</v>
      </c>
      <c r="P208" s="5">
        <f>2026.3+616.7</f>
        <v>2643</v>
      </c>
      <c r="Q208" s="5">
        <v>12017.73</v>
      </c>
      <c r="R208" s="6"/>
    </row>
    <row r="209" spans="1:18" x14ac:dyDescent="0.25">
      <c r="A209" s="36">
        <f t="shared" si="13"/>
        <v>73</v>
      </c>
      <c r="B209" s="3" t="s">
        <v>39</v>
      </c>
      <c r="C209" s="3" t="s">
        <v>62</v>
      </c>
      <c r="D209" s="3" t="s">
        <v>63</v>
      </c>
      <c r="E209" s="3" t="s">
        <v>77</v>
      </c>
      <c r="F209" s="3" t="s">
        <v>466</v>
      </c>
      <c r="G209" s="4" t="s">
        <v>85</v>
      </c>
      <c r="H209" s="4">
        <v>88</v>
      </c>
      <c r="I209" s="4">
        <v>62</v>
      </c>
      <c r="J209" s="4">
        <v>67</v>
      </c>
      <c r="K209" s="5">
        <f t="shared" si="11"/>
        <v>23581.85</v>
      </c>
      <c r="L209" s="5">
        <v>23581.85</v>
      </c>
      <c r="M209" s="5">
        <v>0</v>
      </c>
      <c r="N209" s="4">
        <v>9</v>
      </c>
      <c r="O209" s="5">
        <f t="shared" si="12"/>
        <v>16389.73</v>
      </c>
      <c r="P209" s="5">
        <v>16389.73</v>
      </c>
      <c r="Q209" s="5">
        <v>0</v>
      </c>
      <c r="R209" s="6"/>
    </row>
    <row r="210" spans="1:18" ht="38.25" x14ac:dyDescent="0.25">
      <c r="A210" s="36">
        <f t="shared" si="13"/>
        <v>74</v>
      </c>
      <c r="B210" s="3" t="s">
        <v>40</v>
      </c>
      <c r="C210" s="3" t="s">
        <v>62</v>
      </c>
      <c r="D210" s="3" t="s">
        <v>63</v>
      </c>
      <c r="E210" s="3" t="s">
        <v>249</v>
      </c>
      <c r="F210" s="3" t="s">
        <v>250</v>
      </c>
      <c r="G210" s="4" t="s">
        <v>85</v>
      </c>
      <c r="H210" s="4">
        <v>27</v>
      </c>
      <c r="I210" s="4">
        <v>22</v>
      </c>
      <c r="J210" s="4">
        <v>32</v>
      </c>
      <c r="K210" s="5">
        <f t="shared" si="11"/>
        <v>49023.22</v>
      </c>
      <c r="L210" s="5">
        <v>49023.22</v>
      </c>
      <c r="M210" s="5">
        <v>0</v>
      </c>
      <c r="N210" s="4">
        <v>18</v>
      </c>
      <c r="O210" s="5">
        <f t="shared" si="12"/>
        <v>44654.28</v>
      </c>
      <c r="P210" s="5">
        <v>44654.28</v>
      </c>
      <c r="Q210" s="5">
        <v>0</v>
      </c>
      <c r="R210" s="6"/>
    </row>
    <row r="211" spans="1:18" ht="25.5" x14ac:dyDescent="0.25">
      <c r="A211" s="36">
        <f t="shared" si="13"/>
        <v>75</v>
      </c>
      <c r="B211" s="3" t="s">
        <v>251</v>
      </c>
      <c r="C211" s="3" t="s">
        <v>62</v>
      </c>
      <c r="D211" s="3"/>
      <c r="E211" s="3" t="s">
        <v>177</v>
      </c>
      <c r="F211" s="3" t="s">
        <v>252</v>
      </c>
      <c r="G211" s="4" t="s">
        <v>85</v>
      </c>
      <c r="H211" s="4">
        <v>35</v>
      </c>
      <c r="I211" s="4">
        <v>25</v>
      </c>
      <c r="J211" s="4">
        <v>38</v>
      </c>
      <c r="K211" s="5">
        <f t="shared" si="11"/>
        <v>31584.45</v>
      </c>
      <c r="L211" s="5">
        <v>31584.45</v>
      </c>
      <c r="M211" s="5">
        <v>0</v>
      </c>
      <c r="N211" s="4">
        <v>0</v>
      </c>
      <c r="O211" s="5">
        <f t="shared" si="12"/>
        <v>0</v>
      </c>
      <c r="P211" s="5">
        <v>0</v>
      </c>
      <c r="Q211" s="5">
        <v>0</v>
      </c>
      <c r="R211" s="6"/>
    </row>
    <row r="212" spans="1:18" x14ac:dyDescent="0.25">
      <c r="A212" s="36">
        <f t="shared" si="13"/>
        <v>76</v>
      </c>
      <c r="B212" s="3" t="s">
        <v>117</v>
      </c>
      <c r="C212" s="3" t="s">
        <v>62</v>
      </c>
      <c r="D212" s="3" t="s">
        <v>63</v>
      </c>
      <c r="E212" s="3" t="s">
        <v>74</v>
      </c>
      <c r="F212" s="3" t="s">
        <v>520</v>
      </c>
      <c r="G212" s="4" t="s">
        <v>85</v>
      </c>
      <c r="H212" s="4">
        <v>1</v>
      </c>
      <c r="I212" s="4">
        <v>1</v>
      </c>
      <c r="J212" s="4">
        <v>1</v>
      </c>
      <c r="K212" s="5">
        <f t="shared" si="11"/>
        <v>2616.5700000000002</v>
      </c>
      <c r="L212" s="5">
        <v>2616.5700000000002</v>
      </c>
      <c r="M212" s="5">
        <v>0</v>
      </c>
      <c r="N212" s="4">
        <v>2</v>
      </c>
      <c r="O212" s="5">
        <f t="shared" si="12"/>
        <v>581.46</v>
      </c>
      <c r="P212" s="5">
        <v>581.46</v>
      </c>
      <c r="Q212" s="5">
        <v>0</v>
      </c>
      <c r="R212" s="6"/>
    </row>
    <row r="213" spans="1:18" ht="25.5" x14ac:dyDescent="0.25">
      <c r="A213" s="36">
        <f t="shared" si="13"/>
        <v>77</v>
      </c>
      <c r="B213" s="3" t="s">
        <v>41</v>
      </c>
      <c r="C213" s="3" t="s">
        <v>64</v>
      </c>
      <c r="D213" s="3" t="s">
        <v>65</v>
      </c>
      <c r="E213" s="3" t="s">
        <v>72</v>
      </c>
      <c r="F213" s="3" t="s">
        <v>253</v>
      </c>
      <c r="G213" s="4" t="s">
        <v>85</v>
      </c>
      <c r="H213" s="4">
        <v>2</v>
      </c>
      <c r="I213" s="4">
        <v>2</v>
      </c>
      <c r="J213" s="4">
        <v>2</v>
      </c>
      <c r="K213" s="5">
        <f t="shared" si="11"/>
        <v>1575.23</v>
      </c>
      <c r="L213" s="5">
        <v>1575.23</v>
      </c>
      <c r="M213" s="5">
        <v>0</v>
      </c>
      <c r="N213" s="4">
        <v>12</v>
      </c>
      <c r="O213" s="5">
        <f t="shared" si="12"/>
        <v>33315.620000000003</v>
      </c>
      <c r="P213" s="5">
        <v>33315.620000000003</v>
      </c>
      <c r="Q213" s="5">
        <v>0</v>
      </c>
      <c r="R213" s="6"/>
    </row>
    <row r="214" spans="1:18" x14ac:dyDescent="0.25">
      <c r="A214" s="36">
        <f t="shared" si="13"/>
        <v>78</v>
      </c>
      <c r="B214" s="3" t="s">
        <v>118</v>
      </c>
      <c r="C214" s="3" t="s">
        <v>62</v>
      </c>
      <c r="D214" s="3" t="s">
        <v>63</v>
      </c>
      <c r="E214" s="3" t="s">
        <v>63</v>
      </c>
      <c r="F214" s="3" t="s">
        <v>467</v>
      </c>
      <c r="G214" s="4" t="s">
        <v>85</v>
      </c>
      <c r="H214" s="4">
        <v>5</v>
      </c>
      <c r="I214" s="4">
        <v>1</v>
      </c>
      <c r="J214" s="4">
        <v>1</v>
      </c>
      <c r="K214" s="5">
        <f t="shared" si="11"/>
        <v>0</v>
      </c>
      <c r="L214" s="5">
        <v>0</v>
      </c>
      <c r="M214" s="5">
        <v>0</v>
      </c>
      <c r="N214" s="4">
        <v>1</v>
      </c>
      <c r="O214" s="5">
        <f>P214+Q214</f>
        <v>9832.0299999999988</v>
      </c>
      <c r="P214" s="5">
        <f>4722.23+5109.8</f>
        <v>9832.0299999999988</v>
      </c>
      <c r="Q214" s="5">
        <v>0</v>
      </c>
      <c r="R214" s="6"/>
    </row>
    <row r="215" spans="1:18" ht="25.5" x14ac:dyDescent="0.25">
      <c r="A215" s="36">
        <f t="shared" si="13"/>
        <v>79</v>
      </c>
      <c r="B215" s="3" t="s">
        <v>548</v>
      </c>
      <c r="C215" s="3" t="s">
        <v>62</v>
      </c>
      <c r="D215" s="3"/>
      <c r="E215" s="3" t="s">
        <v>549</v>
      </c>
      <c r="F215" s="3" t="s">
        <v>550</v>
      </c>
      <c r="G215" s="4" t="s">
        <v>85</v>
      </c>
      <c r="H215" s="4">
        <v>3</v>
      </c>
      <c r="I215" s="4">
        <v>1</v>
      </c>
      <c r="J215" s="4">
        <v>1</v>
      </c>
      <c r="K215" s="5">
        <f t="shared" si="11"/>
        <v>0</v>
      </c>
      <c r="L215" s="5">
        <v>0</v>
      </c>
      <c r="M215" s="5">
        <v>0</v>
      </c>
      <c r="N215" s="4">
        <v>0</v>
      </c>
      <c r="O215" s="5">
        <f t="shared" si="12"/>
        <v>0</v>
      </c>
      <c r="P215" s="5">
        <v>0</v>
      </c>
      <c r="Q215" s="5">
        <v>0</v>
      </c>
      <c r="R215" s="6"/>
    </row>
    <row r="216" spans="1:18" ht="25.5" x14ac:dyDescent="0.25">
      <c r="A216" s="36">
        <f t="shared" si="13"/>
        <v>80</v>
      </c>
      <c r="B216" s="3" t="s">
        <v>254</v>
      </c>
      <c r="C216" s="3" t="s">
        <v>62</v>
      </c>
      <c r="D216" s="3"/>
      <c r="E216" s="3" t="s">
        <v>239</v>
      </c>
      <c r="F216" s="3" t="s">
        <v>255</v>
      </c>
      <c r="G216" s="4" t="s">
        <v>85</v>
      </c>
      <c r="H216" s="4">
        <v>7</v>
      </c>
      <c r="I216" s="4">
        <v>2</v>
      </c>
      <c r="J216" s="4">
        <v>2</v>
      </c>
      <c r="K216" s="5">
        <f t="shared" si="11"/>
        <v>775.28</v>
      </c>
      <c r="L216" s="5">
        <v>0</v>
      </c>
      <c r="M216" s="5">
        <v>775.28</v>
      </c>
      <c r="N216" s="4">
        <v>0</v>
      </c>
      <c r="O216" s="5">
        <f t="shared" si="12"/>
        <v>0</v>
      </c>
      <c r="P216" s="5">
        <v>0</v>
      </c>
      <c r="Q216" s="5">
        <v>0</v>
      </c>
      <c r="R216" s="6"/>
    </row>
    <row r="217" spans="1:18" x14ac:dyDescent="0.25">
      <c r="A217" s="36">
        <f t="shared" si="13"/>
        <v>81</v>
      </c>
      <c r="B217" s="3" t="s">
        <v>587</v>
      </c>
      <c r="C217" s="3" t="s">
        <v>62</v>
      </c>
      <c r="D217" s="3" t="s">
        <v>63</v>
      </c>
      <c r="E217" s="3" t="s">
        <v>63</v>
      </c>
      <c r="F217" s="3" t="s">
        <v>609</v>
      </c>
      <c r="G217" s="4" t="s">
        <v>85</v>
      </c>
      <c r="H217" s="4">
        <v>0</v>
      </c>
      <c r="I217" s="4">
        <v>0</v>
      </c>
      <c r="J217" s="4">
        <v>0</v>
      </c>
      <c r="K217" s="5">
        <f t="shared" si="11"/>
        <v>0</v>
      </c>
      <c r="L217" s="5">
        <v>0</v>
      </c>
      <c r="M217" s="5">
        <v>0</v>
      </c>
      <c r="N217" s="4">
        <v>1</v>
      </c>
      <c r="O217" s="5">
        <f t="shared" si="12"/>
        <v>3658.79</v>
      </c>
      <c r="P217" s="5">
        <v>0</v>
      </c>
      <c r="Q217" s="5">
        <v>3658.79</v>
      </c>
      <c r="R217" s="6"/>
    </row>
    <row r="218" spans="1:18" ht="25.5" x14ac:dyDescent="0.25">
      <c r="A218" s="36">
        <f t="shared" si="13"/>
        <v>82</v>
      </c>
      <c r="B218" s="3" t="s">
        <v>241</v>
      </c>
      <c r="C218" s="3" t="s">
        <v>62</v>
      </c>
      <c r="D218" s="3"/>
      <c r="E218" s="3" t="s">
        <v>242</v>
      </c>
      <c r="F218" s="3" t="s">
        <v>243</v>
      </c>
      <c r="G218" s="4" t="s">
        <v>85</v>
      </c>
      <c r="H218" s="4">
        <v>9</v>
      </c>
      <c r="I218" s="4">
        <v>7</v>
      </c>
      <c r="J218" s="4">
        <v>10</v>
      </c>
      <c r="K218" s="5">
        <f t="shared" si="11"/>
        <v>3433.01</v>
      </c>
      <c r="L218" s="5">
        <v>3433.01</v>
      </c>
      <c r="M218" s="5">
        <v>0</v>
      </c>
      <c r="N218" s="4">
        <v>0</v>
      </c>
      <c r="O218" s="5">
        <f t="shared" si="12"/>
        <v>0</v>
      </c>
      <c r="P218" s="5">
        <v>0</v>
      </c>
      <c r="Q218" s="5">
        <v>0</v>
      </c>
      <c r="R218" s="6"/>
    </row>
    <row r="219" spans="1:18" ht="38.25" x14ac:dyDescent="0.25">
      <c r="A219" s="36">
        <f t="shared" si="13"/>
        <v>83</v>
      </c>
      <c r="B219" s="3" t="s">
        <v>38</v>
      </c>
      <c r="C219" s="3" t="s">
        <v>62</v>
      </c>
      <c r="D219" s="3" t="s">
        <v>63</v>
      </c>
      <c r="E219" s="3" t="s">
        <v>244</v>
      </c>
      <c r="F219" s="3" t="s">
        <v>245</v>
      </c>
      <c r="G219" s="4" t="s">
        <v>85</v>
      </c>
      <c r="H219" s="4">
        <v>76</v>
      </c>
      <c r="I219" s="4">
        <v>53</v>
      </c>
      <c r="J219" s="4">
        <v>85</v>
      </c>
      <c r="K219" s="5">
        <f t="shared" si="11"/>
        <v>119240.35</v>
      </c>
      <c r="L219" s="5">
        <v>119240.35</v>
      </c>
      <c r="M219" s="5">
        <v>0</v>
      </c>
      <c r="N219" s="4">
        <v>79</v>
      </c>
      <c r="O219" s="5">
        <f t="shared" si="12"/>
        <v>211691.13</v>
      </c>
      <c r="P219" s="5">
        <v>211691.13</v>
      </c>
      <c r="Q219" s="5">
        <v>0</v>
      </c>
      <c r="R219" s="6"/>
    </row>
    <row r="220" spans="1:18" ht="25.5" x14ac:dyDescent="0.25">
      <c r="A220" s="36">
        <f t="shared" si="13"/>
        <v>84</v>
      </c>
      <c r="B220" s="3" t="s">
        <v>246</v>
      </c>
      <c r="C220" s="3" t="s">
        <v>62</v>
      </c>
      <c r="D220" s="3"/>
      <c r="E220" s="3" t="s">
        <v>247</v>
      </c>
      <c r="F220" s="3" t="s">
        <v>248</v>
      </c>
      <c r="G220" s="4" t="s">
        <v>85</v>
      </c>
      <c r="H220" s="4">
        <v>28</v>
      </c>
      <c r="I220" s="4">
        <v>16</v>
      </c>
      <c r="J220" s="4">
        <v>19</v>
      </c>
      <c r="K220" s="5">
        <f t="shared" si="11"/>
        <v>7948.32</v>
      </c>
      <c r="L220" s="5">
        <v>7948.32</v>
      </c>
      <c r="M220" s="5">
        <v>0</v>
      </c>
      <c r="N220" s="4">
        <v>0</v>
      </c>
      <c r="O220" s="5">
        <f t="shared" si="12"/>
        <v>0</v>
      </c>
      <c r="P220" s="5">
        <v>0</v>
      </c>
      <c r="Q220" s="5">
        <v>0</v>
      </c>
      <c r="R220" s="6"/>
    </row>
    <row r="221" spans="1:18" x14ac:dyDescent="0.25">
      <c r="A221" s="36">
        <f t="shared" si="13"/>
        <v>85</v>
      </c>
      <c r="B221" s="3" t="s">
        <v>256</v>
      </c>
      <c r="C221" s="3" t="s">
        <v>62</v>
      </c>
      <c r="D221" s="3"/>
      <c r="E221" s="3" t="s">
        <v>158</v>
      </c>
      <c r="F221" s="3" t="s">
        <v>257</v>
      </c>
      <c r="G221" s="4" t="s">
        <v>85</v>
      </c>
      <c r="H221" s="4">
        <v>9</v>
      </c>
      <c r="I221" s="4">
        <v>4</v>
      </c>
      <c r="J221" s="4">
        <v>4</v>
      </c>
      <c r="K221" s="5">
        <f t="shared" si="11"/>
        <v>2079.16</v>
      </c>
      <c r="L221" s="5">
        <v>2079.16</v>
      </c>
      <c r="M221" s="5">
        <v>0</v>
      </c>
      <c r="N221" s="4">
        <v>0</v>
      </c>
      <c r="O221" s="5">
        <f t="shared" si="12"/>
        <v>0</v>
      </c>
      <c r="P221" s="5">
        <v>0</v>
      </c>
      <c r="Q221" s="5">
        <v>0</v>
      </c>
      <c r="R221" s="6"/>
    </row>
    <row r="222" spans="1:18" ht="25.5" x14ac:dyDescent="0.25">
      <c r="A222" s="36">
        <f t="shared" si="13"/>
        <v>86</v>
      </c>
      <c r="B222" s="3" t="s">
        <v>258</v>
      </c>
      <c r="C222" s="3" t="s">
        <v>62</v>
      </c>
      <c r="D222" s="3"/>
      <c r="E222" s="3" t="s">
        <v>239</v>
      </c>
      <c r="F222" s="3" t="s">
        <v>259</v>
      </c>
      <c r="G222" s="4" t="s">
        <v>85</v>
      </c>
      <c r="H222" s="4">
        <v>29</v>
      </c>
      <c r="I222" s="4">
        <v>21</v>
      </c>
      <c r="J222" s="4">
        <v>21</v>
      </c>
      <c r="K222" s="5">
        <f t="shared" si="11"/>
        <v>8121.44</v>
      </c>
      <c r="L222" s="5">
        <v>8121.44</v>
      </c>
      <c r="M222" s="5">
        <v>0</v>
      </c>
      <c r="N222" s="4">
        <v>0</v>
      </c>
      <c r="O222" s="5">
        <f t="shared" si="12"/>
        <v>0</v>
      </c>
      <c r="P222" s="5">
        <v>0</v>
      </c>
      <c r="Q222" s="5">
        <v>0</v>
      </c>
      <c r="R222" s="6"/>
    </row>
    <row r="223" spans="1:18" ht="25.5" x14ac:dyDescent="0.25">
      <c r="A223" s="36">
        <f t="shared" si="13"/>
        <v>87</v>
      </c>
      <c r="B223" s="3" t="s">
        <v>42</v>
      </c>
      <c r="C223" s="3" t="s">
        <v>62</v>
      </c>
      <c r="D223" s="3" t="s">
        <v>63</v>
      </c>
      <c r="E223" s="3" t="s">
        <v>78</v>
      </c>
      <c r="F223" s="3" t="s">
        <v>260</v>
      </c>
      <c r="G223" s="4" t="s">
        <v>85</v>
      </c>
      <c r="H223" s="4">
        <v>40</v>
      </c>
      <c r="I223" s="4">
        <v>29</v>
      </c>
      <c r="J223" s="4">
        <v>35</v>
      </c>
      <c r="K223" s="5">
        <f t="shared" si="11"/>
        <v>82548.67</v>
      </c>
      <c r="L223" s="5">
        <v>82548.67</v>
      </c>
      <c r="M223" s="5">
        <v>0</v>
      </c>
      <c r="N223" s="4">
        <v>29</v>
      </c>
      <c r="O223" s="5">
        <f t="shared" si="12"/>
        <v>142852.22</v>
      </c>
      <c r="P223" s="5">
        <v>142852.22</v>
      </c>
      <c r="Q223" s="5">
        <v>0</v>
      </c>
      <c r="R223" s="6"/>
    </row>
    <row r="224" spans="1:18" ht="25.5" x14ac:dyDescent="0.25">
      <c r="A224" s="36">
        <f t="shared" si="13"/>
        <v>88</v>
      </c>
      <c r="B224" s="3" t="s">
        <v>43</v>
      </c>
      <c r="C224" s="3" t="s">
        <v>62</v>
      </c>
      <c r="D224" s="3" t="s">
        <v>63</v>
      </c>
      <c r="E224" s="3" t="s">
        <v>72</v>
      </c>
      <c r="F224" s="3" t="s">
        <v>261</v>
      </c>
      <c r="G224" s="4" t="s">
        <v>85</v>
      </c>
      <c r="H224" s="4">
        <v>21</v>
      </c>
      <c r="I224" s="4">
        <v>16</v>
      </c>
      <c r="J224" s="4">
        <v>21</v>
      </c>
      <c r="K224" s="5">
        <f t="shared" si="11"/>
        <v>34745.93</v>
      </c>
      <c r="L224" s="5">
        <v>34745.93</v>
      </c>
      <c r="M224" s="5">
        <v>0</v>
      </c>
      <c r="N224" s="4">
        <v>37</v>
      </c>
      <c r="O224" s="5">
        <f t="shared" si="12"/>
        <v>170589.94</v>
      </c>
      <c r="P224" s="5">
        <v>170589.94</v>
      </c>
      <c r="Q224" s="5">
        <v>0</v>
      </c>
      <c r="R224" s="6"/>
    </row>
    <row r="225" spans="1:18" x14ac:dyDescent="0.25">
      <c r="A225" s="36">
        <f t="shared" si="13"/>
        <v>89</v>
      </c>
      <c r="B225" s="3" t="s">
        <v>44</v>
      </c>
      <c r="C225" s="3" t="s">
        <v>62</v>
      </c>
      <c r="D225" s="3" t="s">
        <v>63</v>
      </c>
      <c r="E225" s="3" t="s">
        <v>74</v>
      </c>
      <c r="F225" s="3" t="s">
        <v>262</v>
      </c>
      <c r="G225" s="4" t="s">
        <v>85</v>
      </c>
      <c r="H225" s="4">
        <v>39</v>
      </c>
      <c r="I225" s="4">
        <v>29</v>
      </c>
      <c r="J225" s="4">
        <v>33</v>
      </c>
      <c r="K225" s="5">
        <f t="shared" si="11"/>
        <v>20621.57</v>
      </c>
      <c r="L225" s="5">
        <v>16705.71</v>
      </c>
      <c r="M225" s="5">
        <v>3915.86</v>
      </c>
      <c r="N225" s="4">
        <v>36</v>
      </c>
      <c r="O225" s="5">
        <f t="shared" si="12"/>
        <v>116455.76000000001</v>
      </c>
      <c r="P225" s="5">
        <v>104160.66</v>
      </c>
      <c r="Q225" s="5">
        <v>12295.1</v>
      </c>
      <c r="R225" s="6"/>
    </row>
    <row r="226" spans="1:18" ht="25.5" x14ac:dyDescent="0.25">
      <c r="A226" s="36">
        <f t="shared" si="13"/>
        <v>90</v>
      </c>
      <c r="B226" s="3" t="s">
        <v>45</v>
      </c>
      <c r="C226" s="3" t="s">
        <v>62</v>
      </c>
      <c r="D226" s="3" t="s">
        <v>63</v>
      </c>
      <c r="E226" s="3" t="s">
        <v>79</v>
      </c>
      <c r="F226" s="3" t="s">
        <v>263</v>
      </c>
      <c r="G226" s="4" t="s">
        <v>85</v>
      </c>
      <c r="H226" s="4">
        <v>15</v>
      </c>
      <c r="I226" s="4">
        <v>11</v>
      </c>
      <c r="J226" s="4">
        <v>16</v>
      </c>
      <c r="K226" s="5">
        <f t="shared" si="11"/>
        <v>21822.1</v>
      </c>
      <c r="L226" s="5">
        <v>21822.1</v>
      </c>
      <c r="M226" s="5">
        <v>0</v>
      </c>
      <c r="N226" s="4">
        <v>3</v>
      </c>
      <c r="O226" s="5">
        <f t="shared" si="12"/>
        <v>17166.18</v>
      </c>
      <c r="P226" s="5">
        <v>17166.18</v>
      </c>
      <c r="Q226" s="5">
        <v>0</v>
      </c>
      <c r="R226" s="6"/>
    </row>
    <row r="227" spans="1:18" x14ac:dyDescent="0.25">
      <c r="A227" s="36">
        <f t="shared" si="13"/>
        <v>91</v>
      </c>
      <c r="B227" s="3" t="s">
        <v>264</v>
      </c>
      <c r="C227" s="3" t="s">
        <v>62</v>
      </c>
      <c r="D227" s="3" t="s">
        <v>63</v>
      </c>
      <c r="E227" s="3" t="s">
        <v>74</v>
      </c>
      <c r="F227" s="3" t="s">
        <v>265</v>
      </c>
      <c r="G227" s="4" t="s">
        <v>85</v>
      </c>
      <c r="H227" s="4">
        <v>23</v>
      </c>
      <c r="I227" s="4">
        <v>20</v>
      </c>
      <c r="J227" s="4">
        <v>22</v>
      </c>
      <c r="K227" s="5">
        <f t="shared" si="11"/>
        <v>13387.96</v>
      </c>
      <c r="L227" s="5">
        <v>13387.96</v>
      </c>
      <c r="M227" s="5">
        <v>0</v>
      </c>
      <c r="N227" s="4">
        <v>0</v>
      </c>
      <c r="O227" s="5">
        <f t="shared" si="12"/>
        <v>0</v>
      </c>
      <c r="P227" s="5">
        <v>0</v>
      </c>
      <c r="Q227" s="5">
        <v>0</v>
      </c>
      <c r="R227" s="6"/>
    </row>
    <row r="228" spans="1:18" ht="25.5" x14ac:dyDescent="0.25">
      <c r="A228" s="36">
        <f t="shared" si="13"/>
        <v>92</v>
      </c>
      <c r="B228" s="3" t="s">
        <v>119</v>
      </c>
      <c r="C228" s="3" t="s">
        <v>62</v>
      </c>
      <c r="D228" s="3" t="s">
        <v>63</v>
      </c>
      <c r="E228" s="3" t="s">
        <v>108</v>
      </c>
      <c r="F228" s="3" t="s">
        <v>266</v>
      </c>
      <c r="G228" s="4" t="s">
        <v>85</v>
      </c>
      <c r="H228" s="4">
        <v>16</v>
      </c>
      <c r="I228" s="4">
        <v>12</v>
      </c>
      <c r="J228" s="4">
        <v>14</v>
      </c>
      <c r="K228" s="5">
        <f t="shared" si="11"/>
        <v>12773.449999999999</v>
      </c>
      <c r="L228" s="5">
        <f>10006.73+2766.72</f>
        <v>12773.449999999999</v>
      </c>
      <c r="M228" s="5">
        <v>0</v>
      </c>
      <c r="N228" s="4">
        <v>3</v>
      </c>
      <c r="O228" s="5">
        <f t="shared" si="12"/>
        <v>1291.3499999999999</v>
      </c>
      <c r="P228" s="5">
        <v>1291.3499999999999</v>
      </c>
      <c r="Q228" s="5">
        <v>0</v>
      </c>
      <c r="R228" s="6"/>
    </row>
    <row r="229" spans="1:18" ht="38.25" x14ac:dyDescent="0.25">
      <c r="A229" s="36">
        <f t="shared" si="13"/>
        <v>93</v>
      </c>
      <c r="B229" s="3" t="s">
        <v>46</v>
      </c>
      <c r="C229" s="3" t="s">
        <v>62</v>
      </c>
      <c r="D229" s="3" t="s">
        <v>63</v>
      </c>
      <c r="E229" s="3" t="s">
        <v>267</v>
      </c>
      <c r="F229" s="3" t="s">
        <v>268</v>
      </c>
      <c r="G229" s="4" t="s">
        <v>85</v>
      </c>
      <c r="H229" s="4">
        <v>20</v>
      </c>
      <c r="I229" s="4">
        <v>15</v>
      </c>
      <c r="J229" s="4">
        <v>24</v>
      </c>
      <c r="K229" s="5">
        <f t="shared" si="11"/>
        <v>40625.67</v>
      </c>
      <c r="L229" s="5">
        <v>40625.67</v>
      </c>
      <c r="M229" s="5">
        <v>0</v>
      </c>
      <c r="N229" s="4">
        <v>22</v>
      </c>
      <c r="O229" s="5">
        <f t="shared" si="12"/>
        <v>115902.94</v>
      </c>
      <c r="P229" s="5">
        <v>115902.94</v>
      </c>
      <c r="Q229" s="5">
        <v>0</v>
      </c>
      <c r="R229" s="6"/>
    </row>
    <row r="230" spans="1:18" ht="25.5" x14ac:dyDescent="0.25">
      <c r="A230" s="36">
        <f t="shared" si="13"/>
        <v>94</v>
      </c>
      <c r="B230" s="3" t="s">
        <v>47</v>
      </c>
      <c r="C230" s="3" t="s">
        <v>62</v>
      </c>
      <c r="D230" s="3" t="s">
        <v>63</v>
      </c>
      <c r="E230" s="3" t="s">
        <v>80</v>
      </c>
      <c r="F230" s="3" t="s">
        <v>269</v>
      </c>
      <c r="G230" s="4" t="s">
        <v>85</v>
      </c>
      <c r="H230" s="4">
        <v>63</v>
      </c>
      <c r="I230" s="4">
        <v>48</v>
      </c>
      <c r="J230" s="4">
        <v>71</v>
      </c>
      <c r="K230" s="5">
        <f t="shared" si="11"/>
        <v>96454.75</v>
      </c>
      <c r="L230" s="5">
        <v>96454.75</v>
      </c>
      <c r="M230" s="5">
        <v>0</v>
      </c>
      <c r="N230" s="4">
        <v>109</v>
      </c>
      <c r="O230" s="5">
        <f t="shared" si="12"/>
        <v>399569.58</v>
      </c>
      <c r="P230" s="5">
        <v>399569.58</v>
      </c>
      <c r="Q230" s="5">
        <v>0</v>
      </c>
      <c r="R230" s="6"/>
    </row>
    <row r="231" spans="1:18" ht="25.5" x14ac:dyDescent="0.25">
      <c r="A231" s="36">
        <f t="shared" si="13"/>
        <v>95</v>
      </c>
      <c r="B231" s="3" t="s">
        <v>270</v>
      </c>
      <c r="C231" s="3" t="s">
        <v>62</v>
      </c>
      <c r="D231" s="3"/>
      <c r="E231" s="3" t="s">
        <v>271</v>
      </c>
      <c r="F231" s="3" t="s">
        <v>272</v>
      </c>
      <c r="G231" s="4" t="s">
        <v>85</v>
      </c>
      <c r="H231" s="4">
        <v>14</v>
      </c>
      <c r="I231" s="4">
        <v>8</v>
      </c>
      <c r="J231" s="4">
        <v>10</v>
      </c>
      <c r="K231" s="5">
        <f t="shared" si="11"/>
        <v>6888.14</v>
      </c>
      <c r="L231" s="5">
        <v>6888.14</v>
      </c>
      <c r="M231" s="5">
        <v>0</v>
      </c>
      <c r="N231" s="4">
        <v>0</v>
      </c>
      <c r="O231" s="5">
        <f t="shared" si="12"/>
        <v>0</v>
      </c>
      <c r="P231" s="5">
        <v>0</v>
      </c>
      <c r="Q231" s="5">
        <v>0</v>
      </c>
      <c r="R231" s="6"/>
    </row>
    <row r="232" spans="1:18" ht="25.5" x14ac:dyDescent="0.25">
      <c r="A232" s="36">
        <f t="shared" si="13"/>
        <v>96</v>
      </c>
      <c r="B232" s="3" t="s">
        <v>273</v>
      </c>
      <c r="C232" s="3" t="s">
        <v>62</v>
      </c>
      <c r="D232" s="3"/>
      <c r="E232" s="3" t="s">
        <v>186</v>
      </c>
      <c r="F232" s="3" t="s">
        <v>511</v>
      </c>
      <c r="G232" s="4" t="s">
        <v>85</v>
      </c>
      <c r="H232" s="4">
        <v>7</v>
      </c>
      <c r="I232" s="4">
        <v>0</v>
      </c>
      <c r="J232" s="4">
        <v>0</v>
      </c>
      <c r="K232" s="5">
        <f t="shared" si="11"/>
        <v>0</v>
      </c>
      <c r="L232" s="5">
        <v>0</v>
      </c>
      <c r="M232" s="5">
        <v>0</v>
      </c>
      <c r="N232" s="4">
        <v>0</v>
      </c>
      <c r="O232" s="5">
        <f t="shared" si="12"/>
        <v>0</v>
      </c>
      <c r="P232" s="5">
        <v>0</v>
      </c>
      <c r="Q232" s="5">
        <v>0</v>
      </c>
      <c r="R232" s="6"/>
    </row>
    <row r="233" spans="1:18" x14ac:dyDescent="0.25">
      <c r="A233" s="36">
        <f t="shared" si="13"/>
        <v>97</v>
      </c>
      <c r="B233" s="3" t="s">
        <v>490</v>
      </c>
      <c r="C233" s="3" t="s">
        <v>62</v>
      </c>
      <c r="D233" s="3"/>
      <c r="E233" s="3" t="s">
        <v>491</v>
      </c>
      <c r="F233" s="3" t="s">
        <v>492</v>
      </c>
      <c r="G233" s="4" t="s">
        <v>85</v>
      </c>
      <c r="H233" s="4">
        <v>10</v>
      </c>
      <c r="I233" s="4">
        <v>6</v>
      </c>
      <c r="J233" s="4">
        <v>8</v>
      </c>
      <c r="K233" s="5">
        <f t="shared" si="11"/>
        <v>1351.45</v>
      </c>
      <c r="L233" s="5">
        <v>1351.45</v>
      </c>
      <c r="M233" s="5">
        <v>0</v>
      </c>
      <c r="N233" s="4">
        <v>0</v>
      </c>
      <c r="O233" s="5">
        <f t="shared" si="12"/>
        <v>0</v>
      </c>
      <c r="P233" s="5">
        <v>0</v>
      </c>
      <c r="Q233" s="5">
        <v>0</v>
      </c>
      <c r="R233" s="6"/>
    </row>
    <row r="234" spans="1:18" x14ac:dyDescent="0.25">
      <c r="A234" s="36">
        <f t="shared" si="13"/>
        <v>98</v>
      </c>
      <c r="B234" s="3" t="s">
        <v>94</v>
      </c>
      <c r="C234" s="3" t="s">
        <v>62</v>
      </c>
      <c r="D234" s="3" t="s">
        <v>63</v>
      </c>
      <c r="E234" s="3" t="s">
        <v>74</v>
      </c>
      <c r="F234" s="3" t="s">
        <v>274</v>
      </c>
      <c r="G234" s="4" t="s">
        <v>85</v>
      </c>
      <c r="H234" s="4">
        <v>14</v>
      </c>
      <c r="I234" s="4">
        <v>2</v>
      </c>
      <c r="J234" s="4">
        <v>2</v>
      </c>
      <c r="K234" s="5">
        <f t="shared" si="11"/>
        <v>1613.29</v>
      </c>
      <c r="L234" s="5">
        <v>1613.29</v>
      </c>
      <c r="M234" s="5">
        <v>0</v>
      </c>
      <c r="N234" s="4">
        <v>6</v>
      </c>
      <c r="O234" s="5">
        <f t="shared" si="12"/>
        <v>4493.33</v>
      </c>
      <c r="P234" s="5">
        <v>4493.33</v>
      </c>
      <c r="Q234" s="5">
        <v>0</v>
      </c>
      <c r="R234" s="6"/>
    </row>
    <row r="235" spans="1:18" ht="25.5" x14ac:dyDescent="0.25">
      <c r="A235" s="36">
        <f t="shared" si="13"/>
        <v>99</v>
      </c>
      <c r="B235" s="3" t="s">
        <v>120</v>
      </c>
      <c r="C235" s="3" t="s">
        <v>67</v>
      </c>
      <c r="D235" s="3" t="s">
        <v>493</v>
      </c>
      <c r="E235" s="3" t="s">
        <v>121</v>
      </c>
      <c r="F235" s="3" t="s">
        <v>468</v>
      </c>
      <c r="G235" s="4" t="s">
        <v>85</v>
      </c>
      <c r="H235" s="4">
        <v>10</v>
      </c>
      <c r="I235" s="4">
        <v>6</v>
      </c>
      <c r="J235" s="4">
        <v>7</v>
      </c>
      <c r="K235" s="5">
        <f t="shared" si="11"/>
        <v>6114.84</v>
      </c>
      <c r="L235" s="5">
        <f>4482.52+1632.32</f>
        <v>6114.84</v>
      </c>
      <c r="M235" s="5">
        <v>0</v>
      </c>
      <c r="N235" s="4">
        <v>0</v>
      </c>
      <c r="O235" s="5">
        <f t="shared" si="12"/>
        <v>0</v>
      </c>
      <c r="P235" s="5">
        <v>0</v>
      </c>
      <c r="Q235" s="5">
        <v>0</v>
      </c>
      <c r="R235" s="6"/>
    </row>
    <row r="236" spans="1:18" ht="25.5" x14ac:dyDescent="0.25">
      <c r="A236" s="36">
        <f t="shared" si="13"/>
        <v>100</v>
      </c>
      <c r="B236" s="3" t="s">
        <v>407</v>
      </c>
      <c r="C236" s="3" t="s">
        <v>62</v>
      </c>
      <c r="D236" s="3"/>
      <c r="E236" s="3" t="s">
        <v>186</v>
      </c>
      <c r="F236" s="3" t="s">
        <v>512</v>
      </c>
      <c r="G236" s="4" t="s">
        <v>85</v>
      </c>
      <c r="H236" s="4">
        <v>2</v>
      </c>
      <c r="I236" s="4">
        <v>2</v>
      </c>
      <c r="J236" s="4">
        <v>2</v>
      </c>
      <c r="K236" s="5">
        <f t="shared" si="11"/>
        <v>0</v>
      </c>
      <c r="L236" s="5">
        <v>0</v>
      </c>
      <c r="M236" s="5">
        <v>0</v>
      </c>
      <c r="N236" s="4">
        <v>0</v>
      </c>
      <c r="O236" s="5">
        <f t="shared" si="12"/>
        <v>0</v>
      </c>
      <c r="P236" s="5">
        <v>0</v>
      </c>
      <c r="Q236" s="5">
        <v>0</v>
      </c>
      <c r="R236" s="6"/>
    </row>
    <row r="237" spans="1:18" ht="25.5" x14ac:dyDescent="0.25">
      <c r="A237" s="36">
        <f t="shared" si="13"/>
        <v>101</v>
      </c>
      <c r="B237" s="3" t="s">
        <v>122</v>
      </c>
      <c r="C237" s="3" t="s">
        <v>62</v>
      </c>
      <c r="D237" s="3" t="s">
        <v>63</v>
      </c>
      <c r="E237" s="3" t="s">
        <v>275</v>
      </c>
      <c r="F237" s="3" t="s">
        <v>276</v>
      </c>
      <c r="G237" s="4" t="s">
        <v>85</v>
      </c>
      <c r="H237" s="4">
        <v>11</v>
      </c>
      <c r="I237" s="4">
        <v>10</v>
      </c>
      <c r="J237" s="4">
        <v>14</v>
      </c>
      <c r="K237" s="5">
        <f t="shared" si="11"/>
        <v>9708.09</v>
      </c>
      <c r="L237" s="5">
        <v>9708.09</v>
      </c>
      <c r="M237" s="5">
        <v>0</v>
      </c>
      <c r="N237" s="4">
        <v>5</v>
      </c>
      <c r="O237" s="5">
        <f t="shared" si="12"/>
        <v>9159.1299999999992</v>
      </c>
      <c r="P237" s="5">
        <v>9159.1299999999992</v>
      </c>
      <c r="Q237" s="5">
        <v>0</v>
      </c>
      <c r="R237" s="6"/>
    </row>
    <row r="238" spans="1:18" x14ac:dyDescent="0.25">
      <c r="A238" s="36">
        <f t="shared" si="13"/>
        <v>102</v>
      </c>
      <c r="B238" s="3" t="s">
        <v>133</v>
      </c>
      <c r="C238" s="3" t="s">
        <v>67</v>
      </c>
      <c r="D238" s="3" t="s">
        <v>494</v>
      </c>
      <c r="E238" s="3" t="s">
        <v>74</v>
      </c>
      <c r="F238" s="3" t="s">
        <v>620</v>
      </c>
      <c r="G238" s="4" t="s">
        <v>85</v>
      </c>
      <c r="H238" s="4">
        <v>9</v>
      </c>
      <c r="I238" s="4">
        <v>5</v>
      </c>
      <c r="J238" s="4">
        <v>7</v>
      </c>
      <c r="K238" s="5">
        <f t="shared" si="11"/>
        <v>13016.5</v>
      </c>
      <c r="L238" s="5">
        <v>13016.5</v>
      </c>
      <c r="M238" s="5">
        <v>0</v>
      </c>
      <c r="N238" s="4">
        <v>0</v>
      </c>
      <c r="O238" s="5">
        <f t="shared" si="12"/>
        <v>0</v>
      </c>
      <c r="P238" s="5">
        <v>0</v>
      </c>
      <c r="Q238" s="5">
        <v>0</v>
      </c>
      <c r="R238" s="6"/>
    </row>
    <row r="239" spans="1:18" x14ac:dyDescent="0.25">
      <c r="A239" s="36">
        <f t="shared" si="13"/>
        <v>103</v>
      </c>
      <c r="B239" s="3" t="s">
        <v>96</v>
      </c>
      <c r="C239" s="3" t="s">
        <v>62</v>
      </c>
      <c r="D239" s="3" t="s">
        <v>63</v>
      </c>
      <c r="E239" s="3" t="s">
        <v>98</v>
      </c>
      <c r="F239" s="3" t="s">
        <v>277</v>
      </c>
      <c r="G239" s="4" t="s">
        <v>85</v>
      </c>
      <c r="H239" s="4">
        <v>33</v>
      </c>
      <c r="I239" s="4">
        <v>10</v>
      </c>
      <c r="J239" s="4">
        <v>12</v>
      </c>
      <c r="K239" s="5">
        <f t="shared" si="11"/>
        <v>7539.6</v>
      </c>
      <c r="L239" s="5">
        <v>7539.6</v>
      </c>
      <c r="M239" s="5">
        <v>0</v>
      </c>
      <c r="N239" s="4">
        <v>11</v>
      </c>
      <c r="O239" s="5">
        <f t="shared" si="12"/>
        <v>24982.959999999999</v>
      </c>
      <c r="P239" s="5">
        <v>24982.959999999999</v>
      </c>
      <c r="Q239" s="5">
        <v>0</v>
      </c>
      <c r="R239" s="6"/>
    </row>
    <row r="240" spans="1:18" ht="25.5" x14ac:dyDescent="0.25">
      <c r="A240" s="36">
        <f t="shared" si="13"/>
        <v>104</v>
      </c>
      <c r="B240" s="3" t="s">
        <v>48</v>
      </c>
      <c r="C240" s="3" t="s">
        <v>62</v>
      </c>
      <c r="D240" s="3" t="s">
        <v>63</v>
      </c>
      <c r="E240" s="3" t="s">
        <v>81</v>
      </c>
      <c r="F240" s="3" t="s">
        <v>278</v>
      </c>
      <c r="G240" s="4" t="s">
        <v>85</v>
      </c>
      <c r="H240" s="4">
        <v>43</v>
      </c>
      <c r="I240" s="4">
        <v>32</v>
      </c>
      <c r="J240" s="4">
        <v>45</v>
      </c>
      <c r="K240" s="5">
        <f t="shared" si="11"/>
        <v>62074.87</v>
      </c>
      <c r="L240" s="5">
        <v>62074.87</v>
      </c>
      <c r="M240" s="5">
        <v>0</v>
      </c>
      <c r="N240" s="4">
        <v>12</v>
      </c>
      <c r="O240" s="5">
        <f t="shared" si="12"/>
        <v>51526.95</v>
      </c>
      <c r="P240" s="5">
        <v>51526.95</v>
      </c>
      <c r="Q240" s="5">
        <v>0</v>
      </c>
      <c r="R240" s="6"/>
    </row>
    <row r="241" spans="1:18" ht="25.5" x14ac:dyDescent="0.25">
      <c r="A241" s="36">
        <f t="shared" si="13"/>
        <v>105</v>
      </c>
      <c r="B241" s="3" t="s">
        <v>50</v>
      </c>
      <c r="C241" s="3" t="s">
        <v>67</v>
      </c>
      <c r="D241" s="3" t="s">
        <v>123</v>
      </c>
      <c r="E241" s="3" t="s">
        <v>82</v>
      </c>
      <c r="F241" s="3" t="s">
        <v>280</v>
      </c>
      <c r="G241" s="4" t="s">
        <v>85</v>
      </c>
      <c r="H241" s="4">
        <v>7</v>
      </c>
      <c r="I241" s="4">
        <v>1</v>
      </c>
      <c r="J241" s="4">
        <v>1</v>
      </c>
      <c r="K241" s="5">
        <f t="shared" si="11"/>
        <v>1860.67</v>
      </c>
      <c r="L241" s="5">
        <v>1860.67</v>
      </c>
      <c r="M241" s="5">
        <v>0</v>
      </c>
      <c r="N241" s="4">
        <v>4</v>
      </c>
      <c r="O241" s="5">
        <f t="shared" si="12"/>
        <v>19968.23</v>
      </c>
      <c r="P241" s="5">
        <v>19968.23</v>
      </c>
      <c r="Q241" s="5">
        <v>0</v>
      </c>
      <c r="R241" s="6"/>
    </row>
    <row r="242" spans="1:18" ht="25.5" x14ac:dyDescent="0.25">
      <c r="A242" s="36">
        <f t="shared" si="13"/>
        <v>106</v>
      </c>
      <c r="B242" s="3" t="s">
        <v>281</v>
      </c>
      <c r="C242" s="3" t="s">
        <v>62</v>
      </c>
      <c r="D242" s="3"/>
      <c r="E242" s="3" t="s">
        <v>282</v>
      </c>
      <c r="F242" s="3" t="s">
        <v>283</v>
      </c>
      <c r="G242" s="4" t="s">
        <v>85</v>
      </c>
      <c r="H242" s="4">
        <v>24</v>
      </c>
      <c r="I242" s="4">
        <v>5</v>
      </c>
      <c r="J242" s="4">
        <v>5</v>
      </c>
      <c r="K242" s="5">
        <f t="shared" si="11"/>
        <v>2685.29</v>
      </c>
      <c r="L242" s="5">
        <v>2685.29</v>
      </c>
      <c r="M242" s="5">
        <v>0</v>
      </c>
      <c r="N242" s="4">
        <v>0</v>
      </c>
      <c r="O242" s="5">
        <f t="shared" si="12"/>
        <v>0</v>
      </c>
      <c r="P242" s="5">
        <v>0</v>
      </c>
      <c r="Q242" s="5">
        <v>0</v>
      </c>
      <c r="R242" s="6"/>
    </row>
    <row r="243" spans="1:18" x14ac:dyDescent="0.25">
      <c r="A243" s="36">
        <f t="shared" si="13"/>
        <v>107</v>
      </c>
      <c r="B243" s="3" t="s">
        <v>49</v>
      </c>
      <c r="C243" s="3" t="s">
        <v>62</v>
      </c>
      <c r="D243" s="3"/>
      <c r="E243" s="3" t="s">
        <v>74</v>
      </c>
      <c r="F243" s="3" t="s">
        <v>279</v>
      </c>
      <c r="G243" s="4" t="s">
        <v>85</v>
      </c>
      <c r="H243" s="4">
        <v>22</v>
      </c>
      <c r="I243" s="4">
        <v>18</v>
      </c>
      <c r="J243" s="4">
        <v>20</v>
      </c>
      <c r="K243" s="5">
        <f t="shared" si="11"/>
        <v>16429.5</v>
      </c>
      <c r="L243" s="5">
        <v>16429.5</v>
      </c>
      <c r="M243" s="5">
        <v>0</v>
      </c>
      <c r="N243" s="4">
        <v>5</v>
      </c>
      <c r="O243" s="5">
        <f t="shared" si="12"/>
        <v>37590.26</v>
      </c>
      <c r="P243" s="5">
        <v>37590.26</v>
      </c>
      <c r="Q243" s="5">
        <v>0</v>
      </c>
      <c r="R243" s="6"/>
    </row>
    <row r="244" spans="1:18" x14ac:dyDescent="0.25">
      <c r="A244" s="36">
        <f t="shared" si="13"/>
        <v>108</v>
      </c>
      <c r="B244" s="3" t="s">
        <v>124</v>
      </c>
      <c r="C244" s="3" t="s">
        <v>62</v>
      </c>
      <c r="D244" s="3"/>
      <c r="E244" s="3" t="s">
        <v>63</v>
      </c>
      <c r="F244" s="3" t="s">
        <v>284</v>
      </c>
      <c r="G244" s="4" t="s">
        <v>85</v>
      </c>
      <c r="H244" s="4">
        <v>30</v>
      </c>
      <c r="I244" s="4">
        <v>25</v>
      </c>
      <c r="J244" s="4">
        <v>32</v>
      </c>
      <c r="K244" s="5">
        <f t="shared" si="11"/>
        <v>29499.34</v>
      </c>
      <c r="L244" s="5">
        <v>29499.34</v>
      </c>
      <c r="M244" s="5">
        <v>0</v>
      </c>
      <c r="N244" s="4">
        <v>16</v>
      </c>
      <c r="O244" s="5">
        <f t="shared" si="12"/>
        <v>18186.439999999999</v>
      </c>
      <c r="P244" s="5">
        <v>18186.439999999999</v>
      </c>
      <c r="Q244" s="5">
        <v>0</v>
      </c>
      <c r="R244" s="6"/>
    </row>
    <row r="245" spans="1:18" x14ac:dyDescent="0.25">
      <c r="A245" s="36">
        <f t="shared" si="13"/>
        <v>109</v>
      </c>
      <c r="B245" s="3" t="s">
        <v>51</v>
      </c>
      <c r="C245" s="3" t="s">
        <v>62</v>
      </c>
      <c r="D245" s="3"/>
      <c r="E245" s="3" t="s">
        <v>74</v>
      </c>
      <c r="F245" s="3" t="s">
        <v>285</v>
      </c>
      <c r="G245" s="4" t="s">
        <v>85</v>
      </c>
      <c r="H245" s="4">
        <v>17</v>
      </c>
      <c r="I245" s="4">
        <v>15</v>
      </c>
      <c r="J245" s="4">
        <v>15</v>
      </c>
      <c r="K245" s="5">
        <f t="shared" si="11"/>
        <v>5873.82</v>
      </c>
      <c r="L245" s="5">
        <v>5873.82</v>
      </c>
      <c r="M245" s="5">
        <v>0</v>
      </c>
      <c r="N245" s="4">
        <v>10</v>
      </c>
      <c r="O245" s="5">
        <f t="shared" si="12"/>
        <v>1797.24</v>
      </c>
      <c r="P245" s="5">
        <v>1797.24</v>
      </c>
      <c r="Q245" s="5">
        <v>0</v>
      </c>
      <c r="R245" s="6"/>
    </row>
    <row r="246" spans="1:18" ht="25.5" x14ac:dyDescent="0.25">
      <c r="A246" s="36">
        <f t="shared" si="13"/>
        <v>110</v>
      </c>
      <c r="B246" s="3" t="s">
        <v>286</v>
      </c>
      <c r="C246" s="3" t="s">
        <v>62</v>
      </c>
      <c r="D246" s="3"/>
      <c r="E246" s="3" t="s">
        <v>174</v>
      </c>
      <c r="F246" s="3" t="s">
        <v>287</v>
      </c>
      <c r="G246" s="4" t="s">
        <v>85</v>
      </c>
      <c r="H246" s="4">
        <v>13</v>
      </c>
      <c r="I246" s="4">
        <v>8</v>
      </c>
      <c r="J246" s="4">
        <v>9</v>
      </c>
      <c r="K246" s="5">
        <f t="shared" si="11"/>
        <v>2790.57</v>
      </c>
      <c r="L246" s="5">
        <v>2790.57</v>
      </c>
      <c r="M246" s="5">
        <v>0</v>
      </c>
      <c r="N246" s="4">
        <v>0</v>
      </c>
      <c r="O246" s="5">
        <f t="shared" si="12"/>
        <v>0</v>
      </c>
      <c r="P246" s="5">
        <v>0</v>
      </c>
      <c r="Q246" s="5">
        <v>0</v>
      </c>
      <c r="R246" s="6"/>
    </row>
    <row r="247" spans="1:18" x14ac:dyDescent="0.25">
      <c r="A247" s="36">
        <f t="shared" si="13"/>
        <v>111</v>
      </c>
      <c r="B247" s="3" t="s">
        <v>52</v>
      </c>
      <c r="C247" s="3" t="s">
        <v>62</v>
      </c>
      <c r="D247" s="3"/>
      <c r="E247" s="3" t="s">
        <v>74</v>
      </c>
      <c r="F247" s="3" t="s">
        <v>125</v>
      </c>
      <c r="G247" s="4" t="s">
        <v>85</v>
      </c>
      <c r="H247" s="4">
        <v>3</v>
      </c>
      <c r="I247" s="4">
        <v>0</v>
      </c>
      <c r="J247" s="4">
        <v>0</v>
      </c>
      <c r="K247" s="5">
        <f t="shared" si="11"/>
        <v>0</v>
      </c>
      <c r="L247" s="5">
        <v>0</v>
      </c>
      <c r="M247" s="5">
        <v>0</v>
      </c>
      <c r="N247" s="4">
        <v>0</v>
      </c>
      <c r="O247" s="5">
        <f t="shared" si="12"/>
        <v>0</v>
      </c>
      <c r="P247" s="5">
        <v>0</v>
      </c>
      <c r="Q247" s="5">
        <v>0</v>
      </c>
      <c r="R247" s="6"/>
    </row>
    <row r="248" spans="1:18" x14ac:dyDescent="0.25">
      <c r="A248" s="36">
        <f t="shared" si="13"/>
        <v>112</v>
      </c>
      <c r="B248" s="3" t="s">
        <v>469</v>
      </c>
      <c r="C248" s="3" t="s">
        <v>62</v>
      </c>
      <c r="D248" s="3"/>
      <c r="E248" s="3" t="s">
        <v>74</v>
      </c>
      <c r="F248" s="3" t="s">
        <v>470</v>
      </c>
      <c r="G248" s="4" t="s">
        <v>85</v>
      </c>
      <c r="H248" s="4">
        <v>1</v>
      </c>
      <c r="I248" s="4">
        <v>0</v>
      </c>
      <c r="J248" s="4">
        <v>0</v>
      </c>
      <c r="K248" s="5">
        <f t="shared" si="11"/>
        <v>0</v>
      </c>
      <c r="L248" s="5">
        <v>0</v>
      </c>
      <c r="M248" s="5">
        <v>0</v>
      </c>
      <c r="N248" s="4">
        <v>0</v>
      </c>
      <c r="O248" s="5">
        <f t="shared" si="12"/>
        <v>0</v>
      </c>
      <c r="P248" s="5">
        <v>0</v>
      </c>
      <c r="Q248" s="5">
        <v>0</v>
      </c>
      <c r="R248" s="6"/>
    </row>
    <row r="249" spans="1:18" x14ac:dyDescent="0.25">
      <c r="A249" s="36">
        <f t="shared" si="13"/>
        <v>113</v>
      </c>
      <c r="B249" s="3" t="s">
        <v>53</v>
      </c>
      <c r="C249" s="3" t="s">
        <v>62</v>
      </c>
      <c r="D249" s="3"/>
      <c r="E249" s="3" t="s">
        <v>74</v>
      </c>
      <c r="F249" s="3" t="s">
        <v>126</v>
      </c>
      <c r="G249" s="4" t="s">
        <v>85</v>
      </c>
      <c r="H249" s="4">
        <v>8</v>
      </c>
      <c r="I249" s="4">
        <v>0</v>
      </c>
      <c r="J249" s="4">
        <v>0</v>
      </c>
      <c r="K249" s="5">
        <f t="shared" si="11"/>
        <v>0</v>
      </c>
      <c r="L249" s="5">
        <v>0</v>
      </c>
      <c r="M249" s="5">
        <v>0</v>
      </c>
      <c r="N249" s="4">
        <v>0</v>
      </c>
      <c r="O249" s="5">
        <f t="shared" si="12"/>
        <v>0</v>
      </c>
      <c r="P249" s="5">
        <v>0</v>
      </c>
      <c r="Q249" s="5">
        <v>0</v>
      </c>
      <c r="R249" s="6"/>
    </row>
    <row r="250" spans="1:18" x14ac:dyDescent="0.25">
      <c r="A250" s="36">
        <f t="shared" si="13"/>
        <v>114</v>
      </c>
      <c r="B250" s="3" t="s">
        <v>151</v>
      </c>
      <c r="C250" s="3" t="s">
        <v>62</v>
      </c>
      <c r="D250" s="3"/>
      <c r="E250" s="3" t="s">
        <v>74</v>
      </c>
      <c r="F250" s="3" t="s">
        <v>288</v>
      </c>
      <c r="G250" s="4" t="s">
        <v>85</v>
      </c>
      <c r="H250" s="4">
        <v>10</v>
      </c>
      <c r="I250" s="4">
        <v>6</v>
      </c>
      <c r="J250" s="4">
        <v>8</v>
      </c>
      <c r="K250" s="5">
        <f t="shared" si="11"/>
        <v>7299.97</v>
      </c>
      <c r="L250" s="5">
        <v>7299.97</v>
      </c>
      <c r="M250" s="5">
        <v>0</v>
      </c>
      <c r="N250" s="4">
        <v>6</v>
      </c>
      <c r="O250" s="5">
        <f t="shared" si="12"/>
        <v>14253.5</v>
      </c>
      <c r="P250" s="5">
        <v>4554.97</v>
      </c>
      <c r="Q250" s="5">
        <v>9698.5300000000007</v>
      </c>
      <c r="R250" s="6"/>
    </row>
    <row r="251" spans="1:18" x14ac:dyDescent="0.25">
      <c r="A251" s="36">
        <f t="shared" si="13"/>
        <v>115</v>
      </c>
      <c r="B251" s="3" t="s">
        <v>155</v>
      </c>
      <c r="C251" s="3" t="s">
        <v>62</v>
      </c>
      <c r="D251" s="3"/>
      <c r="E251" s="3" t="s">
        <v>74</v>
      </c>
      <c r="F251" s="3" t="s">
        <v>289</v>
      </c>
      <c r="G251" s="4" t="s">
        <v>85</v>
      </c>
      <c r="H251" s="4">
        <v>13</v>
      </c>
      <c r="I251" s="4">
        <v>8</v>
      </c>
      <c r="J251" s="4">
        <v>13</v>
      </c>
      <c r="K251" s="5">
        <f t="shared" si="11"/>
        <v>32517.02</v>
      </c>
      <c r="L251" s="5">
        <v>32517.02</v>
      </c>
      <c r="M251" s="5">
        <v>0</v>
      </c>
      <c r="N251" s="4">
        <v>2</v>
      </c>
      <c r="O251" s="5">
        <f t="shared" si="12"/>
        <v>15810.55</v>
      </c>
      <c r="P251" s="5">
        <v>15810.55</v>
      </c>
      <c r="Q251" s="5">
        <v>0</v>
      </c>
      <c r="R251" s="6"/>
    </row>
    <row r="252" spans="1:18" x14ac:dyDescent="0.25">
      <c r="A252" s="36">
        <f t="shared" si="13"/>
        <v>116</v>
      </c>
      <c r="B252" s="3" t="s">
        <v>290</v>
      </c>
      <c r="C252" s="3" t="s">
        <v>62</v>
      </c>
      <c r="D252" s="3"/>
      <c r="E252" s="3" t="s">
        <v>291</v>
      </c>
      <c r="F252" s="3" t="s">
        <v>292</v>
      </c>
      <c r="G252" s="4" t="s">
        <v>85</v>
      </c>
      <c r="H252" s="4">
        <v>30</v>
      </c>
      <c r="I252" s="4">
        <v>19</v>
      </c>
      <c r="J252" s="4">
        <v>24</v>
      </c>
      <c r="K252" s="5">
        <f t="shared" si="11"/>
        <v>5043.72</v>
      </c>
      <c r="L252" s="5">
        <v>5043.72</v>
      </c>
      <c r="M252" s="5">
        <v>0</v>
      </c>
      <c r="N252" s="4">
        <v>0</v>
      </c>
      <c r="O252" s="5">
        <f t="shared" si="12"/>
        <v>0</v>
      </c>
      <c r="P252" s="5">
        <v>0</v>
      </c>
      <c r="Q252" s="5">
        <v>0</v>
      </c>
      <c r="R252" s="6"/>
    </row>
    <row r="253" spans="1:18" ht="25.5" x14ac:dyDescent="0.25">
      <c r="A253" s="36">
        <f t="shared" si="13"/>
        <v>117</v>
      </c>
      <c r="B253" s="3" t="s">
        <v>495</v>
      </c>
      <c r="C253" s="3" t="s">
        <v>62</v>
      </c>
      <c r="D253" s="3"/>
      <c r="E253" s="3" t="s">
        <v>313</v>
      </c>
      <c r="F253" s="3" t="s">
        <v>496</v>
      </c>
      <c r="G253" s="4" t="s">
        <v>85</v>
      </c>
      <c r="H253" s="4">
        <v>20</v>
      </c>
      <c r="I253" s="4">
        <v>5</v>
      </c>
      <c r="J253" s="4">
        <v>5</v>
      </c>
      <c r="K253" s="5">
        <f t="shared" si="11"/>
        <v>2358.88</v>
      </c>
      <c r="L253" s="5">
        <v>2358.88</v>
      </c>
      <c r="M253" s="5">
        <v>0</v>
      </c>
      <c r="N253" s="4">
        <v>0</v>
      </c>
      <c r="O253" s="5">
        <f t="shared" si="12"/>
        <v>0</v>
      </c>
      <c r="P253" s="5">
        <v>0</v>
      </c>
      <c r="Q253" s="5">
        <v>0</v>
      </c>
      <c r="R253" s="6"/>
    </row>
    <row r="254" spans="1:18" x14ac:dyDescent="0.25">
      <c r="A254" s="36">
        <f t="shared" si="13"/>
        <v>118</v>
      </c>
      <c r="B254" s="3" t="s">
        <v>134</v>
      </c>
      <c r="C254" s="3" t="s">
        <v>62</v>
      </c>
      <c r="D254" s="3" t="s">
        <v>63</v>
      </c>
      <c r="E254" s="3" t="s">
        <v>74</v>
      </c>
      <c r="F254" s="3" t="s">
        <v>293</v>
      </c>
      <c r="G254" s="4" t="s">
        <v>85</v>
      </c>
      <c r="H254" s="4">
        <v>7</v>
      </c>
      <c r="I254" s="4">
        <v>0</v>
      </c>
      <c r="J254" s="4">
        <v>0</v>
      </c>
      <c r="K254" s="5">
        <f t="shared" si="11"/>
        <v>0</v>
      </c>
      <c r="L254" s="5">
        <v>0</v>
      </c>
      <c r="M254" s="5">
        <v>0</v>
      </c>
      <c r="N254" s="4">
        <v>1</v>
      </c>
      <c r="O254" s="5">
        <f t="shared" si="12"/>
        <v>14690.98</v>
      </c>
      <c r="P254" s="5">
        <v>14690.98</v>
      </c>
      <c r="Q254" s="5">
        <v>0</v>
      </c>
      <c r="R254" s="6"/>
    </row>
    <row r="255" spans="1:18" x14ac:dyDescent="0.25">
      <c r="A255" s="36">
        <f t="shared" si="13"/>
        <v>119</v>
      </c>
      <c r="B255" s="3" t="s">
        <v>127</v>
      </c>
      <c r="C255" s="3" t="s">
        <v>62</v>
      </c>
      <c r="D255" s="3" t="s">
        <v>63</v>
      </c>
      <c r="E255" s="3" t="s">
        <v>74</v>
      </c>
      <c r="F255" s="3" t="s">
        <v>294</v>
      </c>
      <c r="G255" s="4" t="s">
        <v>85</v>
      </c>
      <c r="H255" s="4">
        <v>9</v>
      </c>
      <c r="I255" s="4">
        <v>5</v>
      </c>
      <c r="J255" s="4">
        <v>6</v>
      </c>
      <c r="K255" s="5">
        <f t="shared" si="11"/>
        <v>611.08000000000004</v>
      </c>
      <c r="L255" s="5">
        <v>611.08000000000004</v>
      </c>
      <c r="M255" s="5">
        <v>0</v>
      </c>
      <c r="N255" s="4">
        <v>2</v>
      </c>
      <c r="O255" s="5">
        <f t="shared" si="12"/>
        <v>3267.6</v>
      </c>
      <c r="P255" s="5">
        <v>3267.6</v>
      </c>
      <c r="Q255" s="5">
        <v>0</v>
      </c>
      <c r="R255" s="6"/>
    </row>
    <row r="256" spans="1:18" ht="25.5" x14ac:dyDescent="0.25">
      <c r="A256" s="36">
        <f t="shared" si="13"/>
        <v>120</v>
      </c>
      <c r="B256" s="3" t="s">
        <v>55</v>
      </c>
      <c r="C256" s="3" t="s">
        <v>64</v>
      </c>
      <c r="D256" s="3" t="s">
        <v>66</v>
      </c>
      <c r="E256" s="3" t="s">
        <v>80</v>
      </c>
      <c r="F256" s="3" t="s">
        <v>295</v>
      </c>
      <c r="G256" s="4" t="s">
        <v>85</v>
      </c>
      <c r="H256" s="4">
        <v>5</v>
      </c>
      <c r="I256" s="4">
        <v>3</v>
      </c>
      <c r="J256" s="4">
        <v>3</v>
      </c>
      <c r="K256" s="5">
        <f t="shared" si="11"/>
        <v>528.6</v>
      </c>
      <c r="L256" s="5">
        <v>528.6</v>
      </c>
      <c r="M256" s="5">
        <v>0</v>
      </c>
      <c r="N256" s="4">
        <v>2</v>
      </c>
      <c r="O256" s="5">
        <f t="shared" si="12"/>
        <v>7243.91</v>
      </c>
      <c r="P256" s="5">
        <v>7243.91</v>
      </c>
      <c r="Q256" s="5">
        <v>0</v>
      </c>
      <c r="R256" s="6"/>
    </row>
    <row r="257" spans="1:18" x14ac:dyDescent="0.25">
      <c r="A257" s="36">
        <f t="shared" si="13"/>
        <v>121</v>
      </c>
      <c r="B257" s="3" t="s">
        <v>135</v>
      </c>
      <c r="C257" s="3" t="s">
        <v>62</v>
      </c>
      <c r="D257" s="3" t="s">
        <v>63</v>
      </c>
      <c r="E257" s="3" t="s">
        <v>63</v>
      </c>
      <c r="F257" s="3" t="s">
        <v>296</v>
      </c>
      <c r="G257" s="4" t="s">
        <v>85</v>
      </c>
      <c r="H257" s="4">
        <v>6</v>
      </c>
      <c r="I257" s="4">
        <v>2</v>
      </c>
      <c r="J257" s="4">
        <v>2</v>
      </c>
      <c r="K257" s="5">
        <f t="shared" si="11"/>
        <v>0</v>
      </c>
      <c r="L257" s="5">
        <v>0</v>
      </c>
      <c r="M257" s="5">
        <v>0</v>
      </c>
      <c r="N257" s="4">
        <v>10</v>
      </c>
      <c r="O257" s="5">
        <f t="shared" si="12"/>
        <v>18103.64</v>
      </c>
      <c r="P257" s="5">
        <v>18103.64</v>
      </c>
      <c r="Q257" s="5">
        <v>0</v>
      </c>
      <c r="R257" s="6"/>
    </row>
    <row r="258" spans="1:18" x14ac:dyDescent="0.25">
      <c r="A258" s="36">
        <f t="shared" si="13"/>
        <v>122</v>
      </c>
      <c r="B258" s="3" t="s">
        <v>128</v>
      </c>
      <c r="C258" s="3" t="s">
        <v>62</v>
      </c>
      <c r="D258" s="3" t="s">
        <v>63</v>
      </c>
      <c r="E258" s="3" t="s">
        <v>74</v>
      </c>
      <c r="F258" s="3" t="s">
        <v>297</v>
      </c>
      <c r="G258" s="4" t="s">
        <v>85</v>
      </c>
      <c r="H258" s="4">
        <v>2</v>
      </c>
      <c r="I258" s="4">
        <v>2</v>
      </c>
      <c r="J258" s="4">
        <v>2</v>
      </c>
      <c r="K258" s="5">
        <f t="shared" si="11"/>
        <v>0</v>
      </c>
      <c r="L258" s="5">
        <v>0</v>
      </c>
      <c r="M258" s="5">
        <v>0</v>
      </c>
      <c r="N258" s="4">
        <v>1</v>
      </c>
      <c r="O258" s="5">
        <f t="shared" si="12"/>
        <v>264.3</v>
      </c>
      <c r="P258" s="5">
        <v>264.3</v>
      </c>
      <c r="Q258" s="5">
        <v>0</v>
      </c>
      <c r="R258" s="6"/>
    </row>
    <row r="259" spans="1:18" ht="25.5" x14ac:dyDescent="0.25">
      <c r="A259" s="36">
        <f t="shared" si="13"/>
        <v>123</v>
      </c>
      <c r="B259" s="3" t="s">
        <v>508</v>
      </c>
      <c r="C259" s="3" t="s">
        <v>64</v>
      </c>
      <c r="D259" s="3" t="s">
        <v>551</v>
      </c>
      <c r="E259" s="3" t="s">
        <v>313</v>
      </c>
      <c r="F259" s="3" t="s">
        <v>552</v>
      </c>
      <c r="G259" s="4" t="s">
        <v>85</v>
      </c>
      <c r="H259" s="4">
        <v>17</v>
      </c>
      <c r="I259" s="4">
        <v>6</v>
      </c>
      <c r="J259" s="4">
        <v>6</v>
      </c>
      <c r="K259" s="5">
        <f t="shared" si="11"/>
        <v>0</v>
      </c>
      <c r="L259" s="5">
        <v>0</v>
      </c>
      <c r="M259" s="5">
        <v>0</v>
      </c>
      <c r="N259" s="4">
        <v>0</v>
      </c>
      <c r="O259" s="5">
        <f t="shared" si="12"/>
        <v>0</v>
      </c>
      <c r="P259" s="5">
        <v>0</v>
      </c>
      <c r="Q259" s="5">
        <v>0</v>
      </c>
      <c r="R259" s="6"/>
    </row>
    <row r="260" spans="1:18" ht="25.5" x14ac:dyDescent="0.25">
      <c r="A260" s="36">
        <f t="shared" si="13"/>
        <v>124</v>
      </c>
      <c r="B260" s="3" t="s">
        <v>497</v>
      </c>
      <c r="C260" s="3" t="s">
        <v>62</v>
      </c>
      <c r="D260" s="3"/>
      <c r="E260" s="3" t="s">
        <v>313</v>
      </c>
      <c r="F260" s="3" t="s">
        <v>498</v>
      </c>
      <c r="G260" s="4" t="s">
        <v>85</v>
      </c>
      <c r="H260" s="4">
        <v>51</v>
      </c>
      <c r="I260" s="4">
        <v>27</v>
      </c>
      <c r="J260" s="4">
        <v>28</v>
      </c>
      <c r="K260" s="5">
        <f t="shared" si="11"/>
        <v>12556.71</v>
      </c>
      <c r="L260" s="5">
        <v>12556.71</v>
      </c>
      <c r="M260" s="5">
        <v>0</v>
      </c>
      <c r="N260" s="4">
        <v>0</v>
      </c>
      <c r="O260" s="5">
        <f t="shared" si="12"/>
        <v>0</v>
      </c>
      <c r="P260" s="5">
        <v>0</v>
      </c>
      <c r="Q260" s="5">
        <v>0</v>
      </c>
      <c r="R260" s="6"/>
    </row>
    <row r="261" spans="1:18" x14ac:dyDescent="0.25">
      <c r="A261" s="36">
        <f t="shared" si="13"/>
        <v>125</v>
      </c>
      <c r="B261" s="3" t="s">
        <v>56</v>
      </c>
      <c r="C261" s="3" t="s">
        <v>62</v>
      </c>
      <c r="D261" s="3" t="s">
        <v>63</v>
      </c>
      <c r="E261" s="3" t="s">
        <v>83</v>
      </c>
      <c r="F261" s="3" t="s">
        <v>298</v>
      </c>
      <c r="G261" s="4" t="s">
        <v>85</v>
      </c>
      <c r="H261" s="4">
        <v>68</v>
      </c>
      <c r="I261" s="4">
        <v>51</v>
      </c>
      <c r="J261" s="4">
        <v>71</v>
      </c>
      <c r="K261" s="5">
        <f t="shared" si="11"/>
        <v>77067</v>
      </c>
      <c r="L261" s="5">
        <v>77067</v>
      </c>
      <c r="M261" s="5">
        <v>0</v>
      </c>
      <c r="N261" s="4">
        <v>30</v>
      </c>
      <c r="O261" s="5">
        <f t="shared" si="12"/>
        <v>94809.4</v>
      </c>
      <c r="P261" s="5">
        <v>94809.4</v>
      </c>
      <c r="Q261" s="5">
        <v>0</v>
      </c>
      <c r="R261" s="6"/>
    </row>
    <row r="262" spans="1:18" ht="25.5" x14ac:dyDescent="0.25">
      <c r="A262" s="36">
        <f t="shared" si="13"/>
        <v>126</v>
      </c>
      <c r="B262" s="3" t="s">
        <v>299</v>
      </c>
      <c r="C262" s="3" t="s">
        <v>62</v>
      </c>
      <c r="D262" s="3"/>
      <c r="E262" s="3" t="s">
        <v>174</v>
      </c>
      <c r="F262" s="3" t="s">
        <v>300</v>
      </c>
      <c r="G262" s="4" t="s">
        <v>85</v>
      </c>
      <c r="H262" s="4">
        <v>21</v>
      </c>
      <c r="I262" s="4">
        <v>13</v>
      </c>
      <c r="J262" s="4">
        <v>14</v>
      </c>
      <c r="K262" s="5">
        <f t="shared" si="11"/>
        <v>2924.92</v>
      </c>
      <c r="L262" s="5">
        <v>2924.92</v>
      </c>
      <c r="M262" s="5">
        <v>0</v>
      </c>
      <c r="N262" s="4">
        <v>0</v>
      </c>
      <c r="O262" s="5">
        <f t="shared" si="12"/>
        <v>0</v>
      </c>
      <c r="P262" s="5">
        <v>0</v>
      </c>
      <c r="Q262" s="5">
        <v>0</v>
      </c>
      <c r="R262" s="6"/>
    </row>
    <row r="263" spans="1:18" x14ac:dyDescent="0.25">
      <c r="A263" s="36">
        <f t="shared" si="13"/>
        <v>127</v>
      </c>
      <c r="B263" s="3" t="s">
        <v>156</v>
      </c>
      <c r="C263" s="3" t="s">
        <v>67</v>
      </c>
      <c r="D263" s="3" t="s">
        <v>499</v>
      </c>
      <c r="E263" s="3" t="s">
        <v>74</v>
      </c>
      <c r="F263" s="3" t="s">
        <v>301</v>
      </c>
      <c r="G263" s="4" t="s">
        <v>85</v>
      </c>
      <c r="H263" s="4">
        <v>31</v>
      </c>
      <c r="I263" s="4">
        <v>26</v>
      </c>
      <c r="J263" s="4">
        <v>29</v>
      </c>
      <c r="K263" s="5">
        <f t="shared" si="11"/>
        <v>19255.759999999998</v>
      </c>
      <c r="L263" s="5">
        <v>19255.759999999998</v>
      </c>
      <c r="M263" s="5">
        <v>0</v>
      </c>
      <c r="N263" s="4">
        <v>34</v>
      </c>
      <c r="O263" s="5">
        <f t="shared" si="12"/>
        <v>51164.89</v>
      </c>
      <c r="P263" s="5">
        <v>51164.89</v>
      </c>
      <c r="Q263" s="5">
        <v>0</v>
      </c>
      <c r="R263" s="6"/>
    </row>
    <row r="264" spans="1:18" x14ac:dyDescent="0.25">
      <c r="A264" s="36">
        <f t="shared" si="13"/>
        <v>128</v>
      </c>
      <c r="B264" s="3" t="s">
        <v>302</v>
      </c>
      <c r="C264" s="3" t="s">
        <v>627</v>
      </c>
      <c r="D264" s="3"/>
      <c r="E264" s="3" t="s">
        <v>63</v>
      </c>
      <c r="F264" s="3" t="s">
        <v>303</v>
      </c>
      <c r="G264" s="4" t="s">
        <v>85</v>
      </c>
      <c r="H264" s="4">
        <v>10</v>
      </c>
      <c r="I264" s="4">
        <v>7</v>
      </c>
      <c r="J264" s="4">
        <v>8</v>
      </c>
      <c r="K264" s="5">
        <f t="shared" si="11"/>
        <v>5218.84</v>
      </c>
      <c r="L264" s="5">
        <v>5218.84</v>
      </c>
      <c r="M264" s="5">
        <v>0</v>
      </c>
      <c r="N264" s="4">
        <v>0</v>
      </c>
      <c r="O264" s="5">
        <f t="shared" si="12"/>
        <v>0</v>
      </c>
      <c r="P264" s="5">
        <v>0</v>
      </c>
      <c r="Q264" s="5">
        <v>0</v>
      </c>
      <c r="R264" s="6"/>
    </row>
    <row r="265" spans="1:18" x14ac:dyDescent="0.25">
      <c r="A265" s="36">
        <f t="shared" si="13"/>
        <v>129</v>
      </c>
      <c r="B265" s="3" t="s">
        <v>140</v>
      </c>
      <c r="C265" s="3" t="s">
        <v>62</v>
      </c>
      <c r="D265" s="3" t="s">
        <v>63</v>
      </c>
      <c r="E265" s="3" t="s">
        <v>74</v>
      </c>
      <c r="F265" s="3" t="s">
        <v>304</v>
      </c>
      <c r="G265" s="4" t="s">
        <v>85</v>
      </c>
      <c r="H265" s="4">
        <v>53</v>
      </c>
      <c r="I265" s="4">
        <v>41</v>
      </c>
      <c r="J265" s="4">
        <v>44</v>
      </c>
      <c r="K265" s="5">
        <f t="shared" si="11"/>
        <v>39313.909999999996</v>
      </c>
      <c r="L265" s="5">
        <v>35702.46</v>
      </c>
      <c r="M265" s="5">
        <v>3611.45</v>
      </c>
      <c r="N265" s="4">
        <v>19</v>
      </c>
      <c r="O265" s="5">
        <f t="shared" si="12"/>
        <v>43411.7</v>
      </c>
      <c r="P265" s="5">
        <v>38337.32</v>
      </c>
      <c r="Q265" s="5">
        <v>5074.38</v>
      </c>
      <c r="R265" s="6"/>
    </row>
    <row r="266" spans="1:18" ht="25.5" x14ac:dyDescent="0.25">
      <c r="A266" s="36">
        <f t="shared" si="13"/>
        <v>130</v>
      </c>
      <c r="B266" s="3" t="s">
        <v>305</v>
      </c>
      <c r="C266" s="3" t="s">
        <v>62</v>
      </c>
      <c r="D266" s="3"/>
      <c r="E266" s="3" t="s">
        <v>186</v>
      </c>
      <c r="F266" s="3" t="s">
        <v>513</v>
      </c>
      <c r="G266" s="4" t="s">
        <v>85</v>
      </c>
      <c r="H266" s="4">
        <v>11</v>
      </c>
      <c r="I266" s="4">
        <v>8</v>
      </c>
      <c r="J266" s="4">
        <v>9</v>
      </c>
      <c r="K266" s="5">
        <f t="shared" ref="K266:K282" si="14">L266+M266</f>
        <v>4975.4399999999996</v>
      </c>
      <c r="L266" s="5">
        <v>4975.4399999999996</v>
      </c>
      <c r="M266" s="5">
        <v>0</v>
      </c>
      <c r="N266" s="4">
        <v>0</v>
      </c>
      <c r="O266" s="5">
        <f t="shared" ref="O266:O282" si="15">P266+Q266</f>
        <v>0</v>
      </c>
      <c r="P266" s="5">
        <v>0</v>
      </c>
      <c r="Q266" s="5">
        <v>0</v>
      </c>
      <c r="R266" s="6"/>
    </row>
    <row r="267" spans="1:18" x14ac:dyDescent="0.25">
      <c r="A267" s="36">
        <f t="shared" ref="A267:A282" si="16">A266+1</f>
        <v>131</v>
      </c>
      <c r="B267" s="3" t="s">
        <v>471</v>
      </c>
      <c r="C267" s="3" t="s">
        <v>64</v>
      </c>
      <c r="D267" s="3" t="s">
        <v>65</v>
      </c>
      <c r="E267" s="3" t="s">
        <v>74</v>
      </c>
      <c r="F267" s="3" t="s">
        <v>472</v>
      </c>
      <c r="G267" s="4" t="s">
        <v>85</v>
      </c>
      <c r="H267" s="4">
        <v>0</v>
      </c>
      <c r="I267" s="4">
        <v>0</v>
      </c>
      <c r="J267" s="4">
        <v>0</v>
      </c>
      <c r="K267" s="5">
        <f t="shared" si="14"/>
        <v>0</v>
      </c>
      <c r="L267" s="5">
        <v>0</v>
      </c>
      <c r="M267" s="5">
        <v>0</v>
      </c>
      <c r="N267" s="4">
        <v>1</v>
      </c>
      <c r="O267" s="5">
        <f t="shared" si="15"/>
        <v>0</v>
      </c>
      <c r="P267" s="5">
        <v>0</v>
      </c>
      <c r="Q267" s="5">
        <v>0</v>
      </c>
      <c r="R267" s="6"/>
    </row>
    <row r="268" spans="1:18" ht="38.25" x14ac:dyDescent="0.25">
      <c r="A268" s="36">
        <f t="shared" si="16"/>
        <v>132</v>
      </c>
      <c r="B268" s="3" t="s">
        <v>57</v>
      </c>
      <c r="C268" s="3" t="s">
        <v>62</v>
      </c>
      <c r="D268" s="3" t="s">
        <v>63</v>
      </c>
      <c r="E268" s="3" t="s">
        <v>244</v>
      </c>
      <c r="F268" s="3" t="s">
        <v>306</v>
      </c>
      <c r="G268" s="4" t="s">
        <v>85</v>
      </c>
      <c r="H268" s="4">
        <v>24</v>
      </c>
      <c r="I268" s="4">
        <v>11</v>
      </c>
      <c r="J268" s="4">
        <v>12</v>
      </c>
      <c r="K268" s="5">
        <f t="shared" si="14"/>
        <v>10382.219999999999</v>
      </c>
      <c r="L268" s="5">
        <v>10382.219999999999</v>
      </c>
      <c r="M268" s="5">
        <v>0</v>
      </c>
      <c r="N268" s="4">
        <v>18</v>
      </c>
      <c r="O268" s="5">
        <f t="shared" si="15"/>
        <v>75908.600000000006</v>
      </c>
      <c r="P268" s="5">
        <v>75908.600000000006</v>
      </c>
      <c r="Q268" s="5">
        <v>0</v>
      </c>
      <c r="R268" s="6"/>
    </row>
    <row r="269" spans="1:18" x14ac:dyDescent="0.25">
      <c r="A269" s="36">
        <f t="shared" si="16"/>
        <v>133</v>
      </c>
      <c r="B269" s="3" t="s">
        <v>473</v>
      </c>
      <c r="C269" s="3" t="s">
        <v>62</v>
      </c>
      <c r="D269" s="3"/>
      <c r="E269" s="3" t="s">
        <v>63</v>
      </c>
      <c r="F269" s="3" t="s">
        <v>500</v>
      </c>
      <c r="G269" s="4" t="s">
        <v>85</v>
      </c>
      <c r="H269" s="4">
        <v>15</v>
      </c>
      <c r="I269" s="4">
        <v>5</v>
      </c>
      <c r="J269" s="4">
        <v>6</v>
      </c>
      <c r="K269" s="5">
        <f t="shared" si="14"/>
        <v>1613.55</v>
      </c>
      <c r="L269" s="5">
        <v>1613.55</v>
      </c>
      <c r="M269" s="5">
        <v>0</v>
      </c>
      <c r="N269" s="4">
        <v>4</v>
      </c>
      <c r="O269" s="5">
        <f t="shared" si="15"/>
        <v>20865.919999999998</v>
      </c>
      <c r="P269" s="5">
        <v>20865.919999999998</v>
      </c>
      <c r="Q269" s="5">
        <v>0</v>
      </c>
      <c r="R269" s="6"/>
    </row>
    <row r="270" spans="1:18" x14ac:dyDescent="0.25">
      <c r="A270" s="36">
        <f t="shared" si="16"/>
        <v>134</v>
      </c>
      <c r="B270" s="3" t="s">
        <v>129</v>
      </c>
      <c r="C270" s="3" t="s">
        <v>62</v>
      </c>
      <c r="D270" s="3" t="s">
        <v>63</v>
      </c>
      <c r="E270" s="3" t="s">
        <v>74</v>
      </c>
      <c r="F270" s="3" t="s">
        <v>307</v>
      </c>
      <c r="G270" s="4" t="s">
        <v>85</v>
      </c>
      <c r="H270" s="4">
        <v>0</v>
      </c>
      <c r="I270" s="4">
        <v>0</v>
      </c>
      <c r="J270" s="4">
        <v>0</v>
      </c>
      <c r="K270" s="5">
        <f t="shared" si="14"/>
        <v>0</v>
      </c>
      <c r="L270" s="5">
        <v>0</v>
      </c>
      <c r="M270" s="5">
        <v>0</v>
      </c>
      <c r="N270" s="4">
        <v>2</v>
      </c>
      <c r="O270" s="5">
        <f t="shared" si="15"/>
        <v>5710.4</v>
      </c>
      <c r="P270" s="5">
        <f>2390.47+3319.93</f>
        <v>5710.4</v>
      </c>
      <c r="Q270" s="5">
        <v>0</v>
      </c>
      <c r="R270" s="6"/>
    </row>
    <row r="271" spans="1:18" ht="25.5" x14ac:dyDescent="0.25">
      <c r="A271" s="36">
        <f t="shared" si="16"/>
        <v>135</v>
      </c>
      <c r="B271" s="3" t="s">
        <v>58</v>
      </c>
      <c r="C271" s="3" t="s">
        <v>62</v>
      </c>
      <c r="D271" s="3" t="s">
        <v>63</v>
      </c>
      <c r="E271" s="3" t="s">
        <v>84</v>
      </c>
      <c r="F271" s="3" t="s">
        <v>308</v>
      </c>
      <c r="G271" s="4" t="s">
        <v>85</v>
      </c>
      <c r="H271" s="4">
        <v>177</v>
      </c>
      <c r="I271" s="4">
        <v>168</v>
      </c>
      <c r="J271" s="4">
        <v>188</v>
      </c>
      <c r="K271" s="5">
        <f t="shared" si="14"/>
        <v>127815.66</v>
      </c>
      <c r="L271" s="5">
        <v>127815.66</v>
      </c>
      <c r="M271" s="5">
        <v>0</v>
      </c>
      <c r="N271" s="4">
        <v>60</v>
      </c>
      <c r="O271" s="5">
        <f t="shared" si="15"/>
        <v>155989.18</v>
      </c>
      <c r="P271" s="5">
        <v>155989.18</v>
      </c>
      <c r="Q271" s="5">
        <v>0</v>
      </c>
      <c r="R271" s="6"/>
    </row>
    <row r="272" spans="1:18" ht="25.5" x14ac:dyDescent="0.25">
      <c r="A272" s="36">
        <f t="shared" si="16"/>
        <v>136</v>
      </c>
      <c r="B272" s="3" t="s">
        <v>59</v>
      </c>
      <c r="C272" s="3" t="s">
        <v>64</v>
      </c>
      <c r="D272" s="3" t="s">
        <v>66</v>
      </c>
      <c r="E272" s="3" t="s">
        <v>80</v>
      </c>
      <c r="F272" s="3" t="s">
        <v>309</v>
      </c>
      <c r="G272" s="4" t="s">
        <v>85</v>
      </c>
      <c r="H272" s="4">
        <v>40</v>
      </c>
      <c r="I272" s="4">
        <v>31</v>
      </c>
      <c r="J272" s="4">
        <v>46</v>
      </c>
      <c r="K272" s="5">
        <f t="shared" si="14"/>
        <v>31212.49</v>
      </c>
      <c r="L272" s="5">
        <v>31212.49</v>
      </c>
      <c r="M272" s="5">
        <v>0</v>
      </c>
      <c r="N272" s="4">
        <v>28</v>
      </c>
      <c r="O272" s="5">
        <f t="shared" si="15"/>
        <v>60246.84</v>
      </c>
      <c r="P272" s="5">
        <v>60246.84</v>
      </c>
      <c r="Q272" s="5">
        <v>0</v>
      </c>
      <c r="R272" s="6"/>
    </row>
    <row r="273" spans="1:18" x14ac:dyDescent="0.25">
      <c r="A273" s="36">
        <f t="shared" si="16"/>
        <v>137</v>
      </c>
      <c r="B273" s="3" t="s">
        <v>130</v>
      </c>
      <c r="C273" s="3" t="s">
        <v>62</v>
      </c>
      <c r="D273" s="3" t="s">
        <v>63</v>
      </c>
      <c r="E273" s="3" t="s">
        <v>74</v>
      </c>
      <c r="F273" s="3" t="s">
        <v>553</v>
      </c>
      <c r="G273" s="4" t="s">
        <v>85</v>
      </c>
      <c r="H273" s="4">
        <v>2</v>
      </c>
      <c r="I273" s="4">
        <v>1</v>
      </c>
      <c r="J273" s="4">
        <v>1</v>
      </c>
      <c r="K273" s="5">
        <f t="shared" si="14"/>
        <v>299.54000000000002</v>
      </c>
      <c r="L273" s="5">
        <v>299.54000000000002</v>
      </c>
      <c r="M273" s="5">
        <v>0</v>
      </c>
      <c r="N273" s="4">
        <v>2</v>
      </c>
      <c r="O273" s="5">
        <f t="shared" si="15"/>
        <v>4807.33</v>
      </c>
      <c r="P273" s="5">
        <v>4807.33</v>
      </c>
      <c r="Q273" s="5">
        <v>0</v>
      </c>
      <c r="R273" s="6"/>
    </row>
    <row r="274" spans="1:18" x14ac:dyDescent="0.25">
      <c r="A274" s="36">
        <f t="shared" si="16"/>
        <v>138</v>
      </c>
      <c r="B274" s="3" t="s">
        <v>97</v>
      </c>
      <c r="C274" s="3" t="s">
        <v>62</v>
      </c>
      <c r="D274" s="3" t="s">
        <v>63</v>
      </c>
      <c r="E274" s="3" t="s">
        <v>74</v>
      </c>
      <c r="F274" s="3" t="s">
        <v>310</v>
      </c>
      <c r="G274" s="4" t="s">
        <v>85</v>
      </c>
      <c r="H274" s="4">
        <v>6</v>
      </c>
      <c r="I274" s="4">
        <v>3</v>
      </c>
      <c r="J274" s="4">
        <v>3</v>
      </c>
      <c r="K274" s="5">
        <f t="shared" si="14"/>
        <v>3660.56</v>
      </c>
      <c r="L274" s="5">
        <f>687.18+2973.38</f>
        <v>3660.56</v>
      </c>
      <c r="M274" s="5">
        <v>0</v>
      </c>
      <c r="N274" s="4">
        <v>1</v>
      </c>
      <c r="O274" s="5">
        <f t="shared" si="15"/>
        <v>808.76</v>
      </c>
      <c r="P274" s="5">
        <v>808.76</v>
      </c>
      <c r="Q274" s="5">
        <v>0</v>
      </c>
      <c r="R274" s="6"/>
    </row>
    <row r="275" spans="1:18" ht="25.5" x14ac:dyDescent="0.25">
      <c r="A275" s="36">
        <f t="shared" si="16"/>
        <v>139</v>
      </c>
      <c r="B275" s="3" t="s">
        <v>514</v>
      </c>
      <c r="C275" s="3" t="s">
        <v>62</v>
      </c>
      <c r="D275" s="3"/>
      <c r="E275" s="3" t="s">
        <v>223</v>
      </c>
      <c r="F275" s="3" t="s">
        <v>515</v>
      </c>
      <c r="G275" s="4" t="s">
        <v>85</v>
      </c>
      <c r="H275" s="4">
        <v>14</v>
      </c>
      <c r="I275" s="4">
        <v>8</v>
      </c>
      <c r="J275" s="4">
        <v>12</v>
      </c>
      <c r="K275" s="5">
        <f t="shared" si="14"/>
        <v>0</v>
      </c>
      <c r="L275" s="5">
        <v>0</v>
      </c>
      <c r="M275" s="5">
        <v>0</v>
      </c>
      <c r="N275" s="4">
        <v>0</v>
      </c>
      <c r="O275" s="5">
        <f t="shared" si="15"/>
        <v>0</v>
      </c>
      <c r="P275" s="5">
        <v>0</v>
      </c>
      <c r="Q275" s="5">
        <v>0</v>
      </c>
      <c r="R275" s="6"/>
    </row>
    <row r="276" spans="1:18" x14ac:dyDescent="0.25">
      <c r="A276" s="36">
        <f t="shared" si="16"/>
        <v>140</v>
      </c>
      <c r="B276" s="3" t="s">
        <v>132</v>
      </c>
      <c r="C276" s="3" t="s">
        <v>62</v>
      </c>
      <c r="D276" s="3"/>
      <c r="E276" s="3" t="s">
        <v>74</v>
      </c>
      <c r="F276" s="3" t="s">
        <v>311</v>
      </c>
      <c r="G276" s="4" t="s">
        <v>85</v>
      </c>
      <c r="H276" s="4">
        <v>16</v>
      </c>
      <c r="I276" s="4">
        <v>7</v>
      </c>
      <c r="J276" s="4">
        <v>8</v>
      </c>
      <c r="K276" s="5">
        <f t="shared" si="14"/>
        <v>6629.34</v>
      </c>
      <c r="L276" s="5">
        <v>6629.34</v>
      </c>
      <c r="M276" s="5">
        <v>0</v>
      </c>
      <c r="N276" s="4">
        <v>10</v>
      </c>
      <c r="O276" s="5">
        <f t="shared" si="15"/>
        <v>5871.87</v>
      </c>
      <c r="P276" s="5">
        <v>5871.87</v>
      </c>
      <c r="Q276" s="5">
        <v>0</v>
      </c>
      <c r="R276" s="6"/>
    </row>
    <row r="277" spans="1:18" ht="25.5" x14ac:dyDescent="0.25">
      <c r="A277" s="36">
        <f t="shared" si="16"/>
        <v>141</v>
      </c>
      <c r="B277" s="3" t="s">
        <v>312</v>
      </c>
      <c r="C277" s="3" t="s">
        <v>62</v>
      </c>
      <c r="D277" s="3"/>
      <c r="E277" s="3" t="s">
        <v>313</v>
      </c>
      <c r="F277" s="3" t="s">
        <v>314</v>
      </c>
      <c r="G277" s="4" t="s">
        <v>85</v>
      </c>
      <c r="H277" s="4">
        <v>36</v>
      </c>
      <c r="I277" s="4">
        <v>1</v>
      </c>
      <c r="J277" s="4">
        <v>1</v>
      </c>
      <c r="K277" s="5">
        <f t="shared" si="14"/>
        <v>0</v>
      </c>
      <c r="L277" s="5">
        <v>0</v>
      </c>
      <c r="M277" s="5">
        <v>0</v>
      </c>
      <c r="N277" s="4">
        <v>0</v>
      </c>
      <c r="O277" s="5">
        <f t="shared" si="15"/>
        <v>0</v>
      </c>
      <c r="P277" s="5">
        <v>0</v>
      </c>
      <c r="Q277" s="5">
        <v>0</v>
      </c>
      <c r="R277" s="6"/>
    </row>
    <row r="278" spans="1:18" x14ac:dyDescent="0.25">
      <c r="A278" s="36">
        <f t="shared" si="16"/>
        <v>142</v>
      </c>
      <c r="B278" s="3" t="s">
        <v>315</v>
      </c>
      <c r="C278" s="3" t="s">
        <v>62</v>
      </c>
      <c r="D278" s="3"/>
      <c r="E278" s="3" t="s">
        <v>74</v>
      </c>
      <c r="F278" s="3" t="s">
        <v>316</v>
      </c>
      <c r="G278" s="4" t="s">
        <v>85</v>
      </c>
      <c r="H278" s="4">
        <v>15</v>
      </c>
      <c r="I278" s="4">
        <v>7</v>
      </c>
      <c r="J278" s="4">
        <v>8</v>
      </c>
      <c r="K278" s="5">
        <f t="shared" si="14"/>
        <v>7088.53</v>
      </c>
      <c r="L278" s="5">
        <v>7088.53</v>
      </c>
      <c r="M278" s="5">
        <v>0</v>
      </c>
      <c r="N278" s="4">
        <v>3</v>
      </c>
      <c r="O278" s="5">
        <f t="shared" si="15"/>
        <v>2596.64</v>
      </c>
      <c r="P278" s="5">
        <v>2596.64</v>
      </c>
      <c r="Q278" s="5">
        <v>0</v>
      </c>
      <c r="R278" s="6"/>
    </row>
    <row r="279" spans="1:18" x14ac:dyDescent="0.25">
      <c r="A279" s="36">
        <f t="shared" si="16"/>
        <v>143</v>
      </c>
      <c r="B279" s="3" t="s">
        <v>317</v>
      </c>
      <c r="C279" s="3" t="s">
        <v>62</v>
      </c>
      <c r="D279" s="3"/>
      <c r="E279" s="3" t="s">
        <v>158</v>
      </c>
      <c r="F279" s="3" t="s">
        <v>474</v>
      </c>
      <c r="G279" s="4" t="s">
        <v>85</v>
      </c>
      <c r="H279" s="4">
        <v>8</v>
      </c>
      <c r="I279" s="4">
        <v>4</v>
      </c>
      <c r="J279" s="4">
        <v>4</v>
      </c>
      <c r="K279" s="5">
        <f t="shared" si="14"/>
        <v>0</v>
      </c>
      <c r="L279" s="5">
        <v>0</v>
      </c>
      <c r="M279" s="5">
        <v>0</v>
      </c>
      <c r="N279" s="4">
        <v>0</v>
      </c>
      <c r="O279" s="5">
        <f t="shared" si="15"/>
        <v>0</v>
      </c>
      <c r="P279" s="5">
        <v>0</v>
      </c>
      <c r="Q279" s="5">
        <v>0</v>
      </c>
      <c r="R279" s="6"/>
    </row>
    <row r="280" spans="1:18" ht="25.5" x14ac:dyDescent="0.25">
      <c r="A280" s="36">
        <f t="shared" si="16"/>
        <v>144</v>
      </c>
      <c r="B280" s="3" t="s">
        <v>318</v>
      </c>
      <c r="C280" s="3" t="s">
        <v>62</v>
      </c>
      <c r="D280" s="3"/>
      <c r="E280" s="3" t="s">
        <v>174</v>
      </c>
      <c r="F280" s="3" t="s">
        <v>319</v>
      </c>
      <c r="G280" s="4" t="s">
        <v>85</v>
      </c>
      <c r="H280" s="4">
        <v>23</v>
      </c>
      <c r="I280" s="4">
        <v>16</v>
      </c>
      <c r="J280" s="4">
        <v>19</v>
      </c>
      <c r="K280" s="5">
        <f t="shared" si="14"/>
        <v>16771.8</v>
      </c>
      <c r="L280" s="5">
        <v>16771.8</v>
      </c>
      <c r="M280" s="5">
        <v>0</v>
      </c>
      <c r="N280" s="4">
        <v>0</v>
      </c>
      <c r="O280" s="5">
        <f t="shared" si="15"/>
        <v>0</v>
      </c>
      <c r="P280" s="5">
        <v>0</v>
      </c>
      <c r="Q280" s="5">
        <v>0</v>
      </c>
      <c r="R280" s="6"/>
    </row>
    <row r="281" spans="1:18" x14ac:dyDescent="0.25">
      <c r="A281" s="36">
        <f t="shared" si="16"/>
        <v>145</v>
      </c>
      <c r="B281" s="3" t="s">
        <v>60</v>
      </c>
      <c r="C281" s="3" t="s">
        <v>67</v>
      </c>
      <c r="D281" s="3" t="s">
        <v>68</v>
      </c>
      <c r="E281" s="3" t="s">
        <v>74</v>
      </c>
      <c r="F281" s="3" t="s">
        <v>320</v>
      </c>
      <c r="G281" s="4" t="s">
        <v>85</v>
      </c>
      <c r="H281" s="4">
        <v>50</v>
      </c>
      <c r="I281" s="4">
        <v>46</v>
      </c>
      <c r="J281" s="4">
        <v>70</v>
      </c>
      <c r="K281" s="5">
        <f t="shared" si="14"/>
        <v>107467.68</v>
      </c>
      <c r="L281" s="5">
        <v>107467.68</v>
      </c>
      <c r="M281" s="5">
        <v>0</v>
      </c>
      <c r="N281" s="4">
        <v>38</v>
      </c>
      <c r="O281" s="5">
        <f t="shared" si="15"/>
        <v>82642.289999999994</v>
      </c>
      <c r="P281" s="5">
        <v>82642.289999999994</v>
      </c>
      <c r="Q281" s="5">
        <v>0</v>
      </c>
      <c r="R281" s="6"/>
    </row>
    <row r="282" spans="1:18" x14ac:dyDescent="0.25">
      <c r="A282" s="36">
        <f t="shared" si="16"/>
        <v>146</v>
      </c>
      <c r="B282" s="3" t="s">
        <v>61</v>
      </c>
      <c r="C282" s="3" t="s">
        <v>67</v>
      </c>
      <c r="D282" s="3" t="s">
        <v>69</v>
      </c>
      <c r="E282" s="3" t="s">
        <v>74</v>
      </c>
      <c r="F282" s="3" t="s">
        <v>321</v>
      </c>
      <c r="G282" s="4" t="s">
        <v>85</v>
      </c>
      <c r="H282" s="4">
        <v>8</v>
      </c>
      <c r="I282" s="4">
        <v>5</v>
      </c>
      <c r="J282" s="4">
        <v>5</v>
      </c>
      <c r="K282" s="5">
        <f t="shared" si="14"/>
        <v>9051.74</v>
      </c>
      <c r="L282" s="5">
        <v>9051.74</v>
      </c>
      <c r="M282" s="5">
        <v>0</v>
      </c>
      <c r="N282" s="4">
        <v>7</v>
      </c>
      <c r="O282" s="5">
        <f t="shared" si="15"/>
        <v>7602.26</v>
      </c>
      <c r="P282" s="5">
        <v>7602.26</v>
      </c>
      <c r="Q282" s="5">
        <v>0</v>
      </c>
      <c r="R282" s="6"/>
    </row>
  </sheetData>
  <autoFilter ref="A8:Q8"/>
  <mergeCells count="8">
    <mergeCell ref="B7:G7"/>
    <mergeCell ref="H7:M7"/>
    <mergeCell ref="N7:Q7"/>
    <mergeCell ref="O1:Q1"/>
    <mergeCell ref="A3:Q3"/>
    <mergeCell ref="A4:Q4"/>
    <mergeCell ref="A5:Q5"/>
    <mergeCell ref="A6:Q6"/>
  </mergeCells>
  <pageMargins left="0.31496062992125984" right="0.31496062992125984" top="0.55118110236220474" bottom="0.55118110236220474" header="0" footer="0"/>
  <pageSetup paperSize="9" scale="18" fitToWidth="2" orientation="landscape" horizontalDpi="300" verticalDpi="300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282"/>
  <sheetViews>
    <sheetView topLeftCell="A144" workbookViewId="0">
      <selection activeCell="A165" sqref="A165"/>
    </sheetView>
  </sheetViews>
  <sheetFormatPr defaultRowHeight="15" customHeight="1" x14ac:dyDescent="0.25"/>
  <cols>
    <col min="1" max="1" width="7.42578125" bestFit="1" customWidth="1"/>
    <col min="2" max="2" width="36.28515625" customWidth="1"/>
    <col min="3" max="3" width="11.28515625" customWidth="1"/>
    <col min="4" max="4" width="26.28515625" customWidth="1"/>
    <col min="5" max="5" width="15.7109375" customWidth="1"/>
    <col min="6" max="8" width="19.28515625" customWidth="1"/>
    <col min="9" max="9" width="11.85546875" customWidth="1"/>
    <col min="10" max="10" width="13.140625" customWidth="1"/>
    <col min="11" max="11" width="14.5703125" customWidth="1"/>
    <col min="12" max="12" width="13.42578125" customWidth="1"/>
    <col min="13" max="13" width="13.5703125" customWidth="1"/>
    <col min="14" max="14" width="13.28515625" customWidth="1"/>
    <col min="15" max="15" width="14.42578125" customWidth="1"/>
    <col min="16" max="17" width="13.42578125" customWidth="1"/>
  </cols>
  <sheetData>
    <row r="1" spans="1:18" x14ac:dyDescent="0.25">
      <c r="A1" s="278"/>
      <c r="B1" s="278"/>
      <c r="C1" s="278"/>
      <c r="D1" s="278"/>
      <c r="E1" s="278"/>
      <c r="F1" s="278"/>
      <c r="G1" s="278"/>
      <c r="H1" s="278"/>
      <c r="I1" s="278"/>
      <c r="J1" s="278"/>
      <c r="K1" s="7"/>
      <c r="L1" s="7"/>
      <c r="M1" s="7"/>
      <c r="N1" s="278"/>
      <c r="O1" s="620" t="s">
        <v>15</v>
      </c>
      <c r="P1" s="620"/>
      <c r="Q1" s="620"/>
      <c r="R1" s="6"/>
    </row>
    <row r="2" spans="1:18" x14ac:dyDescent="0.25">
      <c r="A2" s="278"/>
      <c r="B2" s="278"/>
      <c r="C2" s="278"/>
      <c r="D2" s="278"/>
      <c r="E2" s="278"/>
      <c r="F2" s="278"/>
      <c r="G2" s="278"/>
      <c r="H2" s="278"/>
      <c r="I2" s="278"/>
      <c r="J2" s="278"/>
      <c r="K2" s="7"/>
      <c r="L2" s="7"/>
      <c r="M2" s="7"/>
      <c r="N2" s="278"/>
      <c r="O2" s="7"/>
      <c r="P2" s="7"/>
      <c r="Q2" s="7"/>
      <c r="R2" s="6"/>
    </row>
    <row r="3" spans="1:18" x14ac:dyDescent="0.25">
      <c r="A3" s="621" t="s">
        <v>323</v>
      </c>
      <c r="B3" s="621"/>
      <c r="C3" s="621"/>
      <c r="D3" s="621"/>
      <c r="E3" s="621"/>
      <c r="F3" s="621"/>
      <c r="G3" s="621"/>
      <c r="H3" s="621"/>
      <c r="I3" s="621"/>
      <c r="J3" s="621"/>
      <c r="K3" s="621"/>
      <c r="L3" s="621"/>
      <c r="M3" s="621"/>
      <c r="N3" s="621"/>
      <c r="O3" s="621"/>
      <c r="P3" s="621"/>
      <c r="Q3" s="621"/>
      <c r="R3" s="6"/>
    </row>
    <row r="4" spans="1:18" ht="18.75" x14ac:dyDescent="0.25">
      <c r="A4" s="622" t="s">
        <v>16</v>
      </c>
      <c r="B4" s="622"/>
      <c r="C4" s="622"/>
      <c r="D4" s="622"/>
      <c r="E4" s="622"/>
      <c r="F4" s="622"/>
      <c r="G4" s="622"/>
      <c r="H4" s="622"/>
      <c r="I4" s="622"/>
      <c r="J4" s="622"/>
      <c r="K4" s="622"/>
      <c r="L4" s="622"/>
      <c r="M4" s="622"/>
      <c r="N4" s="622"/>
      <c r="O4" s="622"/>
      <c r="P4" s="622"/>
      <c r="Q4" s="622"/>
      <c r="R4" s="6"/>
    </row>
    <row r="5" spans="1:18" x14ac:dyDescent="0.25">
      <c r="A5" s="623" t="s">
        <v>14</v>
      </c>
      <c r="B5" s="623"/>
      <c r="C5" s="623"/>
      <c r="D5" s="623"/>
      <c r="E5" s="623"/>
      <c r="F5" s="623"/>
      <c r="G5" s="623"/>
      <c r="H5" s="623"/>
      <c r="I5" s="623"/>
      <c r="J5" s="623"/>
      <c r="K5" s="623"/>
      <c r="L5" s="623"/>
      <c r="M5" s="623"/>
      <c r="N5" s="623"/>
      <c r="O5" s="623"/>
      <c r="P5" s="623"/>
      <c r="Q5" s="623"/>
      <c r="R5" s="6"/>
    </row>
    <row r="6" spans="1:18" ht="21" x14ac:dyDescent="0.25">
      <c r="A6" s="624" t="s">
        <v>17</v>
      </c>
      <c r="B6" s="624"/>
      <c r="C6" s="624"/>
      <c r="D6" s="624"/>
      <c r="E6" s="624"/>
      <c r="F6" s="624"/>
      <c r="G6" s="624"/>
      <c r="H6" s="624"/>
      <c r="I6" s="624"/>
      <c r="J6" s="624"/>
      <c r="K6" s="624"/>
      <c r="L6" s="624"/>
      <c r="M6" s="624"/>
      <c r="N6" s="624"/>
      <c r="O6" s="624"/>
      <c r="P6" s="624"/>
      <c r="Q6" s="624"/>
      <c r="R6" s="6"/>
    </row>
    <row r="7" spans="1:18" x14ac:dyDescent="0.25">
      <c r="A7" s="9" t="s">
        <v>0</v>
      </c>
      <c r="B7" s="617" t="s">
        <v>10</v>
      </c>
      <c r="C7" s="618"/>
      <c r="D7" s="618"/>
      <c r="E7" s="618"/>
      <c r="F7" s="618"/>
      <c r="G7" s="619"/>
      <c r="H7" s="617" t="s">
        <v>322</v>
      </c>
      <c r="I7" s="618"/>
      <c r="J7" s="618"/>
      <c r="K7" s="618"/>
      <c r="L7" s="618"/>
      <c r="M7" s="618"/>
      <c r="N7" s="617" t="s">
        <v>324</v>
      </c>
      <c r="O7" s="618"/>
      <c r="P7" s="618"/>
      <c r="Q7" s="619"/>
      <c r="R7" s="6"/>
    </row>
    <row r="8" spans="1:18" ht="102" x14ac:dyDescent="0.25">
      <c r="A8" s="10"/>
      <c r="B8" s="11" t="s">
        <v>4</v>
      </c>
      <c r="C8" s="11" t="s">
        <v>1</v>
      </c>
      <c r="D8" s="11" t="s">
        <v>3</v>
      </c>
      <c r="E8" s="11" t="s">
        <v>2</v>
      </c>
      <c r="F8" s="11" t="s">
        <v>6</v>
      </c>
      <c r="G8" s="11" t="s">
        <v>5</v>
      </c>
      <c r="H8" s="12" t="s">
        <v>7</v>
      </c>
      <c r="I8" s="13" t="s">
        <v>8</v>
      </c>
      <c r="J8" s="13" t="s">
        <v>9</v>
      </c>
      <c r="K8" s="14" t="s">
        <v>11</v>
      </c>
      <c r="L8" s="14" t="s">
        <v>12</v>
      </c>
      <c r="M8" s="14" t="s">
        <v>13</v>
      </c>
      <c r="N8" s="13" t="s">
        <v>9</v>
      </c>
      <c r="O8" s="14" t="s">
        <v>11</v>
      </c>
      <c r="P8" s="14" t="s">
        <v>12</v>
      </c>
      <c r="Q8" s="15" t="s">
        <v>13</v>
      </c>
      <c r="R8" s="6"/>
    </row>
    <row r="9" spans="1:18" ht="25.5" x14ac:dyDescent="0.25">
      <c r="A9" s="190">
        <v>1</v>
      </c>
      <c r="B9" s="136" t="s">
        <v>134</v>
      </c>
      <c r="C9" s="134" t="s">
        <v>62</v>
      </c>
      <c r="D9" s="136"/>
      <c r="E9" s="134" t="s">
        <v>74</v>
      </c>
      <c r="F9" s="134" t="s">
        <v>408</v>
      </c>
      <c r="G9" s="136" t="s">
        <v>409</v>
      </c>
      <c r="H9" s="191">
        <v>24</v>
      </c>
      <c r="I9" s="191">
        <v>4</v>
      </c>
      <c r="J9" s="191">
        <v>4</v>
      </c>
      <c r="K9" s="192">
        <v>3910.4</v>
      </c>
      <c r="L9" s="192">
        <v>3910.4</v>
      </c>
      <c r="M9" s="193">
        <f t="shared" ref="M9:M53" si="0">K9-L9</f>
        <v>0</v>
      </c>
      <c r="N9" s="191">
        <v>5</v>
      </c>
      <c r="O9" s="192">
        <v>13457.2</v>
      </c>
      <c r="P9" s="192">
        <v>10109.4</v>
      </c>
      <c r="Q9" s="192">
        <f t="shared" ref="Q9:Q53" si="1">O9-P9</f>
        <v>3347.8000000000011</v>
      </c>
      <c r="R9" s="296"/>
    </row>
    <row r="10" spans="1:18" ht="25.5" x14ac:dyDescent="0.25">
      <c r="A10" s="190">
        <v>2</v>
      </c>
      <c r="B10" s="136" t="s">
        <v>335</v>
      </c>
      <c r="C10" s="134" t="s">
        <v>62</v>
      </c>
      <c r="D10" s="136"/>
      <c r="E10" s="134" t="s">
        <v>74</v>
      </c>
      <c r="F10" s="134" t="s">
        <v>410</v>
      </c>
      <c r="G10" s="136" t="s">
        <v>409</v>
      </c>
      <c r="H10" s="191">
        <v>10</v>
      </c>
      <c r="I10" s="191">
        <v>4</v>
      </c>
      <c r="J10" s="191">
        <v>4</v>
      </c>
      <c r="K10" s="192">
        <v>5146.8</v>
      </c>
      <c r="L10" s="192">
        <v>4089.6</v>
      </c>
      <c r="M10" s="193">
        <f t="shared" si="0"/>
        <v>1057.2000000000003</v>
      </c>
      <c r="N10" s="191">
        <v>8</v>
      </c>
      <c r="O10" s="192">
        <v>10652</v>
      </c>
      <c r="P10" s="192">
        <v>8185.2</v>
      </c>
      <c r="Q10" s="192">
        <f t="shared" si="1"/>
        <v>2466.8000000000002</v>
      </c>
      <c r="R10" s="296"/>
    </row>
    <row r="11" spans="1:18" ht="38.25" x14ac:dyDescent="0.25">
      <c r="A11" s="190">
        <v>3</v>
      </c>
      <c r="B11" s="136" t="s">
        <v>46</v>
      </c>
      <c r="C11" s="134" t="s">
        <v>62</v>
      </c>
      <c r="D11" s="136"/>
      <c r="E11" s="134" t="s">
        <v>267</v>
      </c>
      <c r="F11" s="134" t="s">
        <v>411</v>
      </c>
      <c r="G11" s="136" t="s">
        <v>409</v>
      </c>
      <c r="H11" s="191">
        <v>28</v>
      </c>
      <c r="I11" s="191">
        <v>7</v>
      </c>
      <c r="J11" s="191">
        <v>7</v>
      </c>
      <c r="K11" s="192">
        <v>9866.6</v>
      </c>
      <c r="L11" s="192">
        <v>4933.6000000000004</v>
      </c>
      <c r="M11" s="193">
        <f t="shared" si="0"/>
        <v>4933</v>
      </c>
      <c r="N11" s="191">
        <v>17</v>
      </c>
      <c r="O11" s="192">
        <v>25515.45</v>
      </c>
      <c r="P11" s="192">
        <v>14509.49</v>
      </c>
      <c r="Q11" s="192">
        <f t="shared" si="1"/>
        <v>11005.960000000001</v>
      </c>
      <c r="R11" s="296"/>
    </row>
    <row r="12" spans="1:18" ht="25.5" x14ac:dyDescent="0.25">
      <c r="A12" s="190">
        <v>4</v>
      </c>
      <c r="B12" s="136" t="s">
        <v>36</v>
      </c>
      <c r="C12" s="134" t="s">
        <v>62</v>
      </c>
      <c r="D12" s="136"/>
      <c r="E12" s="134" t="s">
        <v>74</v>
      </c>
      <c r="F12" s="134" t="s">
        <v>412</v>
      </c>
      <c r="G12" s="136" t="s">
        <v>409</v>
      </c>
      <c r="H12" s="191">
        <v>25</v>
      </c>
      <c r="I12" s="191">
        <v>10</v>
      </c>
      <c r="J12" s="191">
        <v>10</v>
      </c>
      <c r="K12" s="192">
        <v>14906.52</v>
      </c>
      <c r="L12" s="192">
        <v>7682.32</v>
      </c>
      <c r="M12" s="193">
        <f t="shared" si="0"/>
        <v>7224.2000000000007</v>
      </c>
      <c r="N12" s="191">
        <v>12</v>
      </c>
      <c r="O12" s="192">
        <v>34112.32</v>
      </c>
      <c r="P12" s="192">
        <v>22165.96</v>
      </c>
      <c r="Q12" s="192">
        <f t="shared" si="1"/>
        <v>11946.36</v>
      </c>
      <c r="R12" s="296"/>
    </row>
    <row r="13" spans="1:18" ht="25.5" x14ac:dyDescent="0.25">
      <c r="A13" s="190">
        <v>5</v>
      </c>
      <c r="B13" s="136" t="s">
        <v>27</v>
      </c>
      <c r="C13" s="134" t="s">
        <v>62</v>
      </c>
      <c r="D13" s="136"/>
      <c r="E13" s="134" t="s">
        <v>74</v>
      </c>
      <c r="F13" s="134" t="s">
        <v>413</v>
      </c>
      <c r="G13" s="136" t="s">
        <v>409</v>
      </c>
      <c r="H13" s="191">
        <v>10</v>
      </c>
      <c r="I13" s="191">
        <v>3</v>
      </c>
      <c r="J13" s="191">
        <v>3</v>
      </c>
      <c r="K13" s="192">
        <v>5051.82</v>
      </c>
      <c r="L13" s="192">
        <v>2761.22</v>
      </c>
      <c r="M13" s="193">
        <f t="shared" si="0"/>
        <v>2290.6</v>
      </c>
      <c r="N13" s="191">
        <v>8</v>
      </c>
      <c r="O13" s="192">
        <v>16676.7</v>
      </c>
      <c r="P13" s="192">
        <v>12712.3</v>
      </c>
      <c r="Q13" s="192">
        <f t="shared" si="1"/>
        <v>3964.4000000000015</v>
      </c>
      <c r="R13" s="296"/>
    </row>
    <row r="14" spans="1:18" ht="25.5" x14ac:dyDescent="0.25">
      <c r="A14" s="190">
        <v>6</v>
      </c>
      <c r="B14" s="136" t="s">
        <v>28</v>
      </c>
      <c r="C14" s="134" t="s">
        <v>62</v>
      </c>
      <c r="D14" s="136"/>
      <c r="E14" s="134" t="s">
        <v>74</v>
      </c>
      <c r="F14" s="134" t="s">
        <v>414</v>
      </c>
      <c r="G14" s="136" t="s">
        <v>409</v>
      </c>
      <c r="H14" s="191">
        <v>27</v>
      </c>
      <c r="I14" s="191">
        <v>7</v>
      </c>
      <c r="J14" s="191">
        <v>7</v>
      </c>
      <c r="K14" s="192">
        <v>7858.52</v>
      </c>
      <c r="L14" s="192">
        <v>7858.52</v>
      </c>
      <c r="M14" s="193">
        <f t="shared" si="0"/>
        <v>0</v>
      </c>
      <c r="N14" s="191">
        <v>7</v>
      </c>
      <c r="O14" s="192">
        <v>12334</v>
      </c>
      <c r="P14" s="192">
        <v>9867.2000000000007</v>
      </c>
      <c r="Q14" s="192">
        <f t="shared" si="1"/>
        <v>2466.7999999999993</v>
      </c>
      <c r="R14" s="296"/>
    </row>
    <row r="15" spans="1:18" ht="25.5" x14ac:dyDescent="0.25">
      <c r="A15" s="190">
        <v>7</v>
      </c>
      <c r="B15" s="298" t="s">
        <v>246</v>
      </c>
      <c r="C15" s="190" t="s">
        <v>62</v>
      </c>
      <c r="D15" s="298"/>
      <c r="E15" s="134" t="s">
        <v>74</v>
      </c>
      <c r="F15" s="190" t="s">
        <v>415</v>
      </c>
      <c r="G15" s="136" t="s">
        <v>409</v>
      </c>
      <c r="H15" s="191">
        <v>26</v>
      </c>
      <c r="I15" s="191">
        <v>2</v>
      </c>
      <c r="J15" s="191">
        <v>2</v>
      </c>
      <c r="K15" s="192">
        <v>1374.36</v>
      </c>
      <c r="L15" s="192">
        <v>1374.36</v>
      </c>
      <c r="M15" s="193">
        <f t="shared" si="0"/>
        <v>0</v>
      </c>
      <c r="N15" s="191">
        <v>0</v>
      </c>
      <c r="O15" s="192">
        <v>0</v>
      </c>
      <c r="P15" s="192">
        <v>0</v>
      </c>
      <c r="Q15" s="192">
        <f t="shared" si="1"/>
        <v>0</v>
      </c>
      <c r="R15" s="296"/>
    </row>
    <row r="16" spans="1:18" ht="25.5" x14ac:dyDescent="0.25">
      <c r="A16" s="203">
        <v>8</v>
      </c>
      <c r="B16" s="195" t="s">
        <v>330</v>
      </c>
      <c r="C16" s="190" t="s">
        <v>62</v>
      </c>
      <c r="D16" s="298"/>
      <c r="E16" s="134" t="s">
        <v>74</v>
      </c>
      <c r="F16" s="190" t="s">
        <v>416</v>
      </c>
      <c r="G16" s="136" t="s">
        <v>409</v>
      </c>
      <c r="H16" s="191">
        <v>5</v>
      </c>
      <c r="I16" s="191">
        <v>0</v>
      </c>
      <c r="J16" s="191">
        <v>0</v>
      </c>
      <c r="K16" s="192">
        <v>0</v>
      </c>
      <c r="L16" s="192">
        <v>0</v>
      </c>
      <c r="M16" s="193">
        <f t="shared" si="0"/>
        <v>0</v>
      </c>
      <c r="N16" s="191">
        <v>0</v>
      </c>
      <c r="O16" s="192">
        <v>0</v>
      </c>
      <c r="P16" s="192">
        <v>0</v>
      </c>
      <c r="Q16" s="192">
        <f t="shared" si="1"/>
        <v>0</v>
      </c>
      <c r="R16" s="296"/>
    </row>
    <row r="17" spans="1:18" ht="25.5" x14ac:dyDescent="0.25">
      <c r="A17" s="203">
        <v>9</v>
      </c>
      <c r="B17" s="195" t="s">
        <v>402</v>
      </c>
      <c r="C17" s="190" t="s">
        <v>62</v>
      </c>
      <c r="D17" s="298"/>
      <c r="E17" s="134" t="s">
        <v>74</v>
      </c>
      <c r="F17" s="190" t="s">
        <v>417</v>
      </c>
      <c r="G17" s="136" t="s">
        <v>409</v>
      </c>
      <c r="H17" s="191">
        <v>15</v>
      </c>
      <c r="I17" s="191">
        <v>4</v>
      </c>
      <c r="J17" s="191">
        <v>4</v>
      </c>
      <c r="K17" s="192">
        <v>4968.82</v>
      </c>
      <c r="L17" s="192">
        <v>2114.4</v>
      </c>
      <c r="M17" s="193">
        <f t="shared" si="0"/>
        <v>2854.4199999999996</v>
      </c>
      <c r="N17" s="191">
        <v>0</v>
      </c>
      <c r="O17" s="192">
        <v>0</v>
      </c>
      <c r="P17" s="192">
        <v>0</v>
      </c>
      <c r="Q17" s="192">
        <f t="shared" si="1"/>
        <v>0</v>
      </c>
      <c r="R17" s="296"/>
    </row>
    <row r="18" spans="1:18" ht="25.5" x14ac:dyDescent="0.25">
      <c r="A18" s="203">
        <v>10</v>
      </c>
      <c r="B18" s="195" t="s">
        <v>154</v>
      </c>
      <c r="C18" s="190" t="s">
        <v>62</v>
      </c>
      <c r="D18" s="298"/>
      <c r="E18" s="134" t="s">
        <v>72</v>
      </c>
      <c r="F18" s="190" t="s">
        <v>418</v>
      </c>
      <c r="G18" s="136" t="s">
        <v>409</v>
      </c>
      <c r="H18" s="191">
        <v>7</v>
      </c>
      <c r="I18" s="191">
        <v>0</v>
      </c>
      <c r="J18" s="191">
        <v>0</v>
      </c>
      <c r="K18" s="192">
        <v>0</v>
      </c>
      <c r="L18" s="192">
        <v>0</v>
      </c>
      <c r="M18" s="193">
        <f t="shared" si="0"/>
        <v>0</v>
      </c>
      <c r="N18" s="191">
        <v>5</v>
      </c>
      <c r="O18" s="192">
        <v>4737.8999999999996</v>
      </c>
      <c r="P18" s="192">
        <v>4737.8999999999996</v>
      </c>
      <c r="Q18" s="192">
        <f t="shared" si="1"/>
        <v>0</v>
      </c>
      <c r="R18" s="296"/>
    </row>
    <row r="19" spans="1:18" ht="25.5" x14ac:dyDescent="0.25">
      <c r="A19" s="203">
        <v>11</v>
      </c>
      <c r="B19" s="195" t="s">
        <v>153</v>
      </c>
      <c r="C19" s="190" t="s">
        <v>62</v>
      </c>
      <c r="D19" s="298"/>
      <c r="E19" s="134" t="s">
        <v>74</v>
      </c>
      <c r="F19" s="190" t="s">
        <v>419</v>
      </c>
      <c r="G19" s="136" t="s">
        <v>409</v>
      </c>
      <c r="H19" s="191">
        <v>4</v>
      </c>
      <c r="I19" s="191">
        <v>0</v>
      </c>
      <c r="J19" s="191">
        <v>0</v>
      </c>
      <c r="K19" s="192">
        <v>0</v>
      </c>
      <c r="L19" s="192">
        <v>0</v>
      </c>
      <c r="M19" s="193">
        <f t="shared" si="0"/>
        <v>0</v>
      </c>
      <c r="N19" s="191">
        <v>5</v>
      </c>
      <c r="O19" s="192">
        <v>18053.7</v>
      </c>
      <c r="P19" s="192">
        <v>15237.6</v>
      </c>
      <c r="Q19" s="192">
        <f t="shared" si="1"/>
        <v>2816.1000000000004</v>
      </c>
      <c r="R19" s="296"/>
    </row>
    <row r="20" spans="1:18" ht="25.5" x14ac:dyDescent="0.25">
      <c r="A20" s="203">
        <v>12</v>
      </c>
      <c r="B20" s="195" t="s">
        <v>89</v>
      </c>
      <c r="C20" s="190" t="s">
        <v>62</v>
      </c>
      <c r="D20" s="298"/>
      <c r="E20" s="134" t="s">
        <v>74</v>
      </c>
      <c r="F20" s="190" t="s">
        <v>420</v>
      </c>
      <c r="G20" s="136" t="s">
        <v>409</v>
      </c>
      <c r="H20" s="191">
        <v>10</v>
      </c>
      <c r="I20" s="191">
        <v>1</v>
      </c>
      <c r="J20" s="191">
        <v>1</v>
      </c>
      <c r="K20" s="192">
        <v>528.6</v>
      </c>
      <c r="L20" s="192">
        <v>528.6</v>
      </c>
      <c r="M20" s="193">
        <f t="shared" si="0"/>
        <v>0</v>
      </c>
      <c r="N20" s="191">
        <v>2</v>
      </c>
      <c r="O20" s="192">
        <v>4052.6</v>
      </c>
      <c r="P20" s="192">
        <v>4052.6</v>
      </c>
      <c r="Q20" s="192">
        <f t="shared" si="1"/>
        <v>0</v>
      </c>
      <c r="R20" s="296"/>
    </row>
    <row r="21" spans="1:18" ht="25.5" x14ac:dyDescent="0.25">
      <c r="A21" s="203">
        <v>13</v>
      </c>
      <c r="B21" s="195" t="s">
        <v>379</v>
      </c>
      <c r="C21" s="190" t="s">
        <v>62</v>
      </c>
      <c r="D21" s="298"/>
      <c r="E21" s="134" t="s">
        <v>74</v>
      </c>
      <c r="F21" s="190" t="s">
        <v>421</v>
      </c>
      <c r="G21" s="136" t="s">
        <v>409</v>
      </c>
      <c r="H21" s="191">
        <v>5</v>
      </c>
      <c r="I21" s="191">
        <v>2</v>
      </c>
      <c r="J21" s="191">
        <v>2</v>
      </c>
      <c r="K21" s="192">
        <v>1409.6</v>
      </c>
      <c r="L21" s="192">
        <v>1409.6</v>
      </c>
      <c r="M21" s="193">
        <f t="shared" si="0"/>
        <v>0</v>
      </c>
      <c r="N21" s="191">
        <v>0</v>
      </c>
      <c r="O21" s="192">
        <v>0</v>
      </c>
      <c r="P21" s="192">
        <v>0</v>
      </c>
      <c r="Q21" s="192">
        <f t="shared" si="1"/>
        <v>0</v>
      </c>
      <c r="R21" s="296"/>
    </row>
    <row r="22" spans="1:18" ht="25.5" x14ac:dyDescent="0.25">
      <c r="A22" s="203">
        <v>14</v>
      </c>
      <c r="B22" s="195" t="s">
        <v>264</v>
      </c>
      <c r="C22" s="190" t="s">
        <v>62</v>
      </c>
      <c r="D22" s="298"/>
      <c r="E22" s="134" t="s">
        <v>74</v>
      </c>
      <c r="F22" s="190" t="s">
        <v>422</v>
      </c>
      <c r="G22" s="136" t="s">
        <v>409</v>
      </c>
      <c r="H22" s="191">
        <v>3</v>
      </c>
      <c r="I22" s="191">
        <v>0</v>
      </c>
      <c r="J22" s="191">
        <v>0</v>
      </c>
      <c r="K22" s="192">
        <v>0</v>
      </c>
      <c r="L22" s="192">
        <v>0</v>
      </c>
      <c r="M22" s="193">
        <f t="shared" si="0"/>
        <v>0</v>
      </c>
      <c r="N22" s="191">
        <v>0</v>
      </c>
      <c r="O22" s="192">
        <v>0</v>
      </c>
      <c r="P22" s="192">
        <v>0</v>
      </c>
      <c r="Q22" s="192">
        <f t="shared" si="1"/>
        <v>0</v>
      </c>
      <c r="R22" s="296"/>
    </row>
    <row r="23" spans="1:18" ht="25.5" x14ac:dyDescent="0.25">
      <c r="A23" s="203">
        <v>15</v>
      </c>
      <c r="B23" s="195" t="s">
        <v>475</v>
      </c>
      <c r="C23" s="190" t="s">
        <v>67</v>
      </c>
      <c r="D23" s="136" t="s">
        <v>123</v>
      </c>
      <c r="E23" s="134" t="s">
        <v>82</v>
      </c>
      <c r="F23" s="190" t="s">
        <v>423</v>
      </c>
      <c r="G23" s="136" t="s">
        <v>409</v>
      </c>
      <c r="H23" s="191">
        <v>3</v>
      </c>
      <c r="I23" s="191">
        <v>0</v>
      </c>
      <c r="J23" s="191">
        <v>0</v>
      </c>
      <c r="K23" s="192">
        <v>0</v>
      </c>
      <c r="L23" s="192">
        <v>0</v>
      </c>
      <c r="M23" s="193">
        <f t="shared" si="0"/>
        <v>0</v>
      </c>
      <c r="N23" s="191">
        <v>0</v>
      </c>
      <c r="O23" s="192">
        <v>0</v>
      </c>
      <c r="P23" s="192">
        <v>0</v>
      </c>
      <c r="Q23" s="192">
        <f t="shared" si="1"/>
        <v>0</v>
      </c>
      <c r="R23" s="296"/>
    </row>
    <row r="24" spans="1:18" ht="25.5" x14ac:dyDescent="0.25">
      <c r="A24" s="203">
        <v>16</v>
      </c>
      <c r="B24" s="195" t="s">
        <v>137</v>
      </c>
      <c r="C24" s="190" t="s">
        <v>62</v>
      </c>
      <c r="D24" s="298"/>
      <c r="E24" s="134" t="s">
        <v>78</v>
      </c>
      <c r="F24" s="190" t="s">
        <v>424</v>
      </c>
      <c r="G24" s="136" t="s">
        <v>409</v>
      </c>
      <c r="H24" s="191">
        <v>4</v>
      </c>
      <c r="I24" s="191">
        <v>1</v>
      </c>
      <c r="J24" s="191">
        <v>1</v>
      </c>
      <c r="K24" s="192">
        <v>1691.52</v>
      </c>
      <c r="L24" s="192">
        <v>1691.52</v>
      </c>
      <c r="M24" s="193">
        <f t="shared" si="0"/>
        <v>0</v>
      </c>
      <c r="N24" s="191">
        <v>0</v>
      </c>
      <c r="O24" s="192">
        <v>0</v>
      </c>
      <c r="P24" s="192">
        <v>0</v>
      </c>
      <c r="Q24" s="192">
        <f t="shared" si="1"/>
        <v>0</v>
      </c>
      <c r="R24" s="296"/>
    </row>
    <row r="25" spans="1:18" ht="25.5" x14ac:dyDescent="0.25">
      <c r="A25" s="203">
        <v>17</v>
      </c>
      <c r="B25" s="195" t="s">
        <v>173</v>
      </c>
      <c r="C25" s="190" t="s">
        <v>67</v>
      </c>
      <c r="D25" s="298" t="s">
        <v>425</v>
      </c>
      <c r="E25" s="134" t="s">
        <v>74</v>
      </c>
      <c r="F25" s="190" t="s">
        <v>426</v>
      </c>
      <c r="G25" s="136" t="s">
        <v>409</v>
      </c>
      <c r="H25" s="191">
        <v>12</v>
      </c>
      <c r="I25" s="191">
        <v>2</v>
      </c>
      <c r="J25" s="191">
        <v>2</v>
      </c>
      <c r="K25" s="192">
        <v>2114.4</v>
      </c>
      <c r="L25" s="192">
        <v>2114.4</v>
      </c>
      <c r="M25" s="193">
        <f t="shared" si="0"/>
        <v>0</v>
      </c>
      <c r="N25" s="191">
        <v>0</v>
      </c>
      <c r="O25" s="192">
        <v>0</v>
      </c>
      <c r="P25" s="192">
        <v>0</v>
      </c>
      <c r="Q25" s="192">
        <f t="shared" si="1"/>
        <v>0</v>
      </c>
      <c r="R25" s="296"/>
    </row>
    <row r="26" spans="1:18" ht="25.5" x14ac:dyDescent="0.25">
      <c r="A26" s="203">
        <v>18</v>
      </c>
      <c r="B26" s="195" t="s">
        <v>135</v>
      </c>
      <c r="C26" s="190" t="s">
        <v>62</v>
      </c>
      <c r="D26" s="298"/>
      <c r="E26" s="134" t="s">
        <v>74</v>
      </c>
      <c r="F26" s="190" t="s">
        <v>427</v>
      </c>
      <c r="G26" s="136" t="s">
        <v>409</v>
      </c>
      <c r="H26" s="191">
        <v>4</v>
      </c>
      <c r="I26" s="191">
        <v>2</v>
      </c>
      <c r="J26" s="191">
        <v>2</v>
      </c>
      <c r="K26" s="192">
        <v>2396.3200000000002</v>
      </c>
      <c r="L26" s="192">
        <v>1691.52</v>
      </c>
      <c r="M26" s="193">
        <f t="shared" si="0"/>
        <v>704.80000000000018</v>
      </c>
      <c r="N26" s="191">
        <v>4</v>
      </c>
      <c r="O26" s="192">
        <v>12758.52</v>
      </c>
      <c r="P26" s="192"/>
      <c r="Q26" s="192">
        <f t="shared" si="1"/>
        <v>12758.52</v>
      </c>
      <c r="R26" s="296"/>
    </row>
    <row r="27" spans="1:18" ht="25.5" x14ac:dyDescent="0.25">
      <c r="A27" s="203">
        <v>19</v>
      </c>
      <c r="B27" s="195" t="s">
        <v>148</v>
      </c>
      <c r="C27" s="190" t="s">
        <v>62</v>
      </c>
      <c r="D27" s="298"/>
      <c r="E27" s="134" t="s">
        <v>149</v>
      </c>
      <c r="F27" s="190" t="s">
        <v>375</v>
      </c>
      <c r="G27" s="136" t="s">
        <v>409</v>
      </c>
      <c r="H27" s="191">
        <v>21</v>
      </c>
      <c r="I27" s="191">
        <v>0</v>
      </c>
      <c r="J27" s="191">
        <v>0</v>
      </c>
      <c r="K27" s="192">
        <v>0</v>
      </c>
      <c r="L27" s="192">
        <v>0</v>
      </c>
      <c r="M27" s="193">
        <f t="shared" si="0"/>
        <v>0</v>
      </c>
      <c r="N27" s="191">
        <v>12</v>
      </c>
      <c r="O27" s="192">
        <v>34273.480000000003</v>
      </c>
      <c r="P27" s="192">
        <v>22187.47</v>
      </c>
      <c r="Q27" s="192">
        <f t="shared" si="1"/>
        <v>12086.010000000002</v>
      </c>
      <c r="R27" s="296"/>
    </row>
    <row r="28" spans="1:18" ht="25.5" x14ac:dyDescent="0.25">
      <c r="A28" s="203">
        <v>20</v>
      </c>
      <c r="B28" s="195" t="s">
        <v>147</v>
      </c>
      <c r="C28" s="190" t="s">
        <v>62</v>
      </c>
      <c r="D28" s="298"/>
      <c r="E28" s="134" t="s">
        <v>74</v>
      </c>
      <c r="F28" s="190" t="s">
        <v>331</v>
      </c>
      <c r="G28" s="136" t="s">
        <v>409</v>
      </c>
      <c r="H28" s="191">
        <v>6</v>
      </c>
      <c r="I28" s="191">
        <v>0</v>
      </c>
      <c r="J28" s="191">
        <v>0</v>
      </c>
      <c r="K28" s="192">
        <v>0</v>
      </c>
      <c r="L28" s="192">
        <v>0</v>
      </c>
      <c r="M28" s="193">
        <f t="shared" si="0"/>
        <v>0</v>
      </c>
      <c r="N28" s="191">
        <v>6</v>
      </c>
      <c r="O28" s="192">
        <v>10763.2</v>
      </c>
      <c r="P28" s="192">
        <v>8120.2</v>
      </c>
      <c r="Q28" s="192">
        <f t="shared" si="1"/>
        <v>2643.0000000000009</v>
      </c>
      <c r="R28" s="296"/>
    </row>
    <row r="29" spans="1:18" ht="25.5" x14ac:dyDescent="0.25">
      <c r="A29" s="203">
        <v>21</v>
      </c>
      <c r="B29" s="195" t="s">
        <v>124</v>
      </c>
      <c r="C29" s="190" t="s">
        <v>62</v>
      </c>
      <c r="D29" s="298"/>
      <c r="E29" s="134" t="s">
        <v>428</v>
      </c>
      <c r="F29" s="190" t="s">
        <v>329</v>
      </c>
      <c r="G29" s="136" t="s">
        <v>409</v>
      </c>
      <c r="H29" s="191">
        <v>16</v>
      </c>
      <c r="I29" s="191">
        <v>1</v>
      </c>
      <c r="J29" s="191">
        <v>1</v>
      </c>
      <c r="K29" s="192">
        <v>1762</v>
      </c>
      <c r="L29" s="192">
        <v>0</v>
      </c>
      <c r="M29" s="193">
        <f t="shared" si="0"/>
        <v>1762</v>
      </c>
      <c r="N29" s="191">
        <v>17</v>
      </c>
      <c r="O29" s="192">
        <v>20373.14</v>
      </c>
      <c r="P29" s="192">
        <v>8061.16</v>
      </c>
      <c r="Q29" s="192">
        <f t="shared" si="1"/>
        <v>12311.98</v>
      </c>
      <c r="R29" s="296"/>
    </row>
    <row r="30" spans="1:18" ht="25.5" x14ac:dyDescent="0.25">
      <c r="A30" s="203">
        <v>22</v>
      </c>
      <c r="B30" s="195" t="s">
        <v>168</v>
      </c>
      <c r="C30" s="190" t="s">
        <v>62</v>
      </c>
      <c r="D30" s="298"/>
      <c r="E30" s="190" t="s">
        <v>371</v>
      </c>
      <c r="F30" s="190" t="s">
        <v>353</v>
      </c>
      <c r="G30" s="136" t="s">
        <v>409</v>
      </c>
      <c r="H30" s="191">
        <v>6</v>
      </c>
      <c r="I30" s="191">
        <v>1</v>
      </c>
      <c r="J30" s="191">
        <v>1</v>
      </c>
      <c r="K30" s="192">
        <v>1409.6</v>
      </c>
      <c r="L30" s="192">
        <v>0</v>
      </c>
      <c r="M30" s="193">
        <f t="shared" si="0"/>
        <v>1409.6</v>
      </c>
      <c r="N30" s="191">
        <v>0</v>
      </c>
      <c r="O30" s="192">
        <v>0</v>
      </c>
      <c r="P30" s="192">
        <v>0</v>
      </c>
      <c r="Q30" s="192">
        <f t="shared" si="1"/>
        <v>0</v>
      </c>
      <c r="R30" s="296"/>
    </row>
    <row r="31" spans="1:18" ht="25.5" x14ac:dyDescent="0.25">
      <c r="A31" s="203">
        <v>23</v>
      </c>
      <c r="B31" s="195" t="s">
        <v>429</v>
      </c>
      <c r="C31" s="190" t="s">
        <v>62</v>
      </c>
      <c r="D31" s="298"/>
      <c r="E31" s="134" t="s">
        <v>74</v>
      </c>
      <c r="F31" s="190" t="s">
        <v>430</v>
      </c>
      <c r="G31" s="136" t="s">
        <v>409</v>
      </c>
      <c r="H31" s="191">
        <v>5</v>
      </c>
      <c r="I31" s="191">
        <v>2</v>
      </c>
      <c r="J31" s="191">
        <v>2</v>
      </c>
      <c r="K31" s="192">
        <v>2748.72</v>
      </c>
      <c r="L31" s="192">
        <v>1691.52</v>
      </c>
      <c r="M31" s="193">
        <f t="shared" si="0"/>
        <v>1057.1999999999998</v>
      </c>
      <c r="N31" s="191">
        <v>4</v>
      </c>
      <c r="O31" s="192">
        <v>3488.76</v>
      </c>
      <c r="P31" s="192">
        <v>528.6</v>
      </c>
      <c r="Q31" s="192">
        <f t="shared" si="1"/>
        <v>2960.1600000000003</v>
      </c>
      <c r="R31" s="296"/>
    </row>
    <row r="32" spans="1:18" ht="25.5" x14ac:dyDescent="0.25">
      <c r="A32" s="203">
        <v>24</v>
      </c>
      <c r="B32" s="195" t="s">
        <v>130</v>
      </c>
      <c r="C32" s="190" t="s">
        <v>62</v>
      </c>
      <c r="D32" s="298"/>
      <c r="E32" s="134" t="s">
        <v>74</v>
      </c>
      <c r="F32" s="190" t="s">
        <v>431</v>
      </c>
      <c r="G32" s="136" t="s">
        <v>409</v>
      </c>
      <c r="H32" s="191">
        <v>4</v>
      </c>
      <c r="I32" s="191">
        <v>4</v>
      </c>
      <c r="J32" s="191">
        <v>4</v>
      </c>
      <c r="K32" s="192">
        <v>5204.2</v>
      </c>
      <c r="L32" s="192">
        <v>5204.2</v>
      </c>
      <c r="M32" s="193">
        <f t="shared" si="0"/>
        <v>0</v>
      </c>
      <c r="N32" s="191">
        <v>1</v>
      </c>
      <c r="O32" s="192">
        <v>845.76</v>
      </c>
      <c r="P32" s="192">
        <v>845.76</v>
      </c>
      <c r="Q32" s="192">
        <f t="shared" si="1"/>
        <v>0</v>
      </c>
      <c r="R32" s="296"/>
    </row>
    <row r="33" spans="1:18" ht="25.5" x14ac:dyDescent="0.25">
      <c r="A33" s="203">
        <v>25</v>
      </c>
      <c r="B33" s="195" t="s">
        <v>32</v>
      </c>
      <c r="C33" s="190" t="s">
        <v>62</v>
      </c>
      <c r="D33" s="298"/>
      <c r="E33" s="134" t="s">
        <v>74</v>
      </c>
      <c r="F33" s="190" t="s">
        <v>432</v>
      </c>
      <c r="G33" s="136" t="s">
        <v>409</v>
      </c>
      <c r="H33" s="191">
        <v>9</v>
      </c>
      <c r="I33" s="191">
        <v>2</v>
      </c>
      <c r="J33" s="191">
        <v>2</v>
      </c>
      <c r="K33" s="192">
        <v>2114.4</v>
      </c>
      <c r="L33" s="192">
        <v>2114.4</v>
      </c>
      <c r="M33" s="193">
        <f t="shared" si="0"/>
        <v>0</v>
      </c>
      <c r="N33" s="191">
        <v>4</v>
      </c>
      <c r="O33" s="192">
        <v>4581.2</v>
      </c>
      <c r="P33" s="192">
        <v>4581.2</v>
      </c>
      <c r="Q33" s="192">
        <f t="shared" si="1"/>
        <v>0</v>
      </c>
      <c r="R33" s="296"/>
    </row>
    <row r="34" spans="1:18" ht="25.5" x14ac:dyDescent="0.25">
      <c r="A34" s="203">
        <v>26</v>
      </c>
      <c r="B34" s="195" t="s">
        <v>343</v>
      </c>
      <c r="C34" s="190" t="s">
        <v>62</v>
      </c>
      <c r="D34" s="298"/>
      <c r="E34" s="134" t="s">
        <v>74</v>
      </c>
      <c r="F34" s="190" t="s">
        <v>433</v>
      </c>
      <c r="G34" s="136" t="s">
        <v>409</v>
      </c>
      <c r="H34" s="191">
        <v>11</v>
      </c>
      <c r="I34" s="191">
        <v>2</v>
      </c>
      <c r="J34" s="191">
        <v>2</v>
      </c>
      <c r="K34" s="192">
        <v>2114.4</v>
      </c>
      <c r="L34" s="192">
        <v>0</v>
      </c>
      <c r="M34" s="193">
        <f t="shared" si="0"/>
        <v>2114.4</v>
      </c>
      <c r="N34" s="191">
        <v>0</v>
      </c>
      <c r="O34" s="192">
        <v>0</v>
      </c>
      <c r="P34" s="192">
        <v>0</v>
      </c>
      <c r="Q34" s="192">
        <f t="shared" si="1"/>
        <v>0</v>
      </c>
      <c r="R34" s="296"/>
    </row>
    <row r="35" spans="1:18" ht="25.5" x14ac:dyDescent="0.25">
      <c r="A35" s="203">
        <v>27</v>
      </c>
      <c r="B35" s="195" t="s">
        <v>290</v>
      </c>
      <c r="C35" s="190" t="s">
        <v>62</v>
      </c>
      <c r="D35" s="298"/>
      <c r="E35" s="190" t="s">
        <v>371</v>
      </c>
      <c r="F35" s="190" t="s">
        <v>434</v>
      </c>
      <c r="G35" s="136" t="s">
        <v>409</v>
      </c>
      <c r="H35" s="191">
        <v>4</v>
      </c>
      <c r="I35" s="191">
        <v>0</v>
      </c>
      <c r="J35" s="191">
        <v>0</v>
      </c>
      <c r="K35" s="192">
        <v>0</v>
      </c>
      <c r="L35" s="192">
        <v>0</v>
      </c>
      <c r="M35" s="193">
        <f t="shared" si="0"/>
        <v>0</v>
      </c>
      <c r="N35" s="191">
        <v>0</v>
      </c>
      <c r="O35" s="192">
        <v>0</v>
      </c>
      <c r="P35" s="192">
        <v>0</v>
      </c>
      <c r="Q35" s="192">
        <f t="shared" si="1"/>
        <v>0</v>
      </c>
      <c r="R35" s="296"/>
    </row>
    <row r="36" spans="1:18" ht="25.5" x14ac:dyDescent="0.25">
      <c r="A36" s="203">
        <v>28</v>
      </c>
      <c r="B36" s="195" t="s">
        <v>315</v>
      </c>
      <c r="C36" s="190" t="s">
        <v>62</v>
      </c>
      <c r="D36" s="298"/>
      <c r="E36" s="134" t="s">
        <v>74</v>
      </c>
      <c r="F36" s="190" t="s">
        <v>435</v>
      </c>
      <c r="G36" s="136" t="s">
        <v>409</v>
      </c>
      <c r="H36" s="191">
        <v>13</v>
      </c>
      <c r="I36" s="191">
        <v>0</v>
      </c>
      <c r="J36" s="191">
        <v>0</v>
      </c>
      <c r="K36" s="192">
        <v>0</v>
      </c>
      <c r="L36" s="192">
        <v>0</v>
      </c>
      <c r="M36" s="193">
        <f t="shared" si="0"/>
        <v>0</v>
      </c>
      <c r="N36" s="191">
        <v>4</v>
      </c>
      <c r="O36" s="192">
        <v>5622.22</v>
      </c>
      <c r="P36" s="192">
        <v>1386.2</v>
      </c>
      <c r="Q36" s="192">
        <f t="shared" si="1"/>
        <v>4236.0200000000004</v>
      </c>
      <c r="R36" s="296"/>
    </row>
    <row r="37" spans="1:18" ht="25.5" x14ac:dyDescent="0.25">
      <c r="A37" s="203">
        <v>29</v>
      </c>
      <c r="B37" s="195" t="s">
        <v>216</v>
      </c>
      <c r="C37" s="190" t="s">
        <v>67</v>
      </c>
      <c r="D37" s="298" t="s">
        <v>436</v>
      </c>
      <c r="E37" s="134" t="s">
        <v>74</v>
      </c>
      <c r="F37" s="190" t="s">
        <v>437</v>
      </c>
      <c r="G37" s="136" t="s">
        <v>409</v>
      </c>
      <c r="H37" s="191">
        <v>18</v>
      </c>
      <c r="I37" s="191">
        <v>3</v>
      </c>
      <c r="J37" s="191">
        <v>3</v>
      </c>
      <c r="K37" s="192">
        <v>5141.1499999999996</v>
      </c>
      <c r="L37" s="192">
        <v>0</v>
      </c>
      <c r="M37" s="193">
        <f t="shared" si="0"/>
        <v>5141.1499999999996</v>
      </c>
      <c r="N37" s="191">
        <v>0</v>
      </c>
      <c r="O37" s="192">
        <v>0</v>
      </c>
      <c r="P37" s="192">
        <v>0</v>
      </c>
      <c r="Q37" s="192">
        <f t="shared" si="1"/>
        <v>0</v>
      </c>
      <c r="R37" s="296"/>
    </row>
    <row r="38" spans="1:18" ht="25.5" x14ac:dyDescent="0.25">
      <c r="A38" s="203">
        <v>30</v>
      </c>
      <c r="B38" s="195" t="s">
        <v>438</v>
      </c>
      <c r="C38" s="190" t="s">
        <v>62</v>
      </c>
      <c r="D38" s="298"/>
      <c r="E38" s="134" t="s">
        <v>74</v>
      </c>
      <c r="F38" s="190" t="s">
        <v>439</v>
      </c>
      <c r="G38" s="136" t="s">
        <v>409</v>
      </c>
      <c r="H38" s="191">
        <v>7</v>
      </c>
      <c r="I38" s="191">
        <v>0</v>
      </c>
      <c r="J38" s="191">
        <v>0</v>
      </c>
      <c r="K38" s="192">
        <v>0</v>
      </c>
      <c r="L38" s="192">
        <v>0</v>
      </c>
      <c r="M38" s="193">
        <f t="shared" si="0"/>
        <v>0</v>
      </c>
      <c r="N38" s="191">
        <v>0</v>
      </c>
      <c r="O38" s="192">
        <v>0</v>
      </c>
      <c r="P38" s="192">
        <v>0</v>
      </c>
      <c r="Q38" s="192">
        <f t="shared" si="1"/>
        <v>0</v>
      </c>
      <c r="R38" s="296"/>
    </row>
    <row r="39" spans="1:18" ht="25.5" x14ac:dyDescent="0.25">
      <c r="A39" s="203">
        <v>31</v>
      </c>
      <c r="B39" s="195" t="s">
        <v>440</v>
      </c>
      <c r="C39" s="190" t="s">
        <v>62</v>
      </c>
      <c r="D39" s="298"/>
      <c r="E39" s="134" t="s">
        <v>74</v>
      </c>
      <c r="F39" s="190" t="s">
        <v>441</v>
      </c>
      <c r="G39" s="136" t="s">
        <v>409</v>
      </c>
      <c r="H39" s="191">
        <v>7</v>
      </c>
      <c r="I39" s="191">
        <v>3</v>
      </c>
      <c r="J39" s="191">
        <v>3</v>
      </c>
      <c r="K39" s="192">
        <v>3171.6</v>
      </c>
      <c r="L39" s="192">
        <v>0</v>
      </c>
      <c r="M39" s="193">
        <f t="shared" si="0"/>
        <v>3171.6</v>
      </c>
      <c r="N39" s="191">
        <v>0</v>
      </c>
      <c r="O39" s="192">
        <v>0</v>
      </c>
      <c r="P39" s="192">
        <v>0</v>
      </c>
      <c r="Q39" s="192">
        <f t="shared" si="1"/>
        <v>0</v>
      </c>
      <c r="R39" s="296"/>
    </row>
    <row r="40" spans="1:18" ht="28.35" customHeight="1" x14ac:dyDescent="0.25">
      <c r="A40" s="203">
        <v>32</v>
      </c>
      <c r="B40" s="195" t="s">
        <v>222</v>
      </c>
      <c r="C40" s="190" t="s">
        <v>64</v>
      </c>
      <c r="D40" s="136" t="s">
        <v>442</v>
      </c>
      <c r="E40" s="134" t="s">
        <v>74</v>
      </c>
      <c r="F40" s="190" t="s">
        <v>443</v>
      </c>
      <c r="G40" s="136" t="s">
        <v>409</v>
      </c>
      <c r="H40" s="191">
        <v>1</v>
      </c>
      <c r="I40" s="191">
        <v>0</v>
      </c>
      <c r="J40" s="191">
        <v>0</v>
      </c>
      <c r="K40" s="192">
        <v>0</v>
      </c>
      <c r="L40" s="192">
        <v>0</v>
      </c>
      <c r="M40" s="193">
        <f t="shared" si="0"/>
        <v>0</v>
      </c>
      <c r="N40" s="191">
        <v>0</v>
      </c>
      <c r="O40" s="192">
        <v>0</v>
      </c>
      <c r="P40" s="192">
        <v>0</v>
      </c>
      <c r="Q40" s="192">
        <f t="shared" si="1"/>
        <v>0</v>
      </c>
      <c r="R40" s="296"/>
    </row>
    <row r="41" spans="1:18" ht="25.5" x14ac:dyDescent="0.25">
      <c r="A41" s="203">
        <v>33</v>
      </c>
      <c r="B41" s="195" t="s">
        <v>444</v>
      </c>
      <c r="C41" s="190" t="s">
        <v>62</v>
      </c>
      <c r="D41" s="298"/>
      <c r="E41" s="134" t="s">
        <v>74</v>
      </c>
      <c r="F41" s="190" t="s">
        <v>445</v>
      </c>
      <c r="G41" s="136" t="s">
        <v>409</v>
      </c>
      <c r="H41" s="191">
        <v>5</v>
      </c>
      <c r="I41" s="191">
        <v>2</v>
      </c>
      <c r="J41" s="191">
        <v>2</v>
      </c>
      <c r="K41" s="192">
        <v>1409.6</v>
      </c>
      <c r="L41" s="192">
        <v>0</v>
      </c>
      <c r="M41" s="193">
        <f t="shared" si="0"/>
        <v>1409.6</v>
      </c>
      <c r="N41" s="191">
        <v>0</v>
      </c>
      <c r="O41" s="192">
        <v>0</v>
      </c>
      <c r="P41" s="192">
        <v>0</v>
      </c>
      <c r="Q41" s="192">
        <f t="shared" si="1"/>
        <v>0</v>
      </c>
      <c r="R41" s="296"/>
    </row>
    <row r="42" spans="1:18" ht="25.5" x14ac:dyDescent="0.25">
      <c r="A42" s="203">
        <v>34</v>
      </c>
      <c r="B42" s="195" t="s">
        <v>129</v>
      </c>
      <c r="C42" s="190" t="s">
        <v>62</v>
      </c>
      <c r="D42" s="298"/>
      <c r="E42" s="134" t="s">
        <v>74</v>
      </c>
      <c r="F42" s="190" t="s">
        <v>446</v>
      </c>
      <c r="G42" s="136" t="s">
        <v>409</v>
      </c>
      <c r="H42" s="191">
        <v>5</v>
      </c>
      <c r="I42" s="191">
        <v>3</v>
      </c>
      <c r="J42" s="191">
        <v>3</v>
      </c>
      <c r="K42" s="192">
        <v>3015.4</v>
      </c>
      <c r="L42" s="192">
        <v>1948.2</v>
      </c>
      <c r="M42" s="193">
        <f t="shared" si="0"/>
        <v>1067.2</v>
      </c>
      <c r="N42" s="191">
        <v>8</v>
      </c>
      <c r="O42" s="192">
        <v>12201.18</v>
      </c>
      <c r="P42" s="192">
        <v>7342.3</v>
      </c>
      <c r="Q42" s="192">
        <f t="shared" si="1"/>
        <v>4858.88</v>
      </c>
      <c r="R42" s="296"/>
    </row>
    <row r="43" spans="1:18" ht="25.5" x14ac:dyDescent="0.25">
      <c r="A43" s="203">
        <v>35</v>
      </c>
      <c r="B43" s="299" t="s">
        <v>104</v>
      </c>
      <c r="C43" s="190" t="s">
        <v>62</v>
      </c>
      <c r="D43" s="298"/>
      <c r="E43" s="134" t="s">
        <v>105</v>
      </c>
      <c r="F43" s="190" t="s">
        <v>447</v>
      </c>
      <c r="G43" s="136" t="s">
        <v>409</v>
      </c>
      <c r="H43" s="191">
        <v>0</v>
      </c>
      <c r="I43" s="191">
        <v>0</v>
      </c>
      <c r="J43" s="191">
        <v>0</v>
      </c>
      <c r="K43" s="192">
        <v>0</v>
      </c>
      <c r="L43" s="192">
        <v>0</v>
      </c>
      <c r="M43" s="193">
        <f t="shared" si="0"/>
        <v>0</v>
      </c>
      <c r="N43" s="191">
        <v>7</v>
      </c>
      <c r="O43" s="192">
        <v>5726.5</v>
      </c>
      <c r="P43" s="192">
        <v>5726.5</v>
      </c>
      <c r="Q43" s="192">
        <f t="shared" si="1"/>
        <v>0</v>
      </c>
      <c r="R43" s="296"/>
    </row>
    <row r="44" spans="1:18" ht="25.5" x14ac:dyDescent="0.25">
      <c r="A44" s="190">
        <v>36</v>
      </c>
      <c r="B44" s="298" t="s">
        <v>156</v>
      </c>
      <c r="C44" s="190" t="s">
        <v>67</v>
      </c>
      <c r="D44" s="298" t="s">
        <v>501</v>
      </c>
      <c r="E44" s="134" t="s">
        <v>74</v>
      </c>
      <c r="F44" s="190" t="s">
        <v>502</v>
      </c>
      <c r="G44" s="136" t="s">
        <v>409</v>
      </c>
      <c r="H44" s="191">
        <v>3</v>
      </c>
      <c r="I44" s="191">
        <v>0</v>
      </c>
      <c r="J44" s="191">
        <v>0</v>
      </c>
      <c r="K44" s="192">
        <v>0</v>
      </c>
      <c r="L44" s="192">
        <v>0</v>
      </c>
      <c r="M44" s="193">
        <f t="shared" si="0"/>
        <v>0</v>
      </c>
      <c r="N44" s="191">
        <v>3</v>
      </c>
      <c r="O44" s="192">
        <v>6167</v>
      </c>
      <c r="P44" s="192">
        <v>4757.3999999999996</v>
      </c>
      <c r="Q44" s="192">
        <f t="shared" si="1"/>
        <v>1409.6000000000004</v>
      </c>
      <c r="R44" s="296"/>
    </row>
    <row r="45" spans="1:18" ht="25.5" x14ac:dyDescent="0.25">
      <c r="A45" s="190">
        <v>37</v>
      </c>
      <c r="B45" s="298" t="s">
        <v>133</v>
      </c>
      <c r="C45" s="190" t="s">
        <v>67</v>
      </c>
      <c r="D45" s="298" t="s">
        <v>397</v>
      </c>
      <c r="E45" s="134" t="s">
        <v>74</v>
      </c>
      <c r="F45" s="190" t="s">
        <v>503</v>
      </c>
      <c r="G45" s="136" t="s">
        <v>409</v>
      </c>
      <c r="H45" s="191">
        <v>11</v>
      </c>
      <c r="I45" s="191">
        <v>0</v>
      </c>
      <c r="J45" s="191">
        <v>0</v>
      </c>
      <c r="K45" s="192">
        <v>0</v>
      </c>
      <c r="L45" s="192">
        <v>0</v>
      </c>
      <c r="M45" s="193">
        <f t="shared" si="0"/>
        <v>0</v>
      </c>
      <c r="N45" s="191">
        <v>8</v>
      </c>
      <c r="O45" s="192">
        <v>21929.06</v>
      </c>
      <c r="P45" s="192">
        <v>14551.26</v>
      </c>
      <c r="Q45" s="192">
        <f t="shared" si="1"/>
        <v>7377.8000000000011</v>
      </c>
      <c r="R45" s="296"/>
    </row>
    <row r="46" spans="1:18" ht="25.5" x14ac:dyDescent="0.25">
      <c r="A46" s="190">
        <v>38</v>
      </c>
      <c r="B46" s="298" t="s">
        <v>114</v>
      </c>
      <c r="C46" s="190" t="s">
        <v>62</v>
      </c>
      <c r="D46" s="298"/>
      <c r="E46" s="134" t="s">
        <v>115</v>
      </c>
      <c r="F46" s="190" t="s">
        <v>504</v>
      </c>
      <c r="G46" s="136" t="s">
        <v>409</v>
      </c>
      <c r="H46" s="191">
        <v>0</v>
      </c>
      <c r="I46" s="191">
        <v>0</v>
      </c>
      <c r="J46" s="191">
        <v>0</v>
      </c>
      <c r="K46" s="192">
        <v>0</v>
      </c>
      <c r="L46" s="192">
        <v>0</v>
      </c>
      <c r="M46" s="193">
        <f t="shared" si="0"/>
        <v>0</v>
      </c>
      <c r="N46" s="191">
        <v>2</v>
      </c>
      <c r="O46" s="192">
        <v>1762</v>
      </c>
      <c r="P46" s="192">
        <v>0</v>
      </c>
      <c r="Q46" s="192">
        <f t="shared" si="1"/>
        <v>1762</v>
      </c>
      <c r="R46" s="296"/>
    </row>
    <row r="47" spans="1:18" ht="25.5" x14ac:dyDescent="0.25">
      <c r="A47" s="190">
        <v>39</v>
      </c>
      <c r="B47" s="298" t="s">
        <v>505</v>
      </c>
      <c r="C47" s="190" t="s">
        <v>62</v>
      </c>
      <c r="D47" s="298"/>
      <c r="E47" s="134" t="s">
        <v>74</v>
      </c>
      <c r="F47" s="190" t="s">
        <v>506</v>
      </c>
      <c r="G47" s="136" t="s">
        <v>409</v>
      </c>
      <c r="H47" s="191">
        <v>1</v>
      </c>
      <c r="I47" s="191">
        <v>0</v>
      </c>
      <c r="J47" s="191">
        <v>0</v>
      </c>
      <c r="K47" s="192">
        <v>0</v>
      </c>
      <c r="L47" s="192">
        <v>0</v>
      </c>
      <c r="M47" s="193">
        <f t="shared" si="0"/>
        <v>0</v>
      </c>
      <c r="N47" s="191">
        <v>0</v>
      </c>
      <c r="O47" s="192">
        <v>0</v>
      </c>
      <c r="P47" s="192">
        <v>0</v>
      </c>
      <c r="Q47" s="192">
        <f t="shared" si="1"/>
        <v>0</v>
      </c>
      <c r="R47" s="296"/>
    </row>
    <row r="48" spans="1:18" ht="25.5" x14ac:dyDescent="0.25">
      <c r="A48" s="190">
        <v>40</v>
      </c>
      <c r="B48" s="298" t="s">
        <v>473</v>
      </c>
      <c r="C48" s="190" t="s">
        <v>62</v>
      </c>
      <c r="D48" s="298"/>
      <c r="E48" s="190" t="s">
        <v>74</v>
      </c>
      <c r="F48" s="190" t="s">
        <v>558</v>
      </c>
      <c r="G48" s="136" t="s">
        <v>409</v>
      </c>
      <c r="H48" s="191">
        <v>0</v>
      </c>
      <c r="I48" s="191">
        <v>0</v>
      </c>
      <c r="J48" s="191">
        <v>0</v>
      </c>
      <c r="K48" s="192">
        <v>0</v>
      </c>
      <c r="L48" s="192">
        <v>0</v>
      </c>
      <c r="M48" s="193">
        <f t="shared" si="0"/>
        <v>0</v>
      </c>
      <c r="N48" s="191">
        <v>0</v>
      </c>
      <c r="O48" s="192">
        <v>0</v>
      </c>
      <c r="P48" s="192">
        <v>0</v>
      </c>
      <c r="Q48" s="192">
        <f t="shared" si="1"/>
        <v>0</v>
      </c>
      <c r="R48" s="296"/>
    </row>
    <row r="49" spans="1:18" ht="25.5" x14ac:dyDescent="0.25">
      <c r="A49" s="190">
        <v>41</v>
      </c>
      <c r="B49" s="298" t="s">
        <v>376</v>
      </c>
      <c r="C49" s="190" t="s">
        <v>62</v>
      </c>
      <c r="D49" s="298"/>
      <c r="E49" s="190" t="s">
        <v>74</v>
      </c>
      <c r="F49" s="190" t="s">
        <v>559</v>
      </c>
      <c r="G49" s="136" t="s">
        <v>409</v>
      </c>
      <c r="H49" s="191">
        <v>0</v>
      </c>
      <c r="I49" s="191">
        <v>0</v>
      </c>
      <c r="J49" s="191">
        <v>0</v>
      </c>
      <c r="K49" s="192">
        <v>0</v>
      </c>
      <c r="L49" s="192">
        <v>0</v>
      </c>
      <c r="M49" s="193">
        <f t="shared" si="0"/>
        <v>0</v>
      </c>
      <c r="N49" s="191">
        <v>0</v>
      </c>
      <c r="O49" s="192">
        <v>0</v>
      </c>
      <c r="P49" s="192">
        <v>0</v>
      </c>
      <c r="Q49" s="192">
        <f t="shared" si="1"/>
        <v>0</v>
      </c>
      <c r="R49" s="296"/>
    </row>
    <row r="50" spans="1:18" ht="25.5" x14ac:dyDescent="0.25">
      <c r="A50" s="190">
        <v>42</v>
      </c>
      <c r="B50" s="298" t="s">
        <v>119</v>
      </c>
      <c r="C50" s="190" t="s">
        <v>62</v>
      </c>
      <c r="D50" s="298"/>
      <c r="E50" s="190" t="s">
        <v>74</v>
      </c>
      <c r="F50" s="190" t="s">
        <v>560</v>
      </c>
      <c r="G50" s="136" t="s">
        <v>409</v>
      </c>
      <c r="H50" s="191">
        <v>6</v>
      </c>
      <c r="I50" s="191">
        <v>1</v>
      </c>
      <c r="J50" s="191">
        <v>1</v>
      </c>
      <c r="K50" s="192">
        <v>1691.52</v>
      </c>
      <c r="L50" s="192">
        <v>0</v>
      </c>
      <c r="M50" s="193">
        <f t="shared" si="0"/>
        <v>1691.52</v>
      </c>
      <c r="N50" s="191">
        <v>8</v>
      </c>
      <c r="O50" s="192">
        <v>12443.1</v>
      </c>
      <c r="P50" s="192">
        <v>0</v>
      </c>
      <c r="Q50" s="192">
        <f t="shared" si="1"/>
        <v>12443.1</v>
      </c>
      <c r="R50" s="296"/>
    </row>
    <row r="51" spans="1:18" ht="25.5" x14ac:dyDescent="0.25">
      <c r="A51" s="190">
        <v>43</v>
      </c>
      <c r="B51" s="298" t="s">
        <v>47</v>
      </c>
      <c r="C51" s="190" t="s">
        <v>62</v>
      </c>
      <c r="D51" s="298"/>
      <c r="E51" s="190" t="s">
        <v>141</v>
      </c>
      <c r="F51" s="190" t="s">
        <v>589</v>
      </c>
      <c r="G51" s="136" t="s">
        <v>409</v>
      </c>
      <c r="H51" s="191">
        <v>0</v>
      </c>
      <c r="I51" s="191">
        <v>0</v>
      </c>
      <c r="J51" s="191">
        <v>0</v>
      </c>
      <c r="K51" s="192">
        <v>0</v>
      </c>
      <c r="L51" s="192">
        <v>0</v>
      </c>
      <c r="M51" s="193">
        <f t="shared" si="0"/>
        <v>0</v>
      </c>
      <c r="N51" s="191">
        <v>0</v>
      </c>
      <c r="O51" s="192">
        <v>0</v>
      </c>
      <c r="P51" s="192">
        <v>0</v>
      </c>
      <c r="Q51" s="192">
        <f t="shared" si="1"/>
        <v>0</v>
      </c>
      <c r="R51" s="296"/>
    </row>
    <row r="52" spans="1:18" ht="25.5" x14ac:dyDescent="0.25">
      <c r="A52" s="190">
        <v>44</v>
      </c>
      <c r="B52" s="298" t="s">
        <v>37</v>
      </c>
      <c r="C52" s="190" t="s">
        <v>62</v>
      </c>
      <c r="D52" s="190"/>
      <c r="E52" s="190" t="s">
        <v>74</v>
      </c>
      <c r="F52" s="190" t="s">
        <v>590</v>
      </c>
      <c r="G52" s="136" t="s">
        <v>409</v>
      </c>
      <c r="H52" s="191">
        <v>1</v>
      </c>
      <c r="I52" s="191">
        <v>0</v>
      </c>
      <c r="J52" s="191">
        <v>0</v>
      </c>
      <c r="K52" s="192">
        <v>0</v>
      </c>
      <c r="L52" s="192">
        <v>0</v>
      </c>
      <c r="M52" s="193">
        <f t="shared" si="0"/>
        <v>0</v>
      </c>
      <c r="N52" s="191">
        <v>0</v>
      </c>
      <c r="O52" s="192">
        <v>0</v>
      </c>
      <c r="P52" s="192">
        <v>0</v>
      </c>
      <c r="Q52" s="192">
        <f t="shared" si="1"/>
        <v>0</v>
      </c>
      <c r="R52" s="296"/>
    </row>
    <row r="53" spans="1:18" ht="25.5" x14ac:dyDescent="0.25">
      <c r="A53" s="190">
        <v>45</v>
      </c>
      <c r="B53" s="298" t="s">
        <v>97</v>
      </c>
      <c r="C53" s="190" t="s">
        <v>62</v>
      </c>
      <c r="D53" s="190"/>
      <c r="E53" s="190" t="s">
        <v>74</v>
      </c>
      <c r="F53" s="190" t="s">
        <v>591</v>
      </c>
      <c r="G53" s="136" t="s">
        <v>409</v>
      </c>
      <c r="H53" s="191">
        <v>4</v>
      </c>
      <c r="I53" s="191">
        <v>0</v>
      </c>
      <c r="J53" s="191">
        <v>0</v>
      </c>
      <c r="K53" s="192">
        <v>0</v>
      </c>
      <c r="L53" s="192">
        <v>0</v>
      </c>
      <c r="M53" s="193">
        <f t="shared" si="0"/>
        <v>0</v>
      </c>
      <c r="N53" s="191">
        <v>0</v>
      </c>
      <c r="O53" s="192">
        <v>0</v>
      </c>
      <c r="P53" s="192">
        <v>0</v>
      </c>
      <c r="Q53" s="192">
        <f t="shared" si="1"/>
        <v>0</v>
      </c>
      <c r="R53" s="296"/>
    </row>
    <row r="54" spans="1:18" ht="25.5" x14ac:dyDescent="0.25">
      <c r="A54" s="190">
        <v>46</v>
      </c>
      <c r="B54" s="298" t="s">
        <v>613</v>
      </c>
      <c r="C54" s="190" t="s">
        <v>62</v>
      </c>
      <c r="D54" s="190"/>
      <c r="E54" s="190" t="s">
        <v>74</v>
      </c>
      <c r="F54" s="190" t="s">
        <v>614</v>
      </c>
      <c r="G54" s="136" t="s">
        <v>409</v>
      </c>
      <c r="H54" s="191">
        <v>4</v>
      </c>
      <c r="I54" s="191">
        <v>0</v>
      </c>
      <c r="J54" s="191">
        <v>0</v>
      </c>
      <c r="K54" s="192">
        <v>0</v>
      </c>
      <c r="L54" s="192">
        <v>0</v>
      </c>
      <c r="M54" s="193">
        <v>0</v>
      </c>
      <c r="N54" s="191">
        <v>0</v>
      </c>
      <c r="O54" s="192">
        <v>0</v>
      </c>
      <c r="P54" s="192">
        <v>0</v>
      </c>
      <c r="Q54" s="192">
        <v>0</v>
      </c>
      <c r="R54" s="296"/>
    </row>
    <row r="55" spans="1:18" ht="25.5" x14ac:dyDescent="0.25">
      <c r="A55" s="190">
        <v>47</v>
      </c>
      <c r="B55" s="298" t="s">
        <v>615</v>
      </c>
      <c r="C55" s="190" t="s">
        <v>62</v>
      </c>
      <c r="D55" s="190"/>
      <c r="E55" s="190" t="s">
        <v>74</v>
      </c>
      <c r="F55" s="190" t="s">
        <v>616</v>
      </c>
      <c r="G55" s="136" t="s">
        <v>409</v>
      </c>
      <c r="H55" s="191">
        <v>3</v>
      </c>
      <c r="I55" s="191">
        <v>0</v>
      </c>
      <c r="J55" s="191">
        <v>0</v>
      </c>
      <c r="K55" s="192">
        <v>0</v>
      </c>
      <c r="L55" s="192">
        <v>0</v>
      </c>
      <c r="M55" s="193">
        <v>0</v>
      </c>
      <c r="N55" s="191">
        <v>0</v>
      </c>
      <c r="O55" s="192">
        <v>0</v>
      </c>
      <c r="P55" s="192">
        <v>0</v>
      </c>
      <c r="Q55" s="192">
        <v>0</v>
      </c>
      <c r="R55" s="296"/>
    </row>
    <row r="56" spans="1:18" ht="25.5" x14ac:dyDescent="0.25">
      <c r="A56" s="301">
        <v>48</v>
      </c>
      <c r="B56" s="302" t="s">
        <v>357</v>
      </c>
      <c r="C56" s="300" t="s">
        <v>64</v>
      </c>
      <c r="D56" s="303" t="s">
        <v>617</v>
      </c>
      <c r="E56" s="301" t="s">
        <v>74</v>
      </c>
      <c r="F56" s="301" t="s">
        <v>618</v>
      </c>
      <c r="G56" s="283" t="s">
        <v>409</v>
      </c>
      <c r="H56" s="304">
        <v>2</v>
      </c>
      <c r="I56" s="304">
        <v>0</v>
      </c>
      <c r="J56" s="304">
        <v>0</v>
      </c>
      <c r="K56" s="305">
        <v>0</v>
      </c>
      <c r="L56" s="305">
        <v>0</v>
      </c>
      <c r="M56" s="304">
        <v>0</v>
      </c>
      <c r="N56" s="304">
        <v>0</v>
      </c>
      <c r="O56" s="305">
        <v>0</v>
      </c>
      <c r="P56" s="305">
        <v>0</v>
      </c>
      <c r="Q56" s="305">
        <v>0</v>
      </c>
      <c r="R56" s="296"/>
    </row>
    <row r="57" spans="1:18" x14ac:dyDescent="0.25">
      <c r="A57" s="254">
        <v>1</v>
      </c>
      <c r="B57" s="255" t="s">
        <v>146</v>
      </c>
      <c r="C57" s="155" t="s">
        <v>62</v>
      </c>
      <c r="D57" s="155"/>
      <c r="E57" s="155" t="s">
        <v>74</v>
      </c>
      <c r="F57" s="255" t="s">
        <v>325</v>
      </c>
      <c r="G57" s="256" t="s">
        <v>326</v>
      </c>
      <c r="H57" s="256">
        <v>13</v>
      </c>
      <c r="I57" s="256">
        <v>6</v>
      </c>
      <c r="J57" s="256">
        <v>6</v>
      </c>
      <c r="K57" s="146">
        <f>2643+2466.8+2554.9</f>
        <v>7664.7000000000007</v>
      </c>
      <c r="L57" s="146">
        <f>5109.8</f>
        <v>5109.8</v>
      </c>
      <c r="M57" s="146">
        <f>K57-L57</f>
        <v>2554.9000000000005</v>
      </c>
      <c r="N57" s="257">
        <v>6</v>
      </c>
      <c r="O57" s="146">
        <v>5374.1</v>
      </c>
      <c r="P57" s="150">
        <f>2378.7+2995.4</f>
        <v>5374.1</v>
      </c>
      <c r="Q57" s="150">
        <f>O57-P57</f>
        <v>0</v>
      </c>
      <c r="R57" s="139"/>
    </row>
    <row r="58" spans="1:18" x14ac:dyDescent="0.25">
      <c r="A58" s="254">
        <v>2</v>
      </c>
      <c r="B58" s="255" t="s">
        <v>166</v>
      </c>
      <c r="C58" s="155" t="s">
        <v>62</v>
      </c>
      <c r="D58" s="155"/>
      <c r="E58" s="155" t="s">
        <v>158</v>
      </c>
      <c r="F58" s="255" t="s">
        <v>327</v>
      </c>
      <c r="G58" s="255" t="s">
        <v>326</v>
      </c>
      <c r="H58" s="256">
        <v>4</v>
      </c>
      <c r="I58" s="256">
        <v>2</v>
      </c>
      <c r="J58" s="256">
        <v>2</v>
      </c>
      <c r="K58" s="146">
        <f>1233.4+4228.8</f>
        <v>5462.2000000000007</v>
      </c>
      <c r="L58" s="146">
        <f>73.95+1159.45+4228.8</f>
        <v>5462.2000000000007</v>
      </c>
      <c r="M58" s="146">
        <f>K58-L58</f>
        <v>0</v>
      </c>
      <c r="N58" s="257">
        <v>0</v>
      </c>
      <c r="O58" s="146">
        <v>0</v>
      </c>
      <c r="P58" s="150">
        <v>0</v>
      </c>
      <c r="Q58" s="150">
        <f>O58-P58</f>
        <v>0</v>
      </c>
      <c r="R58" s="139"/>
    </row>
    <row r="59" spans="1:18" x14ac:dyDescent="0.25">
      <c r="A59" s="254">
        <v>3</v>
      </c>
      <c r="B59" s="255" t="s">
        <v>173</v>
      </c>
      <c r="C59" s="155" t="s">
        <v>67</v>
      </c>
      <c r="D59" s="155" t="s">
        <v>328</v>
      </c>
      <c r="E59" s="155" t="s">
        <v>158</v>
      </c>
      <c r="F59" s="255" t="s">
        <v>329</v>
      </c>
      <c r="G59" s="255" t="s">
        <v>326</v>
      </c>
      <c r="H59" s="256">
        <v>7</v>
      </c>
      <c r="I59" s="256">
        <v>2</v>
      </c>
      <c r="J59" s="256">
        <v>2</v>
      </c>
      <c r="K59" s="146">
        <f>704.8</f>
        <v>704.8</v>
      </c>
      <c r="L59" s="146">
        <f>704.8</f>
        <v>704.8</v>
      </c>
      <c r="M59" s="146">
        <f>K59-L59</f>
        <v>0</v>
      </c>
      <c r="N59" s="257">
        <v>0</v>
      </c>
      <c r="O59" s="146">
        <v>0</v>
      </c>
      <c r="P59" s="150">
        <v>0</v>
      </c>
      <c r="Q59" s="150">
        <f>O59-P59</f>
        <v>0</v>
      </c>
      <c r="R59" s="139"/>
    </row>
    <row r="60" spans="1:18" x14ac:dyDescent="0.25">
      <c r="A60" s="254">
        <v>4</v>
      </c>
      <c r="B60" s="255" t="s">
        <v>330</v>
      </c>
      <c r="C60" s="155" t="s">
        <v>62</v>
      </c>
      <c r="D60" s="155"/>
      <c r="E60" s="155" t="s">
        <v>158</v>
      </c>
      <c r="F60" s="255" t="s">
        <v>331</v>
      </c>
      <c r="G60" s="255" t="s">
        <v>326</v>
      </c>
      <c r="H60" s="256">
        <v>15</v>
      </c>
      <c r="I60" s="256">
        <v>9</v>
      </c>
      <c r="J60" s="256">
        <v>9</v>
      </c>
      <c r="K60" s="146">
        <f>704.8+11276.8</f>
        <v>11981.599999999999</v>
      </c>
      <c r="L60" s="146">
        <f>704.8+11276.8</f>
        <v>11981.599999999999</v>
      </c>
      <c r="M60" s="146">
        <f>K60-L60</f>
        <v>0</v>
      </c>
      <c r="N60" s="257">
        <v>0</v>
      </c>
      <c r="O60" s="146">
        <v>0</v>
      </c>
      <c r="P60" s="150">
        <v>0</v>
      </c>
      <c r="Q60" s="150">
        <f>O60-P60</f>
        <v>0</v>
      </c>
      <c r="R60" s="139"/>
    </row>
    <row r="61" spans="1:18" x14ac:dyDescent="0.25">
      <c r="A61" s="254">
        <v>5</v>
      </c>
      <c r="B61" s="255" t="s">
        <v>147</v>
      </c>
      <c r="C61" s="155" t="s">
        <v>62</v>
      </c>
      <c r="D61" s="139"/>
      <c r="E61" s="155" t="s">
        <v>74</v>
      </c>
      <c r="F61" s="255" t="s">
        <v>332</v>
      </c>
      <c r="G61" s="255" t="s">
        <v>326</v>
      </c>
      <c r="H61" s="258">
        <v>14</v>
      </c>
      <c r="I61" s="258">
        <v>5</v>
      </c>
      <c r="J61" s="258">
        <v>5</v>
      </c>
      <c r="K61" s="259">
        <f>1409.6+1762+3347.8</f>
        <v>6519.4</v>
      </c>
      <c r="L61" s="146">
        <f>1409.6+1762+3347.8</f>
        <v>6519.4</v>
      </c>
      <c r="M61" s="146">
        <f>K61-L61</f>
        <v>0</v>
      </c>
      <c r="N61" s="257">
        <v>3</v>
      </c>
      <c r="O61" s="142">
        <v>4757.3999999999996</v>
      </c>
      <c r="P61" s="143">
        <f>4052.6+704.8</f>
        <v>4757.3999999999996</v>
      </c>
      <c r="Q61" s="150">
        <f>O61-P61</f>
        <v>0</v>
      </c>
      <c r="R61" s="139"/>
    </row>
    <row r="62" spans="1:18" ht="45" x14ac:dyDescent="0.25">
      <c r="A62" s="254">
        <v>6</v>
      </c>
      <c r="B62" s="255" t="s">
        <v>554</v>
      </c>
      <c r="C62" s="155" t="s">
        <v>67</v>
      </c>
      <c r="D62" s="260" t="s">
        <v>555</v>
      </c>
      <c r="E62" s="155" t="s">
        <v>74</v>
      </c>
      <c r="F62" s="255" t="s">
        <v>556</v>
      </c>
      <c r="G62" s="255" t="s">
        <v>326</v>
      </c>
      <c r="H62" s="258">
        <v>2</v>
      </c>
      <c r="I62" s="258">
        <v>0</v>
      </c>
      <c r="J62" s="258">
        <v>0</v>
      </c>
      <c r="K62" s="259">
        <v>0</v>
      </c>
      <c r="L62" s="146">
        <v>0</v>
      </c>
      <c r="M62" s="146">
        <v>0</v>
      </c>
      <c r="N62" s="257">
        <v>0</v>
      </c>
      <c r="O62" s="146">
        <v>0</v>
      </c>
      <c r="P62" s="150">
        <v>0</v>
      </c>
      <c r="Q62" s="150">
        <v>0</v>
      </c>
      <c r="R62" s="139"/>
    </row>
    <row r="63" spans="1:18" x14ac:dyDescent="0.25">
      <c r="A63" s="254">
        <v>7</v>
      </c>
      <c r="B63" s="255" t="s">
        <v>88</v>
      </c>
      <c r="C63" s="155" t="s">
        <v>62</v>
      </c>
      <c r="D63" s="139"/>
      <c r="E63" s="155" t="s">
        <v>74</v>
      </c>
      <c r="F63" s="255" t="s">
        <v>333</v>
      </c>
      <c r="G63" s="255" t="s">
        <v>326</v>
      </c>
      <c r="H63" s="258">
        <v>2</v>
      </c>
      <c r="I63" s="258">
        <v>2</v>
      </c>
      <c r="J63" s="258">
        <v>2</v>
      </c>
      <c r="K63" s="259">
        <f>704.8+1585.8</f>
        <v>2290.6</v>
      </c>
      <c r="L63" s="146">
        <f>704.8+1585.8</f>
        <v>2290.6</v>
      </c>
      <c r="M63" s="146">
        <f t="shared" ref="M63:M93" si="2">K63-L63</f>
        <v>0</v>
      </c>
      <c r="N63" s="257">
        <v>1</v>
      </c>
      <c r="O63" s="142">
        <v>1145.3</v>
      </c>
      <c r="P63" s="150">
        <v>1145.3</v>
      </c>
      <c r="Q63" s="150">
        <f t="shared" ref="Q63:Q84" si="3">O63-P63</f>
        <v>0</v>
      </c>
      <c r="R63" s="139"/>
    </row>
    <row r="64" spans="1:18" x14ac:dyDescent="0.25">
      <c r="A64" s="254">
        <v>8</v>
      </c>
      <c r="B64" s="255" t="s">
        <v>182</v>
      </c>
      <c r="C64" s="155" t="s">
        <v>62</v>
      </c>
      <c r="D64" s="139"/>
      <c r="E64" s="155" t="s">
        <v>158</v>
      </c>
      <c r="F64" s="255" t="s">
        <v>334</v>
      </c>
      <c r="G64" s="255" t="s">
        <v>326</v>
      </c>
      <c r="H64" s="258">
        <v>5</v>
      </c>
      <c r="I64" s="258">
        <v>1</v>
      </c>
      <c r="J64" s="258">
        <v>1</v>
      </c>
      <c r="K64" s="259">
        <f>1233.4</f>
        <v>1233.4000000000001</v>
      </c>
      <c r="L64" s="146">
        <f>1233.4</f>
        <v>1233.4000000000001</v>
      </c>
      <c r="M64" s="146">
        <f t="shared" si="2"/>
        <v>0</v>
      </c>
      <c r="N64" s="257">
        <v>0</v>
      </c>
      <c r="O64" s="142">
        <v>0</v>
      </c>
      <c r="P64" s="150">
        <v>0</v>
      </c>
      <c r="Q64" s="150">
        <f t="shared" si="3"/>
        <v>0</v>
      </c>
      <c r="R64" s="139"/>
    </row>
    <row r="65" spans="1:18" x14ac:dyDescent="0.25">
      <c r="A65" s="254">
        <v>9</v>
      </c>
      <c r="B65" s="255" t="s">
        <v>335</v>
      </c>
      <c r="C65" s="155" t="s">
        <v>62</v>
      </c>
      <c r="D65" s="145"/>
      <c r="E65" s="155" t="s">
        <v>74</v>
      </c>
      <c r="F65" s="255" t="s">
        <v>336</v>
      </c>
      <c r="G65" s="255" t="s">
        <v>326</v>
      </c>
      <c r="H65" s="258">
        <v>15</v>
      </c>
      <c r="I65" s="258">
        <v>6</v>
      </c>
      <c r="J65" s="258">
        <v>6</v>
      </c>
      <c r="K65" s="259">
        <f>3700.2+704.8+2114.4+2819.2</f>
        <v>9338.5999999999985</v>
      </c>
      <c r="L65" s="146">
        <f>3700.2+704.8+2114.4</f>
        <v>6519.4</v>
      </c>
      <c r="M65" s="146">
        <f t="shared" si="2"/>
        <v>2819.1999999999989</v>
      </c>
      <c r="N65" s="257">
        <v>7</v>
      </c>
      <c r="O65" s="146">
        <f>3435.9+3171.6+132.15</f>
        <v>6739.65</v>
      </c>
      <c r="P65" s="150">
        <f>3435.9+3171.6+132.15</f>
        <v>6739.65</v>
      </c>
      <c r="Q65" s="150">
        <f t="shared" si="3"/>
        <v>0</v>
      </c>
      <c r="R65" s="139"/>
    </row>
    <row r="66" spans="1:18" x14ac:dyDescent="0.25">
      <c r="A66" s="254">
        <v>10</v>
      </c>
      <c r="B66" s="255" t="s">
        <v>27</v>
      </c>
      <c r="C66" s="155" t="s">
        <v>62</v>
      </c>
      <c r="D66" s="139"/>
      <c r="E66" s="155" t="s">
        <v>158</v>
      </c>
      <c r="F66" s="255" t="s">
        <v>337</v>
      </c>
      <c r="G66" s="255" t="s">
        <v>326</v>
      </c>
      <c r="H66" s="258">
        <v>13</v>
      </c>
      <c r="I66" s="258">
        <v>11</v>
      </c>
      <c r="J66" s="258">
        <v>11</v>
      </c>
      <c r="K66" s="259">
        <f>5638.4+2819.2+528.6+1964.2</f>
        <v>10950.4</v>
      </c>
      <c r="L66" s="146">
        <f>1233.4+4405+2819.2+528.6</f>
        <v>8986.1999999999989</v>
      </c>
      <c r="M66" s="146">
        <f t="shared" si="2"/>
        <v>1964.2000000000007</v>
      </c>
      <c r="N66" s="257">
        <v>0</v>
      </c>
      <c r="O66" s="142">
        <v>0</v>
      </c>
      <c r="P66" s="143">
        <v>0</v>
      </c>
      <c r="Q66" s="150">
        <f t="shared" si="3"/>
        <v>0</v>
      </c>
      <c r="R66" s="139"/>
    </row>
    <row r="67" spans="1:18" x14ac:dyDescent="0.25">
      <c r="A67" s="147">
        <v>11</v>
      </c>
      <c r="B67" s="255" t="s">
        <v>190</v>
      </c>
      <c r="C67" s="155" t="s">
        <v>62</v>
      </c>
      <c r="D67" s="139"/>
      <c r="E67" s="155" t="s">
        <v>338</v>
      </c>
      <c r="F67" s="255" t="s">
        <v>339</v>
      </c>
      <c r="G67" s="255" t="s">
        <v>326</v>
      </c>
      <c r="H67" s="258">
        <v>20</v>
      </c>
      <c r="I67" s="258">
        <v>9</v>
      </c>
      <c r="J67" s="258">
        <v>9</v>
      </c>
      <c r="K67" s="259">
        <f>1938.2+2819.2+2819.2+2290.6+1862</f>
        <v>11729.199999999999</v>
      </c>
      <c r="L67" s="146">
        <f>704.8+704.8+528.6+2819.2+2819.2+2290.6+1592.92</f>
        <v>11460.119999999999</v>
      </c>
      <c r="M67" s="146">
        <f t="shared" si="2"/>
        <v>269.07999999999993</v>
      </c>
      <c r="N67" s="257">
        <v>0</v>
      </c>
      <c r="O67" s="142">
        <v>0</v>
      </c>
      <c r="P67" s="150">
        <v>0</v>
      </c>
      <c r="Q67" s="150">
        <f t="shared" si="3"/>
        <v>0</v>
      </c>
      <c r="R67" s="139"/>
    </row>
    <row r="68" spans="1:18" x14ac:dyDescent="0.25">
      <c r="A68" s="147">
        <v>12</v>
      </c>
      <c r="B68" s="255" t="s">
        <v>89</v>
      </c>
      <c r="C68" s="155" t="s">
        <v>62</v>
      </c>
      <c r="D68" s="139"/>
      <c r="E68" s="155" t="s">
        <v>74</v>
      </c>
      <c r="F68" s="255" t="s">
        <v>340</v>
      </c>
      <c r="G68" s="255" t="s">
        <v>326</v>
      </c>
      <c r="H68" s="258">
        <v>6</v>
      </c>
      <c r="I68" s="258">
        <v>6</v>
      </c>
      <c r="J68" s="258">
        <v>6</v>
      </c>
      <c r="K68" s="259">
        <f>1762+3876.4+2995.4</f>
        <v>8633.7999999999993</v>
      </c>
      <c r="L68" s="146">
        <f>1762+3876.4</f>
        <v>5638.4</v>
      </c>
      <c r="M68" s="146">
        <f t="shared" si="2"/>
        <v>2995.3999999999996</v>
      </c>
      <c r="N68" s="257">
        <v>4</v>
      </c>
      <c r="O68" s="142">
        <f>440.5+5990.8+2819.2</f>
        <v>9250.5</v>
      </c>
      <c r="P68" s="150">
        <f>440.5+5990.8</f>
        <v>6431.3</v>
      </c>
      <c r="Q68" s="150">
        <f t="shared" si="3"/>
        <v>2819.2</v>
      </c>
      <c r="R68" s="139"/>
    </row>
    <row r="69" spans="1:18" x14ac:dyDescent="0.25">
      <c r="A69" s="147">
        <v>13</v>
      </c>
      <c r="B69" s="255" t="s">
        <v>196</v>
      </c>
      <c r="C69" s="155" t="s">
        <v>62</v>
      </c>
      <c r="D69" s="139"/>
      <c r="E69" s="155" t="s">
        <v>341</v>
      </c>
      <c r="F69" s="255" t="s">
        <v>342</v>
      </c>
      <c r="G69" s="255" t="s">
        <v>326</v>
      </c>
      <c r="H69" s="258">
        <v>7</v>
      </c>
      <c r="I69" s="258">
        <v>5</v>
      </c>
      <c r="J69" s="258">
        <v>5</v>
      </c>
      <c r="K69" s="259">
        <v>4933.6000000000004</v>
      </c>
      <c r="L69" s="146">
        <f>4933.6</f>
        <v>4933.6000000000004</v>
      </c>
      <c r="M69" s="146">
        <f t="shared" si="2"/>
        <v>0</v>
      </c>
      <c r="N69" s="257">
        <v>0</v>
      </c>
      <c r="O69" s="142">
        <v>0</v>
      </c>
      <c r="P69" s="150">
        <v>0</v>
      </c>
      <c r="Q69" s="150">
        <f t="shared" si="3"/>
        <v>0</v>
      </c>
      <c r="R69" s="139"/>
    </row>
    <row r="70" spans="1:18" x14ac:dyDescent="0.25">
      <c r="A70" s="147">
        <v>14</v>
      </c>
      <c r="B70" s="255" t="s">
        <v>343</v>
      </c>
      <c r="C70" s="155" t="s">
        <v>62</v>
      </c>
      <c r="D70" s="139"/>
      <c r="E70" s="155" t="s">
        <v>74</v>
      </c>
      <c r="F70" s="255" t="s">
        <v>344</v>
      </c>
      <c r="G70" s="255" t="s">
        <v>326</v>
      </c>
      <c r="H70" s="258">
        <v>9</v>
      </c>
      <c r="I70" s="258">
        <v>2</v>
      </c>
      <c r="J70" s="258">
        <v>2</v>
      </c>
      <c r="K70" s="259">
        <f>2466.8</f>
        <v>2466.8000000000002</v>
      </c>
      <c r="L70" s="146">
        <f>2466.8</f>
        <v>2466.8000000000002</v>
      </c>
      <c r="M70" s="146">
        <f t="shared" si="2"/>
        <v>0</v>
      </c>
      <c r="N70" s="257">
        <v>0</v>
      </c>
      <c r="O70" s="142">
        <v>0</v>
      </c>
      <c r="P70" s="150">
        <v>0</v>
      </c>
      <c r="Q70" s="150">
        <f t="shared" si="3"/>
        <v>0</v>
      </c>
      <c r="R70" s="139"/>
    </row>
    <row r="71" spans="1:18" x14ac:dyDescent="0.25">
      <c r="A71" s="147">
        <v>15</v>
      </c>
      <c r="B71" s="255" t="s">
        <v>154</v>
      </c>
      <c r="C71" s="155" t="s">
        <v>62</v>
      </c>
      <c r="D71" s="139"/>
      <c r="E71" s="155" t="s">
        <v>74</v>
      </c>
      <c r="F71" s="255" t="s">
        <v>345</v>
      </c>
      <c r="G71" s="255" t="s">
        <v>326</v>
      </c>
      <c r="H71" s="258">
        <v>6</v>
      </c>
      <c r="I71" s="258">
        <v>3</v>
      </c>
      <c r="J71" s="258">
        <v>3</v>
      </c>
      <c r="K71" s="259">
        <f>1497.7</f>
        <v>1497.7</v>
      </c>
      <c r="L71" s="146">
        <f>1497.7</f>
        <v>1497.7</v>
      </c>
      <c r="M71" s="146">
        <f t="shared" si="2"/>
        <v>0</v>
      </c>
      <c r="N71" s="257">
        <v>6</v>
      </c>
      <c r="O71" s="142">
        <f>4228.8+3700.2</f>
        <v>7929</v>
      </c>
      <c r="P71" s="143">
        <f>4228.8+3700.2</f>
        <v>7929</v>
      </c>
      <c r="Q71" s="150">
        <f t="shared" si="3"/>
        <v>0</v>
      </c>
      <c r="R71" s="139"/>
    </row>
    <row r="72" spans="1:18" x14ac:dyDescent="0.25">
      <c r="A72" s="147">
        <v>16</v>
      </c>
      <c r="B72" s="255" t="s">
        <v>346</v>
      </c>
      <c r="C72" s="155" t="s">
        <v>62</v>
      </c>
      <c r="D72" s="139"/>
      <c r="E72" s="155" t="s">
        <v>158</v>
      </c>
      <c r="F72" s="255" t="s">
        <v>347</v>
      </c>
      <c r="G72" s="255" t="s">
        <v>326</v>
      </c>
      <c r="H72" s="258">
        <v>2</v>
      </c>
      <c r="I72" s="258">
        <v>0</v>
      </c>
      <c r="J72" s="258">
        <v>0</v>
      </c>
      <c r="K72" s="259">
        <v>0</v>
      </c>
      <c r="L72" s="146">
        <v>0</v>
      </c>
      <c r="M72" s="146">
        <f t="shared" si="2"/>
        <v>0</v>
      </c>
      <c r="N72" s="257">
        <v>0</v>
      </c>
      <c r="O72" s="142">
        <v>0</v>
      </c>
      <c r="P72" s="150">
        <v>0</v>
      </c>
      <c r="Q72" s="150">
        <f t="shared" si="3"/>
        <v>0</v>
      </c>
      <c r="R72" s="139"/>
    </row>
    <row r="73" spans="1:18" x14ac:dyDescent="0.25">
      <c r="A73" s="147">
        <v>17</v>
      </c>
      <c r="B73" s="255" t="s">
        <v>348</v>
      </c>
      <c r="C73" s="155" t="s">
        <v>62</v>
      </c>
      <c r="D73" s="139"/>
      <c r="E73" s="155" t="s">
        <v>158</v>
      </c>
      <c r="F73" s="255" t="s">
        <v>349</v>
      </c>
      <c r="G73" s="255" t="s">
        <v>326</v>
      </c>
      <c r="H73" s="258">
        <v>6</v>
      </c>
      <c r="I73" s="258">
        <v>0</v>
      </c>
      <c r="J73" s="258">
        <v>0</v>
      </c>
      <c r="K73" s="259">
        <v>0</v>
      </c>
      <c r="L73" s="146">
        <v>0</v>
      </c>
      <c r="M73" s="146">
        <f t="shared" si="2"/>
        <v>0</v>
      </c>
      <c r="N73" s="257">
        <v>0</v>
      </c>
      <c r="O73" s="142">
        <v>0</v>
      </c>
      <c r="P73" s="150">
        <v>0</v>
      </c>
      <c r="Q73" s="150">
        <f t="shared" si="3"/>
        <v>0</v>
      </c>
      <c r="R73" s="139"/>
    </row>
    <row r="74" spans="1:18" x14ac:dyDescent="0.25">
      <c r="A74" s="147">
        <v>18</v>
      </c>
      <c r="B74" s="255" t="s">
        <v>350</v>
      </c>
      <c r="C74" s="155" t="s">
        <v>62</v>
      </c>
      <c r="D74" s="139"/>
      <c r="E74" s="155" t="s">
        <v>74</v>
      </c>
      <c r="F74" s="255" t="s">
        <v>351</v>
      </c>
      <c r="G74" s="255" t="s">
        <v>326</v>
      </c>
      <c r="H74" s="258">
        <v>1</v>
      </c>
      <c r="I74" s="258">
        <v>1</v>
      </c>
      <c r="J74" s="258">
        <v>1</v>
      </c>
      <c r="K74" s="259">
        <f>528.6</f>
        <v>528.6</v>
      </c>
      <c r="L74" s="146">
        <f>528.6</f>
        <v>528.6</v>
      </c>
      <c r="M74" s="146">
        <f t="shared" si="2"/>
        <v>0</v>
      </c>
      <c r="N74" s="257">
        <v>4</v>
      </c>
      <c r="O74" s="142">
        <v>5065.75</v>
      </c>
      <c r="P74" s="150">
        <f>1894.15+3171.6</f>
        <v>5065.75</v>
      </c>
      <c r="Q74" s="150">
        <f t="shared" si="3"/>
        <v>0</v>
      </c>
      <c r="R74" s="139"/>
    </row>
    <row r="75" spans="1:18" ht="60" x14ac:dyDescent="0.25">
      <c r="A75" s="148">
        <v>19</v>
      </c>
      <c r="B75" s="255" t="s">
        <v>222</v>
      </c>
      <c r="C75" s="155" t="s">
        <v>64</v>
      </c>
      <c r="D75" s="149" t="s">
        <v>352</v>
      </c>
      <c r="E75" s="155" t="s">
        <v>158</v>
      </c>
      <c r="F75" s="255" t="s">
        <v>353</v>
      </c>
      <c r="G75" s="255" t="s">
        <v>326</v>
      </c>
      <c r="H75" s="258">
        <v>6</v>
      </c>
      <c r="I75" s="258">
        <v>2</v>
      </c>
      <c r="J75" s="258">
        <v>2</v>
      </c>
      <c r="K75" s="259">
        <f>1233.4+2290.6</f>
        <v>3524</v>
      </c>
      <c r="L75" s="146">
        <f>1233.4+2290.6</f>
        <v>3524</v>
      </c>
      <c r="M75" s="146">
        <f t="shared" si="2"/>
        <v>0</v>
      </c>
      <c r="N75" s="257">
        <v>0</v>
      </c>
      <c r="O75" s="146">
        <v>0</v>
      </c>
      <c r="P75" s="150">
        <v>0</v>
      </c>
      <c r="Q75" s="150">
        <f t="shared" si="3"/>
        <v>0</v>
      </c>
      <c r="R75" s="139"/>
    </row>
    <row r="76" spans="1:18" x14ac:dyDescent="0.25">
      <c r="A76" s="147">
        <v>20</v>
      </c>
      <c r="B76" s="255" t="s">
        <v>238</v>
      </c>
      <c r="C76" s="155" t="s">
        <v>62</v>
      </c>
      <c r="D76" s="139"/>
      <c r="E76" s="155" t="s">
        <v>158</v>
      </c>
      <c r="F76" s="255" t="s">
        <v>354</v>
      </c>
      <c r="G76" s="255" t="s">
        <v>326</v>
      </c>
      <c r="H76" s="258">
        <v>6</v>
      </c>
      <c r="I76" s="258">
        <v>5</v>
      </c>
      <c r="J76" s="258">
        <v>5</v>
      </c>
      <c r="K76" s="259">
        <f>2466.8+4581.2</f>
        <v>7048</v>
      </c>
      <c r="L76" s="146">
        <f>1233.4+1233.4+4581.2</f>
        <v>7048</v>
      </c>
      <c r="M76" s="146">
        <f t="shared" si="2"/>
        <v>0</v>
      </c>
      <c r="N76" s="257">
        <v>0</v>
      </c>
      <c r="O76" s="142">
        <v>0</v>
      </c>
      <c r="P76" s="150">
        <v>0</v>
      </c>
      <c r="Q76" s="150">
        <f t="shared" si="3"/>
        <v>0</v>
      </c>
      <c r="R76" s="139"/>
    </row>
    <row r="77" spans="1:18" x14ac:dyDescent="0.25">
      <c r="A77" s="147">
        <v>21</v>
      </c>
      <c r="B77" s="255" t="s">
        <v>355</v>
      </c>
      <c r="C77" s="155" t="s">
        <v>62</v>
      </c>
      <c r="D77" s="139"/>
      <c r="E77" s="155" t="s">
        <v>158</v>
      </c>
      <c r="F77" s="255" t="s">
        <v>356</v>
      </c>
      <c r="G77" s="255" t="s">
        <v>326</v>
      </c>
      <c r="H77" s="258">
        <v>7</v>
      </c>
      <c r="I77" s="258">
        <v>2</v>
      </c>
      <c r="J77" s="258">
        <v>2</v>
      </c>
      <c r="K77" s="259">
        <v>1762</v>
      </c>
      <c r="L77" s="146">
        <f>1233.4+528.6</f>
        <v>1762</v>
      </c>
      <c r="M77" s="146">
        <f t="shared" si="2"/>
        <v>0</v>
      </c>
      <c r="N77" s="257">
        <v>0</v>
      </c>
      <c r="O77" s="142">
        <v>0</v>
      </c>
      <c r="P77" s="150">
        <v>0</v>
      </c>
      <c r="Q77" s="150">
        <f t="shared" si="3"/>
        <v>0</v>
      </c>
      <c r="R77" s="139"/>
    </row>
    <row r="78" spans="1:18" ht="38.25" x14ac:dyDescent="0.25">
      <c r="A78" s="148">
        <v>22</v>
      </c>
      <c r="B78" s="255" t="s">
        <v>357</v>
      </c>
      <c r="C78" s="155" t="s">
        <v>64</v>
      </c>
      <c r="D78" s="254" t="s">
        <v>358</v>
      </c>
      <c r="E78" s="155" t="s">
        <v>158</v>
      </c>
      <c r="F78" s="155" t="s">
        <v>507</v>
      </c>
      <c r="G78" s="255" t="s">
        <v>326</v>
      </c>
      <c r="H78" s="258">
        <v>2</v>
      </c>
      <c r="I78" s="145">
        <v>1</v>
      </c>
      <c r="J78" s="145">
        <v>1</v>
      </c>
      <c r="K78" s="259">
        <v>0</v>
      </c>
      <c r="L78" s="146">
        <v>0</v>
      </c>
      <c r="M78" s="146">
        <f t="shared" si="2"/>
        <v>0</v>
      </c>
      <c r="N78" s="257">
        <v>0</v>
      </c>
      <c r="O78" s="146">
        <v>0</v>
      </c>
      <c r="P78" s="150">
        <v>0</v>
      </c>
      <c r="Q78" s="150">
        <f t="shared" si="3"/>
        <v>0</v>
      </c>
      <c r="R78" s="139"/>
    </row>
    <row r="79" spans="1:18" x14ac:dyDescent="0.25">
      <c r="A79" s="147">
        <v>23</v>
      </c>
      <c r="B79" s="255" t="s">
        <v>359</v>
      </c>
      <c r="C79" s="155" t="s">
        <v>62</v>
      </c>
      <c r="D79" s="254"/>
      <c r="E79" s="155" t="s">
        <v>158</v>
      </c>
      <c r="F79" s="155" t="s">
        <v>360</v>
      </c>
      <c r="G79" s="255" t="s">
        <v>326</v>
      </c>
      <c r="H79" s="258">
        <v>5</v>
      </c>
      <c r="I79" s="258">
        <v>5</v>
      </c>
      <c r="J79" s="258">
        <v>5</v>
      </c>
      <c r="K79" s="259">
        <f>1409.6+704.8+528.6+2290.6</f>
        <v>4933.5999999999995</v>
      </c>
      <c r="L79" s="146">
        <f>704.8+704.8+704.8+9.97+518.63+2290.6</f>
        <v>4933.5999999999995</v>
      </c>
      <c r="M79" s="146">
        <f t="shared" si="2"/>
        <v>0</v>
      </c>
      <c r="N79" s="257">
        <v>0</v>
      </c>
      <c r="O79" s="142">
        <v>0</v>
      </c>
      <c r="P79" s="143">
        <v>0</v>
      </c>
      <c r="Q79" s="150">
        <f t="shared" si="3"/>
        <v>0</v>
      </c>
      <c r="R79" s="139"/>
    </row>
    <row r="80" spans="1:18" x14ac:dyDescent="0.25">
      <c r="A80" s="147">
        <v>24</v>
      </c>
      <c r="B80" s="255" t="s">
        <v>118</v>
      </c>
      <c r="C80" s="155" t="s">
        <v>62</v>
      </c>
      <c r="D80" s="139"/>
      <c r="E80" s="155" t="s">
        <v>338</v>
      </c>
      <c r="F80" s="255" t="s">
        <v>361</v>
      </c>
      <c r="G80" s="255" t="s">
        <v>326</v>
      </c>
      <c r="H80" s="258">
        <v>1</v>
      </c>
      <c r="I80" s="258">
        <v>1</v>
      </c>
      <c r="J80" s="258">
        <v>1</v>
      </c>
      <c r="K80" s="259">
        <v>0</v>
      </c>
      <c r="L80" s="146">
        <v>0</v>
      </c>
      <c r="M80" s="146">
        <f t="shared" si="2"/>
        <v>0</v>
      </c>
      <c r="N80" s="257">
        <v>0</v>
      </c>
      <c r="O80" s="142">
        <v>0</v>
      </c>
      <c r="P80" s="150">
        <v>0</v>
      </c>
      <c r="Q80" s="150">
        <f t="shared" si="3"/>
        <v>0</v>
      </c>
      <c r="R80" s="139"/>
    </row>
    <row r="81" spans="1:18" x14ac:dyDescent="0.25">
      <c r="A81" s="147">
        <v>25</v>
      </c>
      <c r="B81" s="255" t="s">
        <v>246</v>
      </c>
      <c r="C81" s="155" t="s">
        <v>62</v>
      </c>
      <c r="D81" s="139"/>
      <c r="E81" s="155" t="s">
        <v>158</v>
      </c>
      <c r="F81" s="255" t="s">
        <v>362</v>
      </c>
      <c r="G81" s="255" t="s">
        <v>326</v>
      </c>
      <c r="H81" s="258">
        <v>5</v>
      </c>
      <c r="I81" s="258">
        <v>1</v>
      </c>
      <c r="J81" s="258">
        <v>1</v>
      </c>
      <c r="K81" s="259">
        <f>1233.4</f>
        <v>1233.4000000000001</v>
      </c>
      <c r="L81" s="146">
        <f>1233.4</f>
        <v>1233.4000000000001</v>
      </c>
      <c r="M81" s="146">
        <f t="shared" si="2"/>
        <v>0</v>
      </c>
      <c r="N81" s="257">
        <v>0</v>
      </c>
      <c r="O81" s="142">
        <v>0</v>
      </c>
      <c r="P81" s="150">
        <v>0</v>
      </c>
      <c r="Q81" s="150">
        <f t="shared" si="3"/>
        <v>0</v>
      </c>
      <c r="R81" s="139"/>
    </row>
    <row r="82" spans="1:18" x14ac:dyDescent="0.25">
      <c r="A82" s="147">
        <v>26</v>
      </c>
      <c r="B82" s="255" t="s">
        <v>43</v>
      </c>
      <c r="C82" s="155" t="s">
        <v>62</v>
      </c>
      <c r="D82" s="139"/>
      <c r="E82" s="155" t="s">
        <v>74</v>
      </c>
      <c r="F82" s="255" t="s">
        <v>363</v>
      </c>
      <c r="G82" s="255" t="s">
        <v>326</v>
      </c>
      <c r="H82" s="258">
        <v>4</v>
      </c>
      <c r="I82" s="258">
        <v>1</v>
      </c>
      <c r="J82" s="258">
        <v>1</v>
      </c>
      <c r="K82" s="259">
        <v>660.75</v>
      </c>
      <c r="L82" s="146">
        <f>660.75</f>
        <v>660.75</v>
      </c>
      <c r="M82" s="146">
        <f t="shared" si="2"/>
        <v>0</v>
      </c>
      <c r="N82" s="257">
        <v>0</v>
      </c>
      <c r="O82" s="142">
        <v>0</v>
      </c>
      <c r="P82" s="150">
        <v>0</v>
      </c>
      <c r="Q82" s="150">
        <f t="shared" si="3"/>
        <v>0</v>
      </c>
      <c r="R82" s="139"/>
    </row>
    <row r="83" spans="1:18" x14ac:dyDescent="0.25">
      <c r="A83" s="147">
        <v>27</v>
      </c>
      <c r="B83" s="255" t="s">
        <v>364</v>
      </c>
      <c r="C83" s="155" t="s">
        <v>62</v>
      </c>
      <c r="D83" s="139"/>
      <c r="E83" s="155" t="s">
        <v>74</v>
      </c>
      <c r="F83" s="255" t="s">
        <v>365</v>
      </c>
      <c r="G83" s="255" t="s">
        <v>326</v>
      </c>
      <c r="H83" s="258">
        <v>8</v>
      </c>
      <c r="I83" s="258">
        <v>2</v>
      </c>
      <c r="J83" s="258">
        <v>2</v>
      </c>
      <c r="K83" s="259">
        <v>2466.8000000000002</v>
      </c>
      <c r="L83" s="146">
        <v>2466.8000000000002</v>
      </c>
      <c r="M83" s="146">
        <f t="shared" si="2"/>
        <v>0</v>
      </c>
      <c r="N83" s="257">
        <v>3</v>
      </c>
      <c r="O83" s="142">
        <f>3524+2671.06</f>
        <v>6195.0599999999995</v>
      </c>
      <c r="P83" s="150">
        <v>3524</v>
      </c>
      <c r="Q83" s="150">
        <f t="shared" si="3"/>
        <v>2671.0599999999995</v>
      </c>
      <c r="R83" s="139"/>
    </row>
    <row r="84" spans="1:18" x14ac:dyDescent="0.25">
      <c r="A84" s="147">
        <v>28</v>
      </c>
      <c r="B84" s="255" t="s">
        <v>46</v>
      </c>
      <c r="C84" s="155" t="s">
        <v>62</v>
      </c>
      <c r="D84" s="139"/>
      <c r="E84" s="155" t="s">
        <v>366</v>
      </c>
      <c r="F84" s="255" t="s">
        <v>367</v>
      </c>
      <c r="G84" s="255" t="s">
        <v>326</v>
      </c>
      <c r="H84" s="258">
        <v>0</v>
      </c>
      <c r="I84" s="258">
        <v>0</v>
      </c>
      <c r="J84" s="258">
        <v>0</v>
      </c>
      <c r="K84" s="259">
        <v>0</v>
      </c>
      <c r="L84" s="146">
        <v>0</v>
      </c>
      <c r="M84" s="146">
        <f t="shared" si="2"/>
        <v>0</v>
      </c>
      <c r="N84" s="257">
        <v>2</v>
      </c>
      <c r="O84" s="142">
        <f>4140.7+528.6</f>
        <v>4669.3</v>
      </c>
      <c r="P84" s="143">
        <f>4140.7+528.6</f>
        <v>4669.3</v>
      </c>
      <c r="Q84" s="150">
        <f t="shared" si="3"/>
        <v>0</v>
      </c>
      <c r="R84" s="139"/>
    </row>
    <row r="85" spans="1:18" x14ac:dyDescent="0.25">
      <c r="A85" s="147">
        <v>29</v>
      </c>
      <c r="B85" s="255" t="s">
        <v>270</v>
      </c>
      <c r="C85" s="155" t="s">
        <v>62</v>
      </c>
      <c r="D85" s="139"/>
      <c r="E85" s="155" t="s">
        <v>74</v>
      </c>
      <c r="F85" s="255" t="s">
        <v>539</v>
      </c>
      <c r="G85" s="255" t="s">
        <v>326</v>
      </c>
      <c r="H85" s="258">
        <v>2</v>
      </c>
      <c r="I85" s="258">
        <v>0</v>
      </c>
      <c r="J85" s="258">
        <v>0</v>
      </c>
      <c r="K85" s="259">
        <v>0</v>
      </c>
      <c r="L85" s="146">
        <v>0</v>
      </c>
      <c r="M85" s="146">
        <f t="shared" si="2"/>
        <v>0</v>
      </c>
      <c r="N85" s="257">
        <v>0</v>
      </c>
      <c r="O85" s="142">
        <v>0</v>
      </c>
      <c r="P85" s="143">
        <v>0</v>
      </c>
      <c r="Q85" s="150">
        <v>0</v>
      </c>
      <c r="R85" s="139"/>
    </row>
    <row r="86" spans="1:18" x14ac:dyDescent="0.25">
      <c r="A86" s="147">
        <v>30</v>
      </c>
      <c r="B86" s="255" t="s">
        <v>621</v>
      </c>
      <c r="C86" s="155" t="s">
        <v>62</v>
      </c>
      <c r="D86" s="139"/>
      <c r="E86" s="155" t="s">
        <v>74</v>
      </c>
      <c r="F86" s="255" t="s">
        <v>622</v>
      </c>
      <c r="G86" s="255" t="s">
        <v>326</v>
      </c>
      <c r="H86" s="258">
        <v>1</v>
      </c>
      <c r="I86" s="258">
        <v>0</v>
      </c>
      <c r="J86" s="258">
        <v>0</v>
      </c>
      <c r="K86" s="259">
        <v>0</v>
      </c>
      <c r="L86" s="146">
        <v>0</v>
      </c>
      <c r="M86" s="146">
        <f t="shared" si="2"/>
        <v>0</v>
      </c>
      <c r="N86" s="257">
        <v>0</v>
      </c>
      <c r="O86" s="142">
        <v>0</v>
      </c>
      <c r="P86" s="143">
        <v>0</v>
      </c>
      <c r="Q86" s="150">
        <v>0</v>
      </c>
      <c r="R86" s="139"/>
    </row>
    <row r="87" spans="1:18" x14ac:dyDescent="0.25">
      <c r="A87" s="147">
        <v>31</v>
      </c>
      <c r="B87" s="255" t="s">
        <v>96</v>
      </c>
      <c r="C87" s="155" t="s">
        <v>62</v>
      </c>
      <c r="D87" s="139"/>
      <c r="E87" s="155" t="s">
        <v>98</v>
      </c>
      <c r="F87" s="255" t="s">
        <v>540</v>
      </c>
      <c r="G87" s="255" t="s">
        <v>326</v>
      </c>
      <c r="H87" s="258">
        <v>1</v>
      </c>
      <c r="I87" s="258">
        <v>0</v>
      </c>
      <c r="J87" s="258">
        <v>0</v>
      </c>
      <c r="K87" s="259">
        <v>0</v>
      </c>
      <c r="L87" s="146">
        <v>0</v>
      </c>
      <c r="M87" s="146">
        <f t="shared" si="2"/>
        <v>0</v>
      </c>
      <c r="N87" s="257">
        <v>1</v>
      </c>
      <c r="O87" s="142">
        <v>0</v>
      </c>
      <c r="P87" s="143">
        <v>0</v>
      </c>
      <c r="Q87" s="150">
        <v>0</v>
      </c>
      <c r="R87" s="139"/>
    </row>
    <row r="88" spans="1:18" x14ac:dyDescent="0.25">
      <c r="A88" s="147">
        <v>32</v>
      </c>
      <c r="B88" s="255" t="s">
        <v>124</v>
      </c>
      <c r="C88" s="155" t="s">
        <v>62</v>
      </c>
      <c r="D88" s="139"/>
      <c r="E88" s="155" t="s">
        <v>74</v>
      </c>
      <c r="F88" s="255" t="s">
        <v>368</v>
      </c>
      <c r="G88" s="255" t="s">
        <v>326</v>
      </c>
      <c r="H88" s="258">
        <v>25</v>
      </c>
      <c r="I88" s="258">
        <v>11</v>
      </c>
      <c r="J88" s="258">
        <v>11</v>
      </c>
      <c r="K88" s="259">
        <f>6343.2+3700.2</f>
        <v>10043.4</v>
      </c>
      <c r="L88" s="146">
        <f>1762+1762+2819.2+3700.2</f>
        <v>10043.4</v>
      </c>
      <c r="M88" s="146">
        <f t="shared" si="2"/>
        <v>0</v>
      </c>
      <c r="N88" s="257">
        <v>8</v>
      </c>
      <c r="O88" s="142">
        <f>3171.6+88+1493.8-704.8+704.8</f>
        <v>4753.3999999999996</v>
      </c>
      <c r="P88" s="150">
        <f>1765.8+1493.8+789+704.8</f>
        <v>4753.3999999999996</v>
      </c>
      <c r="Q88" s="146">
        <f>O88-P88</f>
        <v>0</v>
      </c>
      <c r="R88" s="139"/>
    </row>
    <row r="89" spans="1:18" x14ac:dyDescent="0.25">
      <c r="A89" s="147">
        <v>33</v>
      </c>
      <c r="B89" s="255" t="s">
        <v>51</v>
      </c>
      <c r="C89" s="155" t="s">
        <v>62</v>
      </c>
      <c r="D89" s="139"/>
      <c r="E89" s="155" t="s">
        <v>74</v>
      </c>
      <c r="F89" s="255" t="s">
        <v>369</v>
      </c>
      <c r="G89" s="255" t="s">
        <v>326</v>
      </c>
      <c r="H89" s="258">
        <v>0</v>
      </c>
      <c r="I89" s="258">
        <v>0</v>
      </c>
      <c r="J89" s="258">
        <v>0</v>
      </c>
      <c r="K89" s="259">
        <v>0</v>
      </c>
      <c r="L89" s="146">
        <v>0</v>
      </c>
      <c r="M89" s="146">
        <f t="shared" si="2"/>
        <v>0</v>
      </c>
      <c r="N89" s="257">
        <v>1</v>
      </c>
      <c r="O89" s="142">
        <v>2290.6</v>
      </c>
      <c r="P89" s="150">
        <v>2290.6</v>
      </c>
      <c r="Q89" s="150">
        <f>O89-P89</f>
        <v>0</v>
      </c>
      <c r="R89" s="139"/>
    </row>
    <row r="90" spans="1:18" x14ac:dyDescent="0.25">
      <c r="A90" s="147">
        <v>34</v>
      </c>
      <c r="B90" s="255" t="s">
        <v>286</v>
      </c>
      <c r="C90" s="155" t="s">
        <v>62</v>
      </c>
      <c r="D90" s="139"/>
      <c r="E90" s="155" t="s">
        <v>74</v>
      </c>
      <c r="F90" s="255" t="s">
        <v>476</v>
      </c>
      <c r="G90" s="255" t="s">
        <v>326</v>
      </c>
      <c r="H90" s="258">
        <v>8</v>
      </c>
      <c r="I90" s="258">
        <v>4</v>
      </c>
      <c r="J90" s="258">
        <v>4</v>
      </c>
      <c r="K90" s="259">
        <f>1233.4+1409.6</f>
        <v>2643</v>
      </c>
      <c r="L90" s="146">
        <f>1233.4+1409.6</f>
        <v>2643</v>
      </c>
      <c r="M90" s="146">
        <f t="shared" si="2"/>
        <v>0</v>
      </c>
      <c r="N90" s="257">
        <v>0</v>
      </c>
      <c r="O90" s="142">
        <v>0</v>
      </c>
      <c r="P90" s="150">
        <v>0</v>
      </c>
      <c r="Q90" s="150">
        <v>0</v>
      </c>
      <c r="R90" s="139"/>
    </row>
    <row r="91" spans="1:18" x14ac:dyDescent="0.25">
      <c r="A91" s="147">
        <v>35</v>
      </c>
      <c r="B91" s="255" t="s">
        <v>290</v>
      </c>
      <c r="C91" s="155" t="s">
        <v>62</v>
      </c>
      <c r="D91" s="139"/>
      <c r="E91" s="155" t="s">
        <v>371</v>
      </c>
      <c r="F91" s="255" t="s">
        <v>372</v>
      </c>
      <c r="G91" s="255" t="s">
        <v>326</v>
      </c>
      <c r="H91" s="258">
        <v>9</v>
      </c>
      <c r="I91" s="258">
        <v>3</v>
      </c>
      <c r="J91" s="258">
        <v>3</v>
      </c>
      <c r="K91" s="259">
        <f>1409.6+704.8</f>
        <v>2114.3999999999996</v>
      </c>
      <c r="L91" s="146">
        <f>1409.6+704.8</f>
        <v>2114.3999999999996</v>
      </c>
      <c r="M91" s="146">
        <f t="shared" si="2"/>
        <v>0</v>
      </c>
      <c r="N91" s="257">
        <v>0</v>
      </c>
      <c r="O91" s="142">
        <v>0</v>
      </c>
      <c r="P91" s="143">
        <v>0</v>
      </c>
      <c r="Q91" s="150">
        <f>O91-P91</f>
        <v>0</v>
      </c>
      <c r="R91" s="139"/>
    </row>
    <row r="92" spans="1:18" x14ac:dyDescent="0.25">
      <c r="A92" s="147">
        <v>36</v>
      </c>
      <c r="B92" s="255" t="s">
        <v>134</v>
      </c>
      <c r="C92" s="155" t="s">
        <v>62</v>
      </c>
      <c r="D92" s="139"/>
      <c r="E92" s="155" t="s">
        <v>74</v>
      </c>
      <c r="F92" s="255" t="s">
        <v>373</v>
      </c>
      <c r="G92" s="255" t="s">
        <v>326</v>
      </c>
      <c r="H92" s="258">
        <v>3</v>
      </c>
      <c r="I92" s="258">
        <v>1</v>
      </c>
      <c r="J92" s="258">
        <v>1</v>
      </c>
      <c r="K92" s="259">
        <f>1938.2</f>
        <v>1938.2</v>
      </c>
      <c r="L92" s="146">
        <v>1938.2</v>
      </c>
      <c r="M92" s="146">
        <f t="shared" si="2"/>
        <v>0</v>
      </c>
      <c r="N92" s="257">
        <v>2</v>
      </c>
      <c r="O92" s="142">
        <v>2643</v>
      </c>
      <c r="P92" s="150">
        <f>881+1762</f>
        <v>2643</v>
      </c>
      <c r="Q92" s="150">
        <f>O92-P92</f>
        <v>0</v>
      </c>
      <c r="R92" s="139"/>
    </row>
    <row r="93" spans="1:18" x14ac:dyDescent="0.25">
      <c r="A93" s="147">
        <v>37</v>
      </c>
      <c r="B93" s="255" t="s">
        <v>135</v>
      </c>
      <c r="C93" s="155" t="s">
        <v>62</v>
      </c>
      <c r="D93" s="139"/>
      <c r="E93" s="155" t="s">
        <v>74</v>
      </c>
      <c r="F93" s="255" t="s">
        <v>374</v>
      </c>
      <c r="G93" s="255" t="s">
        <v>326</v>
      </c>
      <c r="H93" s="258">
        <v>19</v>
      </c>
      <c r="I93" s="258">
        <v>4</v>
      </c>
      <c r="J93" s="258">
        <v>4</v>
      </c>
      <c r="K93" s="259">
        <f>5109.8+881</f>
        <v>5990.8</v>
      </c>
      <c r="L93" s="146">
        <f>2290.6+2819.2+881</f>
        <v>5990.7999999999993</v>
      </c>
      <c r="M93" s="146">
        <f t="shared" si="2"/>
        <v>0</v>
      </c>
      <c r="N93" s="257">
        <v>37</v>
      </c>
      <c r="O93" s="142">
        <f>15109.16+9717+2845.2+3774.05</f>
        <v>31445.41</v>
      </c>
      <c r="P93" s="150">
        <f>14228.16+881+9717+2845.2</f>
        <v>27671.360000000001</v>
      </c>
      <c r="Q93" s="146">
        <f>O93-P93</f>
        <v>3774.0499999999993</v>
      </c>
      <c r="R93" s="139"/>
    </row>
    <row r="94" spans="1:18" ht="25.5" x14ac:dyDescent="0.25">
      <c r="A94" s="148">
        <v>38</v>
      </c>
      <c r="B94" s="255" t="s">
        <v>508</v>
      </c>
      <c r="C94" s="155" t="s">
        <v>64</v>
      </c>
      <c r="D94" s="254" t="s">
        <v>509</v>
      </c>
      <c r="E94" s="155" t="s">
        <v>74</v>
      </c>
      <c r="F94" s="255" t="s">
        <v>510</v>
      </c>
      <c r="G94" s="255" t="s">
        <v>326</v>
      </c>
      <c r="H94" s="258">
        <v>3</v>
      </c>
      <c r="I94" s="258">
        <v>1</v>
      </c>
      <c r="J94" s="258">
        <v>1</v>
      </c>
      <c r="K94" s="259">
        <v>0</v>
      </c>
      <c r="L94" s="146">
        <v>0</v>
      </c>
      <c r="M94" s="146">
        <v>0</v>
      </c>
      <c r="N94" s="257">
        <v>0</v>
      </c>
      <c r="O94" s="146">
        <v>0</v>
      </c>
      <c r="P94" s="150">
        <v>0</v>
      </c>
      <c r="Q94" s="150">
        <v>0</v>
      </c>
      <c r="R94" s="139"/>
    </row>
    <row r="95" spans="1:18" x14ac:dyDescent="0.25">
      <c r="A95" s="147">
        <v>39</v>
      </c>
      <c r="B95" s="255" t="s">
        <v>299</v>
      </c>
      <c r="C95" s="155" t="s">
        <v>62</v>
      </c>
      <c r="D95" s="139"/>
      <c r="E95" s="155" t="s">
        <v>158</v>
      </c>
      <c r="F95" s="255" t="s">
        <v>375</v>
      </c>
      <c r="G95" s="255" t="s">
        <v>326</v>
      </c>
      <c r="H95" s="258">
        <v>3</v>
      </c>
      <c r="I95" s="258">
        <v>1</v>
      </c>
      <c r="J95" s="258">
        <v>1</v>
      </c>
      <c r="K95" s="259">
        <f>704.8</f>
        <v>704.8</v>
      </c>
      <c r="L95" s="146">
        <f>704.8</f>
        <v>704.8</v>
      </c>
      <c r="M95" s="146">
        <f t="shared" ref="M95:M101" si="4">K95-L95</f>
        <v>0</v>
      </c>
      <c r="N95" s="257">
        <v>0</v>
      </c>
      <c r="O95" s="142">
        <v>0</v>
      </c>
      <c r="P95" s="150">
        <v>0</v>
      </c>
      <c r="Q95" s="150">
        <f t="shared" ref="Q95:Q101" si="5">O95-P95</f>
        <v>0</v>
      </c>
      <c r="R95" s="139"/>
    </row>
    <row r="96" spans="1:18" x14ac:dyDescent="0.25">
      <c r="A96" s="147">
        <v>40</v>
      </c>
      <c r="B96" s="255" t="s">
        <v>376</v>
      </c>
      <c r="C96" s="155" t="s">
        <v>62</v>
      </c>
      <c r="D96" s="139"/>
      <c r="E96" s="155" t="s">
        <v>74</v>
      </c>
      <c r="F96" s="255" t="s">
        <v>377</v>
      </c>
      <c r="G96" s="255" t="s">
        <v>326</v>
      </c>
      <c r="H96" s="258">
        <v>4</v>
      </c>
      <c r="I96" s="258">
        <v>3</v>
      </c>
      <c r="J96" s="258">
        <v>3</v>
      </c>
      <c r="K96" s="259">
        <f>1409.6+2643</f>
        <v>4052.6</v>
      </c>
      <c r="L96" s="146">
        <f>1409.6+2339.82+303.18</f>
        <v>4052.6</v>
      </c>
      <c r="M96" s="146">
        <f t="shared" si="4"/>
        <v>0</v>
      </c>
      <c r="N96" s="257">
        <v>0</v>
      </c>
      <c r="O96" s="142">
        <v>0</v>
      </c>
      <c r="P96" s="150">
        <v>0</v>
      </c>
      <c r="Q96" s="150">
        <f t="shared" si="5"/>
        <v>0</v>
      </c>
      <c r="R96" s="139"/>
    </row>
    <row r="97" spans="1:18" x14ac:dyDescent="0.25">
      <c r="A97" s="147">
        <v>41</v>
      </c>
      <c r="B97" s="255" t="s">
        <v>129</v>
      </c>
      <c r="C97" s="155" t="s">
        <v>62</v>
      </c>
      <c r="D97" s="139"/>
      <c r="E97" s="155" t="s">
        <v>74</v>
      </c>
      <c r="F97" s="255" t="s">
        <v>378</v>
      </c>
      <c r="G97" s="255" t="s">
        <v>326</v>
      </c>
      <c r="H97" s="258">
        <v>40</v>
      </c>
      <c r="I97" s="258">
        <v>14</v>
      </c>
      <c r="J97" s="258">
        <v>14</v>
      </c>
      <c r="K97" s="259">
        <f>7355.96+1306.55+4415.93+5710.35+1310.55</f>
        <v>20099.34</v>
      </c>
      <c r="L97" s="146">
        <f>3615.96+5046.55+4415.93+2821.97+2888.38</f>
        <v>18788.79</v>
      </c>
      <c r="M97" s="146">
        <f t="shared" si="4"/>
        <v>1310.5499999999993</v>
      </c>
      <c r="N97" s="257">
        <v>28</v>
      </c>
      <c r="O97" s="142">
        <f>28417.04+2923.96+3402.23+528.6+3259.4+1369.4+10104.55</f>
        <v>50005.180000000008</v>
      </c>
      <c r="P97" s="143">
        <f>22002.43+5101.53+1313.08+2923.96+3402.23+528.6+3259.4</f>
        <v>38531.230000000003</v>
      </c>
      <c r="Q97" s="150">
        <f t="shared" si="5"/>
        <v>11473.950000000004</v>
      </c>
      <c r="R97" s="139"/>
    </row>
    <row r="98" spans="1:18" x14ac:dyDescent="0.25">
      <c r="A98" s="147">
        <v>42</v>
      </c>
      <c r="B98" s="255" t="s">
        <v>379</v>
      </c>
      <c r="C98" s="155" t="s">
        <v>62</v>
      </c>
      <c r="D98" s="139"/>
      <c r="E98" s="155" t="s">
        <v>158</v>
      </c>
      <c r="F98" s="255" t="s">
        <v>380</v>
      </c>
      <c r="G98" s="255" t="s">
        <v>326</v>
      </c>
      <c r="H98" s="258">
        <v>3</v>
      </c>
      <c r="I98" s="258">
        <v>1</v>
      </c>
      <c r="J98" s="258">
        <v>1</v>
      </c>
      <c r="K98" s="259">
        <v>704.8</v>
      </c>
      <c r="L98" s="146">
        <f>704.8</f>
        <v>704.8</v>
      </c>
      <c r="M98" s="146">
        <f t="shared" si="4"/>
        <v>0</v>
      </c>
      <c r="N98" s="257">
        <v>0</v>
      </c>
      <c r="O98" s="142">
        <v>0</v>
      </c>
      <c r="P98" s="150">
        <v>0</v>
      </c>
      <c r="Q98" s="150">
        <f t="shared" si="5"/>
        <v>0</v>
      </c>
      <c r="R98" s="139"/>
    </row>
    <row r="99" spans="1:18" x14ac:dyDescent="0.25">
      <c r="A99" s="147">
        <v>43</v>
      </c>
      <c r="B99" s="255" t="s">
        <v>130</v>
      </c>
      <c r="C99" s="155" t="s">
        <v>62</v>
      </c>
      <c r="D99" s="139"/>
      <c r="E99" s="155" t="s">
        <v>74</v>
      </c>
      <c r="F99" s="255" t="s">
        <v>557</v>
      </c>
      <c r="G99" s="255" t="s">
        <v>326</v>
      </c>
      <c r="H99" s="258">
        <v>1</v>
      </c>
      <c r="I99" s="258">
        <v>0</v>
      </c>
      <c r="J99" s="258">
        <v>0</v>
      </c>
      <c r="K99" s="259">
        <v>0</v>
      </c>
      <c r="L99" s="146">
        <v>0</v>
      </c>
      <c r="M99" s="146">
        <f t="shared" si="4"/>
        <v>0</v>
      </c>
      <c r="N99" s="257">
        <v>2</v>
      </c>
      <c r="O99" s="142">
        <f>3700.2</f>
        <v>3700.2</v>
      </c>
      <c r="P99" s="150">
        <f>3700.2</f>
        <v>3700.2</v>
      </c>
      <c r="Q99" s="150">
        <f t="shared" si="5"/>
        <v>0</v>
      </c>
      <c r="R99" s="139"/>
    </row>
    <row r="100" spans="1:18" x14ac:dyDescent="0.25">
      <c r="A100" s="147">
        <v>44</v>
      </c>
      <c r="B100" s="255" t="s">
        <v>382</v>
      </c>
      <c r="C100" s="155" t="s">
        <v>62</v>
      </c>
      <c r="D100" s="139"/>
      <c r="E100" s="155" t="s">
        <v>383</v>
      </c>
      <c r="F100" s="255" t="s">
        <v>384</v>
      </c>
      <c r="G100" s="255" t="s">
        <v>326</v>
      </c>
      <c r="H100" s="258">
        <v>1</v>
      </c>
      <c r="I100" s="258">
        <v>1</v>
      </c>
      <c r="J100" s="258">
        <v>1</v>
      </c>
      <c r="K100" s="259">
        <v>704.8</v>
      </c>
      <c r="L100" s="146">
        <f>187.75+517.05</f>
        <v>704.8</v>
      </c>
      <c r="M100" s="146">
        <f t="shared" si="4"/>
        <v>0</v>
      </c>
      <c r="N100" s="257">
        <v>0</v>
      </c>
      <c r="O100" s="142">
        <v>0</v>
      </c>
      <c r="P100" s="150">
        <v>0</v>
      </c>
      <c r="Q100" s="150">
        <f t="shared" si="5"/>
        <v>0</v>
      </c>
      <c r="R100" s="139"/>
    </row>
    <row r="101" spans="1:18" x14ac:dyDescent="0.25">
      <c r="A101" s="147">
        <v>45</v>
      </c>
      <c r="B101" s="255" t="s">
        <v>385</v>
      </c>
      <c r="C101" s="155" t="s">
        <v>62</v>
      </c>
      <c r="D101" s="139"/>
      <c r="E101" s="139" t="s">
        <v>145</v>
      </c>
      <c r="F101" s="255" t="s">
        <v>386</v>
      </c>
      <c r="G101" s="255" t="s">
        <v>326</v>
      </c>
      <c r="H101" s="258">
        <v>12</v>
      </c>
      <c r="I101" s="258">
        <v>5</v>
      </c>
      <c r="J101" s="258">
        <v>5</v>
      </c>
      <c r="K101" s="259">
        <f>1762+2422.75</f>
        <v>4184.75</v>
      </c>
      <c r="L101" s="146">
        <f>1057.2+704.8+2422.75</f>
        <v>4184.75</v>
      </c>
      <c r="M101" s="146">
        <f t="shared" si="4"/>
        <v>0</v>
      </c>
      <c r="N101" s="257">
        <v>18</v>
      </c>
      <c r="O101" s="142">
        <v>9602.9</v>
      </c>
      <c r="P101" s="143">
        <f>9074.3+528.6</f>
        <v>9602.9</v>
      </c>
      <c r="Q101" s="150">
        <f t="shared" si="5"/>
        <v>0</v>
      </c>
      <c r="R101" s="139"/>
    </row>
    <row r="102" spans="1:18" x14ac:dyDescent="0.25">
      <c r="A102" s="147">
        <v>46</v>
      </c>
      <c r="B102" s="255" t="s">
        <v>150</v>
      </c>
      <c r="C102" s="155" t="s">
        <v>62</v>
      </c>
      <c r="D102" s="139"/>
      <c r="E102" s="155" t="s">
        <v>74</v>
      </c>
      <c r="F102" s="255" t="s">
        <v>370</v>
      </c>
      <c r="G102" s="255" t="s">
        <v>326</v>
      </c>
      <c r="H102" s="258">
        <v>0</v>
      </c>
      <c r="I102" s="258">
        <v>0</v>
      </c>
      <c r="J102" s="258">
        <v>0</v>
      </c>
      <c r="K102" s="259">
        <v>0</v>
      </c>
      <c r="L102" s="146">
        <v>0</v>
      </c>
      <c r="M102" s="146">
        <v>0</v>
      </c>
      <c r="N102" s="257">
        <v>0</v>
      </c>
      <c r="O102" s="142">
        <v>0</v>
      </c>
      <c r="P102" s="143">
        <v>0</v>
      </c>
      <c r="Q102" s="150">
        <v>0</v>
      </c>
      <c r="R102" s="139"/>
    </row>
    <row r="103" spans="1:18" x14ac:dyDescent="0.25">
      <c r="A103" s="147">
        <v>47</v>
      </c>
      <c r="B103" s="255" t="s">
        <v>387</v>
      </c>
      <c r="C103" s="155" t="s">
        <v>62</v>
      </c>
      <c r="D103" s="139"/>
      <c r="E103" s="155" t="s">
        <v>157</v>
      </c>
      <c r="F103" s="255" t="s">
        <v>388</v>
      </c>
      <c r="G103" s="255" t="s">
        <v>326</v>
      </c>
      <c r="H103" s="258">
        <v>0</v>
      </c>
      <c r="I103" s="258">
        <v>0</v>
      </c>
      <c r="J103" s="258">
        <v>0</v>
      </c>
      <c r="K103" s="273">
        <v>0</v>
      </c>
      <c r="L103" s="146">
        <v>0</v>
      </c>
      <c r="M103" s="146">
        <f>K103-L103</f>
        <v>0</v>
      </c>
      <c r="N103" s="257">
        <v>0</v>
      </c>
      <c r="O103" s="142">
        <v>0</v>
      </c>
      <c r="P103" s="150">
        <v>0</v>
      </c>
      <c r="Q103" s="150">
        <f>O103-P103</f>
        <v>0</v>
      </c>
      <c r="R103" s="139"/>
    </row>
    <row r="104" spans="1:18" x14ac:dyDescent="0.25">
      <c r="A104" s="147">
        <v>48</v>
      </c>
      <c r="B104" s="255" t="s">
        <v>54</v>
      </c>
      <c r="C104" s="155" t="s">
        <v>62</v>
      </c>
      <c r="D104" s="139"/>
      <c r="E104" s="155" t="s">
        <v>338</v>
      </c>
      <c r="F104" s="255" t="s">
        <v>391</v>
      </c>
      <c r="G104" s="255" t="s">
        <v>326</v>
      </c>
      <c r="H104" s="258">
        <v>0</v>
      </c>
      <c r="I104" s="258">
        <v>0</v>
      </c>
      <c r="J104" s="139">
        <v>0</v>
      </c>
      <c r="K104" s="273">
        <v>0</v>
      </c>
      <c r="L104" s="146">
        <v>0</v>
      </c>
      <c r="M104" s="146">
        <f>K104-L104</f>
        <v>0</v>
      </c>
      <c r="N104" s="257">
        <v>0</v>
      </c>
      <c r="O104" s="142">
        <v>0</v>
      </c>
      <c r="P104" s="143">
        <v>0</v>
      </c>
      <c r="Q104" s="150">
        <f>O104-P104</f>
        <v>0</v>
      </c>
      <c r="R104" s="139"/>
    </row>
    <row r="105" spans="1:18" ht="39" x14ac:dyDescent="0.25">
      <c r="A105" s="148">
        <v>49</v>
      </c>
      <c r="B105" s="255" t="s">
        <v>131</v>
      </c>
      <c r="C105" s="155" t="s">
        <v>64</v>
      </c>
      <c r="D105" s="261" t="s">
        <v>392</v>
      </c>
      <c r="E105" s="155" t="s">
        <v>158</v>
      </c>
      <c r="F105" s="256" t="s">
        <v>393</v>
      </c>
      <c r="G105" s="255" t="s">
        <v>326</v>
      </c>
      <c r="H105" s="258">
        <v>0</v>
      </c>
      <c r="I105" s="258">
        <v>0</v>
      </c>
      <c r="J105" s="145">
        <v>0</v>
      </c>
      <c r="K105" s="274">
        <v>0</v>
      </c>
      <c r="L105" s="150">
        <v>0</v>
      </c>
      <c r="M105" s="150">
        <f>K105-L105</f>
        <v>0</v>
      </c>
      <c r="N105" s="256">
        <v>0</v>
      </c>
      <c r="O105" s="150">
        <v>0</v>
      </c>
      <c r="P105" s="150">
        <v>0</v>
      </c>
      <c r="Q105" s="150">
        <f>O105-P105</f>
        <v>0</v>
      </c>
      <c r="R105" s="139"/>
    </row>
    <row r="106" spans="1:18" ht="25.5" x14ac:dyDescent="0.25">
      <c r="A106" s="63">
        <v>1</v>
      </c>
      <c r="B106" s="100" t="s">
        <v>21</v>
      </c>
      <c r="C106" s="100" t="s">
        <v>62</v>
      </c>
      <c r="D106" s="100"/>
      <c r="E106" s="100" t="s">
        <v>157</v>
      </c>
      <c r="F106" s="100" t="s">
        <v>523</v>
      </c>
      <c r="G106" s="100" t="s">
        <v>524</v>
      </c>
      <c r="H106" s="234">
        <v>1</v>
      </c>
      <c r="I106" s="234">
        <v>0</v>
      </c>
      <c r="J106" s="234">
        <v>0</v>
      </c>
      <c r="K106" s="215">
        <v>0</v>
      </c>
      <c r="L106" s="215">
        <v>0</v>
      </c>
      <c r="M106" s="215">
        <v>0</v>
      </c>
      <c r="N106" s="234">
        <v>1</v>
      </c>
      <c r="O106" s="215">
        <v>1233.4000000000001</v>
      </c>
      <c r="P106" s="215">
        <v>1233.4000000000001</v>
      </c>
      <c r="Q106" s="215">
        <v>0</v>
      </c>
      <c r="R106" s="6"/>
    </row>
    <row r="107" spans="1:18" ht="25.5" x14ac:dyDescent="0.25">
      <c r="A107" s="63">
        <v>2</v>
      </c>
      <c r="B107" s="100" t="s">
        <v>147</v>
      </c>
      <c r="C107" s="100" t="s">
        <v>62</v>
      </c>
      <c r="D107" s="100"/>
      <c r="E107" s="100" t="s">
        <v>158</v>
      </c>
      <c r="F107" s="100" t="s">
        <v>525</v>
      </c>
      <c r="G107" s="100" t="s">
        <v>524</v>
      </c>
      <c r="H107" s="234">
        <v>1</v>
      </c>
      <c r="I107" s="234">
        <v>1</v>
      </c>
      <c r="J107" s="234">
        <v>1</v>
      </c>
      <c r="K107" s="215">
        <v>1762</v>
      </c>
      <c r="L107" s="215">
        <v>1762</v>
      </c>
      <c r="M107" s="215">
        <v>0</v>
      </c>
      <c r="N107" s="234">
        <v>2</v>
      </c>
      <c r="O107" s="215">
        <v>10751.3</v>
      </c>
      <c r="P107" s="215">
        <v>3805.4</v>
      </c>
      <c r="Q107" s="215">
        <v>6945.9</v>
      </c>
      <c r="R107" s="6"/>
    </row>
    <row r="108" spans="1:18" ht="25.5" x14ac:dyDescent="0.25">
      <c r="A108" s="63">
        <v>3</v>
      </c>
      <c r="B108" s="232" t="s">
        <v>526</v>
      </c>
      <c r="C108" s="100" t="s">
        <v>62</v>
      </c>
      <c r="D108" s="100"/>
      <c r="E108" s="100" t="s">
        <v>527</v>
      </c>
      <c r="F108" s="100" t="s">
        <v>528</v>
      </c>
      <c r="G108" s="100" t="s">
        <v>524</v>
      </c>
      <c r="H108" s="234">
        <v>0</v>
      </c>
      <c r="I108" s="234">
        <v>0</v>
      </c>
      <c r="J108" s="234">
        <v>0</v>
      </c>
      <c r="K108" s="215">
        <v>0</v>
      </c>
      <c r="L108" s="215">
        <v>0</v>
      </c>
      <c r="M108" s="215">
        <v>0</v>
      </c>
      <c r="N108" s="234">
        <v>0</v>
      </c>
      <c r="O108" s="218">
        <v>0</v>
      </c>
      <c r="P108" s="215">
        <v>0</v>
      </c>
      <c r="Q108" s="215">
        <v>0</v>
      </c>
      <c r="R108" s="6"/>
    </row>
    <row r="109" spans="1:18" ht="25.5" x14ac:dyDescent="0.25">
      <c r="A109" s="63">
        <v>4</v>
      </c>
      <c r="B109" s="100" t="s">
        <v>305</v>
      </c>
      <c r="C109" s="100" t="s">
        <v>62</v>
      </c>
      <c r="D109" s="100"/>
      <c r="E109" s="100" t="s">
        <v>157</v>
      </c>
      <c r="F109" s="100" t="s">
        <v>531</v>
      </c>
      <c r="G109" s="100" t="s">
        <v>524</v>
      </c>
      <c r="H109" s="234">
        <v>4</v>
      </c>
      <c r="I109" s="234">
        <v>3</v>
      </c>
      <c r="J109" s="234">
        <v>3</v>
      </c>
      <c r="K109" s="215">
        <v>2819.2</v>
      </c>
      <c r="L109" s="215">
        <v>2819.2</v>
      </c>
      <c r="M109" s="215">
        <v>0</v>
      </c>
      <c r="N109" s="234">
        <v>0</v>
      </c>
      <c r="O109" s="215">
        <v>0</v>
      </c>
      <c r="P109" s="215">
        <v>0</v>
      </c>
      <c r="Q109" s="215">
        <v>0</v>
      </c>
      <c r="R109" s="6"/>
    </row>
    <row r="110" spans="1:18" ht="25.5" x14ac:dyDescent="0.25">
      <c r="A110" s="63">
        <v>5</v>
      </c>
      <c r="B110" s="100" t="s">
        <v>407</v>
      </c>
      <c r="C110" s="100" t="s">
        <v>62</v>
      </c>
      <c r="D110" s="100"/>
      <c r="E110" s="100" t="s">
        <v>157</v>
      </c>
      <c r="F110" s="100" t="s">
        <v>532</v>
      </c>
      <c r="G110" s="100" t="s">
        <v>524</v>
      </c>
      <c r="H110" s="234">
        <v>4</v>
      </c>
      <c r="I110" s="234">
        <v>1</v>
      </c>
      <c r="J110" s="234">
        <v>1</v>
      </c>
      <c r="K110" s="215">
        <v>0</v>
      </c>
      <c r="L110" s="215">
        <v>0</v>
      </c>
      <c r="M110" s="215">
        <v>0</v>
      </c>
      <c r="N110" s="234">
        <v>0</v>
      </c>
      <c r="O110" s="215">
        <v>0</v>
      </c>
      <c r="P110" s="215">
        <v>0</v>
      </c>
      <c r="Q110" s="215">
        <v>0</v>
      </c>
      <c r="R110" s="6"/>
    </row>
    <row r="111" spans="1:18" ht="25.5" x14ac:dyDescent="0.25">
      <c r="A111" s="63">
        <v>6</v>
      </c>
      <c r="B111" s="100" t="s">
        <v>185</v>
      </c>
      <c r="C111" s="100" t="s">
        <v>62</v>
      </c>
      <c r="D111" s="100"/>
      <c r="E111" s="100" t="s">
        <v>157</v>
      </c>
      <c r="F111" s="100" t="s">
        <v>533</v>
      </c>
      <c r="G111" s="100" t="s">
        <v>524</v>
      </c>
      <c r="H111" s="234">
        <v>4</v>
      </c>
      <c r="I111" s="234">
        <v>3</v>
      </c>
      <c r="J111" s="234">
        <v>3</v>
      </c>
      <c r="K111" s="215">
        <v>0</v>
      </c>
      <c r="L111" s="215">
        <v>0</v>
      </c>
      <c r="M111" s="215">
        <v>0</v>
      </c>
      <c r="N111" s="234">
        <v>0</v>
      </c>
      <c r="O111" s="215">
        <v>0</v>
      </c>
      <c r="P111" s="215">
        <v>0</v>
      </c>
      <c r="Q111" s="215">
        <v>0</v>
      </c>
      <c r="R111" s="6"/>
    </row>
    <row r="112" spans="1:18" ht="25.5" x14ac:dyDescent="0.25">
      <c r="A112" s="63">
        <v>7</v>
      </c>
      <c r="B112" s="100" t="s">
        <v>534</v>
      </c>
      <c r="C112" s="100" t="s">
        <v>62</v>
      </c>
      <c r="D112" s="100"/>
      <c r="E112" s="100" t="s">
        <v>157</v>
      </c>
      <c r="F112" s="100" t="s">
        <v>535</v>
      </c>
      <c r="G112" s="100" t="s">
        <v>524</v>
      </c>
      <c r="H112" s="234">
        <v>1</v>
      </c>
      <c r="I112" s="234">
        <v>0</v>
      </c>
      <c r="J112" s="234">
        <v>0</v>
      </c>
      <c r="K112" s="215">
        <v>0</v>
      </c>
      <c r="L112" s="215">
        <v>0</v>
      </c>
      <c r="M112" s="215">
        <v>0</v>
      </c>
      <c r="N112" s="234">
        <v>0</v>
      </c>
      <c r="O112" s="215">
        <v>0</v>
      </c>
      <c r="P112" s="215">
        <v>0</v>
      </c>
      <c r="Q112" s="215">
        <v>0</v>
      </c>
      <c r="R112" s="6"/>
    </row>
    <row r="113" spans="1:18" ht="25.5" x14ac:dyDescent="0.25">
      <c r="A113" s="63">
        <v>8</v>
      </c>
      <c r="B113" s="100" t="s">
        <v>104</v>
      </c>
      <c r="C113" s="100" t="s">
        <v>62</v>
      </c>
      <c r="D113" s="100"/>
      <c r="E113" s="100" t="s">
        <v>158</v>
      </c>
      <c r="F113" s="233" t="s">
        <v>536</v>
      </c>
      <c r="G113" s="100" t="s">
        <v>524</v>
      </c>
      <c r="H113" s="234">
        <v>0</v>
      </c>
      <c r="I113" s="234">
        <v>0</v>
      </c>
      <c r="J113" s="234">
        <v>0</v>
      </c>
      <c r="K113" s="215">
        <v>0</v>
      </c>
      <c r="L113" s="215">
        <v>0</v>
      </c>
      <c r="M113" s="215">
        <v>0</v>
      </c>
      <c r="N113" s="234">
        <v>1</v>
      </c>
      <c r="O113" s="215">
        <v>0</v>
      </c>
      <c r="P113" s="215">
        <v>0</v>
      </c>
      <c r="Q113" s="215">
        <v>0</v>
      </c>
      <c r="R113" s="6"/>
    </row>
    <row r="114" spans="1:18" ht="25.5" x14ac:dyDescent="0.25">
      <c r="A114" s="63">
        <v>9</v>
      </c>
      <c r="B114" s="100" t="s">
        <v>30</v>
      </c>
      <c r="C114" s="100" t="s">
        <v>62</v>
      </c>
      <c r="D114" s="100"/>
      <c r="E114" s="100" t="s">
        <v>537</v>
      </c>
      <c r="F114" s="100" t="s">
        <v>592</v>
      </c>
      <c r="G114" s="100" t="s">
        <v>524</v>
      </c>
      <c r="H114" s="234">
        <v>0</v>
      </c>
      <c r="I114" s="234">
        <v>0</v>
      </c>
      <c r="J114" s="234">
        <v>0</v>
      </c>
      <c r="K114" s="215">
        <v>0</v>
      </c>
      <c r="L114" s="215">
        <v>0</v>
      </c>
      <c r="M114" s="215">
        <v>0</v>
      </c>
      <c r="N114" s="234">
        <v>0</v>
      </c>
      <c r="O114" s="215">
        <v>0</v>
      </c>
      <c r="P114" s="215">
        <v>0</v>
      </c>
      <c r="Q114" s="215">
        <v>0</v>
      </c>
      <c r="R114" s="6"/>
    </row>
    <row r="115" spans="1:18" ht="13.5" customHeight="1" x14ac:dyDescent="0.25">
      <c r="A115" s="71">
        <v>1</v>
      </c>
      <c r="B115" s="277" t="s">
        <v>47</v>
      </c>
      <c r="C115" s="277" t="s">
        <v>62</v>
      </c>
      <c r="D115" s="71"/>
      <c r="E115" s="277" t="s">
        <v>141</v>
      </c>
      <c r="F115" s="286" t="s">
        <v>448</v>
      </c>
      <c r="G115" s="277" t="s">
        <v>142</v>
      </c>
      <c r="H115" s="275">
        <v>7</v>
      </c>
      <c r="I115" s="275">
        <v>1</v>
      </c>
      <c r="J115" s="275">
        <v>1</v>
      </c>
      <c r="K115" s="276">
        <v>1233.4000000000001</v>
      </c>
      <c r="L115" s="276">
        <v>1233.4000000000001</v>
      </c>
      <c r="M115" s="276">
        <v>0</v>
      </c>
      <c r="N115" s="275">
        <v>25</v>
      </c>
      <c r="O115" s="276">
        <v>28051.279999999999</v>
      </c>
      <c r="P115" s="276">
        <v>24659.43</v>
      </c>
      <c r="Q115" s="276">
        <v>3391.85</v>
      </c>
    </row>
    <row r="116" spans="1:18" ht="13.5" customHeight="1" x14ac:dyDescent="0.25">
      <c r="A116" s="71">
        <f>A115+1</f>
        <v>2</v>
      </c>
      <c r="B116" s="277" t="s">
        <v>55</v>
      </c>
      <c r="C116" s="277" t="s">
        <v>62</v>
      </c>
      <c r="D116" s="71"/>
      <c r="E116" s="277" t="s">
        <v>141</v>
      </c>
      <c r="F116" s="286" t="s">
        <v>449</v>
      </c>
      <c r="G116" s="277" t="s">
        <v>142</v>
      </c>
      <c r="H116" s="275">
        <v>8</v>
      </c>
      <c r="I116" s="275">
        <v>3</v>
      </c>
      <c r="J116" s="275">
        <v>3</v>
      </c>
      <c r="K116" s="276">
        <v>2995.4</v>
      </c>
      <c r="L116" s="276">
        <v>2995.4</v>
      </c>
      <c r="M116" s="276">
        <v>0</v>
      </c>
      <c r="N116" s="275">
        <v>13</v>
      </c>
      <c r="O116" s="276">
        <v>26355.3</v>
      </c>
      <c r="P116" s="276">
        <v>21232.1</v>
      </c>
      <c r="Q116" s="276">
        <v>5123.2</v>
      </c>
    </row>
    <row r="117" spans="1:18" ht="12.75" customHeight="1" x14ac:dyDescent="0.25">
      <c r="A117" s="71">
        <f>A116+1</f>
        <v>3</v>
      </c>
      <c r="B117" s="277" t="s">
        <v>122</v>
      </c>
      <c r="C117" s="277" t="s">
        <v>62</v>
      </c>
      <c r="D117" s="71"/>
      <c r="E117" s="277" t="s">
        <v>143</v>
      </c>
      <c r="F117" s="286" t="s">
        <v>450</v>
      </c>
      <c r="G117" s="277" t="s">
        <v>142</v>
      </c>
      <c r="H117" s="275">
        <v>5</v>
      </c>
      <c r="I117" s="275">
        <v>0</v>
      </c>
      <c r="J117" s="275">
        <v>0</v>
      </c>
      <c r="K117" s="276">
        <v>0</v>
      </c>
      <c r="L117" s="276">
        <v>0</v>
      </c>
      <c r="M117" s="276">
        <v>0</v>
      </c>
      <c r="N117" s="275">
        <v>4</v>
      </c>
      <c r="O117" s="276">
        <v>8841.5400000000009</v>
      </c>
      <c r="P117" s="276">
        <v>8841.5400000000009</v>
      </c>
      <c r="Q117" s="276">
        <v>0</v>
      </c>
    </row>
    <row r="118" spans="1:18" ht="13.5" customHeight="1" x14ac:dyDescent="0.25">
      <c r="A118" s="71">
        <f>A117+1</f>
        <v>4</v>
      </c>
      <c r="B118" s="277" t="s">
        <v>144</v>
      </c>
      <c r="C118" s="277" t="s">
        <v>62</v>
      </c>
      <c r="D118" s="71"/>
      <c r="E118" s="277" t="s">
        <v>141</v>
      </c>
      <c r="F118" s="286" t="s">
        <v>451</v>
      </c>
      <c r="G118" s="277" t="s">
        <v>142</v>
      </c>
      <c r="H118" s="275">
        <v>7</v>
      </c>
      <c r="I118" s="275">
        <v>7</v>
      </c>
      <c r="J118" s="275">
        <v>7</v>
      </c>
      <c r="K118" s="276">
        <v>8121.62</v>
      </c>
      <c r="L118" s="276">
        <v>6096.52</v>
      </c>
      <c r="M118" s="276">
        <v>2025.1</v>
      </c>
      <c r="N118" s="275">
        <v>2</v>
      </c>
      <c r="O118" s="276">
        <v>1938.2</v>
      </c>
      <c r="P118" s="276">
        <v>1938.2</v>
      </c>
      <c r="Q118" s="276">
        <v>0</v>
      </c>
    </row>
    <row r="119" spans="1:18" ht="15.75" customHeight="1" x14ac:dyDescent="0.25">
      <c r="A119" s="71">
        <f>A118+1</f>
        <v>5</v>
      </c>
      <c r="B119" s="277" t="s">
        <v>46</v>
      </c>
      <c r="C119" s="277" t="s">
        <v>62</v>
      </c>
      <c r="D119" s="71"/>
      <c r="E119" s="277" t="s">
        <v>452</v>
      </c>
      <c r="F119" s="286" t="s">
        <v>453</v>
      </c>
      <c r="G119" s="277" t="s">
        <v>142</v>
      </c>
      <c r="H119" s="275">
        <v>0</v>
      </c>
      <c r="I119" s="275">
        <v>0</v>
      </c>
      <c r="J119" s="275">
        <v>0</v>
      </c>
      <c r="K119" s="276">
        <v>0</v>
      </c>
      <c r="L119" s="276">
        <v>0</v>
      </c>
      <c r="M119" s="276">
        <v>0</v>
      </c>
      <c r="N119" s="275">
        <v>0</v>
      </c>
      <c r="O119" s="276">
        <v>0</v>
      </c>
      <c r="P119" s="276">
        <v>0</v>
      </c>
      <c r="Q119" s="276">
        <v>0</v>
      </c>
      <c r="R119" s="306"/>
    </row>
    <row r="120" spans="1:18" ht="15" customHeight="1" x14ac:dyDescent="0.25">
      <c r="A120" s="286">
        <v>6</v>
      </c>
      <c r="B120" s="277" t="s">
        <v>133</v>
      </c>
      <c r="C120" s="277" t="s">
        <v>67</v>
      </c>
      <c r="D120" s="277" t="s">
        <v>397</v>
      </c>
      <c r="E120" s="277" t="s">
        <v>74</v>
      </c>
      <c r="F120" s="286" t="s">
        <v>593</v>
      </c>
      <c r="G120" s="277" t="s">
        <v>142</v>
      </c>
      <c r="H120" s="275">
        <v>0</v>
      </c>
      <c r="I120" s="287">
        <v>0</v>
      </c>
      <c r="J120" s="287">
        <v>0</v>
      </c>
      <c r="K120" s="288">
        <v>0</v>
      </c>
      <c r="L120" s="288">
        <v>0</v>
      </c>
      <c r="M120" s="288">
        <v>0</v>
      </c>
      <c r="N120" s="275">
        <v>0</v>
      </c>
      <c r="O120" s="276">
        <v>0</v>
      </c>
      <c r="P120" s="276">
        <v>0</v>
      </c>
      <c r="Q120" s="276">
        <v>0</v>
      </c>
      <c r="R120" s="306"/>
    </row>
    <row r="121" spans="1:18" ht="15" customHeight="1" x14ac:dyDescent="0.25">
      <c r="A121" s="286">
        <v>7</v>
      </c>
      <c r="B121" s="277" t="s">
        <v>176</v>
      </c>
      <c r="C121" s="277" t="s">
        <v>62</v>
      </c>
      <c r="D121" s="286"/>
      <c r="E121" s="277" t="s">
        <v>141</v>
      </c>
      <c r="F121" s="286" t="s">
        <v>455</v>
      </c>
      <c r="G121" s="277" t="s">
        <v>142</v>
      </c>
      <c r="H121" s="275">
        <v>11</v>
      </c>
      <c r="I121" s="275">
        <v>7</v>
      </c>
      <c r="J121" s="275">
        <v>7</v>
      </c>
      <c r="K121" s="276">
        <v>8598.56</v>
      </c>
      <c r="L121" s="276">
        <v>8598.56</v>
      </c>
      <c r="M121" s="276">
        <v>0</v>
      </c>
      <c r="N121" s="275">
        <v>0</v>
      </c>
      <c r="O121" s="276">
        <v>0</v>
      </c>
      <c r="P121" s="276">
        <v>0</v>
      </c>
      <c r="Q121" s="276">
        <v>0</v>
      </c>
      <c r="R121" s="306"/>
    </row>
    <row r="122" spans="1:18" ht="15" customHeight="1" x14ac:dyDescent="0.25">
      <c r="A122" s="286">
        <v>8</v>
      </c>
      <c r="B122" s="277" t="s">
        <v>235</v>
      </c>
      <c r="C122" s="277" t="s">
        <v>62</v>
      </c>
      <c r="D122" s="286"/>
      <c r="E122" s="277" t="s">
        <v>456</v>
      </c>
      <c r="F122" s="286" t="s">
        <v>457</v>
      </c>
      <c r="G122" s="277" t="s">
        <v>142</v>
      </c>
      <c r="H122" s="287">
        <v>3</v>
      </c>
      <c r="I122" s="287">
        <v>3</v>
      </c>
      <c r="J122" s="287">
        <v>3</v>
      </c>
      <c r="K122" s="288">
        <v>2269.65</v>
      </c>
      <c r="L122" s="288">
        <v>0</v>
      </c>
      <c r="M122" s="288">
        <v>2269.65</v>
      </c>
      <c r="N122" s="275">
        <v>0</v>
      </c>
      <c r="O122" s="276">
        <v>0</v>
      </c>
      <c r="P122" s="276">
        <v>0</v>
      </c>
      <c r="Q122" s="276">
        <v>0</v>
      </c>
      <c r="R122" s="306"/>
    </row>
    <row r="123" spans="1:18" ht="12.75" customHeight="1" x14ac:dyDescent="0.25">
      <c r="A123" s="286">
        <v>9</v>
      </c>
      <c r="B123" s="277" t="s">
        <v>251</v>
      </c>
      <c r="C123" s="277" t="s">
        <v>62</v>
      </c>
      <c r="D123" s="286"/>
      <c r="E123" s="277" t="s">
        <v>141</v>
      </c>
      <c r="F123" s="286" t="s">
        <v>458</v>
      </c>
      <c r="G123" s="277" t="s">
        <v>142</v>
      </c>
      <c r="H123" s="275">
        <v>5</v>
      </c>
      <c r="I123" s="275">
        <v>2</v>
      </c>
      <c r="J123" s="275">
        <v>2</v>
      </c>
      <c r="K123" s="276">
        <v>1409.6</v>
      </c>
      <c r="L123" s="276">
        <v>1409.6</v>
      </c>
      <c r="M123" s="276">
        <v>0</v>
      </c>
      <c r="N123" s="275">
        <v>0</v>
      </c>
      <c r="O123" s="276">
        <v>0</v>
      </c>
      <c r="P123" s="276">
        <v>0</v>
      </c>
      <c r="Q123" s="276">
        <v>0</v>
      </c>
      <c r="R123" s="306"/>
    </row>
    <row r="124" spans="1:18" ht="15" customHeight="1" x14ac:dyDescent="0.25">
      <c r="A124" s="286">
        <v>10</v>
      </c>
      <c r="B124" s="277" t="s">
        <v>30</v>
      </c>
      <c r="C124" s="277" t="s">
        <v>62</v>
      </c>
      <c r="D124" s="286"/>
      <c r="E124" s="277" t="s">
        <v>459</v>
      </c>
      <c r="F124" s="286" t="s">
        <v>460</v>
      </c>
      <c r="G124" s="277" t="s">
        <v>142</v>
      </c>
      <c r="H124" s="275">
        <v>1</v>
      </c>
      <c r="I124" s="275">
        <v>0</v>
      </c>
      <c r="J124" s="275">
        <v>0</v>
      </c>
      <c r="K124" s="276">
        <v>0</v>
      </c>
      <c r="L124" s="276">
        <v>0</v>
      </c>
      <c r="M124" s="276">
        <v>0</v>
      </c>
      <c r="N124" s="275">
        <v>0</v>
      </c>
      <c r="O124" s="276">
        <v>0</v>
      </c>
      <c r="P124" s="276">
        <v>0</v>
      </c>
      <c r="Q124" s="276">
        <v>0</v>
      </c>
      <c r="R124" s="306"/>
    </row>
    <row r="125" spans="1:18" ht="15" customHeight="1" x14ac:dyDescent="0.25">
      <c r="A125" s="286">
        <v>11</v>
      </c>
      <c r="B125" s="277" t="s">
        <v>35</v>
      </c>
      <c r="C125" s="277" t="s">
        <v>62</v>
      </c>
      <c r="D125" s="286"/>
      <c r="E125" s="277" t="s">
        <v>461</v>
      </c>
      <c r="F125" s="286" t="s">
        <v>462</v>
      </c>
      <c r="G125" s="277" t="s">
        <v>142</v>
      </c>
      <c r="H125" s="275">
        <v>1</v>
      </c>
      <c r="I125" s="275">
        <v>0</v>
      </c>
      <c r="J125" s="275">
        <v>0</v>
      </c>
      <c r="K125" s="276">
        <v>0</v>
      </c>
      <c r="L125" s="276">
        <v>0</v>
      </c>
      <c r="M125" s="276">
        <v>0</v>
      </c>
      <c r="N125" s="275">
        <v>0</v>
      </c>
      <c r="O125" s="276">
        <v>0</v>
      </c>
      <c r="P125" s="276">
        <v>0</v>
      </c>
      <c r="Q125" s="276">
        <v>0</v>
      </c>
      <c r="R125" s="306"/>
    </row>
    <row r="126" spans="1:18" x14ac:dyDescent="0.25">
      <c r="A126" s="202">
        <v>1</v>
      </c>
      <c r="B126" s="81" t="s">
        <v>19</v>
      </c>
      <c r="C126" s="81" t="s">
        <v>62</v>
      </c>
      <c r="D126" s="82"/>
      <c r="E126" s="81" t="s">
        <v>71</v>
      </c>
      <c r="F126" s="81" t="s">
        <v>394</v>
      </c>
      <c r="G126" s="82" t="s">
        <v>395</v>
      </c>
      <c r="H126" s="48">
        <v>1</v>
      </c>
      <c r="I126" s="289">
        <v>0</v>
      </c>
      <c r="J126" s="290">
        <v>0</v>
      </c>
      <c r="K126" s="28">
        <v>0</v>
      </c>
      <c r="L126" s="28">
        <v>0</v>
      </c>
      <c r="M126" s="28">
        <v>0</v>
      </c>
      <c r="N126" s="291">
        <v>0</v>
      </c>
      <c r="O126" s="292">
        <v>0</v>
      </c>
      <c r="P126" s="199">
        <v>0</v>
      </c>
      <c r="Q126" s="248">
        <f t="shared" ref="Q126:Q133" si="6">O126-P126</f>
        <v>0</v>
      </c>
      <c r="R126" s="6"/>
    </row>
    <row r="127" spans="1:18" ht="51" x14ac:dyDescent="0.25">
      <c r="A127" s="69">
        <f>A126+1</f>
        <v>2</v>
      </c>
      <c r="B127" s="81" t="s">
        <v>90</v>
      </c>
      <c r="C127" s="81" t="s">
        <v>62</v>
      </c>
      <c r="D127" s="81" t="s">
        <v>63</v>
      </c>
      <c r="E127" s="81" t="s">
        <v>205</v>
      </c>
      <c r="F127" s="81" t="s">
        <v>396</v>
      </c>
      <c r="G127" s="91" t="s">
        <v>395</v>
      </c>
      <c r="H127" s="27">
        <v>0</v>
      </c>
      <c r="I127" s="27">
        <v>9</v>
      </c>
      <c r="J127" s="27">
        <v>9</v>
      </c>
      <c r="K127" s="28">
        <v>7400.4</v>
      </c>
      <c r="L127" s="28">
        <v>5814.6</v>
      </c>
      <c r="M127" s="28">
        <f t="shared" ref="M127:M133" si="7">K127-L127</f>
        <v>1585.7999999999993</v>
      </c>
      <c r="N127" s="27">
        <v>20</v>
      </c>
      <c r="O127" s="28">
        <v>23170.3</v>
      </c>
      <c r="P127" s="87">
        <v>23170.3</v>
      </c>
      <c r="Q127" s="248">
        <f t="shared" si="6"/>
        <v>0</v>
      </c>
      <c r="R127" s="6"/>
    </row>
    <row r="128" spans="1:18" x14ac:dyDescent="0.25">
      <c r="A128" s="69">
        <f>A127+1</f>
        <v>3</v>
      </c>
      <c r="B128" s="82" t="s">
        <v>133</v>
      </c>
      <c r="C128" s="82" t="s">
        <v>67</v>
      </c>
      <c r="D128" s="82" t="s">
        <v>397</v>
      </c>
      <c r="E128" s="82" t="s">
        <v>74</v>
      </c>
      <c r="F128" s="81" t="s">
        <v>398</v>
      </c>
      <c r="G128" s="91" t="s">
        <v>395</v>
      </c>
      <c r="H128" s="27">
        <v>9</v>
      </c>
      <c r="I128" s="27">
        <v>1</v>
      </c>
      <c r="J128" s="27">
        <v>1</v>
      </c>
      <c r="K128" s="28">
        <v>1057.2</v>
      </c>
      <c r="L128" s="28">
        <v>0</v>
      </c>
      <c r="M128" s="28">
        <f t="shared" si="7"/>
        <v>1057.2</v>
      </c>
      <c r="N128" s="27">
        <v>8</v>
      </c>
      <c r="O128" s="28">
        <v>11920.73</v>
      </c>
      <c r="P128" s="87">
        <v>7630.79</v>
      </c>
      <c r="Q128" s="248">
        <f t="shared" si="6"/>
        <v>4289.9399999999996</v>
      </c>
      <c r="R128" s="6"/>
    </row>
    <row r="129" spans="1:18" ht="25.5" x14ac:dyDescent="0.25">
      <c r="A129" s="69">
        <v>4</v>
      </c>
      <c r="B129" s="81" t="s">
        <v>399</v>
      </c>
      <c r="C129" s="81" t="s">
        <v>62</v>
      </c>
      <c r="D129" s="81"/>
      <c r="E129" s="81" t="s">
        <v>400</v>
      </c>
      <c r="F129" s="81" t="s">
        <v>401</v>
      </c>
      <c r="G129" s="91" t="s">
        <v>395</v>
      </c>
      <c r="H129" s="27">
        <v>23</v>
      </c>
      <c r="I129" s="27">
        <v>5</v>
      </c>
      <c r="J129" s="27">
        <v>5</v>
      </c>
      <c r="K129" s="28">
        <v>1762</v>
      </c>
      <c r="L129" s="28">
        <v>1762</v>
      </c>
      <c r="M129" s="28">
        <f t="shared" si="7"/>
        <v>0</v>
      </c>
      <c r="N129" s="27">
        <v>0</v>
      </c>
      <c r="O129" s="28">
        <v>0</v>
      </c>
      <c r="P129" s="87">
        <v>0</v>
      </c>
      <c r="Q129" s="248">
        <f t="shared" si="6"/>
        <v>0</v>
      </c>
      <c r="R129" s="6"/>
    </row>
    <row r="130" spans="1:18" x14ac:dyDescent="0.25">
      <c r="A130" s="69">
        <v>5</v>
      </c>
      <c r="B130" s="81" t="s">
        <v>402</v>
      </c>
      <c r="C130" s="81" t="s">
        <v>62</v>
      </c>
      <c r="D130" s="81"/>
      <c r="E130" s="82" t="s">
        <v>74</v>
      </c>
      <c r="F130" s="81" t="s">
        <v>403</v>
      </c>
      <c r="G130" s="91" t="s">
        <v>395</v>
      </c>
      <c r="H130" s="27">
        <v>2</v>
      </c>
      <c r="I130" s="27">
        <v>2</v>
      </c>
      <c r="J130" s="27">
        <v>2</v>
      </c>
      <c r="K130" s="28">
        <v>0</v>
      </c>
      <c r="L130" s="28">
        <v>0</v>
      </c>
      <c r="M130" s="28">
        <f t="shared" si="7"/>
        <v>0</v>
      </c>
      <c r="N130" s="27">
        <v>0</v>
      </c>
      <c r="O130" s="28">
        <v>0</v>
      </c>
      <c r="P130" s="87">
        <v>0</v>
      </c>
      <c r="Q130" s="248">
        <f t="shared" si="6"/>
        <v>0</v>
      </c>
      <c r="R130" s="6"/>
    </row>
    <row r="131" spans="1:18" ht="25.5" x14ac:dyDescent="0.25">
      <c r="A131" s="69">
        <v>6</v>
      </c>
      <c r="B131" s="81" t="s">
        <v>48</v>
      </c>
      <c r="C131" s="81" t="s">
        <v>62</v>
      </c>
      <c r="D131" s="81"/>
      <c r="E131" s="81" t="s">
        <v>81</v>
      </c>
      <c r="F131" s="81" t="s">
        <v>404</v>
      </c>
      <c r="G131" s="91" t="s">
        <v>395</v>
      </c>
      <c r="H131" s="27">
        <v>22</v>
      </c>
      <c r="I131" s="27">
        <v>4</v>
      </c>
      <c r="J131" s="27">
        <v>4</v>
      </c>
      <c r="K131" s="28">
        <v>528.6</v>
      </c>
      <c r="L131" s="28">
        <v>528.6</v>
      </c>
      <c r="M131" s="28">
        <f t="shared" si="7"/>
        <v>0</v>
      </c>
      <c r="N131" s="27">
        <v>15</v>
      </c>
      <c r="O131" s="28">
        <v>13919.8</v>
      </c>
      <c r="P131" s="87">
        <v>9609.61</v>
      </c>
      <c r="Q131" s="248">
        <f t="shared" si="6"/>
        <v>4310.1899999999987</v>
      </c>
      <c r="R131" s="6"/>
    </row>
    <row r="132" spans="1:18" x14ac:dyDescent="0.25">
      <c r="A132" s="69">
        <v>7</v>
      </c>
      <c r="B132" s="81" t="s">
        <v>39</v>
      </c>
      <c r="C132" s="81" t="s">
        <v>62</v>
      </c>
      <c r="D132" s="81"/>
      <c r="E132" s="81" t="s">
        <v>77</v>
      </c>
      <c r="F132" s="81" t="s">
        <v>405</v>
      </c>
      <c r="G132" s="91" t="s">
        <v>395</v>
      </c>
      <c r="H132" s="27">
        <v>28</v>
      </c>
      <c r="I132" s="27">
        <v>0</v>
      </c>
      <c r="J132" s="27">
        <v>0</v>
      </c>
      <c r="K132" s="28">
        <v>0</v>
      </c>
      <c r="L132" s="28">
        <v>0</v>
      </c>
      <c r="M132" s="28">
        <f t="shared" si="7"/>
        <v>0</v>
      </c>
      <c r="N132" s="27">
        <v>12</v>
      </c>
      <c r="O132" s="28">
        <v>15858</v>
      </c>
      <c r="P132" s="87">
        <v>13919.8</v>
      </c>
      <c r="Q132" s="248">
        <f t="shared" si="6"/>
        <v>1938.2000000000007</v>
      </c>
      <c r="R132" s="6"/>
    </row>
    <row r="133" spans="1:18" x14ac:dyDescent="0.25">
      <c r="A133" s="69">
        <v>8</v>
      </c>
      <c r="B133" s="1" t="s">
        <v>127</v>
      </c>
      <c r="C133" s="81" t="s">
        <v>62</v>
      </c>
      <c r="D133" s="1"/>
      <c r="E133" s="82" t="s">
        <v>74</v>
      </c>
      <c r="F133" s="1" t="s">
        <v>406</v>
      </c>
      <c r="G133" s="91" t="s">
        <v>395</v>
      </c>
      <c r="H133" s="27">
        <v>0</v>
      </c>
      <c r="I133" s="27">
        <v>0</v>
      </c>
      <c r="J133" s="27">
        <v>0</v>
      </c>
      <c r="K133" s="28">
        <v>0</v>
      </c>
      <c r="L133" s="28">
        <v>0</v>
      </c>
      <c r="M133" s="28">
        <f t="shared" si="7"/>
        <v>0</v>
      </c>
      <c r="N133" s="27">
        <v>1</v>
      </c>
      <c r="O133" s="28">
        <v>264.3</v>
      </c>
      <c r="P133" s="87">
        <v>264.3</v>
      </c>
      <c r="Q133" s="248">
        <f t="shared" si="6"/>
        <v>0</v>
      </c>
      <c r="R133" s="6"/>
    </row>
    <row r="134" spans="1:18" ht="25.5" x14ac:dyDescent="0.25">
      <c r="A134" s="69">
        <v>9</v>
      </c>
      <c r="B134" s="81" t="s">
        <v>561</v>
      </c>
      <c r="C134" s="81" t="s">
        <v>62</v>
      </c>
      <c r="D134" s="81"/>
      <c r="E134" s="81" t="s">
        <v>81</v>
      </c>
      <c r="F134" s="81" t="s">
        <v>562</v>
      </c>
      <c r="G134" s="91" t="s">
        <v>395</v>
      </c>
      <c r="H134" s="27">
        <v>30</v>
      </c>
      <c r="I134" s="27">
        <v>0</v>
      </c>
      <c r="J134" s="27">
        <v>0</v>
      </c>
      <c r="K134" s="28">
        <v>0</v>
      </c>
      <c r="L134" s="28">
        <v>0</v>
      </c>
      <c r="M134" s="28">
        <v>0</v>
      </c>
      <c r="N134" s="27">
        <v>0</v>
      </c>
      <c r="O134" s="28">
        <v>0</v>
      </c>
      <c r="P134" s="87">
        <v>0</v>
      </c>
      <c r="Q134" s="87">
        <v>0</v>
      </c>
      <c r="R134" s="6"/>
    </row>
    <row r="135" spans="1:18" ht="25.5" x14ac:dyDescent="0.25">
      <c r="A135" s="69">
        <v>10</v>
      </c>
      <c r="B135" s="81" t="s">
        <v>563</v>
      </c>
      <c r="C135" s="81" t="s">
        <v>62</v>
      </c>
      <c r="D135" s="81"/>
      <c r="E135" s="81" t="s">
        <v>81</v>
      </c>
      <c r="F135" s="81" t="s">
        <v>564</v>
      </c>
      <c r="G135" s="91" t="s">
        <v>395</v>
      </c>
      <c r="H135" s="27">
        <v>26</v>
      </c>
      <c r="I135" s="27">
        <v>0</v>
      </c>
      <c r="J135" s="27">
        <v>1</v>
      </c>
      <c r="K135" s="28">
        <v>0</v>
      </c>
      <c r="L135" s="28">
        <v>0</v>
      </c>
      <c r="M135" s="28">
        <v>0</v>
      </c>
      <c r="N135" s="27">
        <v>0</v>
      </c>
      <c r="O135" s="28">
        <v>0</v>
      </c>
      <c r="P135" s="87">
        <v>0</v>
      </c>
      <c r="Q135" s="87">
        <v>0</v>
      </c>
      <c r="R135" s="6"/>
    </row>
    <row r="136" spans="1:18" ht="25.5" x14ac:dyDescent="0.25">
      <c r="A136" s="56">
        <v>1</v>
      </c>
      <c r="B136" s="3" t="s">
        <v>159</v>
      </c>
      <c r="C136" s="3" t="s">
        <v>62</v>
      </c>
      <c r="D136" s="3" t="s">
        <v>63</v>
      </c>
      <c r="E136" s="3" t="s">
        <v>121</v>
      </c>
      <c r="F136" s="3" t="s">
        <v>160</v>
      </c>
      <c r="G136" s="4" t="s">
        <v>85</v>
      </c>
      <c r="H136" s="4">
        <v>3</v>
      </c>
      <c r="I136" s="4">
        <v>3</v>
      </c>
      <c r="J136" s="4">
        <v>3</v>
      </c>
      <c r="K136" s="5">
        <v>0</v>
      </c>
      <c r="L136" s="5">
        <v>0</v>
      </c>
      <c r="M136" s="5">
        <v>0</v>
      </c>
      <c r="N136" s="4">
        <v>8</v>
      </c>
      <c r="O136" s="250">
        <v>27914.92</v>
      </c>
      <c r="P136" s="250">
        <v>27914.92</v>
      </c>
      <c r="Q136" s="5">
        <v>0</v>
      </c>
      <c r="R136" s="6"/>
    </row>
    <row r="137" spans="1:18" x14ac:dyDescent="0.25">
      <c r="A137" s="36">
        <f>A136+1</f>
        <v>2</v>
      </c>
      <c r="B137" s="3" t="s">
        <v>581</v>
      </c>
      <c r="C137" s="3" t="s">
        <v>62</v>
      </c>
      <c r="D137" s="3" t="s">
        <v>63</v>
      </c>
      <c r="E137" s="3" t="s">
        <v>74</v>
      </c>
      <c r="F137" s="3" t="s">
        <v>582</v>
      </c>
      <c r="G137" s="4" t="s">
        <v>85</v>
      </c>
      <c r="H137" s="4">
        <v>0</v>
      </c>
      <c r="I137" s="4">
        <v>0</v>
      </c>
      <c r="J137" s="4">
        <v>0</v>
      </c>
      <c r="K137" s="5">
        <v>0</v>
      </c>
      <c r="L137" s="5">
        <v>0</v>
      </c>
      <c r="M137" s="5">
        <v>0</v>
      </c>
      <c r="N137" s="4">
        <v>2</v>
      </c>
      <c r="O137" s="5">
        <v>0</v>
      </c>
      <c r="P137" s="5">
        <v>0</v>
      </c>
      <c r="Q137" s="5">
        <v>0</v>
      </c>
      <c r="R137" s="6"/>
    </row>
    <row r="138" spans="1:18" ht="25.5" x14ac:dyDescent="0.25">
      <c r="A138" s="36">
        <f t="shared" ref="A138:A201" si="8">A137+1</f>
        <v>3</v>
      </c>
      <c r="B138" s="3" t="s">
        <v>18</v>
      </c>
      <c r="C138" s="3" t="s">
        <v>62</v>
      </c>
      <c r="D138" s="3" t="s">
        <v>63</v>
      </c>
      <c r="E138" s="3" t="s">
        <v>70</v>
      </c>
      <c r="F138" s="3" t="s">
        <v>565</v>
      </c>
      <c r="G138" s="4" t="s">
        <v>85</v>
      </c>
      <c r="H138" s="4">
        <v>4</v>
      </c>
      <c r="I138" s="4">
        <v>0</v>
      </c>
      <c r="J138" s="4">
        <v>0</v>
      </c>
      <c r="K138" s="5">
        <v>0</v>
      </c>
      <c r="L138" s="5">
        <v>0</v>
      </c>
      <c r="M138" s="5">
        <v>0</v>
      </c>
      <c r="N138" s="4">
        <v>1</v>
      </c>
      <c r="O138" s="5">
        <v>1585.8</v>
      </c>
      <c r="P138" s="5">
        <v>0</v>
      </c>
      <c r="Q138" s="5">
        <v>1585.8</v>
      </c>
      <c r="R138" s="6"/>
    </row>
    <row r="139" spans="1:18" x14ac:dyDescent="0.25">
      <c r="A139" s="36">
        <f t="shared" si="8"/>
        <v>4</v>
      </c>
      <c r="B139" s="3" t="s">
        <v>19</v>
      </c>
      <c r="C139" s="3" t="s">
        <v>62</v>
      </c>
      <c r="D139" s="3" t="s">
        <v>63</v>
      </c>
      <c r="E139" s="3" t="s">
        <v>71</v>
      </c>
      <c r="F139" s="3" t="s">
        <v>162</v>
      </c>
      <c r="G139" s="4" t="s">
        <v>85</v>
      </c>
      <c r="H139" s="4">
        <v>89</v>
      </c>
      <c r="I139" s="4">
        <v>73</v>
      </c>
      <c r="J139" s="4">
        <v>92</v>
      </c>
      <c r="K139" s="5">
        <v>70165.41</v>
      </c>
      <c r="L139" s="5">
        <f>48258.25+21907.16</f>
        <v>70165.41</v>
      </c>
      <c r="M139" s="5">
        <v>0</v>
      </c>
      <c r="N139" s="4">
        <v>26</v>
      </c>
      <c r="O139" s="5">
        <v>69975.22</v>
      </c>
      <c r="P139" s="5">
        <f>60549.22+9426</f>
        <v>69975.22</v>
      </c>
      <c r="Q139" s="5">
        <v>0</v>
      </c>
      <c r="R139" s="6"/>
    </row>
    <row r="140" spans="1:18" x14ac:dyDescent="0.25">
      <c r="A140" s="36">
        <f t="shared" si="8"/>
        <v>5</v>
      </c>
      <c r="B140" s="3" t="s">
        <v>86</v>
      </c>
      <c r="C140" s="3" t="s">
        <v>62</v>
      </c>
      <c r="D140" s="3" t="s">
        <v>63</v>
      </c>
      <c r="E140" s="3" t="s">
        <v>74</v>
      </c>
      <c r="F140" s="3" t="s">
        <v>165</v>
      </c>
      <c r="G140" s="4" t="s">
        <v>85</v>
      </c>
      <c r="H140" s="4">
        <v>48</v>
      </c>
      <c r="I140" s="4">
        <v>26</v>
      </c>
      <c r="J140" s="4">
        <v>28</v>
      </c>
      <c r="K140" s="5">
        <f>L140+M140</f>
        <v>20362.900000000001</v>
      </c>
      <c r="L140" s="5">
        <v>20362.900000000001</v>
      </c>
      <c r="M140" s="5">
        <v>0</v>
      </c>
      <c r="N140" s="4">
        <v>18</v>
      </c>
      <c r="O140" s="5">
        <f>P140+Q140</f>
        <v>54240.05</v>
      </c>
      <c r="P140" s="5">
        <f>41124.29+13115.76</f>
        <v>54240.05</v>
      </c>
      <c r="Q140" s="5">
        <v>0</v>
      </c>
      <c r="R140" s="6"/>
    </row>
    <row r="141" spans="1:18" x14ac:dyDescent="0.25">
      <c r="A141" s="36">
        <f t="shared" si="8"/>
        <v>6</v>
      </c>
      <c r="B141" s="3" t="s">
        <v>166</v>
      </c>
      <c r="C141" s="3" t="s">
        <v>62</v>
      </c>
      <c r="D141" s="3"/>
      <c r="E141" s="3" t="s">
        <v>63</v>
      </c>
      <c r="F141" s="3" t="s">
        <v>167</v>
      </c>
      <c r="G141" s="4" t="s">
        <v>85</v>
      </c>
      <c r="H141" s="4">
        <v>14</v>
      </c>
      <c r="I141" s="4">
        <v>11</v>
      </c>
      <c r="J141" s="4">
        <v>11</v>
      </c>
      <c r="K141" s="5">
        <f t="shared" ref="K141:K204" si="9">L141+M141</f>
        <v>7503.35</v>
      </c>
      <c r="L141" s="5">
        <v>7503.35</v>
      </c>
      <c r="M141" s="5">
        <v>0</v>
      </c>
      <c r="N141" s="4">
        <v>0</v>
      </c>
      <c r="O141" s="5">
        <f t="shared" ref="O141:O204" si="10">P141+Q141</f>
        <v>0</v>
      </c>
      <c r="P141" s="5">
        <v>0</v>
      </c>
      <c r="Q141" s="5">
        <v>0</v>
      </c>
      <c r="R141" s="6"/>
    </row>
    <row r="142" spans="1:18" x14ac:dyDescent="0.25">
      <c r="A142" s="36">
        <f t="shared" si="8"/>
        <v>7</v>
      </c>
      <c r="B142" s="3" t="s">
        <v>168</v>
      </c>
      <c r="C142" s="3" t="s">
        <v>62</v>
      </c>
      <c r="D142" s="3"/>
      <c r="E142" s="3" t="s">
        <v>63</v>
      </c>
      <c r="F142" s="3" t="s">
        <v>169</v>
      </c>
      <c r="G142" s="4" t="s">
        <v>85</v>
      </c>
      <c r="H142" s="4">
        <v>27</v>
      </c>
      <c r="I142" s="4">
        <v>24</v>
      </c>
      <c r="J142" s="4">
        <v>27</v>
      </c>
      <c r="K142" s="5">
        <f t="shared" si="9"/>
        <v>13248.439999999999</v>
      </c>
      <c r="L142" s="5">
        <f>3017.04+10231.4</f>
        <v>13248.439999999999</v>
      </c>
      <c r="M142" s="5">
        <v>0</v>
      </c>
      <c r="N142" s="4">
        <v>0</v>
      </c>
      <c r="O142" s="5">
        <f t="shared" si="10"/>
        <v>0</v>
      </c>
      <c r="P142" s="5">
        <v>0</v>
      </c>
      <c r="Q142" s="5">
        <v>0</v>
      </c>
      <c r="R142" s="6"/>
    </row>
    <row r="143" spans="1:18" x14ac:dyDescent="0.25">
      <c r="A143" s="36">
        <f t="shared" si="8"/>
        <v>8</v>
      </c>
      <c r="B143" s="3" t="s">
        <v>21</v>
      </c>
      <c r="C143" s="3" t="s">
        <v>62</v>
      </c>
      <c r="D143" s="3" t="s">
        <v>63</v>
      </c>
      <c r="E143" s="3" t="s">
        <v>73</v>
      </c>
      <c r="F143" s="3" t="s">
        <v>170</v>
      </c>
      <c r="G143" s="4" t="s">
        <v>85</v>
      </c>
      <c r="H143" s="4">
        <v>44</v>
      </c>
      <c r="I143" s="4">
        <v>38</v>
      </c>
      <c r="J143" s="4">
        <v>47</v>
      </c>
      <c r="K143" s="5">
        <f t="shared" si="9"/>
        <v>48661.43</v>
      </c>
      <c r="L143" s="5">
        <f>35579.82+13081.61</f>
        <v>48661.43</v>
      </c>
      <c r="M143" s="5">
        <v>0</v>
      </c>
      <c r="N143" s="4">
        <v>37</v>
      </c>
      <c r="O143" s="5">
        <f t="shared" si="10"/>
        <v>119439.81</v>
      </c>
      <c r="P143" s="5">
        <f>55974.63+63465.18</f>
        <v>119439.81</v>
      </c>
      <c r="Q143" s="5">
        <v>0</v>
      </c>
      <c r="R143" s="6"/>
    </row>
    <row r="144" spans="1:18" x14ac:dyDescent="0.25">
      <c r="A144" s="36">
        <f t="shared" si="8"/>
        <v>9</v>
      </c>
      <c r="B144" s="3" t="s">
        <v>22</v>
      </c>
      <c r="C144" s="3" t="s">
        <v>62</v>
      </c>
      <c r="D144" s="3" t="s">
        <v>63</v>
      </c>
      <c r="E144" s="3" t="s">
        <v>74</v>
      </c>
      <c r="F144" s="3" t="s">
        <v>171</v>
      </c>
      <c r="G144" s="4" t="s">
        <v>85</v>
      </c>
      <c r="H144" s="4">
        <v>32</v>
      </c>
      <c r="I144" s="4">
        <v>25</v>
      </c>
      <c r="J144" s="4">
        <v>32</v>
      </c>
      <c r="K144" s="5">
        <f t="shared" si="9"/>
        <v>44470.8</v>
      </c>
      <c r="L144" s="5">
        <f>31389.19+13081.61</f>
        <v>44470.8</v>
      </c>
      <c r="M144" s="5">
        <v>0</v>
      </c>
      <c r="N144" s="4">
        <v>38</v>
      </c>
      <c r="O144" s="5">
        <f t="shared" si="10"/>
        <v>80958.12</v>
      </c>
      <c r="P144" s="5">
        <f>32673.99+48284.13</f>
        <v>80958.12</v>
      </c>
      <c r="Q144" s="5">
        <v>0</v>
      </c>
      <c r="R144" s="6"/>
    </row>
    <row r="145" spans="1:18" ht="25.5" x14ac:dyDescent="0.25">
      <c r="A145" s="36">
        <f t="shared" si="8"/>
        <v>10</v>
      </c>
      <c r="B145" s="3" t="s">
        <v>20</v>
      </c>
      <c r="C145" s="3" t="s">
        <v>62</v>
      </c>
      <c r="D145" s="3" t="s">
        <v>63</v>
      </c>
      <c r="E145" s="3" t="s">
        <v>72</v>
      </c>
      <c r="F145" s="3" t="s">
        <v>163</v>
      </c>
      <c r="G145" s="4" t="s">
        <v>85</v>
      </c>
      <c r="H145" s="4">
        <v>0</v>
      </c>
      <c r="I145" s="4">
        <v>0</v>
      </c>
      <c r="J145" s="4">
        <v>0</v>
      </c>
      <c r="K145" s="5">
        <f t="shared" si="9"/>
        <v>0</v>
      </c>
      <c r="L145" s="5">
        <v>0</v>
      </c>
      <c r="M145" s="5">
        <v>0</v>
      </c>
      <c r="N145" s="4">
        <v>0</v>
      </c>
      <c r="O145" s="5">
        <f t="shared" si="10"/>
        <v>0</v>
      </c>
      <c r="P145" s="5">
        <v>0</v>
      </c>
      <c r="Q145" s="5">
        <v>0</v>
      </c>
      <c r="R145" s="6"/>
    </row>
    <row r="146" spans="1:18" ht="25.5" x14ac:dyDescent="0.25">
      <c r="A146" s="36">
        <f t="shared" si="8"/>
        <v>11</v>
      </c>
      <c r="B146" s="3" t="s">
        <v>100</v>
      </c>
      <c r="C146" s="3" t="s">
        <v>62</v>
      </c>
      <c r="D146" s="3" t="s">
        <v>63</v>
      </c>
      <c r="E146" s="3" t="s">
        <v>101</v>
      </c>
      <c r="F146" s="3" t="s">
        <v>164</v>
      </c>
      <c r="G146" s="4" t="s">
        <v>85</v>
      </c>
      <c r="H146" s="4">
        <v>15</v>
      </c>
      <c r="I146" s="4">
        <v>13</v>
      </c>
      <c r="J146" s="4">
        <v>17</v>
      </c>
      <c r="K146" s="5">
        <f t="shared" si="9"/>
        <v>4979.45</v>
      </c>
      <c r="L146" s="5">
        <v>4979.45</v>
      </c>
      <c r="M146" s="5">
        <v>0</v>
      </c>
      <c r="N146" s="4">
        <v>12</v>
      </c>
      <c r="O146" s="5">
        <f t="shared" si="10"/>
        <v>55646.879999999997</v>
      </c>
      <c r="P146" s="5">
        <f>14560.86+41086.02</f>
        <v>55646.879999999997</v>
      </c>
      <c r="Q146" s="5">
        <v>0</v>
      </c>
      <c r="R146" s="6"/>
    </row>
    <row r="147" spans="1:18" ht="25.5" x14ac:dyDescent="0.25">
      <c r="A147" s="36">
        <f t="shared" si="8"/>
        <v>12</v>
      </c>
      <c r="B147" s="3" t="s">
        <v>23</v>
      </c>
      <c r="C147" s="3" t="s">
        <v>62</v>
      </c>
      <c r="D147" s="3" t="s">
        <v>63</v>
      </c>
      <c r="E147" s="3" t="s">
        <v>75</v>
      </c>
      <c r="F147" s="3" t="s">
        <v>136</v>
      </c>
      <c r="G147" s="4" t="s">
        <v>85</v>
      </c>
      <c r="H147" s="4">
        <v>2</v>
      </c>
      <c r="I147" s="4">
        <v>0</v>
      </c>
      <c r="J147" s="4">
        <v>0</v>
      </c>
      <c r="K147" s="5">
        <f t="shared" si="9"/>
        <v>0</v>
      </c>
      <c r="L147" s="5">
        <v>0</v>
      </c>
      <c r="M147" s="5">
        <v>0</v>
      </c>
      <c r="N147" s="4">
        <v>0</v>
      </c>
      <c r="O147" s="5">
        <f t="shared" si="10"/>
        <v>0</v>
      </c>
      <c r="P147" s="5">
        <v>0</v>
      </c>
      <c r="Q147" s="5">
        <v>0</v>
      </c>
      <c r="R147" s="6"/>
    </row>
    <row r="148" spans="1:18" x14ac:dyDescent="0.25">
      <c r="A148" s="36">
        <f t="shared" si="8"/>
        <v>13</v>
      </c>
      <c r="B148" s="3" t="s">
        <v>24</v>
      </c>
      <c r="C148" s="3" t="s">
        <v>62</v>
      </c>
      <c r="D148" s="3" t="s">
        <v>63</v>
      </c>
      <c r="E148" s="3" t="s">
        <v>74</v>
      </c>
      <c r="F148" s="3" t="s">
        <v>172</v>
      </c>
      <c r="G148" s="4" t="s">
        <v>85</v>
      </c>
      <c r="H148" s="4">
        <v>33</v>
      </c>
      <c r="I148" s="4">
        <v>24</v>
      </c>
      <c r="J148" s="4">
        <v>32</v>
      </c>
      <c r="K148" s="5">
        <f t="shared" si="9"/>
        <v>25223.690000000002</v>
      </c>
      <c r="L148" s="5">
        <f>13896.45+11327.24</f>
        <v>25223.690000000002</v>
      </c>
      <c r="M148" s="5">
        <v>0</v>
      </c>
      <c r="N148" s="4">
        <v>25</v>
      </c>
      <c r="O148" s="5">
        <f t="shared" si="10"/>
        <v>89876.9</v>
      </c>
      <c r="P148" s="5">
        <f>40694.49+49182.41</f>
        <v>89876.9</v>
      </c>
      <c r="Q148" s="5">
        <v>0</v>
      </c>
      <c r="R148" s="6"/>
    </row>
    <row r="149" spans="1:18" ht="25.5" x14ac:dyDescent="0.25">
      <c r="A149" s="36">
        <f t="shared" si="8"/>
        <v>14</v>
      </c>
      <c r="B149" s="3" t="s">
        <v>102</v>
      </c>
      <c r="C149" s="3" t="s">
        <v>67</v>
      </c>
      <c r="D149" s="3" t="s">
        <v>594</v>
      </c>
      <c r="E149" s="3" t="s">
        <v>74</v>
      </c>
      <c r="F149" s="3" t="s">
        <v>477</v>
      </c>
      <c r="G149" s="4" t="s">
        <v>85</v>
      </c>
      <c r="H149" s="4">
        <v>2</v>
      </c>
      <c r="I149" s="4">
        <v>1</v>
      </c>
      <c r="J149" s="4">
        <v>1</v>
      </c>
      <c r="K149" s="5">
        <f t="shared" si="9"/>
        <v>528.6</v>
      </c>
      <c r="L149" s="5">
        <v>528.6</v>
      </c>
      <c r="M149" s="5">
        <v>0</v>
      </c>
      <c r="N149" s="4">
        <v>4</v>
      </c>
      <c r="O149" s="5">
        <f t="shared" si="10"/>
        <v>9770.18</v>
      </c>
      <c r="P149" s="5">
        <f>5219.82+4550.36</f>
        <v>9770.18</v>
      </c>
      <c r="Q149" s="5">
        <v>0</v>
      </c>
      <c r="R149" s="6"/>
    </row>
    <row r="150" spans="1:18" ht="25.5" x14ac:dyDescent="0.25">
      <c r="A150" s="36">
        <f t="shared" si="8"/>
        <v>15</v>
      </c>
      <c r="B150" s="3" t="s">
        <v>173</v>
      </c>
      <c r="C150" s="3" t="s">
        <v>67</v>
      </c>
      <c r="D150" s="3" t="s">
        <v>478</v>
      </c>
      <c r="E150" s="3" t="s">
        <v>174</v>
      </c>
      <c r="F150" s="3" t="s">
        <v>175</v>
      </c>
      <c r="G150" s="4" t="s">
        <v>85</v>
      </c>
      <c r="H150" s="4">
        <v>23</v>
      </c>
      <c r="I150" s="4">
        <v>16</v>
      </c>
      <c r="J150" s="4">
        <v>16</v>
      </c>
      <c r="K150" s="5">
        <f t="shared" si="9"/>
        <v>7354.87</v>
      </c>
      <c r="L150" s="5">
        <f>5014.49+2340.38</f>
        <v>7354.87</v>
      </c>
      <c r="M150" s="5">
        <v>0</v>
      </c>
      <c r="N150" s="4">
        <v>0</v>
      </c>
      <c r="O150" s="5">
        <f t="shared" si="10"/>
        <v>0</v>
      </c>
      <c r="P150" s="5">
        <v>0</v>
      </c>
      <c r="Q150" s="5">
        <v>0</v>
      </c>
      <c r="R150" s="6"/>
    </row>
    <row r="151" spans="1:18" ht="25.5" x14ac:dyDescent="0.25">
      <c r="A151" s="36">
        <f t="shared" si="8"/>
        <v>16</v>
      </c>
      <c r="B151" s="3" t="s">
        <v>595</v>
      </c>
      <c r="C151" s="3" t="s">
        <v>64</v>
      </c>
      <c r="D151" s="3" t="s">
        <v>596</v>
      </c>
      <c r="E151" s="3" t="s">
        <v>597</v>
      </c>
      <c r="F151" s="3" t="s">
        <v>598</v>
      </c>
      <c r="G151" s="4" t="s">
        <v>85</v>
      </c>
      <c r="H151" s="4">
        <v>1</v>
      </c>
      <c r="I151" s="4">
        <v>1</v>
      </c>
      <c r="J151" s="4">
        <v>1</v>
      </c>
      <c r="K151" s="5">
        <f t="shared" si="9"/>
        <v>0</v>
      </c>
      <c r="L151" s="5">
        <v>0</v>
      </c>
      <c r="M151" s="5">
        <v>0</v>
      </c>
      <c r="N151" s="4">
        <v>0</v>
      </c>
      <c r="O151" s="5">
        <f t="shared" si="10"/>
        <v>0</v>
      </c>
      <c r="P151" s="5">
        <v>0</v>
      </c>
      <c r="Q151" s="5">
        <v>0</v>
      </c>
      <c r="R151" s="6"/>
    </row>
    <row r="152" spans="1:18" ht="25.5" x14ac:dyDescent="0.25">
      <c r="A152" s="36">
        <f t="shared" si="8"/>
        <v>17</v>
      </c>
      <c r="B152" s="3" t="s">
        <v>25</v>
      </c>
      <c r="C152" s="3" t="s">
        <v>62</v>
      </c>
      <c r="D152" s="3" t="s">
        <v>63</v>
      </c>
      <c r="E152" s="3" t="s">
        <v>76</v>
      </c>
      <c r="F152" s="3" t="s">
        <v>584</v>
      </c>
      <c r="G152" s="4" t="s">
        <v>85</v>
      </c>
      <c r="H152" s="4">
        <v>42</v>
      </c>
      <c r="I152" s="4">
        <v>0</v>
      </c>
      <c r="J152" s="4">
        <v>0</v>
      </c>
      <c r="K152" s="5">
        <f t="shared" si="9"/>
        <v>0</v>
      </c>
      <c r="L152" s="5">
        <v>0</v>
      </c>
      <c r="M152" s="5">
        <v>0</v>
      </c>
      <c r="N152" s="4">
        <v>0</v>
      </c>
      <c r="O152" s="5">
        <f t="shared" si="10"/>
        <v>0</v>
      </c>
      <c r="P152" s="5">
        <v>0</v>
      </c>
      <c r="Q152" s="5">
        <v>0</v>
      </c>
      <c r="R152" s="6"/>
    </row>
    <row r="153" spans="1:18" ht="25.5" x14ac:dyDescent="0.25">
      <c r="A153" s="36">
        <f t="shared" si="8"/>
        <v>18</v>
      </c>
      <c r="B153" s="3" t="s">
        <v>600</v>
      </c>
      <c r="C153" s="3" t="s">
        <v>62</v>
      </c>
      <c r="D153" s="3" t="s">
        <v>63</v>
      </c>
      <c r="E153" s="3" t="s">
        <v>75</v>
      </c>
      <c r="F153" s="3" t="s">
        <v>103</v>
      </c>
      <c r="G153" s="4" t="s">
        <v>85</v>
      </c>
      <c r="H153" s="4">
        <v>0</v>
      </c>
      <c r="I153" s="4">
        <v>0</v>
      </c>
      <c r="J153" s="4">
        <v>0</v>
      </c>
      <c r="K153" s="5">
        <f t="shared" si="9"/>
        <v>0</v>
      </c>
      <c r="L153" s="5">
        <v>0</v>
      </c>
      <c r="M153" s="5">
        <v>0</v>
      </c>
      <c r="N153" s="4">
        <v>15</v>
      </c>
      <c r="O153" s="5">
        <f t="shared" si="10"/>
        <v>62481.86</v>
      </c>
      <c r="P153" s="5">
        <f>11308.01+51173.85</f>
        <v>62481.86</v>
      </c>
      <c r="Q153" s="5">
        <v>0</v>
      </c>
      <c r="R153" s="6"/>
    </row>
    <row r="154" spans="1:18" ht="25.5" x14ac:dyDescent="0.25">
      <c r="A154" s="36">
        <f t="shared" si="8"/>
        <v>19</v>
      </c>
      <c r="B154" s="3" t="s">
        <v>479</v>
      </c>
      <c r="C154" s="3" t="s">
        <v>67</v>
      </c>
      <c r="D154" s="3" t="s">
        <v>480</v>
      </c>
      <c r="E154" s="3" t="s">
        <v>271</v>
      </c>
      <c r="F154" s="3" t="s">
        <v>481</v>
      </c>
      <c r="G154" s="4" t="s">
        <v>85</v>
      </c>
      <c r="H154" s="4">
        <v>12</v>
      </c>
      <c r="I154" s="4">
        <v>5</v>
      </c>
      <c r="J154" s="4">
        <v>5</v>
      </c>
      <c r="K154" s="5">
        <f t="shared" si="9"/>
        <v>1902.96</v>
      </c>
      <c r="L154" s="5">
        <v>1902.96</v>
      </c>
      <c r="M154" s="5">
        <v>0</v>
      </c>
      <c r="N154" s="4">
        <v>0</v>
      </c>
      <c r="O154" s="5">
        <f t="shared" si="10"/>
        <v>0</v>
      </c>
      <c r="P154" s="5">
        <v>0</v>
      </c>
      <c r="Q154" s="5">
        <v>0</v>
      </c>
      <c r="R154" s="6"/>
    </row>
    <row r="155" spans="1:18" ht="25.5" x14ac:dyDescent="0.25">
      <c r="A155" s="36">
        <f t="shared" si="8"/>
        <v>20</v>
      </c>
      <c r="B155" s="3" t="s">
        <v>176</v>
      </c>
      <c r="C155" s="3" t="s">
        <v>62</v>
      </c>
      <c r="D155" s="3"/>
      <c r="E155" s="3" t="s">
        <v>177</v>
      </c>
      <c r="F155" s="3" t="s">
        <v>178</v>
      </c>
      <c r="G155" s="4" t="s">
        <v>85</v>
      </c>
      <c r="H155" s="4">
        <v>14</v>
      </c>
      <c r="I155" s="4">
        <v>8</v>
      </c>
      <c r="J155" s="4">
        <v>9</v>
      </c>
      <c r="K155" s="5">
        <f t="shared" si="9"/>
        <v>5567.92</v>
      </c>
      <c r="L155" s="5">
        <v>5567.92</v>
      </c>
      <c r="M155" s="5">
        <v>0</v>
      </c>
      <c r="N155" s="4">
        <v>0</v>
      </c>
      <c r="O155" s="5">
        <f t="shared" si="10"/>
        <v>0</v>
      </c>
      <c r="P155" s="5">
        <v>0</v>
      </c>
      <c r="Q155" s="5">
        <v>0</v>
      </c>
      <c r="R155" s="6"/>
    </row>
    <row r="156" spans="1:18" x14ac:dyDescent="0.25">
      <c r="A156" s="36">
        <f t="shared" si="8"/>
        <v>21</v>
      </c>
      <c r="B156" s="3" t="s">
        <v>152</v>
      </c>
      <c r="C156" s="3" t="s">
        <v>62</v>
      </c>
      <c r="D156" s="3" t="s">
        <v>63</v>
      </c>
      <c r="E156" s="3" t="s">
        <v>63</v>
      </c>
      <c r="F156" s="3" t="s">
        <v>179</v>
      </c>
      <c r="G156" s="4" t="s">
        <v>85</v>
      </c>
      <c r="H156" s="4">
        <v>26</v>
      </c>
      <c r="I156" s="4">
        <v>13</v>
      </c>
      <c r="J156" s="4">
        <v>15</v>
      </c>
      <c r="K156" s="5">
        <f t="shared" si="9"/>
        <v>4090.74</v>
      </c>
      <c r="L156" s="5">
        <f>3385.94+704.8</f>
        <v>4090.74</v>
      </c>
      <c r="M156" s="5">
        <v>0</v>
      </c>
      <c r="N156" s="4">
        <v>15</v>
      </c>
      <c r="O156" s="5">
        <f t="shared" si="10"/>
        <v>15411.12</v>
      </c>
      <c r="P156" s="5">
        <f>10033.95+5377.17</f>
        <v>15411.12</v>
      </c>
      <c r="Q156" s="5">
        <v>0</v>
      </c>
      <c r="R156" s="6"/>
    </row>
    <row r="157" spans="1:18" x14ac:dyDescent="0.25">
      <c r="A157" s="36">
        <f t="shared" si="8"/>
        <v>22</v>
      </c>
      <c r="B157" s="3" t="s">
        <v>88</v>
      </c>
      <c r="C157" s="3" t="s">
        <v>62</v>
      </c>
      <c r="D157" s="3" t="s">
        <v>63</v>
      </c>
      <c r="E157" s="3" t="s">
        <v>74</v>
      </c>
      <c r="F157" s="3" t="s">
        <v>180</v>
      </c>
      <c r="G157" s="4" t="s">
        <v>85</v>
      </c>
      <c r="H157" s="4">
        <v>9</v>
      </c>
      <c r="I157" s="4">
        <v>2</v>
      </c>
      <c r="J157" s="4">
        <v>2</v>
      </c>
      <c r="K157" s="5">
        <f t="shared" si="9"/>
        <v>2706.43</v>
      </c>
      <c r="L157" s="5">
        <v>2706.43</v>
      </c>
      <c r="M157" s="5">
        <v>0</v>
      </c>
      <c r="N157" s="4">
        <v>2</v>
      </c>
      <c r="O157" s="5">
        <f t="shared" si="10"/>
        <v>22884.989999999998</v>
      </c>
      <c r="P157" s="5">
        <f>2692.05+20192.94</f>
        <v>22884.989999999998</v>
      </c>
      <c r="Q157" s="5">
        <v>0</v>
      </c>
      <c r="R157" s="6"/>
    </row>
    <row r="158" spans="1:18" x14ac:dyDescent="0.25">
      <c r="A158" s="36">
        <f t="shared" si="8"/>
        <v>23</v>
      </c>
      <c r="B158" s="3" t="s">
        <v>26</v>
      </c>
      <c r="C158" s="3" t="s">
        <v>62</v>
      </c>
      <c r="D158" s="3" t="s">
        <v>63</v>
      </c>
      <c r="E158" s="3" t="s">
        <v>74</v>
      </c>
      <c r="F158" s="3" t="s">
        <v>181</v>
      </c>
      <c r="G158" s="4" t="s">
        <v>85</v>
      </c>
      <c r="H158" s="4">
        <v>26</v>
      </c>
      <c r="I158" s="4">
        <v>22</v>
      </c>
      <c r="J158" s="4">
        <v>31</v>
      </c>
      <c r="K158" s="5">
        <f t="shared" si="9"/>
        <v>51716.020000000004</v>
      </c>
      <c r="L158" s="5">
        <f>31624.46+20091.56</f>
        <v>51716.020000000004</v>
      </c>
      <c r="M158" s="5">
        <v>0</v>
      </c>
      <c r="N158" s="4">
        <v>12</v>
      </c>
      <c r="O158" s="5">
        <f t="shared" si="10"/>
        <v>23585.530000000002</v>
      </c>
      <c r="P158" s="5">
        <f>18637.83+4947.7</f>
        <v>23585.530000000002</v>
      </c>
      <c r="Q158" s="5">
        <v>0</v>
      </c>
      <c r="R158" s="6"/>
    </row>
    <row r="159" spans="1:18" ht="25.5" x14ac:dyDescent="0.25">
      <c r="A159" s="36">
        <f t="shared" si="8"/>
        <v>24</v>
      </c>
      <c r="B159" s="3" t="s">
        <v>182</v>
      </c>
      <c r="C159" s="3" t="s">
        <v>62</v>
      </c>
      <c r="D159" s="3"/>
      <c r="E159" s="3" t="s">
        <v>174</v>
      </c>
      <c r="F159" s="3" t="s">
        <v>183</v>
      </c>
      <c r="G159" s="4" t="s">
        <v>85</v>
      </c>
      <c r="H159" s="4">
        <v>34</v>
      </c>
      <c r="I159" s="4">
        <v>23</v>
      </c>
      <c r="J159" s="4">
        <v>28</v>
      </c>
      <c r="K159" s="5">
        <f t="shared" si="9"/>
        <v>18424.240000000002</v>
      </c>
      <c r="L159" s="5">
        <f>17543.24+881</f>
        <v>18424.240000000002</v>
      </c>
      <c r="M159" s="5">
        <v>0</v>
      </c>
      <c r="N159" s="4">
        <v>0</v>
      </c>
      <c r="O159" s="5">
        <f t="shared" si="10"/>
        <v>0</v>
      </c>
      <c r="P159" s="5">
        <v>0</v>
      </c>
      <c r="Q159" s="5">
        <v>0</v>
      </c>
      <c r="R159" s="6"/>
    </row>
    <row r="160" spans="1:18" ht="25.5" x14ac:dyDescent="0.25">
      <c r="A160" s="36">
        <f t="shared" si="8"/>
        <v>25</v>
      </c>
      <c r="B160" s="3" t="s">
        <v>137</v>
      </c>
      <c r="C160" s="3" t="s">
        <v>62</v>
      </c>
      <c r="D160" s="3" t="s">
        <v>63</v>
      </c>
      <c r="E160" s="3" t="s">
        <v>78</v>
      </c>
      <c r="F160" s="3" t="s">
        <v>184</v>
      </c>
      <c r="G160" s="4" t="s">
        <v>85</v>
      </c>
      <c r="H160" s="4">
        <v>9</v>
      </c>
      <c r="I160" s="4">
        <v>4</v>
      </c>
      <c r="J160" s="4">
        <v>4</v>
      </c>
      <c r="K160" s="5">
        <f t="shared" si="9"/>
        <v>2678.24</v>
      </c>
      <c r="L160" s="5">
        <v>2678.24</v>
      </c>
      <c r="M160" s="5">
        <v>0</v>
      </c>
      <c r="N160" s="4">
        <v>4</v>
      </c>
      <c r="O160" s="5">
        <f t="shared" si="10"/>
        <v>9148.83</v>
      </c>
      <c r="P160" s="5">
        <f>6101.8+3047.03</f>
        <v>9148.83</v>
      </c>
      <c r="Q160" s="5">
        <v>0</v>
      </c>
      <c r="R160" s="6"/>
    </row>
    <row r="161" spans="1:18" ht="25.5" x14ac:dyDescent="0.25">
      <c r="A161" s="36">
        <f t="shared" si="8"/>
        <v>26</v>
      </c>
      <c r="B161" s="3" t="s">
        <v>185</v>
      </c>
      <c r="C161" s="3" t="s">
        <v>62</v>
      </c>
      <c r="D161" s="3"/>
      <c r="E161" s="3" t="s">
        <v>186</v>
      </c>
      <c r="F161" s="3" t="s">
        <v>463</v>
      </c>
      <c r="G161" s="4" t="s">
        <v>85</v>
      </c>
      <c r="H161" s="4">
        <v>11</v>
      </c>
      <c r="I161" s="4">
        <v>6</v>
      </c>
      <c r="J161" s="4">
        <v>7</v>
      </c>
      <c r="K161" s="5">
        <f t="shared" si="9"/>
        <v>0</v>
      </c>
      <c r="L161" s="5">
        <v>0</v>
      </c>
      <c r="M161" s="5">
        <v>0</v>
      </c>
      <c r="N161" s="4">
        <v>0</v>
      </c>
      <c r="O161" s="5">
        <f t="shared" si="10"/>
        <v>0</v>
      </c>
      <c r="P161" s="5">
        <v>0</v>
      </c>
      <c r="Q161" s="5">
        <v>0</v>
      </c>
      <c r="R161" s="6"/>
    </row>
    <row r="162" spans="1:18" x14ac:dyDescent="0.25">
      <c r="A162" s="36">
        <f t="shared" si="8"/>
        <v>27</v>
      </c>
      <c r="B162" s="3" t="s">
        <v>27</v>
      </c>
      <c r="C162" s="3" t="s">
        <v>62</v>
      </c>
      <c r="D162" s="3" t="s">
        <v>63</v>
      </c>
      <c r="E162" s="3" t="s">
        <v>74</v>
      </c>
      <c r="F162" s="3" t="s">
        <v>187</v>
      </c>
      <c r="G162" s="4" t="s">
        <v>85</v>
      </c>
      <c r="H162" s="4">
        <v>16</v>
      </c>
      <c r="I162" s="4">
        <v>7</v>
      </c>
      <c r="J162" s="4">
        <v>8</v>
      </c>
      <c r="K162" s="5">
        <f t="shared" si="9"/>
        <v>6454.9600000000009</v>
      </c>
      <c r="L162" s="5">
        <f>2039.94+4415.02</f>
        <v>6454.9600000000009</v>
      </c>
      <c r="M162" s="5">
        <v>0</v>
      </c>
      <c r="N162" s="4">
        <v>5</v>
      </c>
      <c r="O162" s="5">
        <f t="shared" si="10"/>
        <v>29814.94</v>
      </c>
      <c r="P162" s="5">
        <v>29814.94</v>
      </c>
      <c r="Q162" s="5">
        <v>0</v>
      </c>
      <c r="R162" s="6"/>
    </row>
    <row r="163" spans="1:18" x14ac:dyDescent="0.25">
      <c r="A163" s="36">
        <f t="shared" si="8"/>
        <v>28</v>
      </c>
      <c r="B163" s="3" t="s">
        <v>601</v>
      </c>
      <c r="C163" s="3" t="s">
        <v>62</v>
      </c>
      <c r="D163" s="3" t="s">
        <v>63</v>
      </c>
      <c r="E163" s="3" t="s">
        <v>366</v>
      </c>
      <c r="F163" s="3" t="s">
        <v>63</v>
      </c>
      <c r="G163" s="4" t="s">
        <v>85</v>
      </c>
      <c r="H163" s="4">
        <v>2</v>
      </c>
      <c r="I163" s="4">
        <v>0</v>
      </c>
      <c r="J163" s="4">
        <v>0</v>
      </c>
      <c r="K163" s="5">
        <f t="shared" si="9"/>
        <v>0</v>
      </c>
      <c r="L163" s="5">
        <v>0</v>
      </c>
      <c r="M163" s="5">
        <v>0</v>
      </c>
      <c r="N163" s="4">
        <v>0</v>
      </c>
      <c r="O163" s="5">
        <f t="shared" si="10"/>
        <v>0</v>
      </c>
      <c r="P163" s="5">
        <v>0</v>
      </c>
      <c r="Q163" s="5">
        <v>0</v>
      </c>
      <c r="R163" s="6"/>
    </row>
    <row r="164" spans="1:18" ht="25.5" x14ac:dyDescent="0.25">
      <c r="A164" s="36">
        <f t="shared" si="8"/>
        <v>29</v>
      </c>
      <c r="B164" s="3" t="s">
        <v>482</v>
      </c>
      <c r="C164" s="3" t="s">
        <v>64</v>
      </c>
      <c r="D164" s="3" t="s">
        <v>483</v>
      </c>
      <c r="E164" s="3" t="s">
        <v>313</v>
      </c>
      <c r="F164" s="3" t="s">
        <v>484</v>
      </c>
      <c r="G164" s="4" t="s">
        <v>85</v>
      </c>
      <c r="H164" s="4">
        <v>10</v>
      </c>
      <c r="I164" s="4">
        <v>0</v>
      </c>
      <c r="J164" s="4">
        <v>0</v>
      </c>
      <c r="K164" s="5">
        <f t="shared" si="9"/>
        <v>0</v>
      </c>
      <c r="L164" s="5">
        <v>0</v>
      </c>
      <c r="M164" s="5">
        <v>0</v>
      </c>
      <c r="N164" s="4">
        <v>0</v>
      </c>
      <c r="O164" s="5">
        <f t="shared" si="10"/>
        <v>0</v>
      </c>
      <c r="P164" s="5">
        <v>0</v>
      </c>
      <c r="Q164" s="5">
        <v>0</v>
      </c>
      <c r="R164" s="6"/>
    </row>
    <row r="165" spans="1:18" ht="25.5" x14ac:dyDescent="0.25">
      <c r="A165" s="36">
        <f t="shared" si="8"/>
        <v>30</v>
      </c>
      <c r="B165" s="3" t="s">
        <v>623</v>
      </c>
      <c r="C165" s="3" t="s">
        <v>62</v>
      </c>
      <c r="D165" s="3" t="s">
        <v>63</v>
      </c>
      <c r="E165" s="3" t="s">
        <v>575</v>
      </c>
      <c r="F165" s="3" t="s">
        <v>624</v>
      </c>
      <c r="G165" s="4" t="s">
        <v>85</v>
      </c>
      <c r="H165" s="4">
        <v>0</v>
      </c>
      <c r="I165" s="4">
        <v>0</v>
      </c>
      <c r="J165" s="4">
        <v>0</v>
      </c>
      <c r="K165" s="5">
        <f t="shared" si="9"/>
        <v>0</v>
      </c>
      <c r="L165" s="5">
        <v>0</v>
      </c>
      <c r="M165" s="5">
        <v>0</v>
      </c>
      <c r="N165" s="4">
        <v>1</v>
      </c>
      <c r="O165" s="5">
        <f t="shared" si="10"/>
        <v>0</v>
      </c>
      <c r="P165" s="5">
        <v>0</v>
      </c>
      <c r="Q165" s="5">
        <v>0</v>
      </c>
      <c r="R165" s="6"/>
    </row>
    <row r="166" spans="1:18" ht="25.5" x14ac:dyDescent="0.25">
      <c r="A166" s="36">
        <f t="shared" si="8"/>
        <v>31</v>
      </c>
      <c r="B166" s="3" t="s">
        <v>104</v>
      </c>
      <c r="C166" s="3" t="s">
        <v>62</v>
      </c>
      <c r="D166" s="3" t="s">
        <v>63</v>
      </c>
      <c r="E166" s="3" t="s">
        <v>105</v>
      </c>
      <c r="F166" s="3" t="s">
        <v>188</v>
      </c>
      <c r="G166" s="4" t="s">
        <v>85</v>
      </c>
      <c r="H166" s="4">
        <v>9</v>
      </c>
      <c r="I166" s="4">
        <v>7</v>
      </c>
      <c r="J166" s="4">
        <v>9</v>
      </c>
      <c r="K166" s="5">
        <f t="shared" si="9"/>
        <v>24450.289999999997</v>
      </c>
      <c r="L166" s="5">
        <f>2130.26+17456.91+4863.12</f>
        <v>24450.289999999997</v>
      </c>
      <c r="M166" s="5">
        <v>0</v>
      </c>
      <c r="N166" s="4">
        <v>23</v>
      </c>
      <c r="O166" s="5">
        <f t="shared" si="10"/>
        <v>43574.879999999997</v>
      </c>
      <c r="P166" s="5">
        <f>29623.1+13951.78</f>
        <v>43574.879999999997</v>
      </c>
      <c r="Q166" s="5">
        <v>0</v>
      </c>
      <c r="R166" s="6"/>
    </row>
    <row r="167" spans="1:18" ht="25.5" x14ac:dyDescent="0.25">
      <c r="A167" s="36">
        <f t="shared" si="8"/>
        <v>32</v>
      </c>
      <c r="B167" s="3" t="s">
        <v>517</v>
      </c>
      <c r="C167" s="3" t="s">
        <v>62</v>
      </c>
      <c r="D167" s="3"/>
      <c r="E167" s="3" t="s">
        <v>239</v>
      </c>
      <c r="F167" s="3" t="s">
        <v>63</v>
      </c>
      <c r="G167" s="4" t="s">
        <v>85</v>
      </c>
      <c r="H167" s="4">
        <v>11</v>
      </c>
      <c r="I167" s="4">
        <v>7</v>
      </c>
      <c r="J167" s="4">
        <v>7</v>
      </c>
      <c r="K167" s="5">
        <f t="shared" si="9"/>
        <v>0</v>
      </c>
      <c r="L167" s="5">
        <v>0</v>
      </c>
      <c r="M167" s="5">
        <v>0</v>
      </c>
      <c r="N167" s="4">
        <v>0</v>
      </c>
      <c r="O167" s="5">
        <f t="shared" si="10"/>
        <v>0</v>
      </c>
      <c r="P167" s="5">
        <v>0</v>
      </c>
      <c r="Q167" s="5">
        <v>0</v>
      </c>
      <c r="R167" s="6"/>
    </row>
    <row r="168" spans="1:18" x14ac:dyDescent="0.25">
      <c r="A168" s="36">
        <f t="shared" si="8"/>
        <v>33</v>
      </c>
      <c r="B168" s="3" t="s">
        <v>28</v>
      </c>
      <c r="C168" s="3" t="s">
        <v>62</v>
      </c>
      <c r="D168" s="3" t="s">
        <v>63</v>
      </c>
      <c r="E168" s="3" t="s">
        <v>74</v>
      </c>
      <c r="F168" s="3" t="s">
        <v>189</v>
      </c>
      <c r="G168" s="4" t="s">
        <v>85</v>
      </c>
      <c r="H168" s="4">
        <v>7</v>
      </c>
      <c r="I168" s="4">
        <v>6</v>
      </c>
      <c r="J168" s="4">
        <v>6</v>
      </c>
      <c r="K168" s="5">
        <f t="shared" si="9"/>
        <v>1004.34</v>
      </c>
      <c r="L168" s="5">
        <f>581.46+422.88</f>
        <v>1004.34</v>
      </c>
      <c r="M168" s="5">
        <v>0</v>
      </c>
      <c r="N168" s="4">
        <v>6</v>
      </c>
      <c r="O168" s="5">
        <f t="shared" si="10"/>
        <v>10985.45</v>
      </c>
      <c r="P168" s="5">
        <f>6953.99+4031.46</f>
        <v>10985.45</v>
      </c>
      <c r="Q168" s="5">
        <v>0</v>
      </c>
      <c r="R168" s="6"/>
    </row>
    <row r="169" spans="1:18" x14ac:dyDescent="0.25">
      <c r="A169" s="36">
        <f t="shared" si="8"/>
        <v>34</v>
      </c>
      <c r="B169" s="3" t="s">
        <v>190</v>
      </c>
      <c r="C169" s="3" t="s">
        <v>62</v>
      </c>
      <c r="D169" s="3"/>
      <c r="E169" s="3" t="s">
        <v>63</v>
      </c>
      <c r="F169" s="3" t="s">
        <v>191</v>
      </c>
      <c r="G169" s="4" t="s">
        <v>85</v>
      </c>
      <c r="H169" s="4">
        <v>16</v>
      </c>
      <c r="I169" s="4">
        <v>13</v>
      </c>
      <c r="J169" s="4">
        <v>13</v>
      </c>
      <c r="K169" s="5">
        <f t="shared" si="9"/>
        <v>7428.0199999999995</v>
      </c>
      <c r="L169" s="5">
        <f>6494.16+933.86</f>
        <v>7428.0199999999995</v>
      </c>
      <c r="M169" s="5">
        <v>0</v>
      </c>
      <c r="N169" s="4">
        <v>0</v>
      </c>
      <c r="O169" s="5">
        <f t="shared" si="10"/>
        <v>0</v>
      </c>
      <c r="P169" s="5">
        <v>0</v>
      </c>
      <c r="Q169" s="5">
        <v>0</v>
      </c>
      <c r="R169" s="6"/>
    </row>
    <row r="170" spans="1:18" ht="38.25" x14ac:dyDescent="0.25">
      <c r="A170" s="36">
        <f t="shared" si="8"/>
        <v>35</v>
      </c>
      <c r="B170" s="3" t="s">
        <v>192</v>
      </c>
      <c r="C170" s="3" t="s">
        <v>64</v>
      </c>
      <c r="D170" s="3" t="s">
        <v>193</v>
      </c>
      <c r="E170" s="3" t="s">
        <v>74</v>
      </c>
      <c r="F170" s="3" t="s">
        <v>194</v>
      </c>
      <c r="G170" s="4" t="s">
        <v>85</v>
      </c>
      <c r="H170" s="4">
        <v>1</v>
      </c>
      <c r="I170" s="4">
        <v>0</v>
      </c>
      <c r="J170" s="4">
        <v>0</v>
      </c>
      <c r="K170" s="5">
        <f t="shared" si="9"/>
        <v>0</v>
      </c>
      <c r="L170" s="5">
        <v>0</v>
      </c>
      <c r="M170" s="5">
        <v>0</v>
      </c>
      <c r="N170" s="4">
        <v>0</v>
      </c>
      <c r="O170" s="5">
        <f t="shared" si="10"/>
        <v>0</v>
      </c>
      <c r="P170" s="5">
        <v>0</v>
      </c>
      <c r="Q170" s="5">
        <v>0</v>
      </c>
      <c r="R170" s="6"/>
    </row>
    <row r="171" spans="1:18" x14ac:dyDescent="0.25">
      <c r="A171" s="36">
        <f t="shared" si="8"/>
        <v>36</v>
      </c>
      <c r="B171" s="3" t="s">
        <v>89</v>
      </c>
      <c r="C171" s="3" t="s">
        <v>62</v>
      </c>
      <c r="D171" s="3" t="s">
        <v>63</v>
      </c>
      <c r="E171" s="3" t="s">
        <v>74</v>
      </c>
      <c r="F171" s="3" t="s">
        <v>195</v>
      </c>
      <c r="G171" s="4" t="s">
        <v>85</v>
      </c>
      <c r="H171" s="4">
        <v>30</v>
      </c>
      <c r="I171" s="4">
        <v>25</v>
      </c>
      <c r="J171" s="4">
        <v>27</v>
      </c>
      <c r="K171" s="5">
        <f t="shared" si="9"/>
        <v>15670.88</v>
      </c>
      <c r="L171" s="5">
        <f>12234.98+3435.9</f>
        <v>15670.88</v>
      </c>
      <c r="M171" s="5">
        <v>0</v>
      </c>
      <c r="N171" s="4">
        <v>6</v>
      </c>
      <c r="O171" s="5">
        <f t="shared" si="10"/>
        <v>32869.550000000003</v>
      </c>
      <c r="P171" s="5">
        <f>27163.93+5705.62</f>
        <v>32869.550000000003</v>
      </c>
      <c r="Q171" s="5">
        <v>0</v>
      </c>
      <c r="R171" s="6"/>
    </row>
    <row r="172" spans="1:18" ht="25.5" x14ac:dyDescent="0.25">
      <c r="A172" s="36">
        <f t="shared" si="8"/>
        <v>37</v>
      </c>
      <c r="B172" s="3" t="s">
        <v>196</v>
      </c>
      <c r="C172" s="3" t="s">
        <v>62</v>
      </c>
      <c r="D172" s="3"/>
      <c r="E172" s="3" t="s">
        <v>197</v>
      </c>
      <c r="F172" s="3" t="s">
        <v>198</v>
      </c>
      <c r="G172" s="4" t="s">
        <v>85</v>
      </c>
      <c r="H172" s="4">
        <v>19</v>
      </c>
      <c r="I172" s="4">
        <v>16</v>
      </c>
      <c r="J172" s="4">
        <v>16</v>
      </c>
      <c r="K172" s="5">
        <f t="shared" si="9"/>
        <v>7931</v>
      </c>
      <c r="L172" s="5">
        <f>4212.17+3718.83</f>
        <v>7931</v>
      </c>
      <c r="M172" s="5">
        <v>0</v>
      </c>
      <c r="N172" s="4">
        <v>0</v>
      </c>
      <c r="O172" s="5">
        <f t="shared" si="10"/>
        <v>0</v>
      </c>
      <c r="P172" s="5">
        <v>0</v>
      </c>
      <c r="Q172" s="5">
        <v>0</v>
      </c>
      <c r="R172" s="6"/>
    </row>
    <row r="173" spans="1:18" x14ac:dyDescent="0.25">
      <c r="A173" s="36">
        <f t="shared" si="8"/>
        <v>38</v>
      </c>
      <c r="B173" s="3" t="s">
        <v>106</v>
      </c>
      <c r="C173" s="3" t="s">
        <v>62</v>
      </c>
      <c r="D173" s="3" t="s">
        <v>63</v>
      </c>
      <c r="E173" s="3" t="s">
        <v>74</v>
      </c>
      <c r="F173" s="3" t="s">
        <v>199</v>
      </c>
      <c r="G173" s="4" t="s">
        <v>85</v>
      </c>
      <c r="H173" s="4">
        <v>41</v>
      </c>
      <c r="I173" s="4">
        <v>33</v>
      </c>
      <c r="J173" s="4">
        <v>42</v>
      </c>
      <c r="K173" s="5">
        <f t="shared" si="9"/>
        <v>38286.080000000002</v>
      </c>
      <c r="L173" s="5">
        <f>27774.51+10511.57</f>
        <v>38286.080000000002</v>
      </c>
      <c r="M173" s="5">
        <v>0</v>
      </c>
      <c r="N173" s="4">
        <v>25</v>
      </c>
      <c r="O173" s="5">
        <f t="shared" si="10"/>
        <v>122226.76000000001</v>
      </c>
      <c r="P173" s="5">
        <f>61804.6+60422.16</f>
        <v>122226.76000000001</v>
      </c>
      <c r="Q173" s="5">
        <v>0</v>
      </c>
      <c r="R173" s="6"/>
    </row>
    <row r="174" spans="1:18" x14ac:dyDescent="0.25">
      <c r="A174" s="36">
        <f t="shared" si="8"/>
        <v>39</v>
      </c>
      <c r="B174" s="3" t="s">
        <v>107</v>
      </c>
      <c r="C174" s="3" t="s">
        <v>62</v>
      </c>
      <c r="D174" s="3" t="s">
        <v>63</v>
      </c>
      <c r="E174" s="3" t="s">
        <v>74</v>
      </c>
      <c r="F174" s="3" t="s">
        <v>138</v>
      </c>
      <c r="G174" s="4" t="s">
        <v>85</v>
      </c>
      <c r="H174" s="4">
        <v>2</v>
      </c>
      <c r="I174" s="4">
        <v>0</v>
      </c>
      <c r="J174" s="4">
        <v>0</v>
      </c>
      <c r="K174" s="5">
        <f t="shared" si="9"/>
        <v>0</v>
      </c>
      <c r="L174" s="5">
        <v>0</v>
      </c>
      <c r="M174" s="5">
        <v>0</v>
      </c>
      <c r="N174" s="4">
        <v>0</v>
      </c>
      <c r="O174" s="5">
        <f t="shared" si="10"/>
        <v>0</v>
      </c>
      <c r="P174" s="5">
        <v>0</v>
      </c>
      <c r="Q174" s="5">
        <v>0</v>
      </c>
      <c r="R174" s="6"/>
    </row>
    <row r="175" spans="1:18" x14ac:dyDescent="0.25">
      <c r="A175" s="36">
        <f t="shared" si="8"/>
        <v>40</v>
      </c>
      <c r="B175" s="3" t="s">
        <v>29</v>
      </c>
      <c r="C175" s="3" t="s">
        <v>62</v>
      </c>
      <c r="D175" s="3" t="s">
        <v>63</v>
      </c>
      <c r="E175" s="3" t="s">
        <v>74</v>
      </c>
      <c r="F175" s="3" t="s">
        <v>200</v>
      </c>
      <c r="G175" s="4" t="s">
        <v>85</v>
      </c>
      <c r="H175" s="4">
        <v>24</v>
      </c>
      <c r="I175" s="4">
        <v>19</v>
      </c>
      <c r="J175" s="4">
        <v>28</v>
      </c>
      <c r="K175" s="5">
        <f t="shared" si="9"/>
        <v>38092.21</v>
      </c>
      <c r="L175" s="5">
        <f>31780.73+6311.48</f>
        <v>38092.21</v>
      </c>
      <c r="M175" s="5">
        <v>0</v>
      </c>
      <c r="N175" s="4">
        <v>17</v>
      </c>
      <c r="O175" s="5">
        <f t="shared" si="10"/>
        <v>27388.87</v>
      </c>
      <c r="P175" s="5">
        <f>20228.03+7160.84</f>
        <v>27388.87</v>
      </c>
      <c r="Q175" s="5">
        <v>0</v>
      </c>
      <c r="R175" s="6"/>
    </row>
    <row r="176" spans="1:18" x14ac:dyDescent="0.25">
      <c r="A176" s="36">
        <f t="shared" si="8"/>
        <v>41</v>
      </c>
      <c r="B176" s="3" t="s">
        <v>201</v>
      </c>
      <c r="C176" s="3" t="s">
        <v>67</v>
      </c>
      <c r="D176" s="3" t="s">
        <v>485</v>
      </c>
      <c r="E176" s="3" t="s">
        <v>74</v>
      </c>
      <c r="F176" s="3" t="s">
        <v>202</v>
      </c>
      <c r="G176" s="4" t="s">
        <v>85</v>
      </c>
      <c r="H176" s="4">
        <v>20</v>
      </c>
      <c r="I176" s="4">
        <v>13</v>
      </c>
      <c r="J176" s="4">
        <v>13</v>
      </c>
      <c r="K176" s="5">
        <f t="shared" si="9"/>
        <v>12613.220000000001</v>
      </c>
      <c r="L176" s="5">
        <f>8297.66+4315.56</f>
        <v>12613.220000000001</v>
      </c>
      <c r="M176" s="5">
        <v>0</v>
      </c>
      <c r="N176" s="4">
        <v>1</v>
      </c>
      <c r="O176" s="5">
        <f t="shared" si="10"/>
        <v>1717.95</v>
      </c>
      <c r="P176" s="5">
        <v>1717.95</v>
      </c>
      <c r="Q176" s="5">
        <v>0</v>
      </c>
      <c r="R176" s="6"/>
    </row>
    <row r="177" spans="1:18" x14ac:dyDescent="0.25">
      <c r="A177" s="36">
        <f t="shared" si="8"/>
        <v>42</v>
      </c>
      <c r="B177" s="3" t="s">
        <v>95</v>
      </c>
      <c r="C177" s="3" t="s">
        <v>62</v>
      </c>
      <c r="D177" s="3" t="s">
        <v>63</v>
      </c>
      <c r="E177" s="3" t="s">
        <v>74</v>
      </c>
      <c r="F177" s="3" t="s">
        <v>161</v>
      </c>
      <c r="G177" s="4" t="s">
        <v>85</v>
      </c>
      <c r="H177" s="4">
        <v>38</v>
      </c>
      <c r="I177" s="4">
        <v>31</v>
      </c>
      <c r="J177" s="4">
        <v>40</v>
      </c>
      <c r="K177" s="5">
        <f t="shared" si="9"/>
        <v>46387.11</v>
      </c>
      <c r="L177" s="5">
        <f>29308.96+17078.15</f>
        <v>46387.11</v>
      </c>
      <c r="M177" s="5">
        <v>0</v>
      </c>
      <c r="N177" s="4">
        <v>23</v>
      </c>
      <c r="O177" s="5">
        <f t="shared" si="10"/>
        <v>74616.39</v>
      </c>
      <c r="P177" s="5">
        <f>57450.4+17165.99</f>
        <v>74616.39</v>
      </c>
      <c r="Q177" s="5">
        <v>0</v>
      </c>
      <c r="R177" s="6"/>
    </row>
    <row r="178" spans="1:18" ht="25.5" x14ac:dyDescent="0.25">
      <c r="A178" s="36">
        <f t="shared" si="8"/>
        <v>43</v>
      </c>
      <c r="B178" s="3" t="s">
        <v>30</v>
      </c>
      <c r="C178" s="3" t="s">
        <v>62</v>
      </c>
      <c r="D178" s="3" t="s">
        <v>63</v>
      </c>
      <c r="E178" s="3" t="s">
        <v>203</v>
      </c>
      <c r="F178" s="3" t="s">
        <v>204</v>
      </c>
      <c r="G178" s="4" t="s">
        <v>85</v>
      </c>
      <c r="H178" s="4">
        <v>20</v>
      </c>
      <c r="I178" s="4">
        <v>15</v>
      </c>
      <c r="J178" s="4">
        <v>22</v>
      </c>
      <c r="K178" s="5">
        <f t="shared" si="9"/>
        <v>55805.399999999994</v>
      </c>
      <c r="L178" s="5">
        <f>15082.45+11503.79</f>
        <v>26586.240000000002</v>
      </c>
      <c r="M178" s="5">
        <f>42777.32-1355.16-12203</f>
        <v>29219.159999999996</v>
      </c>
      <c r="N178" s="4">
        <v>18</v>
      </c>
      <c r="O178" s="5">
        <f t="shared" si="10"/>
        <v>69063.23000000001</v>
      </c>
      <c r="P178" s="5">
        <f>44825.3+24237.93</f>
        <v>69063.23000000001</v>
      </c>
      <c r="Q178" s="5">
        <v>0</v>
      </c>
      <c r="R178" s="6"/>
    </row>
    <row r="179" spans="1:18" x14ac:dyDescent="0.25">
      <c r="A179" s="36">
        <f t="shared" si="8"/>
        <v>44</v>
      </c>
      <c r="B179" s="3" t="s">
        <v>31</v>
      </c>
      <c r="C179" s="3" t="s">
        <v>62</v>
      </c>
      <c r="D179" s="3" t="s">
        <v>63</v>
      </c>
      <c r="E179" s="3" t="s">
        <v>74</v>
      </c>
      <c r="F179" s="3" t="s">
        <v>206</v>
      </c>
      <c r="G179" s="4" t="s">
        <v>85</v>
      </c>
      <c r="H179" s="4">
        <v>47</v>
      </c>
      <c r="I179" s="4">
        <v>33</v>
      </c>
      <c r="J179" s="4">
        <v>42</v>
      </c>
      <c r="K179" s="5">
        <f t="shared" si="9"/>
        <v>87971.76999999999</v>
      </c>
      <c r="L179" s="5">
        <f>52104.95+35866.82</f>
        <v>87971.76999999999</v>
      </c>
      <c r="M179" s="5">
        <v>0</v>
      </c>
      <c r="N179" s="4">
        <v>20</v>
      </c>
      <c r="O179" s="5">
        <f t="shared" si="10"/>
        <v>85171.839999999997</v>
      </c>
      <c r="P179" s="5">
        <f>66805.69+12758.67</f>
        <v>79564.36</v>
      </c>
      <c r="Q179" s="5">
        <v>5607.48</v>
      </c>
      <c r="R179" s="6"/>
    </row>
    <row r="180" spans="1:18" ht="25.5" x14ac:dyDescent="0.25">
      <c r="A180" s="36">
        <f t="shared" si="8"/>
        <v>45</v>
      </c>
      <c r="B180" s="3" t="s">
        <v>605</v>
      </c>
      <c r="C180" s="3" t="s">
        <v>62</v>
      </c>
      <c r="D180" s="3" t="s">
        <v>63</v>
      </c>
      <c r="E180" s="3" t="s">
        <v>108</v>
      </c>
      <c r="F180" s="3" t="s">
        <v>619</v>
      </c>
      <c r="G180" s="4" t="s">
        <v>85</v>
      </c>
      <c r="H180" s="4">
        <v>1</v>
      </c>
      <c r="I180" s="4">
        <v>0</v>
      </c>
      <c r="J180" s="4">
        <v>0</v>
      </c>
      <c r="K180" s="5">
        <f t="shared" si="9"/>
        <v>0</v>
      </c>
      <c r="L180" s="5">
        <v>0</v>
      </c>
      <c r="M180" s="5">
        <v>0</v>
      </c>
      <c r="N180" s="4">
        <v>0</v>
      </c>
      <c r="O180" s="5">
        <f t="shared" si="10"/>
        <v>0</v>
      </c>
      <c r="P180" s="5">
        <v>0</v>
      </c>
      <c r="Q180" s="5">
        <v>0</v>
      </c>
      <c r="R180" s="6"/>
    </row>
    <row r="181" spans="1:18" ht="51" x14ac:dyDescent="0.25">
      <c r="A181" s="36">
        <f t="shared" si="8"/>
        <v>46</v>
      </c>
      <c r="B181" s="3" t="s">
        <v>90</v>
      </c>
      <c r="C181" s="3" t="s">
        <v>62</v>
      </c>
      <c r="D181" s="3" t="s">
        <v>63</v>
      </c>
      <c r="E181" s="3" t="s">
        <v>205</v>
      </c>
      <c r="F181" s="3" t="s">
        <v>464</v>
      </c>
      <c r="G181" s="4" t="s">
        <v>85</v>
      </c>
      <c r="H181" s="4">
        <v>18</v>
      </c>
      <c r="I181" s="4">
        <v>13</v>
      </c>
      <c r="J181" s="4">
        <v>19</v>
      </c>
      <c r="K181" s="5">
        <f t="shared" si="9"/>
        <v>12138.060000000001</v>
      </c>
      <c r="L181" s="5">
        <f>8099.56+4038.5</f>
        <v>12138.060000000001</v>
      </c>
      <c r="M181" s="5">
        <v>0</v>
      </c>
      <c r="N181" s="4">
        <v>17</v>
      </c>
      <c r="O181" s="5">
        <f t="shared" si="10"/>
        <v>23475.100000000002</v>
      </c>
      <c r="P181" s="5">
        <f>18831.08+4644.02</f>
        <v>23475.100000000002</v>
      </c>
      <c r="Q181" s="5">
        <v>0</v>
      </c>
      <c r="R181" s="6"/>
    </row>
    <row r="182" spans="1:18" x14ac:dyDescent="0.25">
      <c r="A182" s="36">
        <f t="shared" si="8"/>
        <v>47</v>
      </c>
      <c r="B182" s="3" t="s">
        <v>91</v>
      </c>
      <c r="C182" s="3" t="s">
        <v>62</v>
      </c>
      <c r="D182" s="3" t="s">
        <v>63</v>
      </c>
      <c r="E182" s="3" t="s">
        <v>63</v>
      </c>
      <c r="F182" s="3" t="s">
        <v>208</v>
      </c>
      <c r="G182" s="4" t="s">
        <v>85</v>
      </c>
      <c r="H182" s="4">
        <v>15</v>
      </c>
      <c r="I182" s="4">
        <v>11</v>
      </c>
      <c r="J182" s="4">
        <v>11</v>
      </c>
      <c r="K182" s="5">
        <f t="shared" si="9"/>
        <v>5992.57</v>
      </c>
      <c r="L182" s="5">
        <v>5992.57</v>
      </c>
      <c r="M182" s="5">
        <v>0</v>
      </c>
      <c r="N182" s="4">
        <v>2</v>
      </c>
      <c r="O182" s="5">
        <f t="shared" si="10"/>
        <v>17381.23</v>
      </c>
      <c r="P182" s="5">
        <f>5514.15+11867.08</f>
        <v>17381.23</v>
      </c>
      <c r="Q182" s="5">
        <v>0</v>
      </c>
      <c r="R182" s="6"/>
    </row>
    <row r="183" spans="1:18" x14ac:dyDescent="0.25">
      <c r="A183" s="36">
        <f t="shared" si="8"/>
        <v>48</v>
      </c>
      <c r="B183" s="3" t="s">
        <v>33</v>
      </c>
      <c r="C183" s="3" t="s">
        <v>62</v>
      </c>
      <c r="D183" s="3" t="s">
        <v>63</v>
      </c>
      <c r="E183" s="3" t="s">
        <v>74</v>
      </c>
      <c r="F183" s="3" t="s">
        <v>209</v>
      </c>
      <c r="G183" s="4" t="s">
        <v>85</v>
      </c>
      <c r="H183" s="4">
        <v>36</v>
      </c>
      <c r="I183" s="4">
        <v>27</v>
      </c>
      <c r="J183" s="4">
        <v>36</v>
      </c>
      <c r="K183" s="5">
        <f t="shared" si="9"/>
        <v>47428.93</v>
      </c>
      <c r="L183" s="5">
        <f>31117.84+16311.09</f>
        <v>47428.93</v>
      </c>
      <c r="M183" s="5">
        <v>0</v>
      </c>
      <c r="N183" s="4">
        <v>37</v>
      </c>
      <c r="O183" s="5">
        <f t="shared" si="10"/>
        <v>81981.709999999992</v>
      </c>
      <c r="P183" s="5">
        <f>71790.76+10190.95</f>
        <v>81981.709999999992</v>
      </c>
      <c r="Q183" s="5">
        <v>0</v>
      </c>
      <c r="R183" s="6"/>
    </row>
    <row r="184" spans="1:18" x14ac:dyDescent="0.25">
      <c r="A184" s="36">
        <f t="shared" si="8"/>
        <v>49</v>
      </c>
      <c r="B184" s="3" t="s">
        <v>32</v>
      </c>
      <c r="C184" s="3" t="s">
        <v>62</v>
      </c>
      <c r="D184" s="3" t="s">
        <v>63</v>
      </c>
      <c r="E184" s="3" t="s">
        <v>74</v>
      </c>
      <c r="F184" s="3" t="s">
        <v>207</v>
      </c>
      <c r="G184" s="4" t="s">
        <v>85</v>
      </c>
      <c r="H184" s="4">
        <v>43</v>
      </c>
      <c r="I184" s="4">
        <v>32</v>
      </c>
      <c r="J184" s="4">
        <v>35</v>
      </c>
      <c r="K184" s="5">
        <f t="shared" si="9"/>
        <v>19498.47</v>
      </c>
      <c r="L184" s="5">
        <f>17066.91+2431.56</f>
        <v>19498.47</v>
      </c>
      <c r="M184" s="5">
        <v>0</v>
      </c>
      <c r="N184" s="4">
        <v>33</v>
      </c>
      <c r="O184" s="5">
        <f t="shared" si="10"/>
        <v>89431.180000000008</v>
      </c>
      <c r="P184" s="5">
        <f>68847.38+20583.8</f>
        <v>89431.180000000008</v>
      </c>
      <c r="Q184" s="5">
        <v>0</v>
      </c>
      <c r="R184" s="6"/>
    </row>
    <row r="185" spans="1:18" ht="25.5" x14ac:dyDescent="0.25">
      <c r="A185" s="36">
        <f t="shared" si="8"/>
        <v>50</v>
      </c>
      <c r="B185" s="3" t="s">
        <v>541</v>
      </c>
      <c r="C185" s="3" t="s">
        <v>62</v>
      </c>
      <c r="D185" s="3"/>
      <c r="E185" s="3" t="s">
        <v>177</v>
      </c>
      <c r="F185" s="3" t="s">
        <v>542</v>
      </c>
      <c r="G185" s="4" t="s">
        <v>85</v>
      </c>
      <c r="H185" s="4">
        <v>19</v>
      </c>
      <c r="I185" s="4">
        <v>12</v>
      </c>
      <c r="J185" s="4">
        <v>16</v>
      </c>
      <c r="K185" s="5">
        <f t="shared" si="9"/>
        <v>1431.63</v>
      </c>
      <c r="L185" s="5">
        <v>1431.63</v>
      </c>
      <c r="M185" s="5">
        <v>0</v>
      </c>
      <c r="N185" s="4">
        <v>0</v>
      </c>
      <c r="O185" s="5">
        <f t="shared" si="10"/>
        <v>0</v>
      </c>
      <c r="P185" s="5">
        <v>0</v>
      </c>
      <c r="Q185" s="5">
        <v>0</v>
      </c>
      <c r="R185" s="6"/>
    </row>
    <row r="186" spans="1:18" x14ac:dyDescent="0.25">
      <c r="A186" s="36">
        <f t="shared" si="8"/>
        <v>51</v>
      </c>
      <c r="B186" s="3" t="s">
        <v>34</v>
      </c>
      <c r="C186" s="3" t="s">
        <v>62</v>
      </c>
      <c r="D186" s="3" t="s">
        <v>63</v>
      </c>
      <c r="E186" s="3" t="s">
        <v>74</v>
      </c>
      <c r="F186" s="3" t="s">
        <v>211</v>
      </c>
      <c r="G186" s="4" t="s">
        <v>85</v>
      </c>
      <c r="H186" s="4">
        <v>17</v>
      </c>
      <c r="I186" s="4">
        <v>9</v>
      </c>
      <c r="J186" s="4">
        <v>9</v>
      </c>
      <c r="K186" s="5">
        <f t="shared" si="9"/>
        <v>4532.5200000000004</v>
      </c>
      <c r="L186" s="5">
        <f>3933.44+599.08</f>
        <v>4532.5200000000004</v>
      </c>
      <c r="M186" s="5">
        <v>0</v>
      </c>
      <c r="N186" s="4">
        <v>24</v>
      </c>
      <c r="O186" s="5">
        <f t="shared" si="10"/>
        <v>94507.1</v>
      </c>
      <c r="P186" s="5">
        <f>66328.38+28178.72</f>
        <v>94507.1</v>
      </c>
      <c r="Q186" s="5">
        <v>0</v>
      </c>
      <c r="R186" s="6"/>
    </row>
    <row r="187" spans="1:18" ht="25.5" x14ac:dyDescent="0.25">
      <c r="A187" s="36">
        <f t="shared" si="8"/>
        <v>52</v>
      </c>
      <c r="B187" s="3" t="s">
        <v>154</v>
      </c>
      <c r="C187" s="3" t="s">
        <v>62</v>
      </c>
      <c r="D187" s="3" t="s">
        <v>63</v>
      </c>
      <c r="E187" s="3" t="s">
        <v>72</v>
      </c>
      <c r="F187" s="3" t="s">
        <v>212</v>
      </c>
      <c r="G187" s="4" t="s">
        <v>85</v>
      </c>
      <c r="H187" s="4">
        <v>6</v>
      </c>
      <c r="I187" s="4">
        <v>2</v>
      </c>
      <c r="J187" s="4">
        <v>2</v>
      </c>
      <c r="K187" s="5">
        <f t="shared" si="9"/>
        <v>0</v>
      </c>
      <c r="L187" s="5">
        <v>0</v>
      </c>
      <c r="M187" s="5">
        <v>0</v>
      </c>
      <c r="N187" s="4">
        <v>2</v>
      </c>
      <c r="O187" s="5">
        <f t="shared" si="10"/>
        <v>0</v>
      </c>
      <c r="P187" s="5">
        <v>0</v>
      </c>
      <c r="Q187" s="5">
        <v>0</v>
      </c>
      <c r="R187" s="6"/>
    </row>
    <row r="188" spans="1:18" x14ac:dyDescent="0.25">
      <c r="A188" s="36">
        <f t="shared" si="8"/>
        <v>53</v>
      </c>
      <c r="B188" s="3" t="s">
        <v>153</v>
      </c>
      <c r="C188" s="3" t="s">
        <v>62</v>
      </c>
      <c r="D188" s="3" t="s">
        <v>63</v>
      </c>
      <c r="E188" s="3" t="s">
        <v>74</v>
      </c>
      <c r="F188" s="3" t="s">
        <v>210</v>
      </c>
      <c r="G188" s="4" t="s">
        <v>85</v>
      </c>
      <c r="H188" s="4">
        <v>0</v>
      </c>
      <c r="I188" s="4">
        <v>0</v>
      </c>
      <c r="J188" s="4">
        <v>0</v>
      </c>
      <c r="K188" s="5">
        <f t="shared" si="9"/>
        <v>0</v>
      </c>
      <c r="L188" s="5">
        <v>0</v>
      </c>
      <c r="M188" s="5">
        <v>0</v>
      </c>
      <c r="N188" s="4">
        <v>3</v>
      </c>
      <c r="O188" s="5">
        <f t="shared" si="10"/>
        <v>27274.93</v>
      </c>
      <c r="P188" s="250">
        <v>27274.93</v>
      </c>
      <c r="Q188" s="5">
        <v>0</v>
      </c>
      <c r="R188" s="6"/>
    </row>
    <row r="189" spans="1:18" x14ac:dyDescent="0.25">
      <c r="A189" s="36">
        <f t="shared" si="8"/>
        <v>54</v>
      </c>
      <c r="B189" s="3" t="s">
        <v>109</v>
      </c>
      <c r="C189" s="3" t="s">
        <v>62</v>
      </c>
      <c r="D189" s="3" t="s">
        <v>63</v>
      </c>
      <c r="E189" s="3" t="s">
        <v>74</v>
      </c>
      <c r="F189" s="3" t="s">
        <v>213</v>
      </c>
      <c r="G189" s="4" t="s">
        <v>85</v>
      </c>
      <c r="H189" s="4">
        <v>0</v>
      </c>
      <c r="I189" s="4">
        <v>0</v>
      </c>
      <c r="J189" s="4">
        <v>0</v>
      </c>
      <c r="K189" s="5">
        <f t="shared" si="9"/>
        <v>0</v>
      </c>
      <c r="L189" s="5">
        <v>0</v>
      </c>
      <c r="M189" s="5">
        <v>0</v>
      </c>
      <c r="N189" s="4">
        <v>2</v>
      </c>
      <c r="O189" s="5">
        <f t="shared" si="10"/>
        <v>0</v>
      </c>
      <c r="P189" s="5">
        <v>0</v>
      </c>
      <c r="Q189" s="5">
        <v>0</v>
      </c>
      <c r="R189" s="6"/>
    </row>
    <row r="190" spans="1:18" x14ac:dyDescent="0.25">
      <c r="A190" s="36">
        <f t="shared" si="8"/>
        <v>55</v>
      </c>
      <c r="B190" s="3" t="s">
        <v>110</v>
      </c>
      <c r="C190" s="3" t="s">
        <v>62</v>
      </c>
      <c r="D190" s="3" t="s">
        <v>63</v>
      </c>
      <c r="E190" s="3" t="s">
        <v>74</v>
      </c>
      <c r="F190" s="3" t="s">
        <v>214</v>
      </c>
      <c r="G190" s="4" t="s">
        <v>85</v>
      </c>
      <c r="H190" s="4">
        <v>0</v>
      </c>
      <c r="I190" s="4">
        <v>0</v>
      </c>
      <c r="J190" s="4">
        <v>0</v>
      </c>
      <c r="K190" s="5">
        <f t="shared" si="9"/>
        <v>0</v>
      </c>
      <c r="L190" s="5">
        <v>0</v>
      </c>
      <c r="M190" s="5">
        <v>0</v>
      </c>
      <c r="N190" s="4">
        <v>0</v>
      </c>
      <c r="O190" s="5">
        <f t="shared" si="10"/>
        <v>0</v>
      </c>
      <c r="P190" s="5">
        <v>0</v>
      </c>
      <c r="Q190" s="5">
        <v>0</v>
      </c>
      <c r="R190" s="6"/>
    </row>
    <row r="191" spans="1:18" x14ac:dyDescent="0.25">
      <c r="A191" s="36">
        <f t="shared" si="8"/>
        <v>56</v>
      </c>
      <c r="B191" s="3" t="s">
        <v>111</v>
      </c>
      <c r="C191" s="3" t="s">
        <v>112</v>
      </c>
      <c r="D191" s="3" t="s">
        <v>113</v>
      </c>
      <c r="E191" s="3" t="s">
        <v>63</v>
      </c>
      <c r="F191" s="3" t="s">
        <v>139</v>
      </c>
      <c r="G191" s="4" t="s">
        <v>85</v>
      </c>
      <c r="H191" s="4">
        <v>1</v>
      </c>
      <c r="I191" s="4">
        <v>0</v>
      </c>
      <c r="J191" s="4">
        <v>0</v>
      </c>
      <c r="K191" s="5">
        <f t="shared" si="9"/>
        <v>0</v>
      </c>
      <c r="L191" s="5">
        <v>0</v>
      </c>
      <c r="M191" s="5">
        <v>0</v>
      </c>
      <c r="N191" s="4">
        <v>0</v>
      </c>
      <c r="O191" s="5">
        <f t="shared" si="10"/>
        <v>0</v>
      </c>
      <c r="P191" s="5">
        <v>0</v>
      </c>
      <c r="Q191" s="5">
        <v>0</v>
      </c>
      <c r="R191" s="6"/>
    </row>
    <row r="192" spans="1:18" ht="25.5" x14ac:dyDescent="0.25">
      <c r="A192" s="36">
        <f t="shared" si="8"/>
        <v>57</v>
      </c>
      <c r="B192" s="3" t="s">
        <v>570</v>
      </c>
      <c r="C192" s="3" t="s">
        <v>62</v>
      </c>
      <c r="D192" s="3"/>
      <c r="E192" s="3" t="s">
        <v>223</v>
      </c>
      <c r="F192" s="3" t="s">
        <v>63</v>
      </c>
      <c r="G192" s="4" t="s">
        <v>85</v>
      </c>
      <c r="H192" s="4">
        <v>1</v>
      </c>
      <c r="I192" s="4">
        <v>0</v>
      </c>
      <c r="J192" s="4">
        <v>0</v>
      </c>
      <c r="K192" s="5">
        <f t="shared" si="9"/>
        <v>0</v>
      </c>
      <c r="L192" s="5">
        <v>0</v>
      </c>
      <c r="M192" s="5">
        <v>0</v>
      </c>
      <c r="N192" s="4">
        <v>0</v>
      </c>
      <c r="O192" s="5">
        <f t="shared" si="10"/>
        <v>0</v>
      </c>
      <c r="P192" s="5">
        <v>0</v>
      </c>
      <c r="Q192" s="5">
        <v>0</v>
      </c>
      <c r="R192" s="6"/>
    </row>
    <row r="193" spans="1:18" x14ac:dyDescent="0.25">
      <c r="A193" s="36">
        <f t="shared" si="8"/>
        <v>58</v>
      </c>
      <c r="B193" s="3" t="s">
        <v>92</v>
      </c>
      <c r="C193" s="3" t="s">
        <v>62</v>
      </c>
      <c r="D193" s="3" t="s">
        <v>63</v>
      </c>
      <c r="E193" s="3" t="s">
        <v>74</v>
      </c>
      <c r="F193" s="3" t="s">
        <v>215</v>
      </c>
      <c r="G193" s="4" t="s">
        <v>85</v>
      </c>
      <c r="H193" s="4">
        <v>30</v>
      </c>
      <c r="I193" s="4">
        <v>26</v>
      </c>
      <c r="J193" s="4">
        <v>33</v>
      </c>
      <c r="K193" s="5">
        <f t="shared" si="9"/>
        <v>44523.09</v>
      </c>
      <c r="L193" s="5">
        <f>17600.35+26922.74</f>
        <v>44523.09</v>
      </c>
      <c r="M193" s="5">
        <v>0</v>
      </c>
      <c r="N193" s="4">
        <v>12</v>
      </c>
      <c r="O193" s="5">
        <f t="shared" si="10"/>
        <v>26998.260000000002</v>
      </c>
      <c r="P193" s="5">
        <f>18181.04+8817.22</f>
        <v>26998.260000000002</v>
      </c>
      <c r="Q193" s="5">
        <v>0</v>
      </c>
      <c r="R193" s="6"/>
    </row>
    <row r="194" spans="1:18" ht="25.5" x14ac:dyDescent="0.25">
      <c r="A194" s="36">
        <f t="shared" si="8"/>
        <v>59</v>
      </c>
      <c r="B194" s="3" t="s">
        <v>216</v>
      </c>
      <c r="C194" s="3" t="s">
        <v>67</v>
      </c>
      <c r="D194" s="3" t="s">
        <v>436</v>
      </c>
      <c r="E194" s="3" t="s">
        <v>217</v>
      </c>
      <c r="F194" s="3" t="s">
        <v>218</v>
      </c>
      <c r="G194" s="4" t="s">
        <v>85</v>
      </c>
      <c r="H194" s="4">
        <v>13</v>
      </c>
      <c r="I194" s="4">
        <v>8</v>
      </c>
      <c r="J194" s="4">
        <v>8</v>
      </c>
      <c r="K194" s="5">
        <f t="shared" si="9"/>
        <v>5844.73</v>
      </c>
      <c r="L194" s="5">
        <f>3386.04+2458.69</f>
        <v>5844.73</v>
      </c>
      <c r="M194" s="5">
        <v>0</v>
      </c>
      <c r="N194" s="4">
        <v>0</v>
      </c>
      <c r="O194" s="5">
        <f t="shared" si="10"/>
        <v>0</v>
      </c>
      <c r="P194" s="5">
        <v>0</v>
      </c>
      <c r="Q194" s="5">
        <v>0</v>
      </c>
      <c r="R194" s="6"/>
    </row>
    <row r="195" spans="1:18" ht="25.5" x14ac:dyDescent="0.25">
      <c r="A195" s="36">
        <f t="shared" si="8"/>
        <v>60</v>
      </c>
      <c r="B195" s="3" t="s">
        <v>35</v>
      </c>
      <c r="C195" s="3" t="s">
        <v>62</v>
      </c>
      <c r="D195" s="3" t="s">
        <v>63</v>
      </c>
      <c r="E195" s="3" t="s">
        <v>219</v>
      </c>
      <c r="F195" s="3" t="s">
        <v>220</v>
      </c>
      <c r="G195" s="4" t="s">
        <v>85</v>
      </c>
      <c r="H195" s="4">
        <v>47</v>
      </c>
      <c r="I195" s="4">
        <v>40</v>
      </c>
      <c r="J195" s="4">
        <v>47</v>
      </c>
      <c r="K195" s="5">
        <f t="shared" si="9"/>
        <v>31130.07</v>
      </c>
      <c r="L195" s="5">
        <f>20431.93+10698.14</f>
        <v>31130.07</v>
      </c>
      <c r="M195" s="5">
        <v>0</v>
      </c>
      <c r="N195" s="4">
        <v>30</v>
      </c>
      <c r="O195" s="5">
        <f t="shared" si="10"/>
        <v>52287.509999999995</v>
      </c>
      <c r="P195" s="5">
        <f>51090.74+1196.77</f>
        <v>52287.509999999995</v>
      </c>
      <c r="Q195" s="5">
        <v>0</v>
      </c>
      <c r="R195" s="6"/>
    </row>
    <row r="196" spans="1:18" ht="25.5" x14ac:dyDescent="0.25">
      <c r="A196" s="36">
        <f t="shared" si="8"/>
        <v>61</v>
      </c>
      <c r="B196" s="3" t="s">
        <v>114</v>
      </c>
      <c r="C196" s="3" t="s">
        <v>62</v>
      </c>
      <c r="D196" s="3" t="s">
        <v>63</v>
      </c>
      <c r="E196" s="3" t="s">
        <v>115</v>
      </c>
      <c r="F196" s="3" t="s">
        <v>221</v>
      </c>
      <c r="G196" s="4" t="s">
        <v>85</v>
      </c>
      <c r="H196" s="4">
        <v>9</v>
      </c>
      <c r="I196" s="4">
        <v>2</v>
      </c>
      <c r="J196" s="4">
        <v>2</v>
      </c>
      <c r="K196" s="5">
        <f t="shared" si="9"/>
        <v>0</v>
      </c>
      <c r="L196" s="5">
        <v>0</v>
      </c>
      <c r="M196" s="5">
        <v>0</v>
      </c>
      <c r="N196" s="4">
        <v>0</v>
      </c>
      <c r="O196" s="5">
        <f t="shared" si="10"/>
        <v>0</v>
      </c>
      <c r="P196" s="5">
        <v>0</v>
      </c>
      <c r="Q196" s="5">
        <v>0</v>
      </c>
      <c r="R196" s="6"/>
    </row>
    <row r="197" spans="1:18" ht="25.5" x14ac:dyDescent="0.25">
      <c r="A197" s="36">
        <f t="shared" si="8"/>
        <v>62</v>
      </c>
      <c r="B197" s="3" t="s">
        <v>222</v>
      </c>
      <c r="C197" s="3" t="s">
        <v>64</v>
      </c>
      <c r="D197" s="3" t="s">
        <v>486</v>
      </c>
      <c r="E197" s="3" t="s">
        <v>223</v>
      </c>
      <c r="F197" s="3" t="s">
        <v>224</v>
      </c>
      <c r="G197" s="4" t="s">
        <v>85</v>
      </c>
      <c r="H197" s="4">
        <v>18</v>
      </c>
      <c r="I197" s="4">
        <v>11</v>
      </c>
      <c r="J197" s="4">
        <v>14</v>
      </c>
      <c r="K197" s="5">
        <f t="shared" si="9"/>
        <v>0</v>
      </c>
      <c r="L197" s="5">
        <v>0</v>
      </c>
      <c r="M197" s="5">
        <v>0</v>
      </c>
      <c r="N197" s="4">
        <v>0</v>
      </c>
      <c r="O197" s="5">
        <f t="shared" si="10"/>
        <v>0</v>
      </c>
      <c r="P197" s="5">
        <v>0</v>
      </c>
      <c r="Q197" s="5">
        <v>0</v>
      </c>
      <c r="R197" s="6"/>
    </row>
    <row r="198" spans="1:18" x14ac:dyDescent="0.25">
      <c r="A198" s="36">
        <f t="shared" si="8"/>
        <v>63</v>
      </c>
      <c r="B198" s="3" t="s">
        <v>93</v>
      </c>
      <c r="C198" s="3" t="s">
        <v>62</v>
      </c>
      <c r="D198" s="3" t="s">
        <v>63</v>
      </c>
      <c r="E198" s="3" t="s">
        <v>74</v>
      </c>
      <c r="F198" s="3" t="s">
        <v>225</v>
      </c>
      <c r="G198" s="4" t="s">
        <v>85</v>
      </c>
      <c r="H198" s="4">
        <v>14</v>
      </c>
      <c r="I198" s="4">
        <v>6</v>
      </c>
      <c r="J198" s="4">
        <v>7</v>
      </c>
      <c r="K198" s="5">
        <f t="shared" si="9"/>
        <v>11798.3</v>
      </c>
      <c r="L198" s="5">
        <f>1233.4+10564.9</f>
        <v>11798.3</v>
      </c>
      <c r="M198" s="5">
        <v>0</v>
      </c>
      <c r="N198" s="4">
        <v>7</v>
      </c>
      <c r="O198" s="5">
        <f t="shared" si="10"/>
        <v>10672.71</v>
      </c>
      <c r="P198" s="5">
        <f>3194.66+7478.05</f>
        <v>10672.71</v>
      </c>
      <c r="Q198" s="5">
        <v>0</v>
      </c>
      <c r="R198" s="6"/>
    </row>
    <row r="199" spans="1:18" ht="25.5" x14ac:dyDescent="0.25">
      <c r="A199" s="36">
        <f t="shared" si="8"/>
        <v>64</v>
      </c>
      <c r="B199" s="3" t="s">
        <v>226</v>
      </c>
      <c r="C199" s="3" t="s">
        <v>62</v>
      </c>
      <c r="D199" s="3"/>
      <c r="E199" s="3" t="s">
        <v>174</v>
      </c>
      <c r="F199" s="3" t="s">
        <v>227</v>
      </c>
      <c r="G199" s="4" t="s">
        <v>85</v>
      </c>
      <c r="H199" s="4">
        <v>23</v>
      </c>
      <c r="I199" s="4">
        <v>11</v>
      </c>
      <c r="J199" s="4">
        <v>13</v>
      </c>
      <c r="K199" s="5">
        <f t="shared" si="9"/>
        <v>0</v>
      </c>
      <c r="L199" s="5">
        <v>0</v>
      </c>
      <c r="M199" s="5">
        <v>0</v>
      </c>
      <c r="N199" s="4">
        <v>0</v>
      </c>
      <c r="O199" s="5">
        <f t="shared" si="10"/>
        <v>0</v>
      </c>
      <c r="P199" s="5">
        <v>0</v>
      </c>
      <c r="Q199" s="5">
        <v>0</v>
      </c>
      <c r="R199" s="6"/>
    </row>
    <row r="200" spans="1:18" ht="25.5" x14ac:dyDescent="0.25">
      <c r="A200" s="36">
        <f t="shared" si="8"/>
        <v>65</v>
      </c>
      <c r="B200" s="3" t="s">
        <v>228</v>
      </c>
      <c r="C200" s="3" t="s">
        <v>62</v>
      </c>
      <c r="D200" s="3"/>
      <c r="E200" s="3" t="s">
        <v>229</v>
      </c>
      <c r="F200" s="3" t="s">
        <v>230</v>
      </c>
      <c r="G200" s="4" t="s">
        <v>85</v>
      </c>
      <c r="H200" s="4">
        <v>28</v>
      </c>
      <c r="I200" s="4">
        <v>17</v>
      </c>
      <c r="J200" s="4">
        <v>18</v>
      </c>
      <c r="K200" s="5">
        <f t="shared" si="9"/>
        <v>0</v>
      </c>
      <c r="L200" s="5">
        <v>0</v>
      </c>
      <c r="M200" s="5">
        <v>0</v>
      </c>
      <c r="N200" s="4">
        <v>0</v>
      </c>
      <c r="O200" s="5">
        <f t="shared" si="10"/>
        <v>0</v>
      </c>
      <c r="P200" s="5">
        <v>0</v>
      </c>
      <c r="Q200" s="5">
        <v>0</v>
      </c>
      <c r="R200" s="6"/>
    </row>
    <row r="201" spans="1:18" ht="25.5" x14ac:dyDescent="0.25">
      <c r="A201" s="36">
        <f t="shared" si="8"/>
        <v>66</v>
      </c>
      <c r="B201" s="3" t="s">
        <v>232</v>
      </c>
      <c r="C201" s="3" t="s">
        <v>62</v>
      </c>
      <c r="D201" s="3"/>
      <c r="E201" s="3" t="s">
        <v>174</v>
      </c>
      <c r="F201" s="3" t="s">
        <v>233</v>
      </c>
      <c r="G201" s="4" t="s">
        <v>85</v>
      </c>
      <c r="H201" s="4">
        <v>11</v>
      </c>
      <c r="I201" s="4">
        <v>9</v>
      </c>
      <c r="J201" s="4">
        <v>10</v>
      </c>
      <c r="K201" s="5">
        <f t="shared" si="9"/>
        <v>1316.21</v>
      </c>
      <c r="L201" s="5">
        <v>1316.21</v>
      </c>
      <c r="M201" s="5">
        <v>0</v>
      </c>
      <c r="N201" s="4">
        <v>0</v>
      </c>
      <c r="O201" s="5">
        <f t="shared" si="10"/>
        <v>0</v>
      </c>
      <c r="P201" s="5">
        <v>0</v>
      </c>
      <c r="Q201" s="5">
        <v>0</v>
      </c>
      <c r="R201" s="6"/>
    </row>
    <row r="202" spans="1:18" ht="25.5" x14ac:dyDescent="0.25">
      <c r="A202" s="36">
        <f t="shared" ref="A202:A265" si="11">A201+1</f>
        <v>67</v>
      </c>
      <c r="B202" s="3" t="s">
        <v>487</v>
      </c>
      <c r="C202" s="3" t="s">
        <v>62</v>
      </c>
      <c r="D202" s="3"/>
      <c r="E202" s="3" t="s">
        <v>282</v>
      </c>
      <c r="F202" s="3" t="s">
        <v>488</v>
      </c>
      <c r="G202" s="4" t="s">
        <v>85</v>
      </c>
      <c r="H202" s="4">
        <v>8</v>
      </c>
      <c r="I202" s="4">
        <v>3</v>
      </c>
      <c r="J202" s="4">
        <v>3</v>
      </c>
      <c r="K202" s="5">
        <f t="shared" si="9"/>
        <v>0</v>
      </c>
      <c r="L202" s="5">
        <v>0</v>
      </c>
      <c r="M202" s="5">
        <v>0</v>
      </c>
      <c r="N202" s="4">
        <v>0</v>
      </c>
      <c r="O202" s="5">
        <f t="shared" si="10"/>
        <v>0</v>
      </c>
      <c r="P202" s="5">
        <v>0</v>
      </c>
      <c r="Q202" s="5">
        <v>0</v>
      </c>
      <c r="R202" s="6"/>
    </row>
    <row r="203" spans="1:18" x14ac:dyDescent="0.25">
      <c r="A203" s="36">
        <f t="shared" si="11"/>
        <v>68</v>
      </c>
      <c r="B203" s="3" t="s">
        <v>116</v>
      </c>
      <c r="C203" s="3" t="s">
        <v>62</v>
      </c>
      <c r="D203" s="3" t="s">
        <v>63</v>
      </c>
      <c r="E203" s="3" t="s">
        <v>74</v>
      </c>
      <c r="F203" s="3" t="s">
        <v>231</v>
      </c>
      <c r="G203" s="4" t="s">
        <v>85</v>
      </c>
      <c r="H203" s="4">
        <v>32</v>
      </c>
      <c r="I203" s="4">
        <v>22</v>
      </c>
      <c r="J203" s="4">
        <v>24</v>
      </c>
      <c r="K203" s="5">
        <f t="shared" si="9"/>
        <v>33995.11</v>
      </c>
      <c r="L203" s="5">
        <f>29296.92+4698.19</f>
        <v>33995.11</v>
      </c>
      <c r="M203" s="5">
        <v>0</v>
      </c>
      <c r="N203" s="4">
        <v>3</v>
      </c>
      <c r="O203" s="5">
        <f t="shared" si="10"/>
        <v>5058.49</v>
      </c>
      <c r="P203" s="5">
        <v>5058.49</v>
      </c>
      <c r="Q203" s="5">
        <v>0</v>
      </c>
      <c r="R203" s="6"/>
    </row>
    <row r="204" spans="1:18" ht="25.5" x14ac:dyDescent="0.25">
      <c r="A204" s="36">
        <f t="shared" si="11"/>
        <v>69</v>
      </c>
      <c r="B204" s="3" t="s">
        <v>37</v>
      </c>
      <c r="C204" s="3" t="s">
        <v>62</v>
      </c>
      <c r="D204" s="3" t="s">
        <v>63</v>
      </c>
      <c r="E204" s="3" t="s">
        <v>70</v>
      </c>
      <c r="F204" s="3" t="s">
        <v>234</v>
      </c>
      <c r="G204" s="4" t="s">
        <v>85</v>
      </c>
      <c r="H204" s="4">
        <v>15</v>
      </c>
      <c r="I204" s="4">
        <v>9</v>
      </c>
      <c r="J204" s="4">
        <v>9</v>
      </c>
      <c r="K204" s="5">
        <f t="shared" si="9"/>
        <v>5814.6</v>
      </c>
      <c r="L204" s="5">
        <f>3700.2+2114.4</f>
        <v>5814.6</v>
      </c>
      <c r="M204" s="5">
        <v>0</v>
      </c>
      <c r="N204" s="4">
        <v>3</v>
      </c>
      <c r="O204" s="5">
        <f t="shared" si="10"/>
        <v>18731.909999999996</v>
      </c>
      <c r="P204" s="5">
        <f>2111.74+16620.17</f>
        <v>18731.909999999996</v>
      </c>
      <c r="Q204" s="5">
        <v>0</v>
      </c>
      <c r="R204" s="6"/>
    </row>
    <row r="205" spans="1:18" ht="38.25" x14ac:dyDescent="0.25">
      <c r="A205" s="36">
        <f t="shared" si="11"/>
        <v>70</v>
      </c>
      <c r="B205" s="3" t="s">
        <v>235</v>
      </c>
      <c r="C205" s="3" t="s">
        <v>62</v>
      </c>
      <c r="D205" s="3"/>
      <c r="E205" s="3" t="s">
        <v>236</v>
      </c>
      <c r="F205" s="3" t="s">
        <v>237</v>
      </c>
      <c r="G205" s="4" t="s">
        <v>85</v>
      </c>
      <c r="H205" s="4">
        <v>8</v>
      </c>
      <c r="I205" s="4">
        <v>4</v>
      </c>
      <c r="J205" s="4">
        <v>5</v>
      </c>
      <c r="K205" s="5">
        <f t="shared" ref="K205:K268" si="12">L205+M205</f>
        <v>2896.83</v>
      </c>
      <c r="L205" s="5">
        <f>2368.23+528.6</f>
        <v>2896.83</v>
      </c>
      <c r="M205" s="5">
        <v>0</v>
      </c>
      <c r="N205" s="4">
        <v>0</v>
      </c>
      <c r="O205" s="5">
        <f t="shared" ref="O205:O268" si="13">P205+Q205</f>
        <v>0</v>
      </c>
      <c r="P205" s="5">
        <v>0</v>
      </c>
      <c r="Q205" s="5">
        <v>0</v>
      </c>
      <c r="R205" s="6"/>
    </row>
    <row r="206" spans="1:18" ht="25.5" x14ac:dyDescent="0.25">
      <c r="A206" s="36">
        <f t="shared" si="11"/>
        <v>71</v>
      </c>
      <c r="B206" s="3" t="s">
        <v>238</v>
      </c>
      <c r="C206" s="3" t="s">
        <v>62</v>
      </c>
      <c r="D206" s="3"/>
      <c r="E206" s="3" t="s">
        <v>239</v>
      </c>
      <c r="F206" s="3" t="s">
        <v>240</v>
      </c>
      <c r="G206" s="4" t="s">
        <v>85</v>
      </c>
      <c r="H206" s="4">
        <v>12</v>
      </c>
      <c r="I206" s="4">
        <v>8</v>
      </c>
      <c r="J206" s="4">
        <v>9</v>
      </c>
      <c r="K206" s="5">
        <f t="shared" si="12"/>
        <v>0</v>
      </c>
      <c r="L206" s="5">
        <v>0</v>
      </c>
      <c r="M206" s="5">
        <v>0</v>
      </c>
      <c r="N206" s="4">
        <v>0</v>
      </c>
      <c r="O206" s="5">
        <f t="shared" si="13"/>
        <v>0</v>
      </c>
      <c r="P206" s="5">
        <v>0</v>
      </c>
      <c r="Q206" s="5">
        <v>0</v>
      </c>
      <c r="R206" s="6"/>
    </row>
    <row r="207" spans="1:18" ht="25.5" x14ac:dyDescent="0.25">
      <c r="A207" s="36">
        <f t="shared" si="11"/>
        <v>72</v>
      </c>
      <c r="B207" s="3" t="s">
        <v>357</v>
      </c>
      <c r="C207" s="3" t="s">
        <v>64</v>
      </c>
      <c r="D207" s="3" t="s">
        <v>585</v>
      </c>
      <c r="E207" s="3" t="s">
        <v>74</v>
      </c>
      <c r="F207" s="3" t="s">
        <v>573</v>
      </c>
      <c r="G207" s="4" t="s">
        <v>85</v>
      </c>
      <c r="H207" s="4">
        <v>3</v>
      </c>
      <c r="I207" s="4">
        <v>0</v>
      </c>
      <c r="J207" s="4">
        <v>0</v>
      </c>
      <c r="K207" s="5">
        <f t="shared" si="12"/>
        <v>0</v>
      </c>
      <c r="L207" s="5">
        <v>0</v>
      </c>
      <c r="M207" s="5">
        <v>0</v>
      </c>
      <c r="N207" s="4">
        <v>1</v>
      </c>
      <c r="O207" s="5">
        <f t="shared" si="13"/>
        <v>6753.85</v>
      </c>
      <c r="P207" s="5">
        <v>6753.85</v>
      </c>
      <c r="Q207" s="5">
        <v>0</v>
      </c>
      <c r="R207" s="6"/>
    </row>
    <row r="208" spans="1:18" x14ac:dyDescent="0.25">
      <c r="A208" s="36">
        <f t="shared" si="11"/>
        <v>73</v>
      </c>
      <c r="B208" s="3" t="s">
        <v>36</v>
      </c>
      <c r="C208" s="3" t="s">
        <v>62</v>
      </c>
      <c r="D208" s="3" t="s">
        <v>63</v>
      </c>
      <c r="E208" s="3" t="s">
        <v>74</v>
      </c>
      <c r="F208" s="3" t="s">
        <v>465</v>
      </c>
      <c r="G208" s="4" t="s">
        <v>85</v>
      </c>
      <c r="H208" s="4">
        <v>5</v>
      </c>
      <c r="I208" s="4">
        <v>1</v>
      </c>
      <c r="J208" s="4">
        <v>1</v>
      </c>
      <c r="K208" s="5">
        <f t="shared" si="12"/>
        <v>0</v>
      </c>
      <c r="L208" s="5">
        <v>0</v>
      </c>
      <c r="M208" s="5">
        <v>0</v>
      </c>
      <c r="N208" s="4">
        <v>4</v>
      </c>
      <c r="O208" s="5">
        <f t="shared" si="13"/>
        <v>14660.73</v>
      </c>
      <c r="P208" s="5">
        <f>2026.3+616.7</f>
        <v>2643</v>
      </c>
      <c r="Q208" s="5">
        <v>12017.73</v>
      </c>
      <c r="R208" s="6"/>
    </row>
    <row r="209" spans="1:18" x14ac:dyDescent="0.25">
      <c r="A209" s="36">
        <f t="shared" si="11"/>
        <v>74</v>
      </c>
      <c r="B209" s="3" t="s">
        <v>39</v>
      </c>
      <c r="C209" s="3" t="s">
        <v>62</v>
      </c>
      <c r="D209" s="3" t="s">
        <v>63</v>
      </c>
      <c r="E209" s="3" t="s">
        <v>77</v>
      </c>
      <c r="F209" s="3" t="s">
        <v>466</v>
      </c>
      <c r="G209" s="4" t="s">
        <v>85</v>
      </c>
      <c r="H209" s="4">
        <v>83</v>
      </c>
      <c r="I209" s="4">
        <v>62</v>
      </c>
      <c r="J209" s="4">
        <v>67</v>
      </c>
      <c r="K209" s="5">
        <f t="shared" si="12"/>
        <v>23581.85</v>
      </c>
      <c r="L209" s="5">
        <f>11589.93+11991.92</f>
        <v>23581.85</v>
      </c>
      <c r="M209" s="5">
        <v>0</v>
      </c>
      <c r="N209" s="4">
        <v>9</v>
      </c>
      <c r="O209" s="5">
        <f t="shared" si="13"/>
        <v>16389.73</v>
      </c>
      <c r="P209" s="5">
        <f>11533.38+4856.35</f>
        <v>16389.73</v>
      </c>
      <c r="Q209" s="5">
        <v>0</v>
      </c>
      <c r="R209" s="6"/>
    </row>
    <row r="210" spans="1:18" ht="38.25" x14ac:dyDescent="0.25">
      <c r="A210" s="36">
        <f t="shared" si="11"/>
        <v>75</v>
      </c>
      <c r="B210" s="3" t="s">
        <v>40</v>
      </c>
      <c r="C210" s="3" t="s">
        <v>62</v>
      </c>
      <c r="D210" s="3" t="s">
        <v>63</v>
      </c>
      <c r="E210" s="3" t="s">
        <v>249</v>
      </c>
      <c r="F210" s="3" t="s">
        <v>250</v>
      </c>
      <c r="G210" s="4" t="s">
        <v>85</v>
      </c>
      <c r="H210" s="4">
        <v>23</v>
      </c>
      <c r="I210" s="4">
        <v>21</v>
      </c>
      <c r="J210" s="4">
        <v>29</v>
      </c>
      <c r="K210" s="5">
        <f t="shared" si="12"/>
        <v>49023.22</v>
      </c>
      <c r="L210" s="5">
        <f>41183.26+7839.96</f>
        <v>49023.22</v>
      </c>
      <c r="M210" s="5">
        <v>0</v>
      </c>
      <c r="N210" s="4">
        <v>18</v>
      </c>
      <c r="O210" s="5">
        <f t="shared" si="13"/>
        <v>44654.28</v>
      </c>
      <c r="P210" s="5">
        <v>44654.28</v>
      </c>
      <c r="Q210" s="5">
        <v>0</v>
      </c>
      <c r="R210" s="6"/>
    </row>
    <row r="211" spans="1:18" ht="25.5" x14ac:dyDescent="0.25">
      <c r="A211" s="36">
        <f t="shared" si="11"/>
        <v>76</v>
      </c>
      <c r="B211" s="3" t="s">
        <v>251</v>
      </c>
      <c r="C211" s="3" t="s">
        <v>62</v>
      </c>
      <c r="D211" s="3"/>
      <c r="E211" s="3" t="s">
        <v>177</v>
      </c>
      <c r="F211" s="3" t="s">
        <v>252</v>
      </c>
      <c r="G211" s="4" t="s">
        <v>85</v>
      </c>
      <c r="H211" s="4">
        <v>31</v>
      </c>
      <c r="I211" s="4">
        <v>21</v>
      </c>
      <c r="J211" s="4">
        <v>32</v>
      </c>
      <c r="K211" s="5">
        <f t="shared" si="12"/>
        <v>31584.449999999997</v>
      </c>
      <c r="L211" s="5">
        <f>24231.37+7353.08</f>
        <v>31584.449999999997</v>
      </c>
      <c r="M211" s="5">
        <v>0</v>
      </c>
      <c r="N211" s="4">
        <v>0</v>
      </c>
      <c r="O211" s="5">
        <f t="shared" si="13"/>
        <v>0</v>
      </c>
      <c r="P211" s="5">
        <v>0</v>
      </c>
      <c r="Q211" s="5">
        <v>0</v>
      </c>
      <c r="R211" s="6"/>
    </row>
    <row r="212" spans="1:18" x14ac:dyDescent="0.25">
      <c r="A212" s="36">
        <f t="shared" si="11"/>
        <v>77</v>
      </c>
      <c r="B212" s="3" t="s">
        <v>117</v>
      </c>
      <c r="C212" s="3" t="s">
        <v>62</v>
      </c>
      <c r="D212" s="3" t="s">
        <v>63</v>
      </c>
      <c r="E212" s="3" t="s">
        <v>74</v>
      </c>
      <c r="F212" s="3" t="s">
        <v>520</v>
      </c>
      <c r="G212" s="4" t="s">
        <v>85</v>
      </c>
      <c r="H212" s="4">
        <v>1</v>
      </c>
      <c r="I212" s="4">
        <v>1</v>
      </c>
      <c r="J212" s="4">
        <v>1</v>
      </c>
      <c r="K212" s="5">
        <f t="shared" si="12"/>
        <v>0</v>
      </c>
      <c r="L212" s="5">
        <v>0</v>
      </c>
      <c r="M212" s="5">
        <v>0</v>
      </c>
      <c r="N212" s="4">
        <v>2</v>
      </c>
      <c r="O212" s="5">
        <f t="shared" si="13"/>
        <v>0</v>
      </c>
      <c r="P212" s="5">
        <v>0</v>
      </c>
      <c r="Q212" s="5">
        <v>0</v>
      </c>
      <c r="R212" s="6"/>
    </row>
    <row r="213" spans="1:18" ht="25.5" x14ac:dyDescent="0.25">
      <c r="A213" s="36">
        <f t="shared" si="11"/>
        <v>78</v>
      </c>
      <c r="B213" s="3" t="s">
        <v>41</v>
      </c>
      <c r="C213" s="3" t="s">
        <v>64</v>
      </c>
      <c r="D213" s="3" t="s">
        <v>65</v>
      </c>
      <c r="E213" s="3" t="s">
        <v>72</v>
      </c>
      <c r="F213" s="3" t="s">
        <v>253</v>
      </c>
      <c r="G213" s="4" t="s">
        <v>85</v>
      </c>
      <c r="H213" s="4">
        <v>2</v>
      </c>
      <c r="I213" s="4">
        <v>2</v>
      </c>
      <c r="J213" s="4">
        <v>2</v>
      </c>
      <c r="K213" s="5">
        <f t="shared" si="12"/>
        <v>0</v>
      </c>
      <c r="L213" s="5">
        <v>0</v>
      </c>
      <c r="M213" s="5">
        <v>0</v>
      </c>
      <c r="N213" s="4">
        <v>12</v>
      </c>
      <c r="O213" s="5">
        <f t="shared" si="13"/>
        <v>0</v>
      </c>
      <c r="P213" s="5">
        <v>0</v>
      </c>
      <c r="Q213" s="5">
        <v>0</v>
      </c>
      <c r="R213" s="6"/>
    </row>
    <row r="214" spans="1:18" x14ac:dyDescent="0.25">
      <c r="A214" s="36">
        <f t="shared" si="11"/>
        <v>79</v>
      </c>
      <c r="B214" s="3" t="s">
        <v>118</v>
      </c>
      <c r="C214" s="3" t="s">
        <v>62</v>
      </c>
      <c r="D214" s="3" t="s">
        <v>63</v>
      </c>
      <c r="E214" s="3" t="s">
        <v>63</v>
      </c>
      <c r="F214" s="3" t="s">
        <v>467</v>
      </c>
      <c r="G214" s="4" t="s">
        <v>85</v>
      </c>
      <c r="H214" s="4">
        <v>5</v>
      </c>
      <c r="I214" s="4">
        <v>1</v>
      </c>
      <c r="J214" s="4">
        <v>1</v>
      </c>
      <c r="K214" s="5">
        <f t="shared" si="12"/>
        <v>0</v>
      </c>
      <c r="L214" s="5">
        <v>0</v>
      </c>
      <c r="M214" s="5">
        <v>0</v>
      </c>
      <c r="N214" s="4">
        <v>1</v>
      </c>
      <c r="O214" s="5">
        <f t="shared" si="13"/>
        <v>9832.0300000000007</v>
      </c>
      <c r="P214" s="250">
        <v>9832.0300000000007</v>
      </c>
      <c r="Q214" s="5">
        <v>0</v>
      </c>
      <c r="R214" s="6"/>
    </row>
    <row r="215" spans="1:18" ht="25.5" x14ac:dyDescent="0.25">
      <c r="A215" s="36">
        <f t="shared" si="11"/>
        <v>80</v>
      </c>
      <c r="B215" s="3" t="s">
        <v>548</v>
      </c>
      <c r="C215" s="3" t="s">
        <v>62</v>
      </c>
      <c r="D215" s="3"/>
      <c r="E215" s="3" t="s">
        <v>549</v>
      </c>
      <c r="F215" s="3" t="s">
        <v>550</v>
      </c>
      <c r="G215" s="4" t="s">
        <v>85</v>
      </c>
      <c r="H215" s="4">
        <v>3</v>
      </c>
      <c r="I215" s="4">
        <v>1</v>
      </c>
      <c r="J215" s="4">
        <v>1</v>
      </c>
      <c r="K215" s="5">
        <f t="shared" si="12"/>
        <v>0</v>
      </c>
      <c r="L215" s="5">
        <v>0</v>
      </c>
      <c r="M215" s="5">
        <v>0</v>
      </c>
      <c r="N215" s="4">
        <v>0</v>
      </c>
      <c r="O215" s="5">
        <f t="shared" si="13"/>
        <v>0</v>
      </c>
      <c r="P215" s="5">
        <v>0</v>
      </c>
      <c r="Q215" s="5">
        <v>0</v>
      </c>
      <c r="R215" s="6"/>
    </row>
    <row r="216" spans="1:18" ht="25.5" x14ac:dyDescent="0.25">
      <c r="A216" s="36">
        <f t="shared" si="11"/>
        <v>81</v>
      </c>
      <c r="B216" s="3" t="s">
        <v>254</v>
      </c>
      <c r="C216" s="3" t="s">
        <v>62</v>
      </c>
      <c r="D216" s="3"/>
      <c r="E216" s="3" t="s">
        <v>239</v>
      </c>
      <c r="F216" s="3" t="s">
        <v>255</v>
      </c>
      <c r="G216" s="4" t="s">
        <v>85</v>
      </c>
      <c r="H216" s="4">
        <v>7</v>
      </c>
      <c r="I216" s="4">
        <v>2</v>
      </c>
      <c r="J216" s="4">
        <v>2</v>
      </c>
      <c r="K216" s="5">
        <f t="shared" si="12"/>
        <v>0</v>
      </c>
      <c r="L216" s="5">
        <v>0</v>
      </c>
      <c r="M216" s="5">
        <v>0</v>
      </c>
      <c r="N216" s="4">
        <v>0</v>
      </c>
      <c r="O216" s="5">
        <f t="shared" si="13"/>
        <v>0</v>
      </c>
      <c r="P216" s="5">
        <v>0</v>
      </c>
      <c r="Q216" s="5">
        <v>0</v>
      </c>
      <c r="R216" s="6"/>
    </row>
    <row r="217" spans="1:18" x14ac:dyDescent="0.25">
      <c r="A217" s="36">
        <f t="shared" si="11"/>
        <v>82</v>
      </c>
      <c r="B217" s="3" t="s">
        <v>587</v>
      </c>
      <c r="C217" s="3" t="s">
        <v>62</v>
      </c>
      <c r="D217" s="3" t="s">
        <v>63</v>
      </c>
      <c r="E217" s="3" t="s">
        <v>63</v>
      </c>
      <c r="F217" s="3" t="s">
        <v>609</v>
      </c>
      <c r="G217" s="4" t="s">
        <v>85</v>
      </c>
      <c r="H217" s="4">
        <v>0</v>
      </c>
      <c r="I217" s="4">
        <v>0</v>
      </c>
      <c r="J217" s="4">
        <v>0</v>
      </c>
      <c r="K217" s="5">
        <f t="shared" si="12"/>
        <v>0</v>
      </c>
      <c r="L217" s="5">
        <v>0</v>
      </c>
      <c r="M217" s="5">
        <v>0</v>
      </c>
      <c r="N217" s="4">
        <v>1</v>
      </c>
      <c r="O217" s="5">
        <f t="shared" si="13"/>
        <v>0</v>
      </c>
      <c r="P217" s="5">
        <v>0</v>
      </c>
      <c r="Q217" s="5">
        <v>0</v>
      </c>
      <c r="R217" s="6"/>
    </row>
    <row r="218" spans="1:18" ht="25.5" x14ac:dyDescent="0.25">
      <c r="A218" s="36">
        <f t="shared" si="11"/>
        <v>83</v>
      </c>
      <c r="B218" s="3" t="s">
        <v>241</v>
      </c>
      <c r="C218" s="3" t="s">
        <v>62</v>
      </c>
      <c r="D218" s="3"/>
      <c r="E218" s="3" t="s">
        <v>242</v>
      </c>
      <c r="F218" s="3" t="s">
        <v>243</v>
      </c>
      <c r="G218" s="4" t="s">
        <v>85</v>
      </c>
      <c r="H218" s="4">
        <v>9</v>
      </c>
      <c r="I218" s="4">
        <v>7</v>
      </c>
      <c r="J218" s="4">
        <v>10</v>
      </c>
      <c r="K218" s="5">
        <f t="shared" si="12"/>
        <v>0</v>
      </c>
      <c r="L218" s="5">
        <v>0</v>
      </c>
      <c r="M218" s="5">
        <v>0</v>
      </c>
      <c r="N218" s="4">
        <v>0</v>
      </c>
      <c r="O218" s="5">
        <f t="shared" si="13"/>
        <v>0</v>
      </c>
      <c r="P218" s="5">
        <v>0</v>
      </c>
      <c r="Q218" s="5">
        <v>0</v>
      </c>
      <c r="R218" s="6"/>
    </row>
    <row r="219" spans="1:18" ht="38.25" x14ac:dyDescent="0.25">
      <c r="A219" s="36">
        <f t="shared" si="11"/>
        <v>84</v>
      </c>
      <c r="B219" s="3" t="s">
        <v>38</v>
      </c>
      <c r="C219" s="3" t="s">
        <v>62</v>
      </c>
      <c r="D219" s="3" t="s">
        <v>63</v>
      </c>
      <c r="E219" s="3" t="s">
        <v>244</v>
      </c>
      <c r="F219" s="3" t="s">
        <v>245</v>
      </c>
      <c r="G219" s="4" t="s">
        <v>85</v>
      </c>
      <c r="H219" s="4">
        <v>71</v>
      </c>
      <c r="I219" s="4">
        <v>53</v>
      </c>
      <c r="J219" s="4">
        <v>85</v>
      </c>
      <c r="K219" s="5">
        <f t="shared" si="12"/>
        <v>119240.34999999999</v>
      </c>
      <c r="L219" s="5">
        <f>88032.26+31208.09</f>
        <v>119240.34999999999</v>
      </c>
      <c r="M219" s="5">
        <v>0</v>
      </c>
      <c r="N219" s="4">
        <v>79</v>
      </c>
      <c r="O219" s="5">
        <f t="shared" si="13"/>
        <v>211691.13</v>
      </c>
      <c r="P219" s="5">
        <f>180429.03+31262.1</f>
        <v>211691.13</v>
      </c>
      <c r="Q219" s="5">
        <v>0</v>
      </c>
      <c r="R219" s="6"/>
    </row>
    <row r="220" spans="1:18" ht="25.5" x14ac:dyDescent="0.25">
      <c r="A220" s="36">
        <f t="shared" si="11"/>
        <v>85</v>
      </c>
      <c r="B220" s="3" t="s">
        <v>246</v>
      </c>
      <c r="C220" s="3" t="s">
        <v>62</v>
      </c>
      <c r="D220" s="3"/>
      <c r="E220" s="3" t="s">
        <v>247</v>
      </c>
      <c r="F220" s="3" t="s">
        <v>248</v>
      </c>
      <c r="G220" s="4" t="s">
        <v>85</v>
      </c>
      <c r="H220" s="4">
        <v>28</v>
      </c>
      <c r="I220" s="4">
        <v>16</v>
      </c>
      <c r="J220" s="4">
        <v>19</v>
      </c>
      <c r="K220" s="5">
        <f t="shared" si="12"/>
        <v>7948.32</v>
      </c>
      <c r="L220" s="5">
        <f>6203.94+1744.38</f>
        <v>7948.32</v>
      </c>
      <c r="M220" s="5">
        <v>0</v>
      </c>
      <c r="N220" s="4">
        <v>0</v>
      </c>
      <c r="O220" s="5">
        <f t="shared" si="13"/>
        <v>0</v>
      </c>
      <c r="P220" s="5">
        <v>0</v>
      </c>
      <c r="Q220" s="5">
        <v>0</v>
      </c>
      <c r="R220" s="6"/>
    </row>
    <row r="221" spans="1:18" x14ac:dyDescent="0.25">
      <c r="A221" s="36">
        <f t="shared" si="11"/>
        <v>86</v>
      </c>
      <c r="B221" s="3" t="s">
        <v>256</v>
      </c>
      <c r="C221" s="3" t="s">
        <v>62</v>
      </c>
      <c r="D221" s="3"/>
      <c r="E221" s="3" t="s">
        <v>158</v>
      </c>
      <c r="F221" s="3" t="s">
        <v>257</v>
      </c>
      <c r="G221" s="4" t="s">
        <v>85</v>
      </c>
      <c r="H221" s="4">
        <v>9</v>
      </c>
      <c r="I221" s="4">
        <v>4</v>
      </c>
      <c r="J221" s="4">
        <v>4</v>
      </c>
      <c r="K221" s="5">
        <f t="shared" si="12"/>
        <v>0</v>
      </c>
      <c r="L221" s="5">
        <v>0</v>
      </c>
      <c r="M221" s="5">
        <v>0</v>
      </c>
      <c r="N221" s="4">
        <v>0</v>
      </c>
      <c r="O221" s="5">
        <f t="shared" si="13"/>
        <v>0</v>
      </c>
      <c r="P221" s="5">
        <v>0</v>
      </c>
      <c r="Q221" s="5">
        <v>0</v>
      </c>
      <c r="R221" s="6"/>
    </row>
    <row r="222" spans="1:18" ht="25.5" x14ac:dyDescent="0.25">
      <c r="A222" s="36">
        <f t="shared" si="11"/>
        <v>87</v>
      </c>
      <c r="B222" s="3" t="s">
        <v>258</v>
      </c>
      <c r="C222" s="3" t="s">
        <v>62</v>
      </c>
      <c r="D222" s="3"/>
      <c r="E222" s="3" t="s">
        <v>239</v>
      </c>
      <c r="F222" s="3" t="s">
        <v>259</v>
      </c>
      <c r="G222" s="4" t="s">
        <v>85</v>
      </c>
      <c r="H222" s="4">
        <v>27</v>
      </c>
      <c r="I222" s="4">
        <v>13</v>
      </c>
      <c r="J222" s="4">
        <v>13</v>
      </c>
      <c r="K222" s="5">
        <f t="shared" si="12"/>
        <v>8121.4400000000005</v>
      </c>
      <c r="L222" s="5">
        <f>1347.43+6774.01</f>
        <v>8121.4400000000005</v>
      </c>
      <c r="M222" s="5">
        <v>0</v>
      </c>
      <c r="N222" s="4">
        <v>0</v>
      </c>
      <c r="O222" s="5">
        <f t="shared" si="13"/>
        <v>0</v>
      </c>
      <c r="P222" s="5">
        <v>0</v>
      </c>
      <c r="Q222" s="5">
        <v>0</v>
      </c>
      <c r="R222" s="6"/>
    </row>
    <row r="223" spans="1:18" ht="25.5" x14ac:dyDescent="0.25">
      <c r="A223" s="36">
        <f t="shared" si="11"/>
        <v>88</v>
      </c>
      <c r="B223" s="3" t="s">
        <v>42</v>
      </c>
      <c r="C223" s="3" t="s">
        <v>62</v>
      </c>
      <c r="D223" s="3" t="s">
        <v>63</v>
      </c>
      <c r="E223" s="3" t="s">
        <v>78</v>
      </c>
      <c r="F223" s="3" t="s">
        <v>260</v>
      </c>
      <c r="G223" s="4" t="s">
        <v>85</v>
      </c>
      <c r="H223" s="4">
        <v>40</v>
      </c>
      <c r="I223" s="4">
        <v>27</v>
      </c>
      <c r="J223" s="4">
        <v>33</v>
      </c>
      <c r="K223" s="5">
        <f t="shared" si="12"/>
        <v>82548.67</v>
      </c>
      <c r="L223" s="5">
        <f>29428.3+53120.37</f>
        <v>82548.67</v>
      </c>
      <c r="M223" s="5">
        <v>0</v>
      </c>
      <c r="N223" s="4">
        <v>29</v>
      </c>
      <c r="O223" s="5">
        <f t="shared" si="13"/>
        <v>142852.22</v>
      </c>
      <c r="P223" s="5">
        <f>59860.09+82992.13</f>
        <v>142852.22</v>
      </c>
      <c r="Q223" s="5">
        <v>0</v>
      </c>
      <c r="R223" s="6"/>
    </row>
    <row r="224" spans="1:18" ht="25.5" x14ac:dyDescent="0.25">
      <c r="A224" s="36">
        <f t="shared" si="11"/>
        <v>89</v>
      </c>
      <c r="B224" s="3" t="s">
        <v>43</v>
      </c>
      <c r="C224" s="3" t="s">
        <v>62</v>
      </c>
      <c r="D224" s="3" t="s">
        <v>63</v>
      </c>
      <c r="E224" s="3" t="s">
        <v>72</v>
      </c>
      <c r="F224" s="3" t="s">
        <v>261</v>
      </c>
      <c r="G224" s="4" t="s">
        <v>85</v>
      </c>
      <c r="H224" s="4">
        <v>21</v>
      </c>
      <c r="I224" s="4">
        <v>15</v>
      </c>
      <c r="J224" s="4">
        <v>20</v>
      </c>
      <c r="K224" s="5">
        <f t="shared" si="12"/>
        <v>34745.93</v>
      </c>
      <c r="L224" s="5">
        <f>22770.03+11975.9</f>
        <v>34745.93</v>
      </c>
      <c r="M224" s="5">
        <v>0</v>
      </c>
      <c r="N224" s="4">
        <v>37</v>
      </c>
      <c r="O224" s="5">
        <f t="shared" si="13"/>
        <v>170589.94</v>
      </c>
      <c r="P224" s="5">
        <f>87291.33+83298.61</f>
        <v>170589.94</v>
      </c>
      <c r="Q224" s="5">
        <v>0</v>
      </c>
      <c r="R224" s="6"/>
    </row>
    <row r="225" spans="1:18" x14ac:dyDescent="0.25">
      <c r="A225" s="36">
        <f t="shared" si="11"/>
        <v>90</v>
      </c>
      <c r="B225" s="3" t="s">
        <v>44</v>
      </c>
      <c r="C225" s="3" t="s">
        <v>62</v>
      </c>
      <c r="D225" s="3" t="s">
        <v>63</v>
      </c>
      <c r="E225" s="3" t="s">
        <v>74</v>
      </c>
      <c r="F225" s="3" t="s">
        <v>262</v>
      </c>
      <c r="G225" s="4" t="s">
        <v>85</v>
      </c>
      <c r="H225" s="4">
        <v>38</v>
      </c>
      <c r="I225" s="4">
        <v>27</v>
      </c>
      <c r="J225" s="4">
        <v>31</v>
      </c>
      <c r="K225" s="5">
        <f t="shared" si="12"/>
        <v>9759.7199999999993</v>
      </c>
      <c r="L225" s="5">
        <v>9759.7199999999993</v>
      </c>
      <c r="M225" s="5">
        <v>0</v>
      </c>
      <c r="N225" s="4">
        <v>33</v>
      </c>
      <c r="O225" s="5">
        <f t="shared" si="13"/>
        <v>127317.61000000002</v>
      </c>
      <c r="P225" s="5">
        <f>80034.32+31072.33</f>
        <v>111106.65000000001</v>
      </c>
      <c r="Q225" s="5">
        <v>16210.96</v>
      </c>
      <c r="R225" s="6"/>
    </row>
    <row r="226" spans="1:18" ht="25.5" x14ac:dyDescent="0.25">
      <c r="A226" s="36">
        <f t="shared" si="11"/>
        <v>91</v>
      </c>
      <c r="B226" s="3" t="s">
        <v>45</v>
      </c>
      <c r="C226" s="3" t="s">
        <v>62</v>
      </c>
      <c r="D226" s="3" t="s">
        <v>63</v>
      </c>
      <c r="E226" s="3" t="s">
        <v>79</v>
      </c>
      <c r="F226" s="3" t="s">
        <v>263</v>
      </c>
      <c r="G226" s="4" t="s">
        <v>85</v>
      </c>
      <c r="H226" s="4">
        <v>14</v>
      </c>
      <c r="I226" s="4">
        <v>9</v>
      </c>
      <c r="J226" s="4">
        <v>14</v>
      </c>
      <c r="K226" s="5">
        <f t="shared" si="12"/>
        <v>21822.1</v>
      </c>
      <c r="L226" s="5">
        <f>7644.39+14177.71</f>
        <v>21822.1</v>
      </c>
      <c r="M226" s="5">
        <v>0</v>
      </c>
      <c r="N226" s="4">
        <v>3</v>
      </c>
      <c r="O226" s="5">
        <f t="shared" si="13"/>
        <v>17166.18</v>
      </c>
      <c r="P226" s="5">
        <v>17166.18</v>
      </c>
      <c r="Q226" s="5">
        <v>0</v>
      </c>
      <c r="R226" s="6"/>
    </row>
    <row r="227" spans="1:18" x14ac:dyDescent="0.25">
      <c r="A227" s="36">
        <f t="shared" si="11"/>
        <v>92</v>
      </c>
      <c r="B227" s="3" t="s">
        <v>264</v>
      </c>
      <c r="C227" s="3" t="s">
        <v>62</v>
      </c>
      <c r="D227" s="3" t="s">
        <v>63</v>
      </c>
      <c r="E227" s="3" t="s">
        <v>74</v>
      </c>
      <c r="F227" s="3" t="s">
        <v>265</v>
      </c>
      <c r="G227" s="4" t="s">
        <v>85</v>
      </c>
      <c r="H227" s="4">
        <v>23</v>
      </c>
      <c r="I227" s="4">
        <v>17</v>
      </c>
      <c r="J227" s="4">
        <v>19</v>
      </c>
      <c r="K227" s="5">
        <f t="shared" si="12"/>
        <v>13387.96</v>
      </c>
      <c r="L227" s="5">
        <f>10073.64+3314.32</f>
        <v>13387.96</v>
      </c>
      <c r="M227" s="5">
        <v>0</v>
      </c>
      <c r="N227" s="4">
        <v>0</v>
      </c>
      <c r="O227" s="5">
        <f t="shared" si="13"/>
        <v>0</v>
      </c>
      <c r="P227" s="5">
        <v>0</v>
      </c>
      <c r="Q227" s="5">
        <v>0</v>
      </c>
      <c r="R227" s="6"/>
    </row>
    <row r="228" spans="1:18" ht="25.5" x14ac:dyDescent="0.25">
      <c r="A228" s="36">
        <f t="shared" si="11"/>
        <v>93</v>
      </c>
      <c r="B228" s="3" t="s">
        <v>119</v>
      </c>
      <c r="C228" s="3" t="s">
        <v>62</v>
      </c>
      <c r="D228" s="3" t="s">
        <v>63</v>
      </c>
      <c r="E228" s="3" t="s">
        <v>108</v>
      </c>
      <c r="F228" s="3" t="s">
        <v>266</v>
      </c>
      <c r="G228" s="4" t="s">
        <v>85</v>
      </c>
      <c r="H228" s="4">
        <v>16</v>
      </c>
      <c r="I228" s="4">
        <v>12</v>
      </c>
      <c r="J228" s="4">
        <v>14</v>
      </c>
      <c r="K228" s="5">
        <f t="shared" si="12"/>
        <v>12773.45</v>
      </c>
      <c r="L228" s="5">
        <f>8738.09+4035.36</f>
        <v>12773.45</v>
      </c>
      <c r="M228" s="5">
        <v>0</v>
      </c>
      <c r="N228" s="4">
        <v>3</v>
      </c>
      <c r="O228" s="5">
        <f t="shared" si="13"/>
        <v>1291.3499999999999</v>
      </c>
      <c r="P228" s="5">
        <v>1291.3499999999999</v>
      </c>
      <c r="Q228" s="5">
        <v>0</v>
      </c>
      <c r="R228" s="6"/>
    </row>
    <row r="229" spans="1:18" ht="38.25" x14ac:dyDescent="0.25">
      <c r="A229" s="36">
        <f t="shared" si="11"/>
        <v>94</v>
      </c>
      <c r="B229" s="3" t="s">
        <v>46</v>
      </c>
      <c r="C229" s="3" t="s">
        <v>62</v>
      </c>
      <c r="D229" s="3" t="s">
        <v>63</v>
      </c>
      <c r="E229" s="3" t="s">
        <v>267</v>
      </c>
      <c r="F229" s="3" t="s">
        <v>268</v>
      </c>
      <c r="G229" s="4" t="s">
        <v>85</v>
      </c>
      <c r="H229" s="4">
        <v>19</v>
      </c>
      <c r="I229" s="4">
        <v>15</v>
      </c>
      <c r="J229" s="4">
        <v>24</v>
      </c>
      <c r="K229" s="5">
        <f t="shared" si="12"/>
        <v>40625.67</v>
      </c>
      <c r="L229" s="5">
        <f>19256.34+21369.33</f>
        <v>40625.67</v>
      </c>
      <c r="M229" s="5">
        <v>0</v>
      </c>
      <c r="N229" s="4">
        <v>22</v>
      </c>
      <c r="O229" s="5">
        <f t="shared" si="13"/>
        <v>115902.94</v>
      </c>
      <c r="P229" s="5">
        <f>91463.84+24439.1</f>
        <v>115902.94</v>
      </c>
      <c r="Q229" s="5">
        <v>0</v>
      </c>
      <c r="R229" s="6"/>
    </row>
    <row r="230" spans="1:18" ht="25.5" x14ac:dyDescent="0.25">
      <c r="A230" s="36">
        <f t="shared" si="11"/>
        <v>95</v>
      </c>
      <c r="B230" s="3" t="s">
        <v>47</v>
      </c>
      <c r="C230" s="3" t="s">
        <v>62</v>
      </c>
      <c r="D230" s="3" t="s">
        <v>63</v>
      </c>
      <c r="E230" s="3" t="s">
        <v>80</v>
      </c>
      <c r="F230" s="3" t="s">
        <v>269</v>
      </c>
      <c r="G230" s="4" t="s">
        <v>85</v>
      </c>
      <c r="H230" s="4">
        <v>62</v>
      </c>
      <c r="I230" s="4">
        <v>48</v>
      </c>
      <c r="J230" s="4">
        <v>71</v>
      </c>
      <c r="K230" s="5">
        <f t="shared" si="12"/>
        <v>96454.75</v>
      </c>
      <c r="L230" s="5">
        <f>61380.47+35074.28</f>
        <v>96454.75</v>
      </c>
      <c r="M230" s="5">
        <v>0</v>
      </c>
      <c r="N230" s="4">
        <v>109</v>
      </c>
      <c r="O230" s="5">
        <f t="shared" si="13"/>
        <v>399569.57999999996</v>
      </c>
      <c r="P230" s="5">
        <f>295249.23+104320.35</f>
        <v>399569.57999999996</v>
      </c>
      <c r="Q230" s="5">
        <v>0</v>
      </c>
      <c r="R230" s="6"/>
    </row>
    <row r="231" spans="1:18" ht="25.5" x14ac:dyDescent="0.25">
      <c r="A231" s="36">
        <f t="shared" si="11"/>
        <v>96</v>
      </c>
      <c r="B231" s="3" t="s">
        <v>270</v>
      </c>
      <c r="C231" s="3" t="s">
        <v>62</v>
      </c>
      <c r="D231" s="3"/>
      <c r="E231" s="3" t="s">
        <v>271</v>
      </c>
      <c r="F231" s="3" t="s">
        <v>272</v>
      </c>
      <c r="G231" s="4" t="s">
        <v>85</v>
      </c>
      <c r="H231" s="4">
        <v>14</v>
      </c>
      <c r="I231" s="4">
        <v>8</v>
      </c>
      <c r="J231" s="4">
        <v>10</v>
      </c>
      <c r="K231" s="5">
        <f t="shared" si="12"/>
        <v>0</v>
      </c>
      <c r="L231" s="5">
        <v>0</v>
      </c>
      <c r="M231" s="5">
        <v>0</v>
      </c>
      <c r="N231" s="4">
        <v>0</v>
      </c>
      <c r="O231" s="5">
        <f t="shared" si="13"/>
        <v>0</v>
      </c>
      <c r="P231" s="5">
        <v>0</v>
      </c>
      <c r="Q231" s="5">
        <v>0</v>
      </c>
      <c r="R231" s="6"/>
    </row>
    <row r="232" spans="1:18" ht="25.5" x14ac:dyDescent="0.25">
      <c r="A232" s="36">
        <f t="shared" si="11"/>
        <v>97</v>
      </c>
      <c r="B232" s="3" t="s">
        <v>273</v>
      </c>
      <c r="C232" s="3" t="s">
        <v>62</v>
      </c>
      <c r="D232" s="3"/>
      <c r="E232" s="3" t="s">
        <v>186</v>
      </c>
      <c r="F232" s="3" t="s">
        <v>511</v>
      </c>
      <c r="G232" s="4" t="s">
        <v>85</v>
      </c>
      <c r="H232" s="4">
        <v>7</v>
      </c>
      <c r="I232" s="4">
        <v>0</v>
      </c>
      <c r="J232" s="4">
        <v>0</v>
      </c>
      <c r="K232" s="5">
        <f t="shared" si="12"/>
        <v>0</v>
      </c>
      <c r="L232" s="5">
        <v>0</v>
      </c>
      <c r="M232" s="5">
        <v>0</v>
      </c>
      <c r="N232" s="4">
        <v>0</v>
      </c>
      <c r="O232" s="5">
        <f t="shared" si="13"/>
        <v>0</v>
      </c>
      <c r="P232" s="5">
        <v>0</v>
      </c>
      <c r="Q232" s="5">
        <v>0</v>
      </c>
      <c r="R232" s="6"/>
    </row>
    <row r="233" spans="1:18" x14ac:dyDescent="0.25">
      <c r="A233" s="36">
        <f t="shared" si="11"/>
        <v>98</v>
      </c>
      <c r="B233" s="3" t="s">
        <v>490</v>
      </c>
      <c r="C233" s="3" t="s">
        <v>62</v>
      </c>
      <c r="D233" s="3"/>
      <c r="E233" s="3" t="s">
        <v>491</v>
      </c>
      <c r="F233" s="3" t="s">
        <v>492</v>
      </c>
      <c r="G233" s="4" t="s">
        <v>85</v>
      </c>
      <c r="H233" s="4">
        <v>10</v>
      </c>
      <c r="I233" s="4">
        <v>6</v>
      </c>
      <c r="J233" s="4">
        <v>8</v>
      </c>
      <c r="K233" s="5">
        <f t="shared" si="12"/>
        <v>1351.45</v>
      </c>
      <c r="L233" s="5">
        <v>1351.45</v>
      </c>
      <c r="M233" s="5">
        <v>0</v>
      </c>
      <c r="N233" s="4">
        <v>0</v>
      </c>
      <c r="O233" s="5">
        <f t="shared" si="13"/>
        <v>0</v>
      </c>
      <c r="P233" s="5">
        <v>0</v>
      </c>
      <c r="Q233" s="5">
        <v>0</v>
      </c>
      <c r="R233" s="6"/>
    </row>
    <row r="234" spans="1:18" x14ac:dyDescent="0.25">
      <c r="A234" s="36">
        <f t="shared" si="11"/>
        <v>99</v>
      </c>
      <c r="B234" s="3" t="s">
        <v>94</v>
      </c>
      <c r="C234" s="3" t="s">
        <v>62</v>
      </c>
      <c r="D234" s="3" t="s">
        <v>63</v>
      </c>
      <c r="E234" s="3" t="s">
        <v>74</v>
      </c>
      <c r="F234" s="3" t="s">
        <v>274</v>
      </c>
      <c r="G234" s="4" t="s">
        <v>85</v>
      </c>
      <c r="H234" s="4">
        <v>14</v>
      </c>
      <c r="I234" s="4">
        <v>2</v>
      </c>
      <c r="J234" s="4">
        <v>2</v>
      </c>
      <c r="K234" s="5">
        <f t="shared" si="12"/>
        <v>0</v>
      </c>
      <c r="L234" s="5">
        <v>0</v>
      </c>
      <c r="M234" s="5">
        <v>0</v>
      </c>
      <c r="N234" s="4">
        <v>6</v>
      </c>
      <c r="O234" s="5">
        <f t="shared" si="13"/>
        <v>0</v>
      </c>
      <c r="P234" s="5">
        <v>0</v>
      </c>
      <c r="Q234" s="5">
        <v>0</v>
      </c>
      <c r="R234" s="6"/>
    </row>
    <row r="235" spans="1:18" ht="25.5" x14ac:dyDescent="0.25">
      <c r="A235" s="36">
        <f t="shared" si="11"/>
        <v>100</v>
      </c>
      <c r="B235" s="3" t="s">
        <v>120</v>
      </c>
      <c r="C235" s="3" t="s">
        <v>67</v>
      </c>
      <c r="D235" s="3" t="s">
        <v>493</v>
      </c>
      <c r="E235" s="3" t="s">
        <v>121</v>
      </c>
      <c r="F235" s="3" t="s">
        <v>468</v>
      </c>
      <c r="G235" s="4" t="s">
        <v>85</v>
      </c>
      <c r="H235" s="4">
        <v>9</v>
      </c>
      <c r="I235" s="4">
        <v>6</v>
      </c>
      <c r="J235" s="4">
        <v>7</v>
      </c>
      <c r="K235" s="5">
        <f t="shared" si="12"/>
        <v>6114.84</v>
      </c>
      <c r="L235" s="250">
        <v>6114.84</v>
      </c>
      <c r="M235" s="5">
        <v>0</v>
      </c>
      <c r="N235" s="4">
        <v>0</v>
      </c>
      <c r="O235" s="5">
        <f t="shared" si="13"/>
        <v>0</v>
      </c>
      <c r="P235" s="5">
        <v>0</v>
      </c>
      <c r="Q235" s="5">
        <v>0</v>
      </c>
      <c r="R235" s="6"/>
    </row>
    <row r="236" spans="1:18" ht="25.5" x14ac:dyDescent="0.25">
      <c r="A236" s="36">
        <f t="shared" si="11"/>
        <v>101</v>
      </c>
      <c r="B236" s="3" t="s">
        <v>407</v>
      </c>
      <c r="C236" s="3" t="s">
        <v>62</v>
      </c>
      <c r="D236" s="3"/>
      <c r="E236" s="3" t="s">
        <v>186</v>
      </c>
      <c r="F236" s="3" t="s">
        <v>512</v>
      </c>
      <c r="G236" s="4" t="s">
        <v>85</v>
      </c>
      <c r="H236" s="4">
        <v>2</v>
      </c>
      <c r="I236" s="4">
        <v>2</v>
      </c>
      <c r="J236" s="4">
        <v>2</v>
      </c>
      <c r="K236" s="5">
        <f t="shared" si="12"/>
        <v>0</v>
      </c>
      <c r="L236" s="5">
        <v>0</v>
      </c>
      <c r="M236" s="5">
        <v>0</v>
      </c>
      <c r="N236" s="4">
        <v>0</v>
      </c>
      <c r="O236" s="5">
        <f t="shared" si="13"/>
        <v>0</v>
      </c>
      <c r="P236" s="5">
        <v>0</v>
      </c>
      <c r="Q236" s="5">
        <v>0</v>
      </c>
      <c r="R236" s="6"/>
    </row>
    <row r="237" spans="1:18" ht="25.5" x14ac:dyDescent="0.25">
      <c r="A237" s="36">
        <f t="shared" si="11"/>
        <v>102</v>
      </c>
      <c r="B237" s="3" t="s">
        <v>122</v>
      </c>
      <c r="C237" s="3" t="s">
        <v>62</v>
      </c>
      <c r="D237" s="3" t="s">
        <v>63</v>
      </c>
      <c r="E237" s="3" t="s">
        <v>275</v>
      </c>
      <c r="F237" s="3" t="s">
        <v>276</v>
      </c>
      <c r="G237" s="4" t="s">
        <v>85</v>
      </c>
      <c r="H237" s="4">
        <v>11</v>
      </c>
      <c r="I237" s="4">
        <v>10</v>
      </c>
      <c r="J237" s="4">
        <v>14</v>
      </c>
      <c r="K237" s="5">
        <f t="shared" si="12"/>
        <v>9708.09</v>
      </c>
      <c r="L237" s="5">
        <f>5471.36+4236.73</f>
        <v>9708.09</v>
      </c>
      <c r="M237" s="5">
        <v>0</v>
      </c>
      <c r="N237" s="4">
        <v>5</v>
      </c>
      <c r="O237" s="5">
        <f t="shared" si="13"/>
        <v>9159.130000000001</v>
      </c>
      <c r="P237" s="5">
        <f>7270.27+1888.86</f>
        <v>9159.130000000001</v>
      </c>
      <c r="Q237" s="5">
        <v>0</v>
      </c>
      <c r="R237" s="6"/>
    </row>
    <row r="238" spans="1:18" x14ac:dyDescent="0.25">
      <c r="A238" s="36">
        <f t="shared" si="11"/>
        <v>103</v>
      </c>
      <c r="B238" s="3" t="s">
        <v>133</v>
      </c>
      <c r="C238" s="3" t="s">
        <v>67</v>
      </c>
      <c r="D238" s="3" t="s">
        <v>494</v>
      </c>
      <c r="E238" s="3" t="s">
        <v>74</v>
      </c>
      <c r="F238" s="3" t="s">
        <v>620</v>
      </c>
      <c r="G238" s="4" t="s">
        <v>85</v>
      </c>
      <c r="H238" s="4">
        <v>9</v>
      </c>
      <c r="I238" s="4">
        <v>5</v>
      </c>
      <c r="J238" s="4">
        <v>7</v>
      </c>
      <c r="K238" s="5">
        <f t="shared" si="12"/>
        <v>13016.5</v>
      </c>
      <c r="L238" s="5">
        <f>6859.43+6157.07</f>
        <v>13016.5</v>
      </c>
      <c r="M238" s="5">
        <v>0</v>
      </c>
      <c r="N238" s="4">
        <v>0</v>
      </c>
      <c r="O238" s="5">
        <f t="shared" si="13"/>
        <v>0</v>
      </c>
      <c r="P238" s="5">
        <v>0</v>
      </c>
      <c r="Q238" s="5">
        <v>0</v>
      </c>
      <c r="R238" s="6"/>
    </row>
    <row r="239" spans="1:18" x14ac:dyDescent="0.25">
      <c r="A239" s="36">
        <f t="shared" si="11"/>
        <v>104</v>
      </c>
      <c r="B239" s="3" t="s">
        <v>96</v>
      </c>
      <c r="C239" s="3" t="s">
        <v>62</v>
      </c>
      <c r="D239" s="3" t="s">
        <v>63</v>
      </c>
      <c r="E239" s="3" t="s">
        <v>98</v>
      </c>
      <c r="F239" s="3" t="s">
        <v>277</v>
      </c>
      <c r="G239" s="4" t="s">
        <v>85</v>
      </c>
      <c r="H239" s="4">
        <v>32</v>
      </c>
      <c r="I239" s="4">
        <v>10</v>
      </c>
      <c r="J239" s="4">
        <v>12</v>
      </c>
      <c r="K239" s="5">
        <f t="shared" si="12"/>
        <v>7539.6</v>
      </c>
      <c r="L239" s="5">
        <v>7539.6</v>
      </c>
      <c r="M239" s="5">
        <v>0</v>
      </c>
      <c r="N239" s="4">
        <v>11</v>
      </c>
      <c r="O239" s="5">
        <f t="shared" si="13"/>
        <v>24982.959999999999</v>
      </c>
      <c r="P239" s="5">
        <f>18644+6338.96</f>
        <v>24982.959999999999</v>
      </c>
      <c r="Q239" s="5">
        <v>0</v>
      </c>
      <c r="R239" s="6"/>
    </row>
    <row r="240" spans="1:18" ht="25.5" x14ac:dyDescent="0.25">
      <c r="A240" s="36">
        <f t="shared" si="11"/>
        <v>105</v>
      </c>
      <c r="B240" s="3" t="s">
        <v>48</v>
      </c>
      <c r="C240" s="3" t="s">
        <v>62</v>
      </c>
      <c r="D240" s="3" t="s">
        <v>63</v>
      </c>
      <c r="E240" s="3" t="s">
        <v>81</v>
      </c>
      <c r="F240" s="3" t="s">
        <v>278</v>
      </c>
      <c r="G240" s="4" t="s">
        <v>85</v>
      </c>
      <c r="H240" s="4">
        <v>39</v>
      </c>
      <c r="I240" s="4">
        <v>32</v>
      </c>
      <c r="J240" s="4">
        <v>45</v>
      </c>
      <c r="K240" s="5">
        <f t="shared" si="12"/>
        <v>62074.87</v>
      </c>
      <c r="L240" s="5">
        <f>11717.75+50357.12</f>
        <v>62074.87</v>
      </c>
      <c r="M240" s="5">
        <v>0</v>
      </c>
      <c r="N240" s="4">
        <v>12</v>
      </c>
      <c r="O240" s="5">
        <f t="shared" si="13"/>
        <v>51526.95</v>
      </c>
      <c r="P240" s="5">
        <f>34796.1+16730.85</f>
        <v>51526.95</v>
      </c>
      <c r="Q240" s="5">
        <v>0</v>
      </c>
      <c r="R240" s="6"/>
    </row>
    <row r="241" spans="1:18" ht="25.5" x14ac:dyDescent="0.25">
      <c r="A241" s="36">
        <f t="shared" si="11"/>
        <v>106</v>
      </c>
      <c r="B241" s="3" t="s">
        <v>50</v>
      </c>
      <c r="C241" s="3" t="s">
        <v>67</v>
      </c>
      <c r="D241" s="3" t="s">
        <v>123</v>
      </c>
      <c r="E241" s="3" t="s">
        <v>82</v>
      </c>
      <c r="F241" s="3" t="s">
        <v>280</v>
      </c>
      <c r="G241" s="4" t="s">
        <v>85</v>
      </c>
      <c r="H241" s="4">
        <v>7</v>
      </c>
      <c r="I241" s="4">
        <v>1</v>
      </c>
      <c r="J241" s="4">
        <v>1</v>
      </c>
      <c r="K241" s="5">
        <f t="shared" si="12"/>
        <v>1860.67</v>
      </c>
      <c r="L241" s="5">
        <v>1860.67</v>
      </c>
      <c r="M241" s="5">
        <v>0</v>
      </c>
      <c r="N241" s="4">
        <v>4</v>
      </c>
      <c r="O241" s="5">
        <f t="shared" si="13"/>
        <v>19968.23</v>
      </c>
      <c r="P241" s="5">
        <f>7205.22+12763.01</f>
        <v>19968.23</v>
      </c>
      <c r="Q241" s="5">
        <v>0</v>
      </c>
      <c r="R241" s="6"/>
    </row>
    <row r="242" spans="1:18" ht="25.5" x14ac:dyDescent="0.25">
      <c r="A242" s="36">
        <f t="shared" si="11"/>
        <v>107</v>
      </c>
      <c r="B242" s="3" t="s">
        <v>281</v>
      </c>
      <c r="C242" s="3" t="s">
        <v>62</v>
      </c>
      <c r="D242" s="3"/>
      <c r="E242" s="3" t="s">
        <v>282</v>
      </c>
      <c r="F242" s="3" t="s">
        <v>283</v>
      </c>
      <c r="G242" s="4" t="s">
        <v>85</v>
      </c>
      <c r="H242" s="4">
        <v>23</v>
      </c>
      <c r="I242" s="4">
        <v>5</v>
      </c>
      <c r="J242" s="4">
        <v>5</v>
      </c>
      <c r="K242" s="5">
        <f t="shared" si="12"/>
        <v>2685.29</v>
      </c>
      <c r="L242" s="5">
        <v>2685.29</v>
      </c>
      <c r="M242" s="5">
        <v>0</v>
      </c>
      <c r="N242" s="4">
        <v>0</v>
      </c>
      <c r="O242" s="5">
        <f t="shared" si="13"/>
        <v>0</v>
      </c>
      <c r="P242" s="5">
        <v>0</v>
      </c>
      <c r="Q242" s="5">
        <v>0</v>
      </c>
      <c r="R242" s="6"/>
    </row>
    <row r="243" spans="1:18" x14ac:dyDescent="0.25">
      <c r="A243" s="36">
        <f t="shared" si="11"/>
        <v>108</v>
      </c>
      <c r="B243" s="3" t="s">
        <v>49</v>
      </c>
      <c r="C243" s="3" t="s">
        <v>62</v>
      </c>
      <c r="D243" s="3" t="s">
        <v>63</v>
      </c>
      <c r="E243" s="3" t="s">
        <v>74</v>
      </c>
      <c r="F243" s="3" t="s">
        <v>279</v>
      </c>
      <c r="G243" s="4" t="s">
        <v>85</v>
      </c>
      <c r="H243" s="4">
        <v>22</v>
      </c>
      <c r="I243" s="4">
        <v>18</v>
      </c>
      <c r="J243" s="4">
        <v>20</v>
      </c>
      <c r="K243" s="5">
        <f t="shared" si="12"/>
        <v>16429.5</v>
      </c>
      <c r="L243" s="5">
        <f>10483.14+5946.36</f>
        <v>16429.5</v>
      </c>
      <c r="M243" s="5">
        <v>0</v>
      </c>
      <c r="N243" s="4">
        <v>5</v>
      </c>
      <c r="O243" s="5">
        <f t="shared" si="13"/>
        <v>37590.26</v>
      </c>
      <c r="P243" s="5">
        <v>37590.26</v>
      </c>
      <c r="Q243" s="5">
        <v>0</v>
      </c>
      <c r="R243" s="6"/>
    </row>
    <row r="244" spans="1:18" x14ac:dyDescent="0.25">
      <c r="A244" s="36">
        <f t="shared" si="11"/>
        <v>109</v>
      </c>
      <c r="B244" s="3" t="s">
        <v>124</v>
      </c>
      <c r="C244" s="3" t="s">
        <v>62</v>
      </c>
      <c r="D244" s="3" t="s">
        <v>63</v>
      </c>
      <c r="E244" s="3" t="s">
        <v>63</v>
      </c>
      <c r="F244" s="3" t="s">
        <v>284</v>
      </c>
      <c r="G244" s="4" t="s">
        <v>85</v>
      </c>
      <c r="H244" s="4">
        <v>30</v>
      </c>
      <c r="I244" s="4">
        <v>25</v>
      </c>
      <c r="J244" s="4">
        <v>32</v>
      </c>
      <c r="K244" s="5">
        <f t="shared" si="12"/>
        <v>29499.34</v>
      </c>
      <c r="L244" s="5">
        <f>18034.61+11464.73</f>
        <v>29499.34</v>
      </c>
      <c r="M244" s="5">
        <v>0</v>
      </c>
      <c r="N244" s="4">
        <v>16</v>
      </c>
      <c r="O244" s="5">
        <f t="shared" si="13"/>
        <v>18186.439999999999</v>
      </c>
      <c r="P244" s="5">
        <v>18186.439999999999</v>
      </c>
      <c r="Q244" s="5">
        <v>0</v>
      </c>
      <c r="R244" s="6"/>
    </row>
    <row r="245" spans="1:18" x14ac:dyDescent="0.25">
      <c r="A245" s="36">
        <f t="shared" si="11"/>
        <v>110</v>
      </c>
      <c r="B245" s="3" t="s">
        <v>51</v>
      </c>
      <c r="C245" s="3" t="s">
        <v>62</v>
      </c>
      <c r="D245" s="3" t="s">
        <v>63</v>
      </c>
      <c r="E245" s="3" t="s">
        <v>74</v>
      </c>
      <c r="F245" s="3" t="s">
        <v>285</v>
      </c>
      <c r="G245" s="4" t="s">
        <v>85</v>
      </c>
      <c r="H245" s="4">
        <v>16</v>
      </c>
      <c r="I245" s="4">
        <v>15</v>
      </c>
      <c r="J245" s="4">
        <v>15</v>
      </c>
      <c r="K245" s="5">
        <f t="shared" si="12"/>
        <v>5873.82</v>
      </c>
      <c r="L245" s="5">
        <f>2325.74+3548.08</f>
        <v>5873.82</v>
      </c>
      <c r="M245" s="5">
        <v>0</v>
      </c>
      <c r="N245" s="4">
        <v>10</v>
      </c>
      <c r="O245" s="5">
        <f t="shared" si="13"/>
        <v>1797.24</v>
      </c>
      <c r="P245" s="5">
        <v>1797.24</v>
      </c>
      <c r="Q245" s="5">
        <v>0</v>
      </c>
      <c r="R245" s="6"/>
    </row>
    <row r="246" spans="1:18" ht="25.5" x14ac:dyDescent="0.25">
      <c r="A246" s="36">
        <f t="shared" si="11"/>
        <v>111</v>
      </c>
      <c r="B246" s="3" t="s">
        <v>286</v>
      </c>
      <c r="C246" s="3" t="s">
        <v>62</v>
      </c>
      <c r="D246" s="3"/>
      <c r="E246" s="3" t="s">
        <v>174</v>
      </c>
      <c r="F246" s="3" t="s">
        <v>287</v>
      </c>
      <c r="G246" s="4" t="s">
        <v>85</v>
      </c>
      <c r="H246" s="4">
        <v>10</v>
      </c>
      <c r="I246" s="4">
        <v>8</v>
      </c>
      <c r="J246" s="4">
        <v>9</v>
      </c>
      <c r="K246" s="5">
        <f t="shared" si="12"/>
        <v>2790.5699999999997</v>
      </c>
      <c r="L246" s="5">
        <f>1399.03+1391.54</f>
        <v>2790.5699999999997</v>
      </c>
      <c r="M246" s="5">
        <v>0</v>
      </c>
      <c r="N246" s="4">
        <v>0</v>
      </c>
      <c r="O246" s="5">
        <f t="shared" si="13"/>
        <v>0</v>
      </c>
      <c r="P246" s="5">
        <v>0</v>
      </c>
      <c r="Q246" s="5">
        <v>0</v>
      </c>
      <c r="R246" s="6"/>
    </row>
    <row r="247" spans="1:18" x14ac:dyDescent="0.25">
      <c r="A247" s="36">
        <f t="shared" si="11"/>
        <v>112</v>
      </c>
      <c r="B247" s="3" t="s">
        <v>52</v>
      </c>
      <c r="C247" s="3" t="s">
        <v>62</v>
      </c>
      <c r="D247" s="3" t="s">
        <v>63</v>
      </c>
      <c r="E247" s="3" t="s">
        <v>74</v>
      </c>
      <c r="F247" s="3" t="s">
        <v>125</v>
      </c>
      <c r="G247" s="4" t="s">
        <v>85</v>
      </c>
      <c r="H247" s="4">
        <v>3</v>
      </c>
      <c r="I247" s="4">
        <v>0</v>
      </c>
      <c r="J247" s="4">
        <v>0</v>
      </c>
      <c r="K247" s="5">
        <f t="shared" si="12"/>
        <v>0</v>
      </c>
      <c r="L247" s="5">
        <v>0</v>
      </c>
      <c r="M247" s="5">
        <v>0</v>
      </c>
      <c r="N247" s="4">
        <v>0</v>
      </c>
      <c r="O247" s="5">
        <f t="shared" si="13"/>
        <v>0</v>
      </c>
      <c r="P247" s="5">
        <v>0</v>
      </c>
      <c r="Q247" s="5">
        <v>0</v>
      </c>
      <c r="R247" s="6"/>
    </row>
    <row r="248" spans="1:18" x14ac:dyDescent="0.25">
      <c r="A248" s="36">
        <f t="shared" si="11"/>
        <v>113</v>
      </c>
      <c r="B248" s="3" t="s">
        <v>469</v>
      </c>
      <c r="C248" s="3" t="s">
        <v>62</v>
      </c>
      <c r="D248" s="3" t="s">
        <v>63</v>
      </c>
      <c r="E248" s="3" t="s">
        <v>74</v>
      </c>
      <c r="F248" s="3" t="s">
        <v>470</v>
      </c>
      <c r="G248" s="4" t="s">
        <v>85</v>
      </c>
      <c r="H248" s="4">
        <v>1</v>
      </c>
      <c r="I248" s="4">
        <v>0</v>
      </c>
      <c r="J248" s="4">
        <v>0</v>
      </c>
      <c r="K248" s="5">
        <f t="shared" si="12"/>
        <v>0</v>
      </c>
      <c r="L248" s="5">
        <v>0</v>
      </c>
      <c r="M248" s="5">
        <v>0</v>
      </c>
      <c r="N248" s="4">
        <v>0</v>
      </c>
      <c r="O248" s="5">
        <f t="shared" si="13"/>
        <v>0</v>
      </c>
      <c r="P248" s="5">
        <v>0</v>
      </c>
      <c r="Q248" s="5">
        <v>0</v>
      </c>
      <c r="R248" s="6"/>
    </row>
    <row r="249" spans="1:18" x14ac:dyDescent="0.25">
      <c r="A249" s="36">
        <f t="shared" si="11"/>
        <v>114</v>
      </c>
      <c r="B249" s="3" t="s">
        <v>53</v>
      </c>
      <c r="C249" s="3" t="s">
        <v>62</v>
      </c>
      <c r="D249" s="3" t="s">
        <v>63</v>
      </c>
      <c r="E249" s="3" t="s">
        <v>74</v>
      </c>
      <c r="F249" s="3" t="s">
        <v>126</v>
      </c>
      <c r="G249" s="4" t="s">
        <v>85</v>
      </c>
      <c r="H249" s="4">
        <v>8</v>
      </c>
      <c r="I249" s="4">
        <v>0</v>
      </c>
      <c r="J249" s="4">
        <v>0</v>
      </c>
      <c r="K249" s="5">
        <f t="shared" si="12"/>
        <v>0</v>
      </c>
      <c r="L249" s="5">
        <v>0</v>
      </c>
      <c r="M249" s="5">
        <v>0</v>
      </c>
      <c r="N249" s="4">
        <v>0</v>
      </c>
      <c r="O249" s="5">
        <f t="shared" si="13"/>
        <v>0</v>
      </c>
      <c r="P249" s="5">
        <v>0</v>
      </c>
      <c r="Q249" s="5">
        <v>0</v>
      </c>
      <c r="R249" s="6"/>
    </row>
    <row r="250" spans="1:18" x14ac:dyDescent="0.25">
      <c r="A250" s="36">
        <f t="shared" si="11"/>
        <v>115</v>
      </c>
      <c r="B250" s="3" t="s">
        <v>151</v>
      </c>
      <c r="C250" s="3" t="s">
        <v>62</v>
      </c>
      <c r="D250" s="3" t="s">
        <v>63</v>
      </c>
      <c r="E250" s="3" t="s">
        <v>74</v>
      </c>
      <c r="F250" s="3" t="s">
        <v>288</v>
      </c>
      <c r="G250" s="4" t="s">
        <v>85</v>
      </c>
      <c r="H250" s="4">
        <v>10</v>
      </c>
      <c r="I250" s="4">
        <v>6</v>
      </c>
      <c r="J250" s="4">
        <v>8</v>
      </c>
      <c r="K250" s="5">
        <f t="shared" si="12"/>
        <v>7299.97</v>
      </c>
      <c r="L250" s="5">
        <f>974.39+6325.58</f>
        <v>7299.97</v>
      </c>
      <c r="M250" s="5">
        <v>0</v>
      </c>
      <c r="N250" s="4">
        <v>6</v>
      </c>
      <c r="O250" s="5">
        <f t="shared" si="13"/>
        <v>4554.97</v>
      </c>
      <c r="P250" s="5">
        <f>4554.97</f>
        <v>4554.97</v>
      </c>
      <c r="Q250" s="5">
        <v>0</v>
      </c>
      <c r="R250" s="6"/>
    </row>
    <row r="251" spans="1:18" x14ac:dyDescent="0.25">
      <c r="A251" s="36">
        <f t="shared" si="11"/>
        <v>116</v>
      </c>
      <c r="B251" s="3" t="s">
        <v>155</v>
      </c>
      <c r="C251" s="3" t="s">
        <v>62</v>
      </c>
      <c r="D251" s="3" t="s">
        <v>63</v>
      </c>
      <c r="E251" s="3" t="s">
        <v>74</v>
      </c>
      <c r="F251" s="3" t="s">
        <v>289</v>
      </c>
      <c r="G251" s="4" t="s">
        <v>85</v>
      </c>
      <c r="H251" s="4">
        <v>12</v>
      </c>
      <c r="I251" s="4">
        <v>8</v>
      </c>
      <c r="J251" s="4">
        <v>11</v>
      </c>
      <c r="K251" s="5">
        <f t="shared" si="12"/>
        <v>32517.02</v>
      </c>
      <c r="L251" s="5">
        <f>25762.27+6754.75</f>
        <v>32517.02</v>
      </c>
      <c r="M251" s="5">
        <v>0</v>
      </c>
      <c r="N251" s="4">
        <v>2</v>
      </c>
      <c r="O251" s="5">
        <f t="shared" si="13"/>
        <v>15810.55</v>
      </c>
      <c r="P251" s="5">
        <v>15810.55</v>
      </c>
      <c r="Q251" s="5">
        <v>0</v>
      </c>
      <c r="R251" s="6"/>
    </row>
    <row r="252" spans="1:18" x14ac:dyDescent="0.25">
      <c r="A252" s="36">
        <f t="shared" si="11"/>
        <v>117</v>
      </c>
      <c r="B252" s="3" t="s">
        <v>290</v>
      </c>
      <c r="C252" s="3" t="s">
        <v>62</v>
      </c>
      <c r="D252" s="3"/>
      <c r="E252" s="3" t="s">
        <v>291</v>
      </c>
      <c r="F252" s="3" t="s">
        <v>292</v>
      </c>
      <c r="G252" s="4" t="s">
        <v>85</v>
      </c>
      <c r="H252" s="4">
        <v>28</v>
      </c>
      <c r="I252" s="4">
        <v>19</v>
      </c>
      <c r="J252" s="4">
        <v>24</v>
      </c>
      <c r="K252" s="5">
        <f t="shared" si="12"/>
        <v>5043.72</v>
      </c>
      <c r="L252" s="5">
        <f>2466.8+2576.92</f>
        <v>5043.72</v>
      </c>
      <c r="M252" s="5">
        <v>0</v>
      </c>
      <c r="N252" s="4">
        <v>0</v>
      </c>
      <c r="O252" s="5">
        <f t="shared" si="13"/>
        <v>0</v>
      </c>
      <c r="P252" s="5">
        <v>0</v>
      </c>
      <c r="Q252" s="5">
        <v>0</v>
      </c>
      <c r="R252" s="6"/>
    </row>
    <row r="253" spans="1:18" ht="25.5" x14ac:dyDescent="0.25">
      <c r="A253" s="36">
        <f t="shared" si="11"/>
        <v>118</v>
      </c>
      <c r="B253" s="3" t="s">
        <v>495</v>
      </c>
      <c r="C253" s="3" t="s">
        <v>62</v>
      </c>
      <c r="D253" s="3"/>
      <c r="E253" s="3" t="s">
        <v>313</v>
      </c>
      <c r="F253" s="3" t="s">
        <v>496</v>
      </c>
      <c r="G253" s="4" t="s">
        <v>85</v>
      </c>
      <c r="H253" s="4">
        <v>18</v>
      </c>
      <c r="I253" s="4">
        <v>5</v>
      </c>
      <c r="J253" s="4">
        <v>5</v>
      </c>
      <c r="K253" s="5">
        <f t="shared" si="12"/>
        <v>2358.88</v>
      </c>
      <c r="L253" s="5">
        <v>2358.88</v>
      </c>
      <c r="M253" s="5">
        <v>0</v>
      </c>
      <c r="N253" s="4">
        <v>0</v>
      </c>
      <c r="O253" s="5">
        <f t="shared" si="13"/>
        <v>0</v>
      </c>
      <c r="P253" s="5">
        <v>0</v>
      </c>
      <c r="Q253" s="5">
        <v>0</v>
      </c>
      <c r="R253" s="6"/>
    </row>
    <row r="254" spans="1:18" x14ac:dyDescent="0.25">
      <c r="A254" s="36">
        <f t="shared" si="11"/>
        <v>119</v>
      </c>
      <c r="B254" s="3" t="s">
        <v>134</v>
      </c>
      <c r="C254" s="3" t="s">
        <v>62</v>
      </c>
      <c r="D254" s="3" t="s">
        <v>63</v>
      </c>
      <c r="E254" s="3" t="s">
        <v>74</v>
      </c>
      <c r="F254" s="3" t="s">
        <v>293</v>
      </c>
      <c r="G254" s="4" t="s">
        <v>85</v>
      </c>
      <c r="H254" s="4">
        <v>4</v>
      </c>
      <c r="I254" s="4">
        <v>0</v>
      </c>
      <c r="J254" s="4">
        <v>0</v>
      </c>
      <c r="K254" s="5">
        <f t="shared" si="12"/>
        <v>0</v>
      </c>
      <c r="L254" s="5">
        <v>0</v>
      </c>
      <c r="M254" s="5">
        <v>0</v>
      </c>
      <c r="N254" s="4">
        <v>1</v>
      </c>
      <c r="O254" s="5">
        <f t="shared" si="13"/>
        <v>14690.98</v>
      </c>
      <c r="P254" s="250">
        <v>14690.98</v>
      </c>
      <c r="Q254" s="5">
        <v>0</v>
      </c>
      <c r="R254" s="6"/>
    </row>
    <row r="255" spans="1:18" x14ac:dyDescent="0.25">
      <c r="A255" s="36">
        <f t="shared" si="11"/>
        <v>120</v>
      </c>
      <c r="B255" s="3" t="s">
        <v>127</v>
      </c>
      <c r="C255" s="3" t="s">
        <v>62</v>
      </c>
      <c r="D255" s="3" t="s">
        <v>63</v>
      </c>
      <c r="E255" s="3" t="s">
        <v>74</v>
      </c>
      <c r="F255" s="3" t="s">
        <v>294</v>
      </c>
      <c r="G255" s="4" t="s">
        <v>85</v>
      </c>
      <c r="H255" s="4">
        <v>8</v>
      </c>
      <c r="I255" s="4">
        <v>4</v>
      </c>
      <c r="J255" s="4">
        <v>4</v>
      </c>
      <c r="K255" s="5">
        <f t="shared" si="12"/>
        <v>611.08000000000004</v>
      </c>
      <c r="L255" s="5">
        <v>611.08000000000004</v>
      </c>
      <c r="M255" s="5">
        <v>0</v>
      </c>
      <c r="N255" s="4">
        <v>2</v>
      </c>
      <c r="O255" s="5">
        <f t="shared" si="13"/>
        <v>3267.6</v>
      </c>
      <c r="P255" s="5">
        <f>748.88+2518.72</f>
        <v>3267.6</v>
      </c>
      <c r="Q255" s="5">
        <v>0</v>
      </c>
      <c r="R255" s="6"/>
    </row>
    <row r="256" spans="1:18" ht="25.5" x14ac:dyDescent="0.25">
      <c r="A256" s="36">
        <f t="shared" si="11"/>
        <v>121</v>
      </c>
      <c r="B256" s="3" t="s">
        <v>55</v>
      </c>
      <c r="C256" s="3" t="s">
        <v>64</v>
      </c>
      <c r="D256" s="3" t="s">
        <v>66</v>
      </c>
      <c r="E256" s="3" t="s">
        <v>80</v>
      </c>
      <c r="F256" s="3" t="s">
        <v>295</v>
      </c>
      <c r="G256" s="4" t="s">
        <v>85</v>
      </c>
      <c r="H256" s="4">
        <v>5</v>
      </c>
      <c r="I256" s="4">
        <v>3</v>
      </c>
      <c r="J256" s="4">
        <v>3</v>
      </c>
      <c r="K256" s="5">
        <f t="shared" si="12"/>
        <v>528.6</v>
      </c>
      <c r="L256" s="5">
        <v>528.6</v>
      </c>
      <c r="M256" s="5">
        <v>0</v>
      </c>
      <c r="N256" s="4">
        <v>2</v>
      </c>
      <c r="O256" s="5">
        <f t="shared" si="13"/>
        <v>7243.91</v>
      </c>
      <c r="P256" s="5">
        <f>555.72+6688.19</f>
        <v>7243.91</v>
      </c>
      <c r="Q256" s="5">
        <v>0</v>
      </c>
      <c r="R256" s="6"/>
    </row>
    <row r="257" spans="1:18" x14ac:dyDescent="0.25">
      <c r="A257" s="36">
        <f t="shared" si="11"/>
        <v>122</v>
      </c>
      <c r="B257" s="3" t="s">
        <v>135</v>
      </c>
      <c r="C257" s="3" t="s">
        <v>62</v>
      </c>
      <c r="D257" s="3" t="s">
        <v>63</v>
      </c>
      <c r="E257" s="3" t="s">
        <v>63</v>
      </c>
      <c r="F257" s="3" t="s">
        <v>296</v>
      </c>
      <c r="G257" s="4" t="s">
        <v>85</v>
      </c>
      <c r="H257" s="4">
        <v>6</v>
      </c>
      <c r="I257" s="4">
        <v>2</v>
      </c>
      <c r="J257" s="4">
        <v>2</v>
      </c>
      <c r="K257" s="5">
        <f t="shared" si="12"/>
        <v>0</v>
      </c>
      <c r="L257" s="5">
        <v>0</v>
      </c>
      <c r="M257" s="5">
        <v>0</v>
      </c>
      <c r="N257" s="4">
        <v>10</v>
      </c>
      <c r="O257" s="5">
        <f t="shared" si="13"/>
        <v>18103.640000000003</v>
      </c>
      <c r="P257" s="5">
        <f>16686.99+1416.65</f>
        <v>18103.640000000003</v>
      </c>
      <c r="Q257" s="5">
        <v>0</v>
      </c>
      <c r="R257" s="6"/>
    </row>
    <row r="258" spans="1:18" x14ac:dyDescent="0.25">
      <c r="A258" s="36">
        <f t="shared" si="11"/>
        <v>123</v>
      </c>
      <c r="B258" s="3" t="s">
        <v>128</v>
      </c>
      <c r="C258" s="3" t="s">
        <v>62</v>
      </c>
      <c r="D258" s="3" t="s">
        <v>63</v>
      </c>
      <c r="E258" s="3" t="s">
        <v>74</v>
      </c>
      <c r="F258" s="3" t="s">
        <v>297</v>
      </c>
      <c r="G258" s="4" t="s">
        <v>85</v>
      </c>
      <c r="H258" s="4">
        <v>2</v>
      </c>
      <c r="I258" s="4">
        <v>2</v>
      </c>
      <c r="J258" s="4">
        <v>2</v>
      </c>
      <c r="K258" s="5">
        <f t="shared" si="12"/>
        <v>0</v>
      </c>
      <c r="L258" s="5">
        <v>0</v>
      </c>
      <c r="M258" s="5">
        <v>0</v>
      </c>
      <c r="N258" s="4">
        <v>1</v>
      </c>
      <c r="O258" s="5">
        <f t="shared" si="13"/>
        <v>0</v>
      </c>
      <c r="P258" s="5">
        <v>0</v>
      </c>
      <c r="Q258" s="5">
        <v>0</v>
      </c>
      <c r="R258" s="6"/>
    </row>
    <row r="259" spans="1:18" ht="25.5" x14ac:dyDescent="0.25">
      <c r="A259" s="36">
        <f t="shared" si="11"/>
        <v>124</v>
      </c>
      <c r="B259" s="3" t="s">
        <v>508</v>
      </c>
      <c r="C259" s="3" t="s">
        <v>64</v>
      </c>
      <c r="D259" s="3" t="s">
        <v>551</v>
      </c>
      <c r="E259" s="3" t="s">
        <v>313</v>
      </c>
      <c r="F259" s="3" t="s">
        <v>552</v>
      </c>
      <c r="G259" s="4" t="s">
        <v>85</v>
      </c>
      <c r="H259" s="4">
        <v>15</v>
      </c>
      <c r="I259" s="4">
        <v>6</v>
      </c>
      <c r="J259" s="4">
        <v>6</v>
      </c>
      <c r="K259" s="5">
        <f t="shared" si="12"/>
        <v>0</v>
      </c>
      <c r="L259" s="5">
        <v>0</v>
      </c>
      <c r="M259" s="5">
        <v>0</v>
      </c>
      <c r="N259" s="4">
        <v>0</v>
      </c>
      <c r="O259" s="5">
        <f t="shared" si="13"/>
        <v>0</v>
      </c>
      <c r="P259" s="5">
        <v>0</v>
      </c>
      <c r="Q259" s="5">
        <v>0</v>
      </c>
      <c r="R259" s="6"/>
    </row>
    <row r="260" spans="1:18" ht="25.5" x14ac:dyDescent="0.25">
      <c r="A260" s="36">
        <f t="shared" si="11"/>
        <v>125</v>
      </c>
      <c r="B260" s="3" t="s">
        <v>497</v>
      </c>
      <c r="C260" s="3" t="s">
        <v>62</v>
      </c>
      <c r="D260" s="3"/>
      <c r="E260" s="3" t="s">
        <v>313</v>
      </c>
      <c r="F260" s="3" t="s">
        <v>498</v>
      </c>
      <c r="G260" s="4" t="s">
        <v>85</v>
      </c>
      <c r="H260" s="4">
        <v>47</v>
      </c>
      <c r="I260" s="4">
        <v>27</v>
      </c>
      <c r="J260" s="4">
        <v>28</v>
      </c>
      <c r="K260" s="5">
        <f t="shared" si="12"/>
        <v>12556.71</v>
      </c>
      <c r="L260" s="5">
        <f>5588.36+6968.35</f>
        <v>12556.71</v>
      </c>
      <c r="M260" s="5">
        <v>0</v>
      </c>
      <c r="N260" s="4">
        <v>0</v>
      </c>
      <c r="O260" s="5">
        <f t="shared" si="13"/>
        <v>0</v>
      </c>
      <c r="P260" s="5">
        <v>0</v>
      </c>
      <c r="Q260" s="5">
        <v>0</v>
      </c>
      <c r="R260" s="6"/>
    </row>
    <row r="261" spans="1:18" x14ac:dyDescent="0.25">
      <c r="A261" s="36">
        <f t="shared" si="11"/>
        <v>126</v>
      </c>
      <c r="B261" s="3" t="s">
        <v>56</v>
      </c>
      <c r="C261" s="3" t="s">
        <v>62</v>
      </c>
      <c r="D261" s="3" t="s">
        <v>63</v>
      </c>
      <c r="E261" s="3" t="s">
        <v>83</v>
      </c>
      <c r="F261" s="3" t="s">
        <v>298</v>
      </c>
      <c r="G261" s="4" t="s">
        <v>85</v>
      </c>
      <c r="H261" s="4">
        <v>61</v>
      </c>
      <c r="I261" s="4">
        <v>51</v>
      </c>
      <c r="J261" s="4">
        <v>71</v>
      </c>
      <c r="K261" s="5">
        <f t="shared" si="12"/>
        <v>77067</v>
      </c>
      <c r="L261" s="5">
        <f>50469.58+26597.42</f>
        <v>77067</v>
      </c>
      <c r="M261" s="5">
        <v>0</v>
      </c>
      <c r="N261" s="4">
        <v>30</v>
      </c>
      <c r="O261" s="5">
        <f t="shared" si="13"/>
        <v>94809.400000000009</v>
      </c>
      <c r="P261" s="5">
        <f>83636.21+11173.19</f>
        <v>94809.400000000009</v>
      </c>
      <c r="Q261" s="5">
        <v>0</v>
      </c>
      <c r="R261" s="6"/>
    </row>
    <row r="262" spans="1:18" ht="25.5" x14ac:dyDescent="0.25">
      <c r="A262" s="36">
        <f t="shared" si="11"/>
        <v>127</v>
      </c>
      <c r="B262" s="3" t="s">
        <v>299</v>
      </c>
      <c r="C262" s="3" t="s">
        <v>62</v>
      </c>
      <c r="D262" s="3"/>
      <c r="E262" s="3" t="s">
        <v>174</v>
      </c>
      <c r="F262" s="3" t="s">
        <v>300</v>
      </c>
      <c r="G262" s="4" t="s">
        <v>85</v>
      </c>
      <c r="H262" s="4">
        <v>21</v>
      </c>
      <c r="I262" s="4">
        <v>13</v>
      </c>
      <c r="J262" s="4">
        <v>14</v>
      </c>
      <c r="K262" s="5">
        <f t="shared" si="12"/>
        <v>0</v>
      </c>
      <c r="L262" s="5">
        <v>0</v>
      </c>
      <c r="M262" s="5">
        <v>0</v>
      </c>
      <c r="N262" s="4">
        <v>0</v>
      </c>
      <c r="O262" s="5">
        <f t="shared" si="13"/>
        <v>0</v>
      </c>
      <c r="P262" s="5">
        <v>0</v>
      </c>
      <c r="Q262" s="5">
        <v>0</v>
      </c>
      <c r="R262" s="6"/>
    </row>
    <row r="263" spans="1:18" x14ac:dyDescent="0.25">
      <c r="A263" s="36">
        <f t="shared" si="11"/>
        <v>128</v>
      </c>
      <c r="B263" s="3" t="s">
        <v>156</v>
      </c>
      <c r="C263" s="3" t="s">
        <v>67</v>
      </c>
      <c r="D263" s="3" t="s">
        <v>499</v>
      </c>
      <c r="E263" s="3" t="s">
        <v>74</v>
      </c>
      <c r="F263" s="3" t="s">
        <v>301</v>
      </c>
      <c r="G263" s="4" t="s">
        <v>85</v>
      </c>
      <c r="H263" s="4">
        <v>30</v>
      </c>
      <c r="I263" s="4">
        <v>26</v>
      </c>
      <c r="J263" s="4">
        <v>29</v>
      </c>
      <c r="K263" s="5">
        <f t="shared" si="12"/>
        <v>0</v>
      </c>
      <c r="L263" s="5">
        <v>0</v>
      </c>
      <c r="M263" s="5">
        <v>0</v>
      </c>
      <c r="N263" s="4">
        <v>34</v>
      </c>
      <c r="O263" s="5">
        <f t="shared" si="13"/>
        <v>0</v>
      </c>
      <c r="P263" s="5">
        <v>0</v>
      </c>
      <c r="Q263" s="5">
        <v>0</v>
      </c>
      <c r="R263" s="6"/>
    </row>
    <row r="264" spans="1:18" x14ac:dyDescent="0.25">
      <c r="A264" s="36">
        <f t="shared" si="11"/>
        <v>129</v>
      </c>
      <c r="B264" s="3" t="s">
        <v>302</v>
      </c>
      <c r="C264" s="3" t="s">
        <v>62</v>
      </c>
      <c r="D264" s="3"/>
      <c r="E264" s="3" t="s">
        <v>63</v>
      </c>
      <c r="F264" s="3" t="s">
        <v>303</v>
      </c>
      <c r="G264" s="4" t="s">
        <v>85</v>
      </c>
      <c r="H264" s="4">
        <v>10</v>
      </c>
      <c r="I264" s="4">
        <v>7</v>
      </c>
      <c r="J264" s="4">
        <v>8</v>
      </c>
      <c r="K264" s="5">
        <f t="shared" si="12"/>
        <v>5218.84</v>
      </c>
      <c r="L264" s="5">
        <f>4060.97+1157.87</f>
        <v>5218.84</v>
      </c>
      <c r="M264" s="5">
        <v>0</v>
      </c>
      <c r="N264" s="4">
        <v>0</v>
      </c>
      <c r="O264" s="5">
        <f t="shared" si="13"/>
        <v>0</v>
      </c>
      <c r="P264" s="5">
        <v>0</v>
      </c>
      <c r="Q264" s="5">
        <v>0</v>
      </c>
      <c r="R264" s="6"/>
    </row>
    <row r="265" spans="1:18" x14ac:dyDescent="0.25">
      <c r="A265" s="36">
        <f t="shared" si="11"/>
        <v>130</v>
      </c>
      <c r="B265" s="3" t="s">
        <v>140</v>
      </c>
      <c r="C265" s="3" t="s">
        <v>62</v>
      </c>
      <c r="D265" s="3" t="s">
        <v>63</v>
      </c>
      <c r="E265" s="3" t="s">
        <v>74</v>
      </c>
      <c r="F265" s="3" t="s">
        <v>304</v>
      </c>
      <c r="G265" s="4" t="s">
        <v>85</v>
      </c>
      <c r="H265" s="4">
        <v>50</v>
      </c>
      <c r="I265" s="4">
        <v>41</v>
      </c>
      <c r="J265" s="4">
        <v>44</v>
      </c>
      <c r="K265" s="5">
        <f t="shared" si="12"/>
        <v>39313.910000000003</v>
      </c>
      <c r="L265" s="5">
        <f>32753+6560.91</f>
        <v>39313.910000000003</v>
      </c>
      <c r="M265" s="5">
        <v>0</v>
      </c>
      <c r="N265" s="4">
        <v>19</v>
      </c>
      <c r="O265" s="5">
        <f t="shared" si="13"/>
        <v>34725.869999999995</v>
      </c>
      <c r="P265" s="5">
        <f>28197.26+15214.44-8685.83</f>
        <v>34725.869999999995</v>
      </c>
      <c r="Q265" s="5">
        <v>0</v>
      </c>
      <c r="R265" s="6"/>
    </row>
    <row r="266" spans="1:18" ht="25.5" x14ac:dyDescent="0.25">
      <c r="A266" s="36">
        <f t="shared" ref="A266:A282" si="14">A265+1</f>
        <v>131</v>
      </c>
      <c r="B266" s="3" t="s">
        <v>305</v>
      </c>
      <c r="C266" s="3" t="s">
        <v>62</v>
      </c>
      <c r="D266" s="3"/>
      <c r="E266" s="3" t="s">
        <v>186</v>
      </c>
      <c r="F266" s="3" t="s">
        <v>513</v>
      </c>
      <c r="G266" s="4" t="s">
        <v>85</v>
      </c>
      <c r="H266" s="4">
        <v>11</v>
      </c>
      <c r="I266" s="4">
        <v>7</v>
      </c>
      <c r="J266" s="4">
        <v>8</v>
      </c>
      <c r="K266" s="5">
        <f t="shared" si="12"/>
        <v>4975.4399999999996</v>
      </c>
      <c r="L266" s="5">
        <v>4975.4399999999996</v>
      </c>
      <c r="M266" s="5">
        <v>0</v>
      </c>
      <c r="N266" s="4">
        <v>0</v>
      </c>
      <c r="O266" s="5">
        <f t="shared" si="13"/>
        <v>0</v>
      </c>
      <c r="P266" s="5">
        <v>0</v>
      </c>
      <c r="Q266" s="5">
        <v>0</v>
      </c>
      <c r="R266" s="6"/>
    </row>
    <row r="267" spans="1:18" x14ac:dyDescent="0.25">
      <c r="A267" s="36">
        <f t="shared" si="14"/>
        <v>132</v>
      </c>
      <c r="B267" s="3" t="s">
        <v>471</v>
      </c>
      <c r="C267" s="3" t="s">
        <v>64</v>
      </c>
      <c r="D267" s="3" t="s">
        <v>65</v>
      </c>
      <c r="E267" s="3" t="s">
        <v>74</v>
      </c>
      <c r="F267" s="3" t="s">
        <v>472</v>
      </c>
      <c r="G267" s="4" t="s">
        <v>85</v>
      </c>
      <c r="H267" s="4">
        <v>0</v>
      </c>
      <c r="I267" s="4">
        <v>0</v>
      </c>
      <c r="J267" s="4">
        <v>0</v>
      </c>
      <c r="K267" s="5">
        <f t="shared" si="12"/>
        <v>0</v>
      </c>
      <c r="L267" s="5">
        <v>0</v>
      </c>
      <c r="M267" s="5">
        <v>0</v>
      </c>
      <c r="N267" s="4">
        <v>1</v>
      </c>
      <c r="O267" s="5">
        <f t="shared" si="13"/>
        <v>0</v>
      </c>
      <c r="P267" s="5">
        <v>0</v>
      </c>
      <c r="Q267" s="5">
        <v>0</v>
      </c>
      <c r="R267" s="6"/>
    </row>
    <row r="268" spans="1:18" ht="38.25" x14ac:dyDescent="0.25">
      <c r="A268" s="36">
        <f t="shared" si="14"/>
        <v>133</v>
      </c>
      <c r="B268" s="3" t="s">
        <v>57</v>
      </c>
      <c r="C268" s="3" t="s">
        <v>62</v>
      </c>
      <c r="D268" s="3" t="s">
        <v>63</v>
      </c>
      <c r="E268" s="3" t="s">
        <v>244</v>
      </c>
      <c r="F268" s="3" t="s">
        <v>306</v>
      </c>
      <c r="G268" s="4" t="s">
        <v>85</v>
      </c>
      <c r="H268" s="4">
        <v>24</v>
      </c>
      <c r="I268" s="4">
        <v>11</v>
      </c>
      <c r="J268" s="4">
        <v>12</v>
      </c>
      <c r="K268" s="5">
        <f t="shared" si="12"/>
        <v>10382.219999999999</v>
      </c>
      <c r="L268" s="5">
        <v>10382.219999999999</v>
      </c>
      <c r="M268" s="5">
        <v>0</v>
      </c>
      <c r="N268" s="4">
        <v>18</v>
      </c>
      <c r="O268" s="5">
        <f t="shared" si="13"/>
        <v>75908.600000000006</v>
      </c>
      <c r="P268" s="5">
        <f>39538.47+36370.13</f>
        <v>75908.600000000006</v>
      </c>
      <c r="Q268" s="5">
        <v>0</v>
      </c>
      <c r="R268" s="6"/>
    </row>
    <row r="269" spans="1:18" x14ac:dyDescent="0.25">
      <c r="A269" s="36">
        <f t="shared" si="14"/>
        <v>134</v>
      </c>
      <c r="B269" s="3" t="s">
        <v>473</v>
      </c>
      <c r="C269" s="3" t="s">
        <v>62</v>
      </c>
      <c r="D269" s="3"/>
      <c r="E269" s="3" t="s">
        <v>63</v>
      </c>
      <c r="F269" s="3" t="s">
        <v>500</v>
      </c>
      <c r="G269" s="4" t="s">
        <v>85</v>
      </c>
      <c r="H269" s="4">
        <v>15</v>
      </c>
      <c r="I269" s="4">
        <v>5</v>
      </c>
      <c r="J269" s="4">
        <v>6</v>
      </c>
      <c r="K269" s="5">
        <f t="shared" ref="K269:K282" si="15">L269+M269</f>
        <v>1613.55</v>
      </c>
      <c r="L269" s="5">
        <v>1613.55</v>
      </c>
      <c r="M269" s="5">
        <v>0</v>
      </c>
      <c r="N269" s="4">
        <v>4</v>
      </c>
      <c r="O269" s="5">
        <f t="shared" ref="O269:O282" si="16">P269+Q269</f>
        <v>20865.919999999998</v>
      </c>
      <c r="P269" s="5">
        <f>17280.25+3585.67</f>
        <v>20865.919999999998</v>
      </c>
      <c r="Q269" s="5">
        <v>0</v>
      </c>
      <c r="R269" s="6"/>
    </row>
    <row r="270" spans="1:18" x14ac:dyDescent="0.25">
      <c r="A270" s="36">
        <f t="shared" si="14"/>
        <v>135</v>
      </c>
      <c r="B270" s="3" t="s">
        <v>129</v>
      </c>
      <c r="C270" s="3" t="s">
        <v>62</v>
      </c>
      <c r="D270" s="3" t="s">
        <v>63</v>
      </c>
      <c r="E270" s="3" t="s">
        <v>74</v>
      </c>
      <c r="F270" s="3" t="s">
        <v>307</v>
      </c>
      <c r="G270" s="4" t="s">
        <v>85</v>
      </c>
      <c r="H270" s="4">
        <v>0</v>
      </c>
      <c r="I270" s="4">
        <v>0</v>
      </c>
      <c r="J270" s="4">
        <v>0</v>
      </c>
      <c r="K270" s="5">
        <f t="shared" si="15"/>
        <v>0</v>
      </c>
      <c r="L270" s="5">
        <v>0</v>
      </c>
      <c r="M270" s="5">
        <v>0</v>
      </c>
      <c r="N270" s="4">
        <v>2</v>
      </c>
      <c r="O270" s="5">
        <f t="shared" si="16"/>
        <v>5710.4</v>
      </c>
      <c r="P270" s="5">
        <f>2390.47+3319.93</f>
        <v>5710.4</v>
      </c>
      <c r="Q270" s="5">
        <v>0</v>
      </c>
      <c r="R270" s="6"/>
    </row>
    <row r="271" spans="1:18" ht="25.5" x14ac:dyDescent="0.25">
      <c r="A271" s="36">
        <f t="shared" si="14"/>
        <v>136</v>
      </c>
      <c r="B271" s="3" t="s">
        <v>58</v>
      </c>
      <c r="C271" s="3" t="s">
        <v>62</v>
      </c>
      <c r="D271" s="3" t="s">
        <v>63</v>
      </c>
      <c r="E271" s="3" t="s">
        <v>84</v>
      </c>
      <c r="F271" s="3" t="s">
        <v>308</v>
      </c>
      <c r="G271" s="4" t="s">
        <v>85</v>
      </c>
      <c r="H271" s="4">
        <v>170</v>
      </c>
      <c r="I271" s="4">
        <v>168</v>
      </c>
      <c r="J271" s="4">
        <v>156</v>
      </c>
      <c r="K271" s="5">
        <f t="shared" si="15"/>
        <v>127815.66</v>
      </c>
      <c r="L271" s="5">
        <f>76438.9+51376.76</f>
        <v>127815.66</v>
      </c>
      <c r="M271" s="5">
        <v>0</v>
      </c>
      <c r="N271" s="4">
        <v>59</v>
      </c>
      <c r="O271" s="5">
        <f t="shared" si="16"/>
        <v>155989.18</v>
      </c>
      <c r="P271" s="5">
        <f>130601.99+25387.19</f>
        <v>155989.18</v>
      </c>
      <c r="Q271" s="5">
        <v>0</v>
      </c>
      <c r="R271" s="6"/>
    </row>
    <row r="272" spans="1:18" ht="25.5" x14ac:dyDescent="0.25">
      <c r="A272" s="36">
        <f t="shared" si="14"/>
        <v>137</v>
      </c>
      <c r="B272" s="3" t="s">
        <v>59</v>
      </c>
      <c r="C272" s="3" t="s">
        <v>64</v>
      </c>
      <c r="D272" s="3" t="s">
        <v>66</v>
      </c>
      <c r="E272" s="3" t="s">
        <v>80</v>
      </c>
      <c r="F272" s="3" t="s">
        <v>309</v>
      </c>
      <c r="G272" s="4" t="s">
        <v>85</v>
      </c>
      <c r="H272" s="4">
        <v>39</v>
      </c>
      <c r="I272" s="4">
        <v>29</v>
      </c>
      <c r="J272" s="4">
        <v>39</v>
      </c>
      <c r="K272" s="5">
        <f t="shared" si="15"/>
        <v>31212.49</v>
      </c>
      <c r="L272" s="5">
        <f>26899.22+4313.27</f>
        <v>31212.49</v>
      </c>
      <c r="M272" s="5">
        <v>0</v>
      </c>
      <c r="N272" s="4">
        <v>26</v>
      </c>
      <c r="O272" s="5">
        <f t="shared" si="16"/>
        <v>60246.84</v>
      </c>
      <c r="P272" s="5">
        <v>60246.84</v>
      </c>
      <c r="Q272" s="5">
        <v>0</v>
      </c>
      <c r="R272" s="6"/>
    </row>
    <row r="273" spans="1:18" x14ac:dyDescent="0.25">
      <c r="A273" s="36">
        <f t="shared" si="14"/>
        <v>138</v>
      </c>
      <c r="B273" s="3" t="s">
        <v>130</v>
      </c>
      <c r="C273" s="3" t="s">
        <v>62</v>
      </c>
      <c r="D273" s="3" t="s">
        <v>63</v>
      </c>
      <c r="E273" s="3" t="s">
        <v>74</v>
      </c>
      <c r="F273" s="3" t="s">
        <v>553</v>
      </c>
      <c r="G273" s="4" t="s">
        <v>85</v>
      </c>
      <c r="H273" s="4">
        <v>2</v>
      </c>
      <c r="I273" s="4">
        <v>1</v>
      </c>
      <c r="J273" s="4">
        <v>1</v>
      </c>
      <c r="K273" s="5">
        <f t="shared" si="15"/>
        <v>299.54000000000002</v>
      </c>
      <c r="L273" s="5">
        <v>299.54000000000002</v>
      </c>
      <c r="M273" s="5">
        <v>0</v>
      </c>
      <c r="N273" s="4">
        <v>2</v>
      </c>
      <c r="O273" s="5">
        <f t="shared" si="16"/>
        <v>4807.33</v>
      </c>
      <c r="P273" s="5">
        <f>1374.36+3432.97</f>
        <v>4807.33</v>
      </c>
      <c r="Q273" s="5">
        <v>0</v>
      </c>
      <c r="R273" s="6"/>
    </row>
    <row r="274" spans="1:18" x14ac:dyDescent="0.25">
      <c r="A274" s="36">
        <f t="shared" si="14"/>
        <v>139</v>
      </c>
      <c r="B274" s="3" t="s">
        <v>97</v>
      </c>
      <c r="C274" s="3" t="s">
        <v>62</v>
      </c>
      <c r="D274" s="3" t="s">
        <v>63</v>
      </c>
      <c r="E274" s="3" t="s">
        <v>74</v>
      </c>
      <c r="F274" s="3" t="s">
        <v>310</v>
      </c>
      <c r="G274" s="4" t="s">
        <v>85</v>
      </c>
      <c r="H274" s="4">
        <v>6</v>
      </c>
      <c r="I274" s="4">
        <v>3</v>
      </c>
      <c r="J274" s="4">
        <v>3</v>
      </c>
      <c r="K274" s="5">
        <f t="shared" si="15"/>
        <v>3660.56</v>
      </c>
      <c r="L274" s="5">
        <f>687.18+2973.38</f>
        <v>3660.56</v>
      </c>
      <c r="M274" s="5">
        <v>0</v>
      </c>
      <c r="N274" s="4">
        <v>1</v>
      </c>
      <c r="O274" s="5">
        <f t="shared" si="16"/>
        <v>808.76</v>
      </c>
      <c r="P274" s="5">
        <v>808.76</v>
      </c>
      <c r="Q274" s="5">
        <v>0</v>
      </c>
      <c r="R274" s="6"/>
    </row>
    <row r="275" spans="1:18" ht="25.5" x14ac:dyDescent="0.25">
      <c r="A275" s="36">
        <f t="shared" si="14"/>
        <v>140</v>
      </c>
      <c r="B275" s="3" t="s">
        <v>514</v>
      </c>
      <c r="C275" s="3" t="s">
        <v>62</v>
      </c>
      <c r="D275" s="3"/>
      <c r="E275" s="3" t="s">
        <v>223</v>
      </c>
      <c r="F275" s="3" t="s">
        <v>515</v>
      </c>
      <c r="G275" s="4" t="s">
        <v>85</v>
      </c>
      <c r="H275" s="4">
        <v>14</v>
      </c>
      <c r="I275" s="4">
        <v>8</v>
      </c>
      <c r="J275" s="4">
        <v>12</v>
      </c>
      <c r="K275" s="5">
        <f t="shared" si="15"/>
        <v>0</v>
      </c>
      <c r="L275" s="5">
        <v>0</v>
      </c>
      <c r="M275" s="5">
        <v>0</v>
      </c>
      <c r="N275" s="4">
        <v>0</v>
      </c>
      <c r="O275" s="5">
        <f t="shared" si="16"/>
        <v>0</v>
      </c>
      <c r="P275" s="5">
        <v>0</v>
      </c>
      <c r="Q275" s="5">
        <v>0</v>
      </c>
      <c r="R275" s="6"/>
    </row>
    <row r="276" spans="1:18" x14ac:dyDescent="0.25">
      <c r="A276" s="36">
        <f t="shared" si="14"/>
        <v>141</v>
      </c>
      <c r="B276" s="3" t="s">
        <v>132</v>
      </c>
      <c r="C276" s="3" t="s">
        <v>62</v>
      </c>
      <c r="D276" s="3" t="s">
        <v>63</v>
      </c>
      <c r="E276" s="3" t="s">
        <v>74</v>
      </c>
      <c r="F276" s="3" t="s">
        <v>311</v>
      </c>
      <c r="G276" s="4" t="s">
        <v>85</v>
      </c>
      <c r="H276" s="4">
        <v>16</v>
      </c>
      <c r="I276" s="4">
        <v>7</v>
      </c>
      <c r="J276" s="4">
        <v>8</v>
      </c>
      <c r="K276" s="5">
        <f t="shared" si="15"/>
        <v>6629.34</v>
      </c>
      <c r="L276" s="5">
        <f>422.88+6206.46</f>
        <v>6629.34</v>
      </c>
      <c r="M276" s="5">
        <v>0</v>
      </c>
      <c r="N276" s="4">
        <v>10</v>
      </c>
      <c r="O276" s="5">
        <f t="shared" si="16"/>
        <v>5871.87</v>
      </c>
      <c r="P276" s="5">
        <f>5554.71+317.16</f>
        <v>5871.87</v>
      </c>
      <c r="Q276" s="5">
        <v>0</v>
      </c>
      <c r="R276" s="6"/>
    </row>
    <row r="277" spans="1:18" ht="25.5" x14ac:dyDescent="0.25">
      <c r="A277" s="36">
        <f t="shared" si="14"/>
        <v>142</v>
      </c>
      <c r="B277" s="3" t="s">
        <v>312</v>
      </c>
      <c r="C277" s="3" t="s">
        <v>62</v>
      </c>
      <c r="D277" s="3"/>
      <c r="E277" s="3" t="s">
        <v>313</v>
      </c>
      <c r="F277" s="3" t="s">
        <v>314</v>
      </c>
      <c r="G277" s="4" t="s">
        <v>85</v>
      </c>
      <c r="H277" s="4">
        <v>35</v>
      </c>
      <c r="I277" s="4">
        <v>1</v>
      </c>
      <c r="J277" s="4">
        <v>1</v>
      </c>
      <c r="K277" s="5">
        <f t="shared" si="15"/>
        <v>0</v>
      </c>
      <c r="L277" s="5">
        <v>0</v>
      </c>
      <c r="M277" s="5">
        <v>0</v>
      </c>
      <c r="N277" s="4">
        <v>0</v>
      </c>
      <c r="O277" s="5">
        <f t="shared" si="16"/>
        <v>0</v>
      </c>
      <c r="P277" s="5">
        <v>0</v>
      </c>
      <c r="Q277" s="5">
        <v>0</v>
      </c>
      <c r="R277" s="6"/>
    </row>
    <row r="278" spans="1:18" x14ac:dyDescent="0.25">
      <c r="A278" s="36">
        <f t="shared" si="14"/>
        <v>143</v>
      </c>
      <c r="B278" s="3" t="s">
        <v>315</v>
      </c>
      <c r="C278" s="3" t="s">
        <v>62</v>
      </c>
      <c r="D278" s="3" t="s">
        <v>63</v>
      </c>
      <c r="E278" s="3" t="s">
        <v>74</v>
      </c>
      <c r="F278" s="3" t="s">
        <v>316</v>
      </c>
      <c r="G278" s="4" t="s">
        <v>85</v>
      </c>
      <c r="H278" s="4">
        <v>15</v>
      </c>
      <c r="I278" s="4">
        <v>7</v>
      </c>
      <c r="J278" s="4">
        <v>8</v>
      </c>
      <c r="K278" s="5">
        <f t="shared" si="15"/>
        <v>0</v>
      </c>
      <c r="L278" s="5">
        <v>0</v>
      </c>
      <c r="M278" s="5">
        <v>0</v>
      </c>
      <c r="N278" s="4">
        <v>3</v>
      </c>
      <c r="O278" s="5">
        <f t="shared" si="16"/>
        <v>0</v>
      </c>
      <c r="P278" s="5">
        <v>0</v>
      </c>
      <c r="Q278" s="5">
        <v>0</v>
      </c>
      <c r="R278" s="6"/>
    </row>
    <row r="279" spans="1:18" x14ac:dyDescent="0.25">
      <c r="A279" s="36">
        <f t="shared" si="14"/>
        <v>144</v>
      </c>
      <c r="B279" s="3" t="s">
        <v>317</v>
      </c>
      <c r="C279" s="3" t="s">
        <v>62</v>
      </c>
      <c r="D279" s="3"/>
      <c r="E279" s="3" t="s">
        <v>158</v>
      </c>
      <c r="F279" s="3" t="s">
        <v>474</v>
      </c>
      <c r="G279" s="4" t="s">
        <v>85</v>
      </c>
      <c r="H279" s="4">
        <v>8</v>
      </c>
      <c r="I279" s="4">
        <v>4</v>
      </c>
      <c r="J279" s="4">
        <v>4</v>
      </c>
      <c r="K279" s="5">
        <f t="shared" si="15"/>
        <v>0</v>
      </c>
      <c r="L279" s="5">
        <v>0</v>
      </c>
      <c r="M279" s="5">
        <v>0</v>
      </c>
      <c r="N279" s="4">
        <v>0</v>
      </c>
      <c r="O279" s="5">
        <f t="shared" si="16"/>
        <v>0</v>
      </c>
      <c r="P279" s="5">
        <v>0</v>
      </c>
      <c r="Q279" s="5">
        <v>0</v>
      </c>
      <c r="R279" s="6"/>
    </row>
    <row r="280" spans="1:18" ht="25.5" x14ac:dyDescent="0.25">
      <c r="A280" s="36">
        <f t="shared" si="14"/>
        <v>145</v>
      </c>
      <c r="B280" s="3" t="s">
        <v>318</v>
      </c>
      <c r="C280" s="3" t="s">
        <v>62</v>
      </c>
      <c r="D280" s="3"/>
      <c r="E280" s="3" t="s">
        <v>174</v>
      </c>
      <c r="F280" s="3" t="s">
        <v>319</v>
      </c>
      <c r="G280" s="4" t="s">
        <v>85</v>
      </c>
      <c r="H280" s="4">
        <v>22</v>
      </c>
      <c r="I280" s="4">
        <v>16</v>
      </c>
      <c r="J280" s="4">
        <v>19</v>
      </c>
      <c r="K280" s="5">
        <f t="shared" si="15"/>
        <v>16771.8</v>
      </c>
      <c r="L280" s="5">
        <f>6466.84+10304.96</f>
        <v>16771.8</v>
      </c>
      <c r="M280" s="5">
        <v>0</v>
      </c>
      <c r="N280" s="4">
        <v>0</v>
      </c>
      <c r="O280" s="5">
        <f t="shared" si="16"/>
        <v>0</v>
      </c>
      <c r="P280" s="5">
        <v>0</v>
      </c>
      <c r="Q280" s="5">
        <v>0</v>
      </c>
      <c r="R280" s="6"/>
    </row>
    <row r="281" spans="1:18" x14ac:dyDescent="0.25">
      <c r="A281" s="36">
        <f t="shared" si="14"/>
        <v>146</v>
      </c>
      <c r="B281" s="3" t="s">
        <v>60</v>
      </c>
      <c r="C281" s="3" t="s">
        <v>67</v>
      </c>
      <c r="D281" s="3" t="s">
        <v>68</v>
      </c>
      <c r="E281" s="3" t="s">
        <v>74</v>
      </c>
      <c r="F281" s="3" t="s">
        <v>320</v>
      </c>
      <c r="G281" s="4" t="s">
        <v>85</v>
      </c>
      <c r="H281" s="4">
        <v>49</v>
      </c>
      <c r="I281" s="4">
        <v>46</v>
      </c>
      <c r="J281" s="4">
        <v>70</v>
      </c>
      <c r="K281" s="5">
        <f t="shared" si="15"/>
        <v>107467.68</v>
      </c>
      <c r="L281" s="5">
        <f>79197.17+28270.51</f>
        <v>107467.68</v>
      </c>
      <c r="M281" s="5">
        <v>0</v>
      </c>
      <c r="N281" s="4">
        <v>38</v>
      </c>
      <c r="O281" s="5">
        <f t="shared" si="16"/>
        <v>82642.290000000008</v>
      </c>
      <c r="P281" s="5">
        <f>53586.82+29055.47</f>
        <v>82642.290000000008</v>
      </c>
      <c r="Q281" s="5">
        <v>0</v>
      </c>
      <c r="R281" s="6"/>
    </row>
    <row r="282" spans="1:18" x14ac:dyDescent="0.25">
      <c r="A282" s="36">
        <f t="shared" si="14"/>
        <v>147</v>
      </c>
      <c r="B282" s="3" t="s">
        <v>61</v>
      </c>
      <c r="C282" s="3" t="s">
        <v>67</v>
      </c>
      <c r="D282" s="3" t="s">
        <v>69</v>
      </c>
      <c r="E282" s="3" t="s">
        <v>74</v>
      </c>
      <c r="F282" s="3" t="s">
        <v>321</v>
      </c>
      <c r="G282" s="4" t="s">
        <v>85</v>
      </c>
      <c r="H282" s="4">
        <v>8</v>
      </c>
      <c r="I282" s="4">
        <v>5</v>
      </c>
      <c r="J282" s="4">
        <v>5</v>
      </c>
      <c r="K282" s="5">
        <f t="shared" si="15"/>
        <v>0</v>
      </c>
      <c r="L282" s="5">
        <v>0</v>
      </c>
      <c r="M282" s="5">
        <v>0</v>
      </c>
      <c r="N282" s="4">
        <v>7</v>
      </c>
      <c r="O282" s="5">
        <f t="shared" si="16"/>
        <v>0</v>
      </c>
      <c r="P282" s="5">
        <v>0</v>
      </c>
      <c r="Q282" s="5">
        <v>0</v>
      </c>
      <c r="R282" s="6"/>
    </row>
  </sheetData>
  <autoFilter ref="A8:Q8"/>
  <mergeCells count="8">
    <mergeCell ref="B7:G7"/>
    <mergeCell ref="H7:M7"/>
    <mergeCell ref="N7:Q7"/>
    <mergeCell ref="O1:Q1"/>
    <mergeCell ref="A3:Q3"/>
    <mergeCell ref="A4:Q4"/>
    <mergeCell ref="A5:Q5"/>
    <mergeCell ref="A6:Q6"/>
  </mergeCells>
  <pageMargins left="0.31496062992125984" right="0.31496062992125984" top="0.55118110236220474" bottom="0.55118110236220474" header="0" footer="0"/>
  <pageSetup paperSize="9" scale="18" fitToWidth="2" orientation="landscape" horizontalDpi="300" verticalDpi="300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280"/>
  <sheetViews>
    <sheetView topLeftCell="A146" workbookViewId="0">
      <selection activeCell="A166" sqref="A166"/>
    </sheetView>
  </sheetViews>
  <sheetFormatPr defaultRowHeight="15" customHeight="1" x14ac:dyDescent="0.25"/>
  <cols>
    <col min="1" max="1" width="7.42578125" bestFit="1" customWidth="1"/>
    <col min="2" max="2" width="36.28515625" customWidth="1"/>
    <col min="3" max="3" width="11.28515625" customWidth="1"/>
    <col min="4" max="4" width="26.28515625" customWidth="1"/>
    <col min="5" max="5" width="15.7109375" customWidth="1"/>
    <col min="6" max="8" width="19.28515625" customWidth="1"/>
    <col min="9" max="9" width="11.85546875" customWidth="1"/>
    <col min="10" max="10" width="13.140625" customWidth="1"/>
    <col min="11" max="11" width="14.5703125" customWidth="1"/>
    <col min="12" max="12" width="13.42578125" customWidth="1"/>
    <col min="13" max="13" width="13.5703125" customWidth="1"/>
    <col min="14" max="14" width="13.28515625" customWidth="1"/>
    <col min="15" max="15" width="14.42578125" customWidth="1"/>
    <col min="16" max="17" width="13.42578125" customWidth="1"/>
  </cols>
  <sheetData>
    <row r="1" spans="1:18" x14ac:dyDescent="0.25">
      <c r="A1" s="251"/>
      <c r="B1" s="251"/>
      <c r="C1" s="251"/>
      <c r="D1" s="251"/>
      <c r="E1" s="251"/>
      <c r="F1" s="251"/>
      <c r="G1" s="251"/>
      <c r="H1" s="251"/>
      <c r="I1" s="251"/>
      <c r="J1" s="251"/>
      <c r="K1" s="7"/>
      <c r="L1" s="7"/>
      <c r="M1" s="7"/>
      <c r="N1" s="251"/>
      <c r="O1" s="620" t="s">
        <v>15</v>
      </c>
      <c r="P1" s="620"/>
      <c r="Q1" s="620"/>
      <c r="R1" s="6"/>
    </row>
    <row r="2" spans="1:18" x14ac:dyDescent="0.25">
      <c r="A2" s="251"/>
      <c r="B2" s="251"/>
      <c r="C2" s="251"/>
      <c r="D2" s="251"/>
      <c r="E2" s="251"/>
      <c r="F2" s="251"/>
      <c r="G2" s="251"/>
      <c r="H2" s="251"/>
      <c r="I2" s="251"/>
      <c r="J2" s="251"/>
      <c r="K2" s="7"/>
      <c r="L2" s="7"/>
      <c r="M2" s="7"/>
      <c r="N2" s="251"/>
      <c r="O2" s="7"/>
      <c r="P2" s="7"/>
      <c r="Q2" s="7"/>
      <c r="R2" s="6"/>
    </row>
    <row r="3" spans="1:18" x14ac:dyDescent="0.25">
      <c r="A3" s="621" t="s">
        <v>323</v>
      </c>
      <c r="B3" s="621"/>
      <c r="C3" s="621"/>
      <c r="D3" s="621"/>
      <c r="E3" s="621"/>
      <c r="F3" s="621"/>
      <c r="G3" s="621"/>
      <c r="H3" s="621"/>
      <c r="I3" s="621"/>
      <c r="J3" s="621"/>
      <c r="K3" s="621"/>
      <c r="L3" s="621"/>
      <c r="M3" s="621"/>
      <c r="N3" s="621"/>
      <c r="O3" s="621"/>
      <c r="P3" s="621"/>
      <c r="Q3" s="621"/>
      <c r="R3" s="6"/>
    </row>
    <row r="4" spans="1:18" ht="18.75" x14ac:dyDescent="0.25">
      <c r="A4" s="622" t="s">
        <v>16</v>
      </c>
      <c r="B4" s="622"/>
      <c r="C4" s="622"/>
      <c r="D4" s="622"/>
      <c r="E4" s="622"/>
      <c r="F4" s="622"/>
      <c r="G4" s="622"/>
      <c r="H4" s="622"/>
      <c r="I4" s="622"/>
      <c r="J4" s="622"/>
      <c r="K4" s="622"/>
      <c r="L4" s="622"/>
      <c r="M4" s="622"/>
      <c r="N4" s="622"/>
      <c r="O4" s="622"/>
      <c r="P4" s="622"/>
      <c r="Q4" s="622"/>
      <c r="R4" s="6"/>
    </row>
    <row r="5" spans="1:18" x14ac:dyDescent="0.25">
      <c r="A5" s="623" t="s">
        <v>14</v>
      </c>
      <c r="B5" s="623"/>
      <c r="C5" s="623"/>
      <c r="D5" s="623"/>
      <c r="E5" s="623"/>
      <c r="F5" s="623"/>
      <c r="G5" s="623"/>
      <c r="H5" s="623"/>
      <c r="I5" s="623"/>
      <c r="J5" s="623"/>
      <c r="K5" s="623"/>
      <c r="L5" s="623"/>
      <c r="M5" s="623"/>
      <c r="N5" s="623"/>
      <c r="O5" s="623"/>
      <c r="P5" s="623"/>
      <c r="Q5" s="623"/>
      <c r="R5" s="6"/>
    </row>
    <row r="6" spans="1:18" ht="21" x14ac:dyDescent="0.25">
      <c r="A6" s="624" t="s">
        <v>17</v>
      </c>
      <c r="B6" s="624"/>
      <c r="C6" s="624"/>
      <c r="D6" s="624"/>
      <c r="E6" s="624"/>
      <c r="F6" s="624"/>
      <c r="G6" s="624"/>
      <c r="H6" s="624"/>
      <c r="I6" s="624"/>
      <c r="J6" s="624"/>
      <c r="K6" s="624"/>
      <c r="L6" s="624"/>
      <c r="M6" s="624"/>
      <c r="N6" s="624"/>
      <c r="O6" s="624"/>
      <c r="P6" s="624"/>
      <c r="Q6" s="624"/>
      <c r="R6" s="6"/>
    </row>
    <row r="7" spans="1:18" x14ac:dyDescent="0.25">
      <c r="A7" s="9" t="s">
        <v>0</v>
      </c>
      <c r="B7" s="617" t="s">
        <v>10</v>
      </c>
      <c r="C7" s="618"/>
      <c r="D7" s="618"/>
      <c r="E7" s="618"/>
      <c r="F7" s="618"/>
      <c r="G7" s="619"/>
      <c r="H7" s="617" t="s">
        <v>322</v>
      </c>
      <c r="I7" s="618"/>
      <c r="J7" s="618"/>
      <c r="K7" s="618"/>
      <c r="L7" s="618"/>
      <c r="M7" s="618"/>
      <c r="N7" s="617" t="s">
        <v>324</v>
      </c>
      <c r="O7" s="618"/>
      <c r="P7" s="618"/>
      <c r="Q7" s="619"/>
      <c r="R7" s="6"/>
    </row>
    <row r="8" spans="1:18" ht="102" x14ac:dyDescent="0.25">
      <c r="A8" s="10"/>
      <c r="B8" s="11" t="s">
        <v>4</v>
      </c>
      <c r="C8" s="11" t="s">
        <v>1</v>
      </c>
      <c r="D8" s="11" t="s">
        <v>3</v>
      </c>
      <c r="E8" s="11" t="s">
        <v>2</v>
      </c>
      <c r="F8" s="11" t="s">
        <v>6</v>
      </c>
      <c r="G8" s="11" t="s">
        <v>5</v>
      </c>
      <c r="H8" s="12" t="s">
        <v>7</v>
      </c>
      <c r="I8" s="13" t="s">
        <v>8</v>
      </c>
      <c r="J8" s="13" t="s">
        <v>9</v>
      </c>
      <c r="K8" s="14" t="s">
        <v>11</v>
      </c>
      <c r="L8" s="14" t="s">
        <v>12</v>
      </c>
      <c r="M8" s="14" t="s">
        <v>13</v>
      </c>
      <c r="N8" s="13" t="s">
        <v>9</v>
      </c>
      <c r="O8" s="14" t="s">
        <v>11</v>
      </c>
      <c r="P8" s="14" t="s">
        <v>12</v>
      </c>
      <c r="Q8" s="15" t="s">
        <v>13</v>
      </c>
      <c r="R8" s="6"/>
    </row>
    <row r="9" spans="1:18" ht="25.5" x14ac:dyDescent="0.25">
      <c r="A9" s="226">
        <v>1</v>
      </c>
      <c r="B9" s="136" t="s">
        <v>134</v>
      </c>
      <c r="C9" s="134" t="s">
        <v>62</v>
      </c>
      <c r="D9" s="136"/>
      <c r="E9" s="134" t="s">
        <v>74</v>
      </c>
      <c r="F9" s="134" t="s">
        <v>408</v>
      </c>
      <c r="G9" s="136" t="s">
        <v>409</v>
      </c>
      <c r="H9" s="227">
        <v>24</v>
      </c>
      <c r="I9" s="227">
        <v>4</v>
      </c>
      <c r="J9" s="227">
        <v>4</v>
      </c>
      <c r="K9" s="228">
        <v>3910.4</v>
      </c>
      <c r="L9" s="228">
        <v>3910.4</v>
      </c>
      <c r="M9" s="193">
        <f t="shared" ref="M9:M53" si="0">K9-L9</f>
        <v>0</v>
      </c>
      <c r="N9" s="227">
        <v>5</v>
      </c>
      <c r="O9" s="228">
        <v>13457.2</v>
      </c>
      <c r="P9" s="228">
        <v>10109.4</v>
      </c>
      <c r="Q9" s="228">
        <f t="shared" ref="Q9:Q53" si="1">O9-P9</f>
        <v>3347.8000000000011</v>
      </c>
      <c r="R9" s="189"/>
    </row>
    <row r="10" spans="1:18" ht="25.5" x14ac:dyDescent="0.25">
      <c r="A10" s="226">
        <v>2</v>
      </c>
      <c r="B10" s="136" t="s">
        <v>335</v>
      </c>
      <c r="C10" s="134" t="s">
        <v>62</v>
      </c>
      <c r="D10" s="136"/>
      <c r="E10" s="134" t="s">
        <v>74</v>
      </c>
      <c r="F10" s="134" t="s">
        <v>410</v>
      </c>
      <c r="G10" s="136" t="s">
        <v>409</v>
      </c>
      <c r="H10" s="227">
        <v>10</v>
      </c>
      <c r="I10" s="227">
        <v>4</v>
      </c>
      <c r="J10" s="227">
        <v>4</v>
      </c>
      <c r="K10" s="228">
        <v>5146.8</v>
      </c>
      <c r="L10" s="228">
        <v>4089.6</v>
      </c>
      <c r="M10" s="193">
        <f t="shared" si="0"/>
        <v>1057.2000000000003</v>
      </c>
      <c r="N10" s="227">
        <v>8</v>
      </c>
      <c r="O10" s="228">
        <v>10652</v>
      </c>
      <c r="P10" s="228">
        <v>8185.2</v>
      </c>
      <c r="Q10" s="228">
        <f t="shared" si="1"/>
        <v>2466.8000000000002</v>
      </c>
      <c r="R10" s="189"/>
    </row>
    <row r="11" spans="1:18" ht="38.25" x14ac:dyDescent="0.25">
      <c r="A11" s="226">
        <v>3</v>
      </c>
      <c r="B11" s="136" t="s">
        <v>46</v>
      </c>
      <c r="C11" s="134" t="s">
        <v>62</v>
      </c>
      <c r="D11" s="136"/>
      <c r="E11" s="134" t="s">
        <v>267</v>
      </c>
      <c r="F11" s="134" t="s">
        <v>411</v>
      </c>
      <c r="G11" s="136" t="s">
        <v>409</v>
      </c>
      <c r="H11" s="227">
        <v>28</v>
      </c>
      <c r="I11" s="227">
        <v>7</v>
      </c>
      <c r="J11" s="227">
        <v>7</v>
      </c>
      <c r="K11" s="228">
        <v>9866.6</v>
      </c>
      <c r="L11" s="228">
        <v>4933.6000000000004</v>
      </c>
      <c r="M11" s="193">
        <f t="shared" si="0"/>
        <v>4933</v>
      </c>
      <c r="N11" s="227">
        <v>17</v>
      </c>
      <c r="O11" s="228">
        <v>25515.45</v>
      </c>
      <c r="P11" s="228">
        <v>14509.49</v>
      </c>
      <c r="Q11" s="228">
        <f t="shared" si="1"/>
        <v>11005.960000000001</v>
      </c>
      <c r="R11" s="189"/>
    </row>
    <row r="12" spans="1:18" ht="25.5" x14ac:dyDescent="0.25">
      <c r="A12" s="226">
        <v>4</v>
      </c>
      <c r="B12" s="136" t="s">
        <v>36</v>
      </c>
      <c r="C12" s="134" t="s">
        <v>62</v>
      </c>
      <c r="D12" s="136"/>
      <c r="E12" s="134" t="s">
        <v>74</v>
      </c>
      <c r="F12" s="134" t="s">
        <v>412</v>
      </c>
      <c r="G12" s="136" t="s">
        <v>409</v>
      </c>
      <c r="H12" s="227">
        <v>25</v>
      </c>
      <c r="I12" s="227">
        <v>10</v>
      </c>
      <c r="J12" s="227">
        <v>10</v>
      </c>
      <c r="K12" s="228">
        <v>14906.52</v>
      </c>
      <c r="L12" s="228">
        <v>7682.32</v>
      </c>
      <c r="M12" s="193">
        <f t="shared" si="0"/>
        <v>7224.2000000000007</v>
      </c>
      <c r="N12" s="227">
        <v>12</v>
      </c>
      <c r="O12" s="228">
        <v>34112.32</v>
      </c>
      <c r="P12" s="228">
        <v>22165.96</v>
      </c>
      <c r="Q12" s="228">
        <f t="shared" si="1"/>
        <v>11946.36</v>
      </c>
      <c r="R12" s="189"/>
    </row>
    <row r="13" spans="1:18" ht="25.5" x14ac:dyDescent="0.25">
      <c r="A13" s="226">
        <v>5</v>
      </c>
      <c r="B13" s="136" t="s">
        <v>27</v>
      </c>
      <c r="C13" s="134" t="s">
        <v>62</v>
      </c>
      <c r="D13" s="136"/>
      <c r="E13" s="134" t="s">
        <v>74</v>
      </c>
      <c r="F13" s="134" t="s">
        <v>413</v>
      </c>
      <c r="G13" s="136" t="s">
        <v>409</v>
      </c>
      <c r="H13" s="227">
        <v>10</v>
      </c>
      <c r="I13" s="227">
        <v>3</v>
      </c>
      <c r="J13" s="227">
        <v>3</v>
      </c>
      <c r="K13" s="228">
        <v>5051.82</v>
      </c>
      <c r="L13" s="228">
        <v>2761.22</v>
      </c>
      <c r="M13" s="193">
        <f t="shared" si="0"/>
        <v>2290.6</v>
      </c>
      <c r="N13" s="227">
        <v>8</v>
      </c>
      <c r="O13" s="228">
        <v>16676.7</v>
      </c>
      <c r="P13" s="228">
        <v>12712.3</v>
      </c>
      <c r="Q13" s="228">
        <f t="shared" si="1"/>
        <v>3964.4000000000015</v>
      </c>
      <c r="R13" s="189"/>
    </row>
    <row r="14" spans="1:18" ht="25.5" x14ac:dyDescent="0.25">
      <c r="A14" s="226">
        <v>6</v>
      </c>
      <c r="B14" s="136" t="s">
        <v>28</v>
      </c>
      <c r="C14" s="134" t="s">
        <v>62</v>
      </c>
      <c r="D14" s="136"/>
      <c r="E14" s="134" t="s">
        <v>74</v>
      </c>
      <c r="F14" s="134" t="s">
        <v>414</v>
      </c>
      <c r="G14" s="136" t="s">
        <v>409</v>
      </c>
      <c r="H14" s="227">
        <v>27</v>
      </c>
      <c r="I14" s="227">
        <v>7</v>
      </c>
      <c r="J14" s="227">
        <v>7</v>
      </c>
      <c r="K14" s="228">
        <v>7858.52</v>
      </c>
      <c r="L14" s="228">
        <v>7858.52</v>
      </c>
      <c r="M14" s="193">
        <f t="shared" si="0"/>
        <v>0</v>
      </c>
      <c r="N14" s="227">
        <v>7</v>
      </c>
      <c r="O14" s="228">
        <v>12334</v>
      </c>
      <c r="P14" s="228">
        <v>9867.2000000000007</v>
      </c>
      <c r="Q14" s="228">
        <f t="shared" si="1"/>
        <v>2466.7999999999993</v>
      </c>
      <c r="R14" s="189"/>
    </row>
    <row r="15" spans="1:18" ht="25.5" x14ac:dyDescent="0.25">
      <c r="A15" s="226">
        <v>7</v>
      </c>
      <c r="B15" s="194" t="s">
        <v>246</v>
      </c>
      <c r="C15" s="226" t="s">
        <v>62</v>
      </c>
      <c r="D15" s="194"/>
      <c r="E15" s="134" t="s">
        <v>74</v>
      </c>
      <c r="F15" s="226" t="s">
        <v>415</v>
      </c>
      <c r="G15" s="136" t="s">
        <v>409</v>
      </c>
      <c r="H15" s="227">
        <v>25</v>
      </c>
      <c r="I15" s="227">
        <v>2</v>
      </c>
      <c r="J15" s="227">
        <v>2</v>
      </c>
      <c r="K15" s="228">
        <v>1374.36</v>
      </c>
      <c r="L15" s="228">
        <v>1374.36</v>
      </c>
      <c r="M15" s="193">
        <f t="shared" si="0"/>
        <v>0</v>
      </c>
      <c r="N15" s="227">
        <v>0</v>
      </c>
      <c r="O15" s="228">
        <v>0</v>
      </c>
      <c r="P15" s="228">
        <v>0</v>
      </c>
      <c r="Q15" s="228">
        <f t="shared" si="1"/>
        <v>0</v>
      </c>
      <c r="R15" s="189"/>
    </row>
    <row r="16" spans="1:18" ht="25.5" x14ac:dyDescent="0.25">
      <c r="A16" s="229">
        <v>8</v>
      </c>
      <c r="B16" s="195" t="s">
        <v>330</v>
      </c>
      <c r="C16" s="226" t="s">
        <v>62</v>
      </c>
      <c r="D16" s="194"/>
      <c r="E16" s="134" t="s">
        <v>74</v>
      </c>
      <c r="F16" s="226" t="s">
        <v>416</v>
      </c>
      <c r="G16" s="136" t="s">
        <v>409</v>
      </c>
      <c r="H16" s="227">
        <v>5</v>
      </c>
      <c r="I16" s="227">
        <v>0</v>
      </c>
      <c r="J16" s="227">
        <v>0</v>
      </c>
      <c r="K16" s="228">
        <v>0</v>
      </c>
      <c r="L16" s="228">
        <v>0</v>
      </c>
      <c r="M16" s="193">
        <f t="shared" si="0"/>
        <v>0</v>
      </c>
      <c r="N16" s="227">
        <v>0</v>
      </c>
      <c r="O16" s="228">
        <v>0</v>
      </c>
      <c r="P16" s="228">
        <v>0</v>
      </c>
      <c r="Q16" s="228">
        <f t="shared" si="1"/>
        <v>0</v>
      </c>
      <c r="R16" s="189"/>
    </row>
    <row r="17" spans="1:18" ht="25.5" x14ac:dyDescent="0.25">
      <c r="A17" s="229">
        <v>9</v>
      </c>
      <c r="B17" s="195" t="s">
        <v>402</v>
      </c>
      <c r="C17" s="226" t="s">
        <v>62</v>
      </c>
      <c r="D17" s="194"/>
      <c r="E17" s="134" t="s">
        <v>74</v>
      </c>
      <c r="F17" s="226" t="s">
        <v>417</v>
      </c>
      <c r="G17" s="136" t="s">
        <v>409</v>
      </c>
      <c r="H17" s="227">
        <v>14</v>
      </c>
      <c r="I17" s="227">
        <v>4</v>
      </c>
      <c r="J17" s="227">
        <v>4</v>
      </c>
      <c r="K17" s="228">
        <v>4968.82</v>
      </c>
      <c r="L17" s="228">
        <v>2114.4</v>
      </c>
      <c r="M17" s="193">
        <f t="shared" si="0"/>
        <v>2854.4199999999996</v>
      </c>
      <c r="N17" s="227">
        <v>0</v>
      </c>
      <c r="O17" s="228">
        <v>0</v>
      </c>
      <c r="P17" s="228">
        <v>0</v>
      </c>
      <c r="Q17" s="228">
        <f t="shared" si="1"/>
        <v>0</v>
      </c>
      <c r="R17" s="189"/>
    </row>
    <row r="18" spans="1:18" ht="25.5" x14ac:dyDescent="0.25">
      <c r="A18" s="229">
        <v>10</v>
      </c>
      <c r="B18" s="195" t="s">
        <v>154</v>
      </c>
      <c r="C18" s="226" t="s">
        <v>62</v>
      </c>
      <c r="D18" s="194"/>
      <c r="E18" s="134" t="s">
        <v>72</v>
      </c>
      <c r="F18" s="226" t="s">
        <v>418</v>
      </c>
      <c r="G18" s="136" t="s">
        <v>409</v>
      </c>
      <c r="H18" s="227">
        <v>7</v>
      </c>
      <c r="I18" s="227">
        <v>0</v>
      </c>
      <c r="J18" s="227">
        <v>0</v>
      </c>
      <c r="K18" s="228">
        <v>0</v>
      </c>
      <c r="L18" s="228">
        <v>0</v>
      </c>
      <c r="M18" s="193">
        <f t="shared" si="0"/>
        <v>0</v>
      </c>
      <c r="N18" s="227">
        <v>5</v>
      </c>
      <c r="O18" s="228">
        <v>4737.8999999999996</v>
      </c>
      <c r="P18" s="228">
        <v>4737.8999999999996</v>
      </c>
      <c r="Q18" s="228">
        <f t="shared" si="1"/>
        <v>0</v>
      </c>
      <c r="R18" s="189"/>
    </row>
    <row r="19" spans="1:18" ht="25.5" x14ac:dyDescent="0.25">
      <c r="A19" s="229">
        <v>11</v>
      </c>
      <c r="B19" s="195" t="s">
        <v>153</v>
      </c>
      <c r="C19" s="226" t="s">
        <v>62</v>
      </c>
      <c r="D19" s="194"/>
      <c r="E19" s="134" t="s">
        <v>74</v>
      </c>
      <c r="F19" s="226" t="s">
        <v>419</v>
      </c>
      <c r="G19" s="136" t="s">
        <v>409</v>
      </c>
      <c r="H19" s="227">
        <v>4</v>
      </c>
      <c r="I19" s="227">
        <v>0</v>
      </c>
      <c r="J19" s="227">
        <v>0</v>
      </c>
      <c r="K19" s="228">
        <v>0</v>
      </c>
      <c r="L19" s="228">
        <v>0</v>
      </c>
      <c r="M19" s="193">
        <f t="shared" si="0"/>
        <v>0</v>
      </c>
      <c r="N19" s="227">
        <v>5</v>
      </c>
      <c r="O19" s="228">
        <v>18053.7</v>
      </c>
      <c r="P19" s="228">
        <v>15237.6</v>
      </c>
      <c r="Q19" s="228">
        <f t="shared" si="1"/>
        <v>2816.1000000000004</v>
      </c>
      <c r="R19" s="189"/>
    </row>
    <row r="20" spans="1:18" ht="25.5" x14ac:dyDescent="0.25">
      <c r="A20" s="229">
        <v>12</v>
      </c>
      <c r="B20" s="195" t="s">
        <v>89</v>
      </c>
      <c r="C20" s="226" t="s">
        <v>62</v>
      </c>
      <c r="D20" s="194"/>
      <c r="E20" s="134" t="s">
        <v>74</v>
      </c>
      <c r="F20" s="226" t="s">
        <v>420</v>
      </c>
      <c r="G20" s="136" t="s">
        <v>409</v>
      </c>
      <c r="H20" s="227">
        <v>10</v>
      </c>
      <c r="I20" s="227">
        <v>1</v>
      </c>
      <c r="J20" s="227">
        <v>1</v>
      </c>
      <c r="K20" s="228">
        <v>528.6</v>
      </c>
      <c r="L20" s="228">
        <v>528.6</v>
      </c>
      <c r="M20" s="193">
        <f t="shared" si="0"/>
        <v>0</v>
      </c>
      <c r="N20" s="227">
        <v>2</v>
      </c>
      <c r="O20" s="228">
        <v>4052.6</v>
      </c>
      <c r="P20" s="228">
        <v>4052.6</v>
      </c>
      <c r="Q20" s="228">
        <f t="shared" si="1"/>
        <v>0</v>
      </c>
      <c r="R20" s="189"/>
    </row>
    <row r="21" spans="1:18" ht="25.5" x14ac:dyDescent="0.25">
      <c r="A21" s="229">
        <v>13</v>
      </c>
      <c r="B21" s="195" t="s">
        <v>379</v>
      </c>
      <c r="C21" s="226" t="s">
        <v>62</v>
      </c>
      <c r="D21" s="194"/>
      <c r="E21" s="134" t="s">
        <v>74</v>
      </c>
      <c r="F21" s="226" t="s">
        <v>421</v>
      </c>
      <c r="G21" s="136" t="s">
        <v>409</v>
      </c>
      <c r="H21" s="227">
        <v>5</v>
      </c>
      <c r="I21" s="227">
        <v>2</v>
      </c>
      <c r="J21" s="227">
        <v>2</v>
      </c>
      <c r="K21" s="228">
        <v>1409.6</v>
      </c>
      <c r="L21" s="228">
        <v>1409.6</v>
      </c>
      <c r="M21" s="193">
        <f t="shared" si="0"/>
        <v>0</v>
      </c>
      <c r="N21" s="227">
        <v>0</v>
      </c>
      <c r="O21" s="228">
        <v>0</v>
      </c>
      <c r="P21" s="228">
        <v>0</v>
      </c>
      <c r="Q21" s="228">
        <f t="shared" si="1"/>
        <v>0</v>
      </c>
      <c r="R21" s="189"/>
    </row>
    <row r="22" spans="1:18" ht="25.5" x14ac:dyDescent="0.25">
      <c r="A22" s="229">
        <v>14</v>
      </c>
      <c r="B22" s="195" t="s">
        <v>264</v>
      </c>
      <c r="C22" s="226" t="s">
        <v>62</v>
      </c>
      <c r="D22" s="194"/>
      <c r="E22" s="134" t="s">
        <v>74</v>
      </c>
      <c r="F22" s="226" t="s">
        <v>422</v>
      </c>
      <c r="G22" s="136" t="s">
        <v>409</v>
      </c>
      <c r="H22" s="227">
        <v>3</v>
      </c>
      <c r="I22" s="227">
        <v>0</v>
      </c>
      <c r="J22" s="227">
        <v>0</v>
      </c>
      <c r="K22" s="228">
        <v>0</v>
      </c>
      <c r="L22" s="228">
        <v>0</v>
      </c>
      <c r="M22" s="193">
        <f t="shared" si="0"/>
        <v>0</v>
      </c>
      <c r="N22" s="227">
        <v>0</v>
      </c>
      <c r="O22" s="228">
        <v>0</v>
      </c>
      <c r="P22" s="228">
        <v>0</v>
      </c>
      <c r="Q22" s="228">
        <f t="shared" si="1"/>
        <v>0</v>
      </c>
      <c r="R22" s="189"/>
    </row>
    <row r="23" spans="1:18" ht="25.5" x14ac:dyDescent="0.25">
      <c r="A23" s="229">
        <v>15</v>
      </c>
      <c r="B23" s="195" t="s">
        <v>475</v>
      </c>
      <c r="C23" s="226" t="s">
        <v>67</v>
      </c>
      <c r="D23" s="136" t="s">
        <v>123</v>
      </c>
      <c r="E23" s="134" t="s">
        <v>82</v>
      </c>
      <c r="F23" s="226" t="s">
        <v>423</v>
      </c>
      <c r="G23" s="136" t="s">
        <v>409</v>
      </c>
      <c r="H23" s="227">
        <v>3</v>
      </c>
      <c r="I23" s="227">
        <v>0</v>
      </c>
      <c r="J23" s="227">
        <v>0</v>
      </c>
      <c r="K23" s="228">
        <v>0</v>
      </c>
      <c r="L23" s="228">
        <v>0</v>
      </c>
      <c r="M23" s="193">
        <f t="shared" si="0"/>
        <v>0</v>
      </c>
      <c r="N23" s="227">
        <v>0</v>
      </c>
      <c r="O23" s="228">
        <v>0</v>
      </c>
      <c r="P23" s="228">
        <v>0</v>
      </c>
      <c r="Q23" s="228">
        <f t="shared" si="1"/>
        <v>0</v>
      </c>
      <c r="R23" s="189"/>
    </row>
    <row r="24" spans="1:18" ht="25.5" x14ac:dyDescent="0.25">
      <c r="A24" s="229">
        <v>16</v>
      </c>
      <c r="B24" s="195" t="s">
        <v>137</v>
      </c>
      <c r="C24" s="226" t="s">
        <v>62</v>
      </c>
      <c r="D24" s="194"/>
      <c r="E24" s="134" t="s">
        <v>78</v>
      </c>
      <c r="F24" s="226" t="s">
        <v>424</v>
      </c>
      <c r="G24" s="136" t="s">
        <v>409</v>
      </c>
      <c r="H24" s="227">
        <v>4</v>
      </c>
      <c r="I24" s="227">
        <v>1</v>
      </c>
      <c r="J24" s="227">
        <v>1</v>
      </c>
      <c r="K24" s="228">
        <v>1691.52</v>
      </c>
      <c r="L24" s="228">
        <v>1691.52</v>
      </c>
      <c r="M24" s="193">
        <f t="shared" si="0"/>
        <v>0</v>
      </c>
      <c r="N24" s="227">
        <v>0</v>
      </c>
      <c r="O24" s="228">
        <v>0</v>
      </c>
      <c r="P24" s="228">
        <v>0</v>
      </c>
      <c r="Q24" s="228">
        <f t="shared" si="1"/>
        <v>0</v>
      </c>
      <c r="R24" s="189"/>
    </row>
    <row r="25" spans="1:18" ht="25.5" x14ac:dyDescent="0.25">
      <c r="A25" s="229">
        <v>17</v>
      </c>
      <c r="B25" s="195" t="s">
        <v>173</v>
      </c>
      <c r="C25" s="226" t="s">
        <v>67</v>
      </c>
      <c r="D25" s="194" t="s">
        <v>425</v>
      </c>
      <c r="E25" s="134" t="s">
        <v>74</v>
      </c>
      <c r="F25" s="226" t="s">
        <v>426</v>
      </c>
      <c r="G25" s="136" t="s">
        <v>409</v>
      </c>
      <c r="H25" s="227">
        <v>12</v>
      </c>
      <c r="I25" s="227">
        <v>2</v>
      </c>
      <c r="J25" s="227">
        <v>2</v>
      </c>
      <c r="K25" s="228">
        <v>2114.4</v>
      </c>
      <c r="L25" s="228">
        <v>2114.4</v>
      </c>
      <c r="M25" s="193">
        <f t="shared" si="0"/>
        <v>0</v>
      </c>
      <c r="N25" s="227">
        <v>0</v>
      </c>
      <c r="O25" s="228">
        <v>0</v>
      </c>
      <c r="P25" s="228">
        <v>0</v>
      </c>
      <c r="Q25" s="228">
        <f t="shared" si="1"/>
        <v>0</v>
      </c>
      <c r="R25" s="189"/>
    </row>
    <row r="26" spans="1:18" ht="25.5" x14ac:dyDescent="0.25">
      <c r="A26" s="229">
        <v>18</v>
      </c>
      <c r="B26" s="195" t="s">
        <v>135</v>
      </c>
      <c r="C26" s="226" t="s">
        <v>62</v>
      </c>
      <c r="D26" s="194"/>
      <c r="E26" s="134" t="s">
        <v>74</v>
      </c>
      <c r="F26" s="226" t="s">
        <v>427</v>
      </c>
      <c r="G26" s="136" t="s">
        <v>409</v>
      </c>
      <c r="H26" s="227">
        <v>4</v>
      </c>
      <c r="I26" s="227">
        <v>2</v>
      </c>
      <c r="J26" s="227">
        <v>2</v>
      </c>
      <c r="K26" s="228">
        <v>2396.3200000000002</v>
      </c>
      <c r="L26" s="228">
        <v>1691.52</v>
      </c>
      <c r="M26" s="193">
        <f t="shared" si="0"/>
        <v>704.80000000000018</v>
      </c>
      <c r="N26" s="227">
        <v>4</v>
      </c>
      <c r="O26" s="228">
        <v>12758.52</v>
      </c>
      <c r="P26" s="228"/>
      <c r="Q26" s="228">
        <f t="shared" si="1"/>
        <v>12758.52</v>
      </c>
      <c r="R26" s="189"/>
    </row>
    <row r="27" spans="1:18" ht="25.5" x14ac:dyDescent="0.25">
      <c r="A27" s="229">
        <v>19</v>
      </c>
      <c r="B27" s="195" t="s">
        <v>148</v>
      </c>
      <c r="C27" s="226" t="s">
        <v>62</v>
      </c>
      <c r="D27" s="194"/>
      <c r="E27" s="134" t="s">
        <v>149</v>
      </c>
      <c r="F27" s="226" t="s">
        <v>375</v>
      </c>
      <c r="G27" s="136" t="s">
        <v>409</v>
      </c>
      <c r="H27" s="227">
        <v>19</v>
      </c>
      <c r="I27" s="227">
        <v>0</v>
      </c>
      <c r="J27" s="227">
        <v>0</v>
      </c>
      <c r="K27" s="228">
        <v>0</v>
      </c>
      <c r="L27" s="228">
        <v>0</v>
      </c>
      <c r="M27" s="193">
        <f t="shared" si="0"/>
        <v>0</v>
      </c>
      <c r="N27" s="227">
        <v>12</v>
      </c>
      <c r="O27" s="228">
        <v>34273.480000000003</v>
      </c>
      <c r="P27" s="228">
        <v>22187.47</v>
      </c>
      <c r="Q27" s="228">
        <f t="shared" si="1"/>
        <v>12086.010000000002</v>
      </c>
      <c r="R27" s="189"/>
    </row>
    <row r="28" spans="1:18" ht="25.5" x14ac:dyDescent="0.25">
      <c r="A28" s="229">
        <v>20</v>
      </c>
      <c r="B28" s="195" t="s">
        <v>147</v>
      </c>
      <c r="C28" s="226" t="s">
        <v>62</v>
      </c>
      <c r="D28" s="194"/>
      <c r="E28" s="134" t="s">
        <v>74</v>
      </c>
      <c r="F28" s="226" t="s">
        <v>331</v>
      </c>
      <c r="G28" s="136" t="s">
        <v>409</v>
      </c>
      <c r="H28" s="227">
        <v>6</v>
      </c>
      <c r="I28" s="227">
        <v>0</v>
      </c>
      <c r="J28" s="227">
        <v>0</v>
      </c>
      <c r="K28" s="228">
        <v>0</v>
      </c>
      <c r="L28" s="228">
        <v>0</v>
      </c>
      <c r="M28" s="193">
        <f t="shared" si="0"/>
        <v>0</v>
      </c>
      <c r="N28" s="227">
        <v>6</v>
      </c>
      <c r="O28" s="228">
        <v>10763.2</v>
      </c>
      <c r="P28" s="228">
        <v>8120.2</v>
      </c>
      <c r="Q28" s="228">
        <f t="shared" si="1"/>
        <v>2643.0000000000009</v>
      </c>
      <c r="R28" s="189"/>
    </row>
    <row r="29" spans="1:18" ht="25.5" x14ac:dyDescent="0.25">
      <c r="A29" s="229">
        <v>21</v>
      </c>
      <c r="B29" s="195" t="s">
        <v>124</v>
      </c>
      <c r="C29" s="226" t="s">
        <v>62</v>
      </c>
      <c r="D29" s="194"/>
      <c r="E29" s="134" t="s">
        <v>428</v>
      </c>
      <c r="F29" s="226" t="s">
        <v>329</v>
      </c>
      <c r="G29" s="136" t="s">
        <v>409</v>
      </c>
      <c r="H29" s="227">
        <v>16</v>
      </c>
      <c r="I29" s="227">
        <v>1</v>
      </c>
      <c r="J29" s="227">
        <v>1</v>
      </c>
      <c r="K29" s="228">
        <v>1762</v>
      </c>
      <c r="L29" s="228">
        <v>0</v>
      </c>
      <c r="M29" s="193">
        <f t="shared" si="0"/>
        <v>1762</v>
      </c>
      <c r="N29" s="227">
        <v>17</v>
      </c>
      <c r="O29" s="228">
        <v>20373.14</v>
      </c>
      <c r="P29" s="228">
        <v>8061.16</v>
      </c>
      <c r="Q29" s="228">
        <f t="shared" si="1"/>
        <v>12311.98</v>
      </c>
      <c r="R29" s="189"/>
    </row>
    <row r="30" spans="1:18" ht="25.5" x14ac:dyDescent="0.25">
      <c r="A30" s="229">
        <v>22</v>
      </c>
      <c r="B30" s="195" t="s">
        <v>168</v>
      </c>
      <c r="C30" s="226" t="s">
        <v>62</v>
      </c>
      <c r="D30" s="194"/>
      <c r="E30" s="226" t="s">
        <v>371</v>
      </c>
      <c r="F30" s="226" t="s">
        <v>353</v>
      </c>
      <c r="G30" s="136" t="s">
        <v>409</v>
      </c>
      <c r="H30" s="227">
        <v>6</v>
      </c>
      <c r="I30" s="227">
        <v>1</v>
      </c>
      <c r="J30" s="227">
        <v>1</v>
      </c>
      <c r="K30" s="228">
        <v>1409.6</v>
      </c>
      <c r="L30" s="228">
        <v>0</v>
      </c>
      <c r="M30" s="193">
        <f t="shared" si="0"/>
        <v>1409.6</v>
      </c>
      <c r="N30" s="227">
        <v>0</v>
      </c>
      <c r="O30" s="228">
        <v>0</v>
      </c>
      <c r="P30" s="228">
        <v>0</v>
      </c>
      <c r="Q30" s="228">
        <f t="shared" si="1"/>
        <v>0</v>
      </c>
      <c r="R30" s="189"/>
    </row>
    <row r="31" spans="1:18" ht="25.5" x14ac:dyDescent="0.25">
      <c r="A31" s="229">
        <v>23</v>
      </c>
      <c r="B31" s="195" t="s">
        <v>429</v>
      </c>
      <c r="C31" s="226" t="s">
        <v>62</v>
      </c>
      <c r="D31" s="194"/>
      <c r="E31" s="134" t="s">
        <v>74</v>
      </c>
      <c r="F31" s="226" t="s">
        <v>430</v>
      </c>
      <c r="G31" s="136" t="s">
        <v>409</v>
      </c>
      <c r="H31" s="227">
        <v>5</v>
      </c>
      <c r="I31" s="227">
        <v>2</v>
      </c>
      <c r="J31" s="227">
        <v>2</v>
      </c>
      <c r="K31" s="228">
        <v>2748.72</v>
      </c>
      <c r="L31" s="228">
        <v>1691.52</v>
      </c>
      <c r="M31" s="193">
        <f t="shared" si="0"/>
        <v>1057.1999999999998</v>
      </c>
      <c r="N31" s="227">
        <v>4</v>
      </c>
      <c r="O31" s="228">
        <v>3488.76</v>
      </c>
      <c r="P31" s="228">
        <v>528.6</v>
      </c>
      <c r="Q31" s="228">
        <f t="shared" si="1"/>
        <v>2960.1600000000003</v>
      </c>
      <c r="R31" s="189"/>
    </row>
    <row r="32" spans="1:18" ht="25.5" x14ac:dyDescent="0.25">
      <c r="A32" s="229">
        <v>24</v>
      </c>
      <c r="B32" s="195" t="s">
        <v>130</v>
      </c>
      <c r="C32" s="226" t="s">
        <v>62</v>
      </c>
      <c r="D32" s="194"/>
      <c r="E32" s="134" t="s">
        <v>74</v>
      </c>
      <c r="F32" s="226" t="s">
        <v>431</v>
      </c>
      <c r="G32" s="136" t="s">
        <v>409</v>
      </c>
      <c r="H32" s="227">
        <v>4</v>
      </c>
      <c r="I32" s="227">
        <v>4</v>
      </c>
      <c r="J32" s="227">
        <v>4</v>
      </c>
      <c r="K32" s="228">
        <v>5204.2</v>
      </c>
      <c r="L32" s="228">
        <v>5204.2</v>
      </c>
      <c r="M32" s="193">
        <f t="shared" si="0"/>
        <v>0</v>
      </c>
      <c r="N32" s="227">
        <v>1</v>
      </c>
      <c r="O32" s="228">
        <v>845.76</v>
      </c>
      <c r="P32" s="228">
        <v>845.76</v>
      </c>
      <c r="Q32" s="228">
        <f t="shared" si="1"/>
        <v>0</v>
      </c>
      <c r="R32" s="189"/>
    </row>
    <row r="33" spans="1:18" ht="25.5" x14ac:dyDescent="0.25">
      <c r="A33" s="229">
        <v>25</v>
      </c>
      <c r="B33" s="195" t="s">
        <v>32</v>
      </c>
      <c r="C33" s="226" t="s">
        <v>62</v>
      </c>
      <c r="D33" s="194"/>
      <c r="E33" s="134" t="s">
        <v>74</v>
      </c>
      <c r="F33" s="226" t="s">
        <v>432</v>
      </c>
      <c r="G33" s="136" t="s">
        <v>409</v>
      </c>
      <c r="H33" s="227">
        <v>9</v>
      </c>
      <c r="I33" s="227">
        <v>2</v>
      </c>
      <c r="J33" s="227">
        <v>2</v>
      </c>
      <c r="K33" s="228">
        <v>2114.4</v>
      </c>
      <c r="L33" s="228">
        <v>2114.4</v>
      </c>
      <c r="M33" s="193">
        <f t="shared" si="0"/>
        <v>0</v>
      </c>
      <c r="N33" s="227">
        <v>4</v>
      </c>
      <c r="O33" s="228">
        <v>4581.2</v>
      </c>
      <c r="P33" s="228">
        <v>4581.2</v>
      </c>
      <c r="Q33" s="228">
        <f t="shared" si="1"/>
        <v>0</v>
      </c>
      <c r="R33" s="189"/>
    </row>
    <row r="34" spans="1:18" ht="25.5" x14ac:dyDescent="0.25">
      <c r="A34" s="229">
        <v>26</v>
      </c>
      <c r="B34" s="195" t="s">
        <v>343</v>
      </c>
      <c r="C34" s="226" t="s">
        <v>62</v>
      </c>
      <c r="D34" s="194"/>
      <c r="E34" s="134" t="s">
        <v>74</v>
      </c>
      <c r="F34" s="226" t="s">
        <v>433</v>
      </c>
      <c r="G34" s="136" t="s">
        <v>409</v>
      </c>
      <c r="H34" s="227">
        <v>11</v>
      </c>
      <c r="I34" s="227">
        <v>2</v>
      </c>
      <c r="J34" s="227">
        <v>2</v>
      </c>
      <c r="K34" s="228">
        <v>2114.4</v>
      </c>
      <c r="L34" s="228">
        <v>0</v>
      </c>
      <c r="M34" s="193">
        <f t="shared" si="0"/>
        <v>2114.4</v>
      </c>
      <c r="N34" s="227">
        <v>0</v>
      </c>
      <c r="O34" s="228">
        <v>0</v>
      </c>
      <c r="P34" s="228">
        <v>0</v>
      </c>
      <c r="Q34" s="228">
        <f t="shared" si="1"/>
        <v>0</v>
      </c>
      <c r="R34" s="189"/>
    </row>
    <row r="35" spans="1:18" ht="25.5" x14ac:dyDescent="0.25">
      <c r="A35" s="229">
        <v>27</v>
      </c>
      <c r="B35" s="195" t="s">
        <v>290</v>
      </c>
      <c r="C35" s="226" t="s">
        <v>62</v>
      </c>
      <c r="D35" s="194"/>
      <c r="E35" s="226" t="s">
        <v>371</v>
      </c>
      <c r="F35" s="226" t="s">
        <v>434</v>
      </c>
      <c r="G35" s="136" t="s">
        <v>409</v>
      </c>
      <c r="H35" s="227">
        <v>4</v>
      </c>
      <c r="I35" s="227">
        <v>0</v>
      </c>
      <c r="J35" s="227">
        <v>0</v>
      </c>
      <c r="K35" s="228">
        <v>0</v>
      </c>
      <c r="L35" s="228">
        <v>0</v>
      </c>
      <c r="M35" s="193">
        <f t="shared" si="0"/>
        <v>0</v>
      </c>
      <c r="N35" s="227">
        <v>0</v>
      </c>
      <c r="O35" s="228">
        <v>0</v>
      </c>
      <c r="P35" s="228">
        <v>0</v>
      </c>
      <c r="Q35" s="228">
        <f t="shared" si="1"/>
        <v>0</v>
      </c>
      <c r="R35" s="189"/>
    </row>
    <row r="36" spans="1:18" ht="25.5" x14ac:dyDescent="0.25">
      <c r="A36" s="229">
        <v>28</v>
      </c>
      <c r="B36" s="195" t="s">
        <v>315</v>
      </c>
      <c r="C36" s="226" t="s">
        <v>62</v>
      </c>
      <c r="D36" s="194"/>
      <c r="E36" s="134" t="s">
        <v>74</v>
      </c>
      <c r="F36" s="226" t="s">
        <v>435</v>
      </c>
      <c r="G36" s="136" t="s">
        <v>409</v>
      </c>
      <c r="H36" s="227">
        <v>13</v>
      </c>
      <c r="I36" s="227">
        <v>0</v>
      </c>
      <c r="J36" s="227">
        <v>0</v>
      </c>
      <c r="K36" s="228">
        <v>0</v>
      </c>
      <c r="L36" s="228">
        <v>0</v>
      </c>
      <c r="M36" s="193">
        <f t="shared" si="0"/>
        <v>0</v>
      </c>
      <c r="N36" s="227">
        <v>4</v>
      </c>
      <c r="O36" s="228">
        <v>5622.22</v>
      </c>
      <c r="P36" s="228">
        <v>1386.2</v>
      </c>
      <c r="Q36" s="228">
        <f t="shared" si="1"/>
        <v>4236.0200000000004</v>
      </c>
      <c r="R36" s="189"/>
    </row>
    <row r="37" spans="1:18" ht="25.5" x14ac:dyDescent="0.25">
      <c r="A37" s="229">
        <v>29</v>
      </c>
      <c r="B37" s="195" t="s">
        <v>216</v>
      </c>
      <c r="C37" s="226" t="s">
        <v>67</v>
      </c>
      <c r="D37" s="194" t="s">
        <v>436</v>
      </c>
      <c r="E37" s="134" t="s">
        <v>74</v>
      </c>
      <c r="F37" s="226" t="s">
        <v>437</v>
      </c>
      <c r="G37" s="136" t="s">
        <v>409</v>
      </c>
      <c r="H37" s="227">
        <v>18</v>
      </c>
      <c r="I37" s="227">
        <v>3</v>
      </c>
      <c r="J37" s="227">
        <v>3</v>
      </c>
      <c r="K37" s="228">
        <v>5141.1499999999996</v>
      </c>
      <c r="L37" s="228">
        <v>0</v>
      </c>
      <c r="M37" s="193">
        <f t="shared" si="0"/>
        <v>5141.1499999999996</v>
      </c>
      <c r="N37" s="227">
        <v>0</v>
      </c>
      <c r="O37" s="228">
        <v>0</v>
      </c>
      <c r="P37" s="228">
        <v>0</v>
      </c>
      <c r="Q37" s="228">
        <f t="shared" si="1"/>
        <v>0</v>
      </c>
      <c r="R37" s="189"/>
    </row>
    <row r="38" spans="1:18" ht="25.5" x14ac:dyDescent="0.25">
      <c r="A38" s="229">
        <v>30</v>
      </c>
      <c r="B38" s="195" t="s">
        <v>438</v>
      </c>
      <c r="C38" s="226" t="s">
        <v>62</v>
      </c>
      <c r="D38" s="194"/>
      <c r="E38" s="134" t="s">
        <v>74</v>
      </c>
      <c r="F38" s="226" t="s">
        <v>439</v>
      </c>
      <c r="G38" s="136" t="s">
        <v>409</v>
      </c>
      <c r="H38" s="227">
        <v>7</v>
      </c>
      <c r="I38" s="227">
        <v>0</v>
      </c>
      <c r="J38" s="227">
        <v>0</v>
      </c>
      <c r="K38" s="228">
        <v>0</v>
      </c>
      <c r="L38" s="228">
        <v>0</v>
      </c>
      <c r="M38" s="193">
        <f t="shared" si="0"/>
        <v>0</v>
      </c>
      <c r="N38" s="227">
        <v>0</v>
      </c>
      <c r="O38" s="228">
        <v>0</v>
      </c>
      <c r="P38" s="228">
        <v>0</v>
      </c>
      <c r="Q38" s="228">
        <f t="shared" si="1"/>
        <v>0</v>
      </c>
      <c r="R38" s="189"/>
    </row>
    <row r="39" spans="1:18" ht="25.5" x14ac:dyDescent="0.25">
      <c r="A39" s="229">
        <v>31</v>
      </c>
      <c r="B39" s="195" t="s">
        <v>440</v>
      </c>
      <c r="C39" s="226" t="s">
        <v>62</v>
      </c>
      <c r="D39" s="194"/>
      <c r="E39" s="134" t="s">
        <v>74</v>
      </c>
      <c r="F39" s="226" t="s">
        <v>441</v>
      </c>
      <c r="G39" s="136" t="s">
        <v>409</v>
      </c>
      <c r="H39" s="227">
        <v>7</v>
      </c>
      <c r="I39" s="227">
        <v>3</v>
      </c>
      <c r="J39" s="227">
        <v>3</v>
      </c>
      <c r="K39" s="228">
        <v>3171.6</v>
      </c>
      <c r="L39" s="228">
        <v>0</v>
      </c>
      <c r="M39" s="193">
        <f t="shared" si="0"/>
        <v>3171.6</v>
      </c>
      <c r="N39" s="227">
        <v>0</v>
      </c>
      <c r="O39" s="228">
        <v>0</v>
      </c>
      <c r="P39" s="228">
        <v>0</v>
      </c>
      <c r="Q39" s="228">
        <f t="shared" si="1"/>
        <v>0</v>
      </c>
      <c r="R39" s="189"/>
    </row>
    <row r="40" spans="1:18" ht="28.35" customHeight="1" x14ac:dyDescent="0.25">
      <c r="A40" s="229">
        <v>32</v>
      </c>
      <c r="B40" s="195" t="s">
        <v>222</v>
      </c>
      <c r="C40" s="226" t="s">
        <v>64</v>
      </c>
      <c r="D40" s="196" t="s">
        <v>442</v>
      </c>
      <c r="E40" s="134" t="s">
        <v>74</v>
      </c>
      <c r="F40" s="226" t="s">
        <v>443</v>
      </c>
      <c r="G40" s="136" t="s">
        <v>409</v>
      </c>
      <c r="H40" s="227">
        <v>1</v>
      </c>
      <c r="I40" s="227">
        <v>0</v>
      </c>
      <c r="J40" s="227">
        <v>0</v>
      </c>
      <c r="K40" s="228">
        <v>0</v>
      </c>
      <c r="L40" s="228">
        <v>0</v>
      </c>
      <c r="M40" s="193">
        <f t="shared" si="0"/>
        <v>0</v>
      </c>
      <c r="N40" s="227">
        <v>0</v>
      </c>
      <c r="O40" s="228">
        <v>0</v>
      </c>
      <c r="P40" s="228">
        <v>0</v>
      </c>
      <c r="Q40" s="228">
        <f t="shared" si="1"/>
        <v>0</v>
      </c>
      <c r="R40" s="189"/>
    </row>
    <row r="41" spans="1:18" ht="25.5" x14ac:dyDescent="0.25">
      <c r="A41" s="229">
        <v>33</v>
      </c>
      <c r="B41" s="195" t="s">
        <v>444</v>
      </c>
      <c r="C41" s="226" t="s">
        <v>62</v>
      </c>
      <c r="D41" s="194"/>
      <c r="E41" s="134" t="s">
        <v>74</v>
      </c>
      <c r="F41" s="226" t="s">
        <v>445</v>
      </c>
      <c r="G41" s="136" t="s">
        <v>409</v>
      </c>
      <c r="H41" s="227">
        <v>5</v>
      </c>
      <c r="I41" s="227">
        <v>2</v>
      </c>
      <c r="J41" s="227">
        <v>2</v>
      </c>
      <c r="K41" s="228">
        <v>1409.6</v>
      </c>
      <c r="L41" s="228">
        <v>0</v>
      </c>
      <c r="M41" s="193">
        <f t="shared" si="0"/>
        <v>1409.6</v>
      </c>
      <c r="N41" s="227">
        <v>0</v>
      </c>
      <c r="O41" s="228">
        <v>0</v>
      </c>
      <c r="P41" s="228">
        <v>0</v>
      </c>
      <c r="Q41" s="228">
        <f t="shared" si="1"/>
        <v>0</v>
      </c>
      <c r="R41" s="189"/>
    </row>
    <row r="42" spans="1:18" ht="25.5" x14ac:dyDescent="0.25">
      <c r="A42" s="229">
        <v>34</v>
      </c>
      <c r="B42" s="195" t="s">
        <v>129</v>
      </c>
      <c r="C42" s="226" t="s">
        <v>62</v>
      </c>
      <c r="D42" s="194"/>
      <c r="E42" s="134" t="s">
        <v>74</v>
      </c>
      <c r="F42" s="226" t="s">
        <v>446</v>
      </c>
      <c r="G42" s="136" t="s">
        <v>409</v>
      </c>
      <c r="H42" s="227">
        <v>5</v>
      </c>
      <c r="I42" s="227">
        <v>3</v>
      </c>
      <c r="J42" s="227">
        <v>3</v>
      </c>
      <c r="K42" s="228">
        <v>3015.4</v>
      </c>
      <c r="L42" s="228">
        <v>1948.2</v>
      </c>
      <c r="M42" s="193">
        <f t="shared" si="0"/>
        <v>1067.2</v>
      </c>
      <c r="N42" s="227">
        <v>8</v>
      </c>
      <c r="O42" s="228">
        <v>12201.18</v>
      </c>
      <c r="P42" s="228">
        <v>7342.3</v>
      </c>
      <c r="Q42" s="228">
        <f t="shared" si="1"/>
        <v>4858.88</v>
      </c>
      <c r="R42" s="189"/>
    </row>
    <row r="43" spans="1:18" ht="25.5" x14ac:dyDescent="0.25">
      <c r="A43" s="229">
        <v>35</v>
      </c>
      <c r="B43" s="197" t="s">
        <v>104</v>
      </c>
      <c r="C43" s="226" t="s">
        <v>62</v>
      </c>
      <c r="D43" s="194"/>
      <c r="E43" s="134" t="s">
        <v>105</v>
      </c>
      <c r="F43" s="226" t="s">
        <v>447</v>
      </c>
      <c r="G43" s="136" t="s">
        <v>409</v>
      </c>
      <c r="H43" s="227">
        <v>0</v>
      </c>
      <c r="I43" s="227">
        <v>0</v>
      </c>
      <c r="J43" s="227">
        <v>0</v>
      </c>
      <c r="K43" s="228">
        <v>0</v>
      </c>
      <c r="L43" s="228">
        <v>0</v>
      </c>
      <c r="M43" s="193">
        <f t="shared" si="0"/>
        <v>0</v>
      </c>
      <c r="N43" s="227">
        <v>7</v>
      </c>
      <c r="O43" s="228">
        <v>5726.5</v>
      </c>
      <c r="P43" s="228">
        <v>5726.5</v>
      </c>
      <c r="Q43" s="228">
        <f t="shared" si="1"/>
        <v>0</v>
      </c>
      <c r="R43" s="189"/>
    </row>
    <row r="44" spans="1:18" ht="25.5" x14ac:dyDescent="0.25">
      <c r="A44" s="226">
        <v>36</v>
      </c>
      <c r="B44" s="194" t="s">
        <v>156</v>
      </c>
      <c r="C44" s="226" t="s">
        <v>67</v>
      </c>
      <c r="D44" s="194" t="s">
        <v>501</v>
      </c>
      <c r="E44" s="134" t="s">
        <v>74</v>
      </c>
      <c r="F44" s="226" t="s">
        <v>502</v>
      </c>
      <c r="G44" s="136" t="s">
        <v>409</v>
      </c>
      <c r="H44" s="227">
        <v>3</v>
      </c>
      <c r="I44" s="227">
        <v>0</v>
      </c>
      <c r="J44" s="227">
        <v>0</v>
      </c>
      <c r="K44" s="228">
        <v>0</v>
      </c>
      <c r="L44" s="228">
        <v>0</v>
      </c>
      <c r="M44" s="193">
        <f t="shared" si="0"/>
        <v>0</v>
      </c>
      <c r="N44" s="227">
        <v>3</v>
      </c>
      <c r="O44" s="228">
        <v>6167</v>
      </c>
      <c r="P44" s="228">
        <v>4757.3999999999996</v>
      </c>
      <c r="Q44" s="228">
        <f t="shared" si="1"/>
        <v>1409.6000000000004</v>
      </c>
      <c r="R44" s="189"/>
    </row>
    <row r="45" spans="1:18" ht="25.5" x14ac:dyDescent="0.25">
      <c r="A45" s="226">
        <v>37</v>
      </c>
      <c r="B45" s="194" t="s">
        <v>133</v>
      </c>
      <c r="C45" s="226" t="s">
        <v>67</v>
      </c>
      <c r="D45" s="194" t="s">
        <v>397</v>
      </c>
      <c r="E45" s="134" t="s">
        <v>74</v>
      </c>
      <c r="F45" s="226" t="s">
        <v>503</v>
      </c>
      <c r="G45" s="136" t="s">
        <v>409</v>
      </c>
      <c r="H45" s="227">
        <v>11</v>
      </c>
      <c r="I45" s="227">
        <v>0</v>
      </c>
      <c r="J45" s="227">
        <v>0</v>
      </c>
      <c r="K45" s="228">
        <v>0</v>
      </c>
      <c r="L45" s="228">
        <v>0</v>
      </c>
      <c r="M45" s="193">
        <f t="shared" si="0"/>
        <v>0</v>
      </c>
      <c r="N45" s="227">
        <v>8</v>
      </c>
      <c r="O45" s="228">
        <v>21929.06</v>
      </c>
      <c r="P45" s="228">
        <v>14551.26</v>
      </c>
      <c r="Q45" s="228">
        <f t="shared" si="1"/>
        <v>7377.8000000000011</v>
      </c>
      <c r="R45" s="189"/>
    </row>
    <row r="46" spans="1:18" ht="25.5" x14ac:dyDescent="0.25">
      <c r="A46" s="226">
        <v>38</v>
      </c>
      <c r="B46" s="194" t="s">
        <v>114</v>
      </c>
      <c r="C46" s="226" t="s">
        <v>62</v>
      </c>
      <c r="D46" s="194"/>
      <c r="E46" s="134" t="s">
        <v>115</v>
      </c>
      <c r="F46" s="226" t="s">
        <v>504</v>
      </c>
      <c r="G46" s="136" t="s">
        <v>409</v>
      </c>
      <c r="H46" s="227">
        <v>0</v>
      </c>
      <c r="I46" s="227">
        <v>0</v>
      </c>
      <c r="J46" s="227">
        <v>0</v>
      </c>
      <c r="K46" s="228">
        <v>0</v>
      </c>
      <c r="L46" s="228">
        <v>0</v>
      </c>
      <c r="M46" s="193">
        <f t="shared" si="0"/>
        <v>0</v>
      </c>
      <c r="N46" s="227">
        <v>2</v>
      </c>
      <c r="O46" s="228">
        <v>1762</v>
      </c>
      <c r="P46" s="228">
        <v>0</v>
      </c>
      <c r="Q46" s="228">
        <f t="shared" si="1"/>
        <v>1762</v>
      </c>
      <c r="R46" s="189"/>
    </row>
    <row r="47" spans="1:18" ht="25.5" x14ac:dyDescent="0.25">
      <c r="A47" s="226">
        <v>39</v>
      </c>
      <c r="B47" s="194" t="s">
        <v>505</v>
      </c>
      <c r="C47" s="226" t="s">
        <v>62</v>
      </c>
      <c r="D47" s="194"/>
      <c r="E47" s="134" t="s">
        <v>74</v>
      </c>
      <c r="F47" s="226" t="s">
        <v>506</v>
      </c>
      <c r="G47" s="136" t="s">
        <v>409</v>
      </c>
      <c r="H47" s="227">
        <v>1</v>
      </c>
      <c r="I47" s="227">
        <v>0</v>
      </c>
      <c r="J47" s="227">
        <v>0</v>
      </c>
      <c r="K47" s="228">
        <v>0</v>
      </c>
      <c r="L47" s="228">
        <v>0</v>
      </c>
      <c r="M47" s="193">
        <f t="shared" si="0"/>
        <v>0</v>
      </c>
      <c r="N47" s="227">
        <v>0</v>
      </c>
      <c r="O47" s="228">
        <v>0</v>
      </c>
      <c r="P47" s="228">
        <v>0</v>
      </c>
      <c r="Q47" s="228">
        <f t="shared" si="1"/>
        <v>0</v>
      </c>
      <c r="R47" s="189"/>
    </row>
    <row r="48" spans="1:18" ht="25.5" x14ac:dyDescent="0.25">
      <c r="A48" s="226">
        <v>40</v>
      </c>
      <c r="B48" s="194" t="s">
        <v>473</v>
      </c>
      <c r="C48" s="226" t="s">
        <v>62</v>
      </c>
      <c r="D48" s="194"/>
      <c r="E48" s="226" t="s">
        <v>74</v>
      </c>
      <c r="F48" s="226" t="s">
        <v>558</v>
      </c>
      <c r="G48" s="136" t="s">
        <v>409</v>
      </c>
      <c r="H48" s="227">
        <v>0</v>
      </c>
      <c r="I48" s="227">
        <v>0</v>
      </c>
      <c r="J48" s="227">
        <v>0</v>
      </c>
      <c r="K48" s="228">
        <v>0</v>
      </c>
      <c r="L48" s="228">
        <v>0</v>
      </c>
      <c r="M48" s="193">
        <f t="shared" si="0"/>
        <v>0</v>
      </c>
      <c r="N48" s="227">
        <v>0</v>
      </c>
      <c r="O48" s="228">
        <v>0</v>
      </c>
      <c r="P48" s="228">
        <v>0</v>
      </c>
      <c r="Q48" s="228">
        <f t="shared" si="1"/>
        <v>0</v>
      </c>
      <c r="R48" s="189"/>
    </row>
    <row r="49" spans="1:18" ht="25.5" x14ac:dyDescent="0.25">
      <c r="A49" s="226">
        <v>41</v>
      </c>
      <c r="B49" s="194" t="s">
        <v>376</v>
      </c>
      <c r="C49" s="226" t="s">
        <v>62</v>
      </c>
      <c r="D49" s="194"/>
      <c r="E49" s="226" t="s">
        <v>74</v>
      </c>
      <c r="F49" s="226" t="s">
        <v>559</v>
      </c>
      <c r="G49" s="136" t="s">
        <v>409</v>
      </c>
      <c r="H49" s="227">
        <v>0</v>
      </c>
      <c r="I49" s="227">
        <v>0</v>
      </c>
      <c r="J49" s="227">
        <v>0</v>
      </c>
      <c r="K49" s="228">
        <v>0</v>
      </c>
      <c r="L49" s="228">
        <v>0</v>
      </c>
      <c r="M49" s="193">
        <f t="shared" si="0"/>
        <v>0</v>
      </c>
      <c r="N49" s="227">
        <v>0</v>
      </c>
      <c r="O49" s="228">
        <v>0</v>
      </c>
      <c r="P49" s="228">
        <v>0</v>
      </c>
      <c r="Q49" s="228">
        <f t="shared" si="1"/>
        <v>0</v>
      </c>
      <c r="R49" s="189"/>
    </row>
    <row r="50" spans="1:18" ht="25.5" x14ac:dyDescent="0.25">
      <c r="A50" s="226">
        <v>42</v>
      </c>
      <c r="B50" s="194" t="s">
        <v>119</v>
      </c>
      <c r="C50" s="226" t="s">
        <v>62</v>
      </c>
      <c r="D50" s="194"/>
      <c r="E50" s="226" t="s">
        <v>74</v>
      </c>
      <c r="F50" s="226" t="s">
        <v>560</v>
      </c>
      <c r="G50" s="136" t="s">
        <v>409</v>
      </c>
      <c r="H50" s="227">
        <v>6</v>
      </c>
      <c r="I50" s="227">
        <v>1</v>
      </c>
      <c r="J50" s="227">
        <v>1</v>
      </c>
      <c r="K50" s="228">
        <v>1691.52</v>
      </c>
      <c r="L50" s="228">
        <v>0</v>
      </c>
      <c r="M50" s="193">
        <f t="shared" si="0"/>
        <v>1691.52</v>
      </c>
      <c r="N50" s="227">
        <v>8</v>
      </c>
      <c r="O50" s="228">
        <v>12443.1</v>
      </c>
      <c r="P50" s="228">
        <v>0</v>
      </c>
      <c r="Q50" s="228">
        <f t="shared" si="1"/>
        <v>12443.1</v>
      </c>
      <c r="R50" s="189"/>
    </row>
    <row r="51" spans="1:18" ht="25.5" x14ac:dyDescent="0.25">
      <c r="A51" s="226">
        <v>43</v>
      </c>
      <c r="B51" s="194" t="s">
        <v>47</v>
      </c>
      <c r="C51" s="226" t="s">
        <v>62</v>
      </c>
      <c r="D51" s="194"/>
      <c r="E51" s="226" t="s">
        <v>141</v>
      </c>
      <c r="F51" s="226" t="s">
        <v>589</v>
      </c>
      <c r="G51" s="136" t="s">
        <v>409</v>
      </c>
      <c r="H51" s="227">
        <v>0</v>
      </c>
      <c r="I51" s="227">
        <v>0</v>
      </c>
      <c r="J51" s="227">
        <v>0</v>
      </c>
      <c r="K51" s="228">
        <v>0</v>
      </c>
      <c r="L51" s="228">
        <v>0</v>
      </c>
      <c r="M51" s="193">
        <f t="shared" si="0"/>
        <v>0</v>
      </c>
      <c r="N51" s="227">
        <v>0</v>
      </c>
      <c r="O51" s="228">
        <v>0</v>
      </c>
      <c r="P51" s="228">
        <v>0</v>
      </c>
      <c r="Q51" s="228">
        <f t="shared" si="1"/>
        <v>0</v>
      </c>
      <c r="R51" s="189"/>
    </row>
    <row r="52" spans="1:18" ht="25.5" x14ac:dyDescent="0.25">
      <c r="A52" s="226">
        <v>44</v>
      </c>
      <c r="B52" s="194" t="s">
        <v>37</v>
      </c>
      <c r="C52" s="226" t="s">
        <v>62</v>
      </c>
      <c r="D52" s="226"/>
      <c r="E52" s="226" t="s">
        <v>74</v>
      </c>
      <c r="F52" s="226" t="s">
        <v>590</v>
      </c>
      <c r="G52" s="136" t="s">
        <v>409</v>
      </c>
      <c r="H52" s="227">
        <v>1</v>
      </c>
      <c r="I52" s="227">
        <v>0</v>
      </c>
      <c r="J52" s="227">
        <v>0</v>
      </c>
      <c r="K52" s="228">
        <v>0</v>
      </c>
      <c r="L52" s="228">
        <v>0</v>
      </c>
      <c r="M52" s="193">
        <f t="shared" si="0"/>
        <v>0</v>
      </c>
      <c r="N52" s="227">
        <v>0</v>
      </c>
      <c r="O52" s="228">
        <v>0</v>
      </c>
      <c r="P52" s="228">
        <v>0</v>
      </c>
      <c r="Q52" s="228">
        <f t="shared" si="1"/>
        <v>0</v>
      </c>
      <c r="R52" s="189"/>
    </row>
    <row r="53" spans="1:18" ht="25.5" x14ac:dyDescent="0.25">
      <c r="A53" s="226">
        <v>45</v>
      </c>
      <c r="B53" s="194" t="s">
        <v>97</v>
      </c>
      <c r="C53" s="226" t="s">
        <v>62</v>
      </c>
      <c r="D53" s="226"/>
      <c r="E53" s="226" t="s">
        <v>74</v>
      </c>
      <c r="F53" s="226" t="s">
        <v>591</v>
      </c>
      <c r="G53" s="136" t="s">
        <v>409</v>
      </c>
      <c r="H53" s="227">
        <v>4</v>
      </c>
      <c r="I53" s="227">
        <v>0</v>
      </c>
      <c r="J53" s="227">
        <v>0</v>
      </c>
      <c r="K53" s="228">
        <v>0</v>
      </c>
      <c r="L53" s="228">
        <v>0</v>
      </c>
      <c r="M53" s="193">
        <f t="shared" si="0"/>
        <v>0</v>
      </c>
      <c r="N53" s="227">
        <v>0</v>
      </c>
      <c r="O53" s="228">
        <v>0</v>
      </c>
      <c r="P53" s="228">
        <v>0</v>
      </c>
      <c r="Q53" s="228">
        <f t="shared" si="1"/>
        <v>0</v>
      </c>
      <c r="R53" s="189"/>
    </row>
    <row r="54" spans="1:18" ht="25.5" x14ac:dyDescent="0.25">
      <c r="A54" s="226">
        <v>46</v>
      </c>
      <c r="B54" s="194" t="s">
        <v>613</v>
      </c>
      <c r="C54" s="226" t="s">
        <v>62</v>
      </c>
      <c r="D54" s="226"/>
      <c r="E54" s="226" t="s">
        <v>74</v>
      </c>
      <c r="F54" s="226" t="s">
        <v>614</v>
      </c>
      <c r="G54" s="136" t="s">
        <v>409</v>
      </c>
      <c r="H54" s="227">
        <v>4</v>
      </c>
      <c r="I54" s="227">
        <v>0</v>
      </c>
      <c r="J54" s="227">
        <v>0</v>
      </c>
      <c r="K54" s="228">
        <v>0</v>
      </c>
      <c r="L54" s="228">
        <v>0</v>
      </c>
      <c r="M54" s="193">
        <v>0</v>
      </c>
      <c r="N54" s="227">
        <v>0</v>
      </c>
      <c r="O54" s="228">
        <v>0</v>
      </c>
      <c r="P54" s="228">
        <v>0</v>
      </c>
      <c r="Q54" s="228">
        <v>0</v>
      </c>
      <c r="R54" s="189"/>
    </row>
    <row r="55" spans="1:18" ht="25.5" x14ac:dyDescent="0.25">
      <c r="A55" s="226">
        <v>47</v>
      </c>
      <c r="B55" s="194" t="s">
        <v>615</v>
      </c>
      <c r="C55" s="226" t="s">
        <v>62</v>
      </c>
      <c r="D55" s="226"/>
      <c r="E55" s="226" t="s">
        <v>74</v>
      </c>
      <c r="F55" s="226" t="s">
        <v>616</v>
      </c>
      <c r="G55" s="136" t="s">
        <v>409</v>
      </c>
      <c r="H55" s="227">
        <v>3</v>
      </c>
      <c r="I55" s="227">
        <v>0</v>
      </c>
      <c r="J55" s="227">
        <v>0</v>
      </c>
      <c r="K55" s="228">
        <v>0</v>
      </c>
      <c r="L55" s="228">
        <v>0</v>
      </c>
      <c r="M55" s="193">
        <v>0</v>
      </c>
      <c r="N55" s="227">
        <v>0</v>
      </c>
      <c r="O55" s="228">
        <v>0</v>
      </c>
      <c r="P55" s="228">
        <v>0</v>
      </c>
      <c r="Q55" s="228">
        <v>0</v>
      </c>
      <c r="R55" s="189"/>
    </row>
    <row r="56" spans="1:18" ht="26.25" x14ac:dyDescent="0.25">
      <c r="A56" s="280">
        <v>48</v>
      </c>
      <c r="B56" s="281" t="s">
        <v>357</v>
      </c>
      <c r="C56" s="279" t="s">
        <v>64</v>
      </c>
      <c r="D56" s="282" t="s">
        <v>617</v>
      </c>
      <c r="E56" s="280" t="s">
        <v>74</v>
      </c>
      <c r="F56" s="280" t="s">
        <v>618</v>
      </c>
      <c r="G56" s="283" t="s">
        <v>409</v>
      </c>
      <c r="H56" s="284">
        <v>1</v>
      </c>
      <c r="I56" s="284">
        <v>0</v>
      </c>
      <c r="J56" s="284">
        <v>0</v>
      </c>
      <c r="K56" s="285">
        <v>0</v>
      </c>
      <c r="L56" s="285">
        <v>0</v>
      </c>
      <c r="M56" s="284">
        <v>0</v>
      </c>
      <c r="N56" s="284">
        <v>0</v>
      </c>
      <c r="O56" s="285">
        <v>0</v>
      </c>
      <c r="P56" s="285">
        <v>0</v>
      </c>
      <c r="Q56" s="285">
        <v>0</v>
      </c>
      <c r="R56" s="189"/>
    </row>
    <row r="57" spans="1:18" x14ac:dyDescent="0.25">
      <c r="A57" s="254">
        <v>1</v>
      </c>
      <c r="B57" s="255" t="s">
        <v>146</v>
      </c>
      <c r="C57" s="155" t="s">
        <v>62</v>
      </c>
      <c r="D57" s="155"/>
      <c r="E57" s="155" t="s">
        <v>74</v>
      </c>
      <c r="F57" s="255" t="s">
        <v>325</v>
      </c>
      <c r="G57" s="256" t="s">
        <v>326</v>
      </c>
      <c r="H57" s="256">
        <v>13</v>
      </c>
      <c r="I57" s="256">
        <v>6</v>
      </c>
      <c r="J57" s="256">
        <v>6</v>
      </c>
      <c r="K57" s="146">
        <f>2643+2466.8+2554.9</f>
        <v>7664.7000000000007</v>
      </c>
      <c r="L57" s="146">
        <f>5109.8</f>
        <v>5109.8</v>
      </c>
      <c r="M57" s="146">
        <f>K57-L57</f>
        <v>2554.9000000000005</v>
      </c>
      <c r="N57" s="257">
        <v>6</v>
      </c>
      <c r="O57" s="146">
        <v>5374.1</v>
      </c>
      <c r="P57" s="150">
        <f>2378.7+2995.4</f>
        <v>5374.1</v>
      </c>
      <c r="Q57" s="150">
        <f>O57-P57</f>
        <v>0</v>
      </c>
      <c r="R57" s="6"/>
    </row>
    <row r="58" spans="1:18" x14ac:dyDescent="0.25">
      <c r="A58" s="254">
        <v>2</v>
      </c>
      <c r="B58" s="255" t="s">
        <v>166</v>
      </c>
      <c r="C58" s="155" t="s">
        <v>62</v>
      </c>
      <c r="D58" s="155"/>
      <c r="E58" s="155" t="s">
        <v>158</v>
      </c>
      <c r="F58" s="255" t="s">
        <v>327</v>
      </c>
      <c r="G58" s="255" t="s">
        <v>326</v>
      </c>
      <c r="H58" s="256">
        <v>3</v>
      </c>
      <c r="I58" s="256">
        <v>2</v>
      </c>
      <c r="J58" s="256">
        <v>2</v>
      </c>
      <c r="K58" s="146">
        <f>1233.4+4228.8</f>
        <v>5462.2000000000007</v>
      </c>
      <c r="L58" s="146">
        <f>73.95+1159.45</f>
        <v>1233.4000000000001</v>
      </c>
      <c r="M58" s="146">
        <f>K58-L58</f>
        <v>4228.8000000000011</v>
      </c>
      <c r="N58" s="257">
        <v>0</v>
      </c>
      <c r="O58" s="146">
        <v>0</v>
      </c>
      <c r="P58" s="150">
        <v>0</v>
      </c>
      <c r="Q58" s="150">
        <f>O58-P58</f>
        <v>0</v>
      </c>
      <c r="R58" s="6"/>
    </row>
    <row r="59" spans="1:18" x14ac:dyDescent="0.25">
      <c r="A59" s="254">
        <v>3</v>
      </c>
      <c r="B59" s="255" t="s">
        <v>173</v>
      </c>
      <c r="C59" s="155" t="s">
        <v>67</v>
      </c>
      <c r="D59" s="155" t="s">
        <v>328</v>
      </c>
      <c r="E59" s="155" t="s">
        <v>158</v>
      </c>
      <c r="F59" s="255" t="s">
        <v>329</v>
      </c>
      <c r="G59" s="255" t="s">
        <v>326</v>
      </c>
      <c r="H59" s="256">
        <v>7</v>
      </c>
      <c r="I59" s="256">
        <v>2</v>
      </c>
      <c r="J59" s="256">
        <v>2</v>
      </c>
      <c r="K59" s="146">
        <f>704.8</f>
        <v>704.8</v>
      </c>
      <c r="L59" s="146">
        <f>704.8</f>
        <v>704.8</v>
      </c>
      <c r="M59" s="146">
        <f>K59-L59</f>
        <v>0</v>
      </c>
      <c r="N59" s="257">
        <v>0</v>
      </c>
      <c r="O59" s="146">
        <v>0</v>
      </c>
      <c r="P59" s="150">
        <v>0</v>
      </c>
      <c r="Q59" s="150">
        <f>O59-P59</f>
        <v>0</v>
      </c>
      <c r="R59" s="6"/>
    </row>
    <row r="60" spans="1:18" x14ac:dyDescent="0.25">
      <c r="A60" s="254">
        <v>4</v>
      </c>
      <c r="B60" s="255" t="s">
        <v>330</v>
      </c>
      <c r="C60" s="155" t="s">
        <v>62</v>
      </c>
      <c r="D60" s="155"/>
      <c r="E60" s="155" t="s">
        <v>158</v>
      </c>
      <c r="F60" s="255" t="s">
        <v>331</v>
      </c>
      <c r="G60" s="255" t="s">
        <v>326</v>
      </c>
      <c r="H60" s="256">
        <v>15</v>
      </c>
      <c r="I60" s="256">
        <v>9</v>
      </c>
      <c r="J60" s="256">
        <v>9</v>
      </c>
      <c r="K60" s="146">
        <f>704.8+11276.8</f>
        <v>11981.599999999999</v>
      </c>
      <c r="L60" s="146">
        <f>704.8+11276.8</f>
        <v>11981.599999999999</v>
      </c>
      <c r="M60" s="146">
        <f>K60-L60</f>
        <v>0</v>
      </c>
      <c r="N60" s="257">
        <v>0</v>
      </c>
      <c r="O60" s="146">
        <v>0</v>
      </c>
      <c r="P60" s="150">
        <v>0</v>
      </c>
      <c r="Q60" s="150">
        <f>O60-P60</f>
        <v>0</v>
      </c>
      <c r="R60" s="6"/>
    </row>
    <row r="61" spans="1:18" x14ac:dyDescent="0.25">
      <c r="A61" s="254">
        <v>5</v>
      </c>
      <c r="B61" s="255" t="s">
        <v>147</v>
      </c>
      <c r="C61" s="155" t="s">
        <v>62</v>
      </c>
      <c r="D61" s="139"/>
      <c r="E61" s="155" t="s">
        <v>74</v>
      </c>
      <c r="F61" s="255" t="s">
        <v>332</v>
      </c>
      <c r="G61" s="255" t="s">
        <v>326</v>
      </c>
      <c r="H61" s="258">
        <v>14</v>
      </c>
      <c r="I61" s="258">
        <v>5</v>
      </c>
      <c r="J61" s="258">
        <v>5</v>
      </c>
      <c r="K61" s="259">
        <f>1409.6+1762+3347.8</f>
        <v>6519.4</v>
      </c>
      <c r="L61" s="146">
        <f>1409.6+1762</f>
        <v>3171.6</v>
      </c>
      <c r="M61" s="146">
        <f>K61-L61</f>
        <v>3347.7999999999997</v>
      </c>
      <c r="N61" s="257">
        <v>3</v>
      </c>
      <c r="O61" s="142">
        <v>4757.3999999999996</v>
      </c>
      <c r="P61" s="143">
        <f>4052.6+704.8</f>
        <v>4757.3999999999996</v>
      </c>
      <c r="Q61" s="150">
        <f>O61-P61</f>
        <v>0</v>
      </c>
      <c r="R61" s="6"/>
    </row>
    <row r="62" spans="1:18" ht="45" x14ac:dyDescent="0.25">
      <c r="A62" s="254">
        <v>6</v>
      </c>
      <c r="B62" s="255" t="s">
        <v>554</v>
      </c>
      <c r="C62" s="155" t="s">
        <v>67</v>
      </c>
      <c r="D62" s="260" t="s">
        <v>555</v>
      </c>
      <c r="E62" s="155" t="s">
        <v>74</v>
      </c>
      <c r="F62" s="255" t="s">
        <v>556</v>
      </c>
      <c r="G62" s="255" t="s">
        <v>326</v>
      </c>
      <c r="H62" s="258">
        <v>1</v>
      </c>
      <c r="I62" s="258">
        <v>0</v>
      </c>
      <c r="J62" s="258">
        <v>0</v>
      </c>
      <c r="K62" s="259">
        <v>0</v>
      </c>
      <c r="L62" s="146">
        <v>0</v>
      </c>
      <c r="M62" s="146">
        <v>0</v>
      </c>
      <c r="N62" s="257">
        <v>0</v>
      </c>
      <c r="O62" s="146">
        <v>0</v>
      </c>
      <c r="P62" s="150">
        <v>0</v>
      </c>
      <c r="Q62" s="150">
        <v>0</v>
      </c>
      <c r="R62" s="6"/>
    </row>
    <row r="63" spans="1:18" x14ac:dyDescent="0.25">
      <c r="A63" s="254">
        <v>7</v>
      </c>
      <c r="B63" s="255" t="s">
        <v>88</v>
      </c>
      <c r="C63" s="155" t="s">
        <v>62</v>
      </c>
      <c r="D63" s="139"/>
      <c r="E63" s="155" t="s">
        <v>74</v>
      </c>
      <c r="F63" s="255" t="s">
        <v>333</v>
      </c>
      <c r="G63" s="255" t="s">
        <v>326</v>
      </c>
      <c r="H63" s="258">
        <v>2</v>
      </c>
      <c r="I63" s="258">
        <v>2</v>
      </c>
      <c r="J63" s="258">
        <v>2</v>
      </c>
      <c r="K63" s="259">
        <f>704.8+1585.8</f>
        <v>2290.6</v>
      </c>
      <c r="L63" s="146">
        <f>704.8+1585.8</f>
        <v>2290.6</v>
      </c>
      <c r="M63" s="146">
        <f t="shared" ref="M63:M92" si="2">K63-L63</f>
        <v>0</v>
      </c>
      <c r="N63" s="257">
        <v>1</v>
      </c>
      <c r="O63" s="142">
        <v>1145.3</v>
      </c>
      <c r="P63" s="150">
        <v>1145.3</v>
      </c>
      <c r="Q63" s="150">
        <f t="shared" ref="Q63:Q84" si="3">O63-P63</f>
        <v>0</v>
      </c>
      <c r="R63" s="6"/>
    </row>
    <row r="64" spans="1:18" x14ac:dyDescent="0.25">
      <c r="A64" s="254">
        <v>8</v>
      </c>
      <c r="B64" s="255" t="s">
        <v>182</v>
      </c>
      <c r="C64" s="155" t="s">
        <v>62</v>
      </c>
      <c r="D64" s="139"/>
      <c r="E64" s="155" t="s">
        <v>158</v>
      </c>
      <c r="F64" s="255" t="s">
        <v>334</v>
      </c>
      <c r="G64" s="255" t="s">
        <v>326</v>
      </c>
      <c r="H64" s="258">
        <v>5</v>
      </c>
      <c r="I64" s="258">
        <v>1</v>
      </c>
      <c r="J64" s="258">
        <v>1</v>
      </c>
      <c r="K64" s="259">
        <f>1233.4</f>
        <v>1233.4000000000001</v>
      </c>
      <c r="L64" s="146">
        <f>1233.4</f>
        <v>1233.4000000000001</v>
      </c>
      <c r="M64" s="146">
        <f t="shared" si="2"/>
        <v>0</v>
      </c>
      <c r="N64" s="257">
        <v>0</v>
      </c>
      <c r="O64" s="142">
        <v>0</v>
      </c>
      <c r="P64" s="150">
        <v>0</v>
      </c>
      <c r="Q64" s="150">
        <f t="shared" si="3"/>
        <v>0</v>
      </c>
      <c r="R64" s="6"/>
    </row>
    <row r="65" spans="1:18" x14ac:dyDescent="0.25">
      <c r="A65" s="254">
        <v>9</v>
      </c>
      <c r="B65" s="255" t="s">
        <v>335</v>
      </c>
      <c r="C65" s="155" t="s">
        <v>62</v>
      </c>
      <c r="D65" s="145"/>
      <c r="E65" s="155" t="s">
        <v>74</v>
      </c>
      <c r="F65" s="255" t="s">
        <v>336</v>
      </c>
      <c r="G65" s="255" t="s">
        <v>326</v>
      </c>
      <c r="H65" s="258">
        <v>15</v>
      </c>
      <c r="I65" s="258">
        <v>6</v>
      </c>
      <c r="J65" s="258">
        <v>6</v>
      </c>
      <c r="K65" s="259">
        <f>3700.2+704.8+2114.4+2819.2</f>
        <v>9338.5999999999985</v>
      </c>
      <c r="L65" s="146">
        <f>3700.2+704.8</f>
        <v>4405</v>
      </c>
      <c r="M65" s="146">
        <f t="shared" si="2"/>
        <v>4933.5999999999985</v>
      </c>
      <c r="N65" s="257">
        <v>7</v>
      </c>
      <c r="O65" s="146">
        <f>3435.9+3171.6+132.15</f>
        <v>6739.65</v>
      </c>
      <c r="P65" s="150">
        <f>3435.9+3171.6+132.15</f>
        <v>6739.65</v>
      </c>
      <c r="Q65" s="150">
        <f t="shared" si="3"/>
        <v>0</v>
      </c>
      <c r="R65" s="6"/>
    </row>
    <row r="66" spans="1:18" x14ac:dyDescent="0.25">
      <c r="A66" s="254">
        <v>10</v>
      </c>
      <c r="B66" s="255" t="s">
        <v>27</v>
      </c>
      <c r="C66" s="155" t="s">
        <v>62</v>
      </c>
      <c r="D66" s="139"/>
      <c r="E66" s="155" t="s">
        <v>158</v>
      </c>
      <c r="F66" s="255" t="s">
        <v>337</v>
      </c>
      <c r="G66" s="255" t="s">
        <v>326</v>
      </c>
      <c r="H66" s="258">
        <v>13</v>
      </c>
      <c r="I66" s="258">
        <v>11</v>
      </c>
      <c r="J66" s="258">
        <v>11</v>
      </c>
      <c r="K66" s="259">
        <f>5638.4+2819.2+528.6+1964.2</f>
        <v>10950.4</v>
      </c>
      <c r="L66" s="146">
        <f>1233.4+4405+2819.2</f>
        <v>8457.5999999999985</v>
      </c>
      <c r="M66" s="146">
        <f t="shared" si="2"/>
        <v>2492.8000000000011</v>
      </c>
      <c r="N66" s="257">
        <v>0</v>
      </c>
      <c r="O66" s="142">
        <v>0</v>
      </c>
      <c r="P66" s="143">
        <v>0</v>
      </c>
      <c r="Q66" s="150">
        <f t="shared" si="3"/>
        <v>0</v>
      </c>
      <c r="R66" s="6"/>
    </row>
    <row r="67" spans="1:18" x14ac:dyDescent="0.25">
      <c r="A67" s="147">
        <v>11</v>
      </c>
      <c r="B67" s="255" t="s">
        <v>190</v>
      </c>
      <c r="C67" s="155" t="s">
        <v>62</v>
      </c>
      <c r="D67" s="139"/>
      <c r="E67" s="155" t="s">
        <v>338</v>
      </c>
      <c r="F67" s="255" t="s">
        <v>339</v>
      </c>
      <c r="G67" s="255" t="s">
        <v>326</v>
      </c>
      <c r="H67" s="258">
        <v>18</v>
      </c>
      <c r="I67" s="258">
        <v>9</v>
      </c>
      <c r="J67" s="258">
        <v>9</v>
      </c>
      <c r="K67" s="259">
        <f>1938.2+2819.2+2819.2+2290.6+1862</f>
        <v>11729.199999999999</v>
      </c>
      <c r="L67" s="146">
        <f>704.8+704.8+528.6+2819.2+2819.2</f>
        <v>7576.5999999999995</v>
      </c>
      <c r="M67" s="146">
        <f t="shared" si="2"/>
        <v>4152.5999999999995</v>
      </c>
      <c r="N67" s="257">
        <v>0</v>
      </c>
      <c r="O67" s="142">
        <v>0</v>
      </c>
      <c r="P67" s="150">
        <v>0</v>
      </c>
      <c r="Q67" s="150">
        <f t="shared" si="3"/>
        <v>0</v>
      </c>
      <c r="R67" s="6"/>
    </row>
    <row r="68" spans="1:18" x14ac:dyDescent="0.25">
      <c r="A68" s="147">
        <v>12</v>
      </c>
      <c r="B68" s="255" t="s">
        <v>89</v>
      </c>
      <c r="C68" s="155" t="s">
        <v>62</v>
      </c>
      <c r="D68" s="139"/>
      <c r="E68" s="155" t="s">
        <v>74</v>
      </c>
      <c r="F68" s="255" t="s">
        <v>340</v>
      </c>
      <c r="G68" s="255" t="s">
        <v>326</v>
      </c>
      <c r="H68" s="258">
        <v>6</v>
      </c>
      <c r="I68" s="258">
        <v>6</v>
      </c>
      <c r="J68" s="258">
        <v>6</v>
      </c>
      <c r="K68" s="259">
        <f>1762+3876.4</f>
        <v>5638.4</v>
      </c>
      <c r="L68" s="146">
        <f>1762+3876.4</f>
        <v>5638.4</v>
      </c>
      <c r="M68" s="146">
        <f t="shared" si="2"/>
        <v>0</v>
      </c>
      <c r="N68" s="257">
        <v>4</v>
      </c>
      <c r="O68" s="142">
        <f>440.5+5990.8</f>
        <v>6431.3</v>
      </c>
      <c r="P68" s="150">
        <f>440.5+5990.8</f>
        <v>6431.3</v>
      </c>
      <c r="Q68" s="150">
        <f t="shared" si="3"/>
        <v>0</v>
      </c>
      <c r="R68" s="6"/>
    </row>
    <row r="69" spans="1:18" x14ac:dyDescent="0.25">
      <c r="A69" s="147">
        <v>13</v>
      </c>
      <c r="B69" s="255" t="s">
        <v>196</v>
      </c>
      <c r="C69" s="155" t="s">
        <v>62</v>
      </c>
      <c r="D69" s="139"/>
      <c r="E69" s="155" t="s">
        <v>341</v>
      </c>
      <c r="F69" s="255" t="s">
        <v>342</v>
      </c>
      <c r="G69" s="255" t="s">
        <v>326</v>
      </c>
      <c r="H69" s="258">
        <v>7</v>
      </c>
      <c r="I69" s="258">
        <v>5</v>
      </c>
      <c r="J69" s="258">
        <v>5</v>
      </c>
      <c r="K69" s="259">
        <v>4933.6000000000004</v>
      </c>
      <c r="L69" s="146">
        <f>4933.6</f>
        <v>4933.6000000000004</v>
      </c>
      <c r="M69" s="146">
        <f t="shared" si="2"/>
        <v>0</v>
      </c>
      <c r="N69" s="257">
        <v>0</v>
      </c>
      <c r="O69" s="142">
        <v>0</v>
      </c>
      <c r="P69" s="150">
        <v>0</v>
      </c>
      <c r="Q69" s="150">
        <f t="shared" si="3"/>
        <v>0</v>
      </c>
      <c r="R69" s="6"/>
    </row>
    <row r="70" spans="1:18" x14ac:dyDescent="0.25">
      <c r="A70" s="147">
        <v>14</v>
      </c>
      <c r="B70" s="255" t="s">
        <v>343</v>
      </c>
      <c r="C70" s="155" t="s">
        <v>62</v>
      </c>
      <c r="D70" s="139"/>
      <c r="E70" s="155" t="s">
        <v>74</v>
      </c>
      <c r="F70" s="255" t="s">
        <v>344</v>
      </c>
      <c r="G70" s="255" t="s">
        <v>326</v>
      </c>
      <c r="H70" s="258">
        <v>9</v>
      </c>
      <c r="I70" s="258">
        <v>2</v>
      </c>
      <c r="J70" s="258">
        <v>2</v>
      </c>
      <c r="K70" s="259">
        <f>2466.8</f>
        <v>2466.8000000000002</v>
      </c>
      <c r="L70" s="146">
        <f>2466.8</f>
        <v>2466.8000000000002</v>
      </c>
      <c r="M70" s="146">
        <f t="shared" si="2"/>
        <v>0</v>
      </c>
      <c r="N70" s="257">
        <v>0</v>
      </c>
      <c r="O70" s="142">
        <v>0</v>
      </c>
      <c r="P70" s="150">
        <v>0</v>
      </c>
      <c r="Q70" s="150">
        <f t="shared" si="3"/>
        <v>0</v>
      </c>
      <c r="R70" s="6"/>
    </row>
    <row r="71" spans="1:18" x14ac:dyDescent="0.25">
      <c r="A71" s="147">
        <v>15</v>
      </c>
      <c r="B71" s="255" t="s">
        <v>154</v>
      </c>
      <c r="C71" s="155" t="s">
        <v>62</v>
      </c>
      <c r="D71" s="139"/>
      <c r="E71" s="155" t="s">
        <v>74</v>
      </c>
      <c r="F71" s="255" t="s">
        <v>345</v>
      </c>
      <c r="G71" s="255" t="s">
        <v>326</v>
      </c>
      <c r="H71" s="258">
        <v>6</v>
      </c>
      <c r="I71" s="258">
        <v>3</v>
      </c>
      <c r="J71" s="258">
        <v>3</v>
      </c>
      <c r="K71" s="259">
        <f>1497.7</f>
        <v>1497.7</v>
      </c>
      <c r="L71" s="146">
        <f>1497.7</f>
        <v>1497.7</v>
      </c>
      <c r="M71" s="146">
        <f t="shared" si="2"/>
        <v>0</v>
      </c>
      <c r="N71" s="257">
        <v>6</v>
      </c>
      <c r="O71" s="142">
        <f>4228.8+3700.2</f>
        <v>7929</v>
      </c>
      <c r="P71" s="143">
        <f>4228.8+3700.2</f>
        <v>7929</v>
      </c>
      <c r="Q71" s="150">
        <f t="shared" si="3"/>
        <v>0</v>
      </c>
      <c r="R71" s="6"/>
    </row>
    <row r="72" spans="1:18" x14ac:dyDescent="0.25">
      <c r="A72" s="147">
        <v>16</v>
      </c>
      <c r="B72" s="255" t="s">
        <v>346</v>
      </c>
      <c r="C72" s="155" t="s">
        <v>62</v>
      </c>
      <c r="D72" s="139"/>
      <c r="E72" s="155" t="s">
        <v>158</v>
      </c>
      <c r="F72" s="255" t="s">
        <v>347</v>
      </c>
      <c r="G72" s="255" t="s">
        <v>326</v>
      </c>
      <c r="H72" s="258">
        <v>2</v>
      </c>
      <c r="I72" s="258">
        <v>0</v>
      </c>
      <c r="J72" s="258">
        <v>0</v>
      </c>
      <c r="K72" s="259">
        <v>0</v>
      </c>
      <c r="L72" s="146">
        <v>0</v>
      </c>
      <c r="M72" s="146">
        <f t="shared" si="2"/>
        <v>0</v>
      </c>
      <c r="N72" s="257">
        <v>0</v>
      </c>
      <c r="O72" s="142">
        <v>0</v>
      </c>
      <c r="P72" s="150">
        <v>0</v>
      </c>
      <c r="Q72" s="150">
        <f t="shared" si="3"/>
        <v>0</v>
      </c>
      <c r="R72" s="6"/>
    </row>
    <row r="73" spans="1:18" x14ac:dyDescent="0.25">
      <c r="A73" s="147">
        <v>17</v>
      </c>
      <c r="B73" s="255" t="s">
        <v>348</v>
      </c>
      <c r="C73" s="155" t="s">
        <v>62</v>
      </c>
      <c r="D73" s="139"/>
      <c r="E73" s="155" t="s">
        <v>158</v>
      </c>
      <c r="F73" s="255" t="s">
        <v>349</v>
      </c>
      <c r="G73" s="255" t="s">
        <v>326</v>
      </c>
      <c r="H73" s="258">
        <v>6</v>
      </c>
      <c r="I73" s="258">
        <v>0</v>
      </c>
      <c r="J73" s="258">
        <v>0</v>
      </c>
      <c r="K73" s="259">
        <v>0</v>
      </c>
      <c r="L73" s="146">
        <v>0</v>
      </c>
      <c r="M73" s="146">
        <f t="shared" si="2"/>
        <v>0</v>
      </c>
      <c r="N73" s="257">
        <v>0</v>
      </c>
      <c r="O73" s="142">
        <v>0</v>
      </c>
      <c r="P73" s="150">
        <v>0</v>
      </c>
      <c r="Q73" s="150">
        <f t="shared" si="3"/>
        <v>0</v>
      </c>
      <c r="R73" s="6"/>
    </row>
    <row r="74" spans="1:18" x14ac:dyDescent="0.25">
      <c r="A74" s="147">
        <v>18</v>
      </c>
      <c r="B74" s="255" t="s">
        <v>350</v>
      </c>
      <c r="C74" s="155" t="s">
        <v>62</v>
      </c>
      <c r="D74" s="139"/>
      <c r="E74" s="155" t="s">
        <v>74</v>
      </c>
      <c r="F74" s="255" t="s">
        <v>351</v>
      </c>
      <c r="G74" s="255" t="s">
        <v>326</v>
      </c>
      <c r="H74" s="258">
        <v>1</v>
      </c>
      <c r="I74" s="258">
        <v>1</v>
      </c>
      <c r="J74" s="258">
        <v>1</v>
      </c>
      <c r="K74" s="259">
        <f>528.6</f>
        <v>528.6</v>
      </c>
      <c r="L74" s="146">
        <v>0</v>
      </c>
      <c r="M74" s="146">
        <f t="shared" si="2"/>
        <v>528.6</v>
      </c>
      <c r="N74" s="257">
        <v>4</v>
      </c>
      <c r="O74" s="142">
        <v>5065.75</v>
      </c>
      <c r="P74" s="150">
        <f>1894.15+3171.6</f>
        <v>5065.75</v>
      </c>
      <c r="Q74" s="150">
        <f t="shared" si="3"/>
        <v>0</v>
      </c>
      <c r="R74" s="6"/>
    </row>
    <row r="75" spans="1:18" ht="60" x14ac:dyDescent="0.25">
      <c r="A75" s="148">
        <v>19</v>
      </c>
      <c r="B75" s="255" t="s">
        <v>222</v>
      </c>
      <c r="C75" s="155" t="s">
        <v>64</v>
      </c>
      <c r="D75" s="149" t="s">
        <v>352</v>
      </c>
      <c r="E75" s="155" t="s">
        <v>158</v>
      </c>
      <c r="F75" s="255" t="s">
        <v>353</v>
      </c>
      <c r="G75" s="255" t="s">
        <v>326</v>
      </c>
      <c r="H75" s="258">
        <v>6</v>
      </c>
      <c r="I75" s="258">
        <v>2</v>
      </c>
      <c r="J75" s="258">
        <v>2</v>
      </c>
      <c r="K75" s="259">
        <f>1233.4+2290.6</f>
        <v>3524</v>
      </c>
      <c r="L75" s="146">
        <f>1233.4+2290.6</f>
        <v>3524</v>
      </c>
      <c r="M75" s="146">
        <f t="shared" si="2"/>
        <v>0</v>
      </c>
      <c r="N75" s="257">
        <v>0</v>
      </c>
      <c r="O75" s="146">
        <v>0</v>
      </c>
      <c r="P75" s="150">
        <v>0</v>
      </c>
      <c r="Q75" s="150">
        <f t="shared" si="3"/>
        <v>0</v>
      </c>
      <c r="R75" s="6"/>
    </row>
    <row r="76" spans="1:18" x14ac:dyDescent="0.25">
      <c r="A76" s="147">
        <v>20</v>
      </c>
      <c r="B76" s="255" t="s">
        <v>238</v>
      </c>
      <c r="C76" s="155" t="s">
        <v>62</v>
      </c>
      <c r="D76" s="139"/>
      <c r="E76" s="155" t="s">
        <v>158</v>
      </c>
      <c r="F76" s="255" t="s">
        <v>354</v>
      </c>
      <c r="G76" s="255" t="s">
        <v>326</v>
      </c>
      <c r="H76" s="258">
        <v>6</v>
      </c>
      <c r="I76" s="258">
        <v>5</v>
      </c>
      <c r="J76" s="258">
        <v>5</v>
      </c>
      <c r="K76" s="259">
        <f>2466.8+4581.2</f>
        <v>7048</v>
      </c>
      <c r="L76" s="146">
        <f>1233.4+1233.4</f>
        <v>2466.8000000000002</v>
      </c>
      <c r="M76" s="146">
        <f t="shared" si="2"/>
        <v>4581.2</v>
      </c>
      <c r="N76" s="257">
        <v>0</v>
      </c>
      <c r="O76" s="142">
        <v>0</v>
      </c>
      <c r="P76" s="150">
        <v>0</v>
      </c>
      <c r="Q76" s="150">
        <f t="shared" si="3"/>
        <v>0</v>
      </c>
      <c r="R76" s="6"/>
    </row>
    <row r="77" spans="1:18" x14ac:dyDescent="0.25">
      <c r="A77" s="147">
        <v>21</v>
      </c>
      <c r="B77" s="255" t="s">
        <v>355</v>
      </c>
      <c r="C77" s="155" t="s">
        <v>62</v>
      </c>
      <c r="D77" s="139"/>
      <c r="E77" s="155" t="s">
        <v>158</v>
      </c>
      <c r="F77" s="255" t="s">
        <v>356</v>
      </c>
      <c r="G77" s="255" t="s">
        <v>326</v>
      </c>
      <c r="H77" s="258">
        <v>7</v>
      </c>
      <c r="I77" s="258">
        <v>2</v>
      </c>
      <c r="J77" s="258">
        <v>2</v>
      </c>
      <c r="K77" s="259">
        <v>1762</v>
      </c>
      <c r="L77" s="146">
        <f>1233.4+528.6</f>
        <v>1762</v>
      </c>
      <c r="M77" s="146">
        <f t="shared" si="2"/>
        <v>0</v>
      </c>
      <c r="N77" s="257">
        <v>0</v>
      </c>
      <c r="O77" s="142">
        <v>0</v>
      </c>
      <c r="P77" s="150">
        <v>0</v>
      </c>
      <c r="Q77" s="150">
        <f t="shared" si="3"/>
        <v>0</v>
      </c>
      <c r="R77" s="6"/>
    </row>
    <row r="78" spans="1:18" ht="38.25" x14ac:dyDescent="0.25">
      <c r="A78" s="148">
        <v>22</v>
      </c>
      <c r="B78" s="255" t="s">
        <v>357</v>
      </c>
      <c r="C78" s="155" t="s">
        <v>64</v>
      </c>
      <c r="D78" s="254" t="s">
        <v>358</v>
      </c>
      <c r="E78" s="155" t="s">
        <v>158</v>
      </c>
      <c r="F78" s="155" t="s">
        <v>507</v>
      </c>
      <c r="G78" s="255" t="s">
        <v>326</v>
      </c>
      <c r="H78" s="258">
        <v>2</v>
      </c>
      <c r="I78" s="145">
        <v>1</v>
      </c>
      <c r="J78" s="145">
        <v>1</v>
      </c>
      <c r="K78" s="259">
        <v>0</v>
      </c>
      <c r="L78" s="146">
        <v>0</v>
      </c>
      <c r="M78" s="146">
        <f t="shared" si="2"/>
        <v>0</v>
      </c>
      <c r="N78" s="257">
        <v>0</v>
      </c>
      <c r="O78" s="146">
        <v>0</v>
      </c>
      <c r="P78" s="150">
        <v>0</v>
      </c>
      <c r="Q78" s="150">
        <f t="shared" si="3"/>
        <v>0</v>
      </c>
      <c r="R78" s="6"/>
    </row>
    <row r="79" spans="1:18" x14ac:dyDescent="0.25">
      <c r="A79" s="147">
        <v>23</v>
      </c>
      <c r="B79" s="255" t="s">
        <v>359</v>
      </c>
      <c r="C79" s="155" t="s">
        <v>62</v>
      </c>
      <c r="D79" s="254"/>
      <c r="E79" s="155" t="s">
        <v>158</v>
      </c>
      <c r="F79" s="155" t="s">
        <v>360</v>
      </c>
      <c r="G79" s="255" t="s">
        <v>326</v>
      </c>
      <c r="H79" s="258">
        <v>5</v>
      </c>
      <c r="I79" s="258">
        <v>5</v>
      </c>
      <c r="J79" s="258">
        <v>5</v>
      </c>
      <c r="K79" s="259">
        <f>1409.6+704.8+528.6+2290.6</f>
        <v>4933.5999999999995</v>
      </c>
      <c r="L79" s="146">
        <f>704.8+704.8+704.8+9.97+518.63</f>
        <v>2642.9999999999995</v>
      </c>
      <c r="M79" s="146">
        <f t="shared" si="2"/>
        <v>2290.6</v>
      </c>
      <c r="N79" s="257">
        <v>0</v>
      </c>
      <c r="O79" s="142">
        <v>0</v>
      </c>
      <c r="P79" s="143">
        <v>0</v>
      </c>
      <c r="Q79" s="150">
        <f t="shared" si="3"/>
        <v>0</v>
      </c>
      <c r="R79" s="6"/>
    </row>
    <row r="80" spans="1:18" x14ac:dyDescent="0.25">
      <c r="A80" s="147">
        <v>24</v>
      </c>
      <c r="B80" s="255" t="s">
        <v>118</v>
      </c>
      <c r="C80" s="155" t="s">
        <v>62</v>
      </c>
      <c r="D80" s="139"/>
      <c r="E80" s="155" t="s">
        <v>338</v>
      </c>
      <c r="F80" s="255" t="s">
        <v>361</v>
      </c>
      <c r="G80" s="255" t="s">
        <v>326</v>
      </c>
      <c r="H80" s="258">
        <v>1</v>
      </c>
      <c r="I80" s="258">
        <v>1</v>
      </c>
      <c r="J80" s="258">
        <v>1</v>
      </c>
      <c r="K80" s="259">
        <v>0</v>
      </c>
      <c r="L80" s="146">
        <v>0</v>
      </c>
      <c r="M80" s="146">
        <f t="shared" si="2"/>
        <v>0</v>
      </c>
      <c r="N80" s="257">
        <v>0</v>
      </c>
      <c r="O80" s="142">
        <v>0</v>
      </c>
      <c r="P80" s="150">
        <v>0</v>
      </c>
      <c r="Q80" s="150">
        <f t="shared" si="3"/>
        <v>0</v>
      </c>
      <c r="R80" s="6"/>
    </row>
    <row r="81" spans="1:18" x14ac:dyDescent="0.25">
      <c r="A81" s="147">
        <v>25</v>
      </c>
      <c r="B81" s="255" t="s">
        <v>246</v>
      </c>
      <c r="C81" s="155" t="s">
        <v>62</v>
      </c>
      <c r="D81" s="139"/>
      <c r="E81" s="155" t="s">
        <v>158</v>
      </c>
      <c r="F81" s="255" t="s">
        <v>362</v>
      </c>
      <c r="G81" s="255" t="s">
        <v>326</v>
      </c>
      <c r="H81" s="258">
        <v>5</v>
      </c>
      <c r="I81" s="258">
        <v>1</v>
      </c>
      <c r="J81" s="258">
        <v>1</v>
      </c>
      <c r="K81" s="259">
        <f>1233.4</f>
        <v>1233.4000000000001</v>
      </c>
      <c r="L81" s="146">
        <f>1233.4</f>
        <v>1233.4000000000001</v>
      </c>
      <c r="M81" s="146">
        <f t="shared" si="2"/>
        <v>0</v>
      </c>
      <c r="N81" s="257">
        <v>0</v>
      </c>
      <c r="O81" s="142">
        <v>0</v>
      </c>
      <c r="P81" s="150">
        <v>0</v>
      </c>
      <c r="Q81" s="150">
        <f t="shared" si="3"/>
        <v>0</v>
      </c>
      <c r="R81" s="6"/>
    </row>
    <row r="82" spans="1:18" x14ac:dyDescent="0.25">
      <c r="A82" s="147">
        <v>26</v>
      </c>
      <c r="B82" s="255" t="s">
        <v>43</v>
      </c>
      <c r="C82" s="155" t="s">
        <v>62</v>
      </c>
      <c r="D82" s="139"/>
      <c r="E82" s="155" t="s">
        <v>74</v>
      </c>
      <c r="F82" s="255" t="s">
        <v>363</v>
      </c>
      <c r="G82" s="255" t="s">
        <v>326</v>
      </c>
      <c r="H82" s="258">
        <v>4</v>
      </c>
      <c r="I82" s="258">
        <v>1</v>
      </c>
      <c r="J82" s="258">
        <v>1</v>
      </c>
      <c r="K82" s="259">
        <v>660.75</v>
      </c>
      <c r="L82" s="146">
        <v>0</v>
      </c>
      <c r="M82" s="146">
        <f t="shared" si="2"/>
        <v>660.75</v>
      </c>
      <c r="N82" s="257">
        <v>0</v>
      </c>
      <c r="O82" s="142">
        <v>0</v>
      </c>
      <c r="P82" s="150">
        <v>0</v>
      </c>
      <c r="Q82" s="150">
        <f t="shared" si="3"/>
        <v>0</v>
      </c>
      <c r="R82" s="6"/>
    </row>
    <row r="83" spans="1:18" x14ac:dyDescent="0.25">
      <c r="A83" s="147">
        <v>27</v>
      </c>
      <c r="B83" s="255" t="s">
        <v>364</v>
      </c>
      <c r="C83" s="155" t="s">
        <v>62</v>
      </c>
      <c r="D83" s="139"/>
      <c r="E83" s="155" t="s">
        <v>74</v>
      </c>
      <c r="F83" s="255" t="s">
        <v>365</v>
      </c>
      <c r="G83" s="255" t="s">
        <v>326</v>
      </c>
      <c r="H83" s="258">
        <v>8</v>
      </c>
      <c r="I83" s="258">
        <v>2</v>
      </c>
      <c r="J83" s="258">
        <v>2</v>
      </c>
      <c r="K83" s="259">
        <v>2466.8000000000002</v>
      </c>
      <c r="L83" s="146">
        <v>2466.8000000000002</v>
      </c>
      <c r="M83" s="146">
        <f t="shared" si="2"/>
        <v>0</v>
      </c>
      <c r="N83" s="257">
        <v>3</v>
      </c>
      <c r="O83" s="142">
        <v>3524</v>
      </c>
      <c r="P83" s="150">
        <v>3524</v>
      </c>
      <c r="Q83" s="150">
        <f t="shared" si="3"/>
        <v>0</v>
      </c>
      <c r="R83" s="6"/>
    </row>
    <row r="84" spans="1:18" x14ac:dyDescent="0.25">
      <c r="A84" s="147">
        <v>28</v>
      </c>
      <c r="B84" s="255" t="s">
        <v>46</v>
      </c>
      <c r="C84" s="155" t="s">
        <v>62</v>
      </c>
      <c r="D84" s="139"/>
      <c r="E84" s="155" t="s">
        <v>366</v>
      </c>
      <c r="F84" s="255" t="s">
        <v>367</v>
      </c>
      <c r="G84" s="255" t="s">
        <v>326</v>
      </c>
      <c r="H84" s="258">
        <v>0</v>
      </c>
      <c r="I84" s="258">
        <v>0</v>
      </c>
      <c r="J84" s="258">
        <v>0</v>
      </c>
      <c r="K84" s="259">
        <v>0</v>
      </c>
      <c r="L84" s="146">
        <v>0</v>
      </c>
      <c r="M84" s="146">
        <f t="shared" si="2"/>
        <v>0</v>
      </c>
      <c r="N84" s="257">
        <v>2</v>
      </c>
      <c r="O84" s="142">
        <f>4140.7+528.6</f>
        <v>4669.3</v>
      </c>
      <c r="P84" s="143">
        <f>4140.7+528.6</f>
        <v>4669.3</v>
      </c>
      <c r="Q84" s="150">
        <f t="shared" si="3"/>
        <v>0</v>
      </c>
      <c r="R84" s="6"/>
    </row>
    <row r="85" spans="1:18" x14ac:dyDescent="0.25">
      <c r="A85" s="147">
        <v>29</v>
      </c>
      <c r="B85" s="255" t="s">
        <v>270</v>
      </c>
      <c r="C85" s="155" t="s">
        <v>62</v>
      </c>
      <c r="D85" s="139"/>
      <c r="E85" s="155" t="s">
        <v>74</v>
      </c>
      <c r="F85" s="255" t="s">
        <v>539</v>
      </c>
      <c r="G85" s="255" t="s">
        <v>326</v>
      </c>
      <c r="H85" s="258">
        <v>2</v>
      </c>
      <c r="I85" s="258">
        <v>0</v>
      </c>
      <c r="J85" s="258">
        <v>0</v>
      </c>
      <c r="K85" s="259">
        <v>0</v>
      </c>
      <c r="L85" s="146">
        <v>0</v>
      </c>
      <c r="M85" s="146">
        <f t="shared" si="2"/>
        <v>0</v>
      </c>
      <c r="N85" s="257">
        <v>0</v>
      </c>
      <c r="O85" s="142">
        <v>0</v>
      </c>
      <c r="P85" s="143">
        <v>0</v>
      </c>
      <c r="Q85" s="150">
        <v>0</v>
      </c>
      <c r="R85" s="6"/>
    </row>
    <row r="86" spans="1:18" x14ac:dyDescent="0.25">
      <c r="A86" s="147">
        <v>30</v>
      </c>
      <c r="B86" s="255" t="s">
        <v>96</v>
      </c>
      <c r="C86" s="155" t="s">
        <v>62</v>
      </c>
      <c r="D86" s="139"/>
      <c r="E86" s="155" t="s">
        <v>98</v>
      </c>
      <c r="F86" s="255" t="s">
        <v>540</v>
      </c>
      <c r="G86" s="255" t="s">
        <v>326</v>
      </c>
      <c r="H86" s="258">
        <v>1</v>
      </c>
      <c r="I86" s="258">
        <v>0</v>
      </c>
      <c r="J86" s="258">
        <v>0</v>
      </c>
      <c r="K86" s="259">
        <v>0</v>
      </c>
      <c r="L86" s="146">
        <v>0</v>
      </c>
      <c r="M86" s="146">
        <f t="shared" si="2"/>
        <v>0</v>
      </c>
      <c r="N86" s="257">
        <v>1</v>
      </c>
      <c r="O86" s="142">
        <v>0</v>
      </c>
      <c r="P86" s="143">
        <v>0</v>
      </c>
      <c r="Q86" s="150">
        <v>0</v>
      </c>
      <c r="R86" s="6"/>
    </row>
    <row r="87" spans="1:18" x14ac:dyDescent="0.25">
      <c r="A87" s="147">
        <v>31</v>
      </c>
      <c r="B87" s="255" t="s">
        <v>124</v>
      </c>
      <c r="C87" s="155" t="s">
        <v>62</v>
      </c>
      <c r="D87" s="139"/>
      <c r="E87" s="155" t="s">
        <v>74</v>
      </c>
      <c r="F87" s="255" t="s">
        <v>368</v>
      </c>
      <c r="G87" s="255" t="s">
        <v>326</v>
      </c>
      <c r="H87" s="258">
        <v>25</v>
      </c>
      <c r="I87" s="258">
        <v>11</v>
      </c>
      <c r="J87" s="258">
        <v>11</v>
      </c>
      <c r="K87" s="259">
        <f>6343.2+3700.2</f>
        <v>10043.4</v>
      </c>
      <c r="L87" s="146">
        <f>1762+1762+2819.2+3700.2</f>
        <v>10043.4</v>
      </c>
      <c r="M87" s="146">
        <f t="shared" si="2"/>
        <v>0</v>
      </c>
      <c r="N87" s="257">
        <v>8</v>
      </c>
      <c r="O87" s="142">
        <f>3171.6+88+1493.8-704.8+704.8</f>
        <v>4753.3999999999996</v>
      </c>
      <c r="P87" s="150">
        <f>1765.8+1493.8+789+704.8</f>
        <v>4753.3999999999996</v>
      </c>
      <c r="Q87" s="146">
        <f>O87-P87</f>
        <v>0</v>
      </c>
      <c r="R87" s="6"/>
    </row>
    <row r="88" spans="1:18" x14ac:dyDescent="0.25">
      <c r="A88" s="147">
        <v>32</v>
      </c>
      <c r="B88" s="255" t="s">
        <v>51</v>
      </c>
      <c r="C88" s="155" t="s">
        <v>62</v>
      </c>
      <c r="D88" s="139"/>
      <c r="E88" s="155" t="s">
        <v>74</v>
      </c>
      <c r="F88" s="255" t="s">
        <v>369</v>
      </c>
      <c r="G88" s="255" t="s">
        <v>326</v>
      </c>
      <c r="H88" s="258">
        <v>0</v>
      </c>
      <c r="I88" s="258">
        <v>0</v>
      </c>
      <c r="J88" s="258">
        <v>0</v>
      </c>
      <c r="K88" s="259">
        <v>0</v>
      </c>
      <c r="L88" s="146">
        <v>0</v>
      </c>
      <c r="M88" s="146">
        <f t="shared" si="2"/>
        <v>0</v>
      </c>
      <c r="N88" s="257">
        <v>1</v>
      </c>
      <c r="O88" s="142">
        <v>2290.6</v>
      </c>
      <c r="P88" s="150">
        <v>2290.6</v>
      </c>
      <c r="Q88" s="150">
        <f>O88-P88</f>
        <v>0</v>
      </c>
      <c r="R88" s="6"/>
    </row>
    <row r="89" spans="1:18" x14ac:dyDescent="0.25">
      <c r="A89" s="147">
        <v>33</v>
      </c>
      <c r="B89" s="255" t="s">
        <v>286</v>
      </c>
      <c r="C89" s="155" t="s">
        <v>62</v>
      </c>
      <c r="D89" s="139"/>
      <c r="E89" s="155" t="s">
        <v>74</v>
      </c>
      <c r="F89" s="255" t="s">
        <v>476</v>
      </c>
      <c r="G89" s="255" t="s">
        <v>326</v>
      </c>
      <c r="H89" s="258">
        <v>7</v>
      </c>
      <c r="I89" s="258">
        <v>3</v>
      </c>
      <c r="J89" s="258">
        <v>3</v>
      </c>
      <c r="K89" s="259">
        <f>1233.4+1409.6</f>
        <v>2643</v>
      </c>
      <c r="L89" s="146">
        <f>1233.4</f>
        <v>1233.4000000000001</v>
      </c>
      <c r="M89" s="146">
        <f t="shared" si="2"/>
        <v>1409.6</v>
      </c>
      <c r="N89" s="257">
        <v>0</v>
      </c>
      <c r="O89" s="142">
        <v>0</v>
      </c>
      <c r="P89" s="150">
        <v>0</v>
      </c>
      <c r="Q89" s="150">
        <v>0</v>
      </c>
      <c r="R89" s="6"/>
    </row>
    <row r="90" spans="1:18" x14ac:dyDescent="0.25">
      <c r="A90" s="147">
        <v>34</v>
      </c>
      <c r="B90" s="255" t="s">
        <v>290</v>
      </c>
      <c r="C90" s="155" t="s">
        <v>62</v>
      </c>
      <c r="D90" s="139"/>
      <c r="E90" s="155" t="s">
        <v>371</v>
      </c>
      <c r="F90" s="255" t="s">
        <v>372</v>
      </c>
      <c r="G90" s="255" t="s">
        <v>326</v>
      </c>
      <c r="H90" s="258">
        <v>9</v>
      </c>
      <c r="I90" s="258">
        <v>3</v>
      </c>
      <c r="J90" s="258">
        <v>3</v>
      </c>
      <c r="K90" s="259">
        <f>1409.6+704.8</f>
        <v>2114.3999999999996</v>
      </c>
      <c r="L90" s="146">
        <f>1409.6+704.8</f>
        <v>2114.3999999999996</v>
      </c>
      <c r="M90" s="146">
        <f t="shared" si="2"/>
        <v>0</v>
      </c>
      <c r="N90" s="257">
        <v>0</v>
      </c>
      <c r="O90" s="142">
        <v>0</v>
      </c>
      <c r="P90" s="143">
        <v>0</v>
      </c>
      <c r="Q90" s="150">
        <f>O90-P90</f>
        <v>0</v>
      </c>
      <c r="R90" s="6"/>
    </row>
    <row r="91" spans="1:18" x14ac:dyDescent="0.25">
      <c r="A91" s="147">
        <v>35</v>
      </c>
      <c r="B91" s="255" t="s">
        <v>134</v>
      </c>
      <c r="C91" s="155" t="s">
        <v>62</v>
      </c>
      <c r="D91" s="139"/>
      <c r="E91" s="155" t="s">
        <v>74</v>
      </c>
      <c r="F91" s="255" t="s">
        <v>373</v>
      </c>
      <c r="G91" s="255" t="s">
        <v>326</v>
      </c>
      <c r="H91" s="258">
        <v>3</v>
      </c>
      <c r="I91" s="258">
        <v>1</v>
      </c>
      <c r="J91" s="258">
        <v>1</v>
      </c>
      <c r="K91" s="259">
        <f>1938.2</f>
        <v>1938.2</v>
      </c>
      <c r="L91" s="146">
        <v>1938.2</v>
      </c>
      <c r="M91" s="146">
        <f t="shared" si="2"/>
        <v>0</v>
      </c>
      <c r="N91" s="257">
        <v>2</v>
      </c>
      <c r="O91" s="142">
        <v>2643</v>
      </c>
      <c r="P91" s="150">
        <f>881+1762</f>
        <v>2643</v>
      </c>
      <c r="Q91" s="150">
        <f>O91-P91</f>
        <v>0</v>
      </c>
      <c r="R91" s="6"/>
    </row>
    <row r="92" spans="1:18" x14ac:dyDescent="0.25">
      <c r="A92" s="147">
        <v>36</v>
      </c>
      <c r="B92" s="255" t="s">
        <v>135</v>
      </c>
      <c r="C92" s="155" t="s">
        <v>62</v>
      </c>
      <c r="D92" s="139"/>
      <c r="E92" s="155" t="s">
        <v>74</v>
      </c>
      <c r="F92" s="255" t="s">
        <v>374</v>
      </c>
      <c r="G92" s="255" t="s">
        <v>326</v>
      </c>
      <c r="H92" s="258">
        <v>19</v>
      </c>
      <c r="I92" s="258">
        <v>4</v>
      </c>
      <c r="J92" s="258">
        <v>4</v>
      </c>
      <c r="K92" s="259">
        <f>5109.8+881</f>
        <v>5990.8</v>
      </c>
      <c r="L92" s="146">
        <f>2290.6+2819.2+881</f>
        <v>5990.7999999999993</v>
      </c>
      <c r="M92" s="146">
        <f t="shared" si="2"/>
        <v>0</v>
      </c>
      <c r="N92" s="257">
        <v>37</v>
      </c>
      <c r="O92" s="142">
        <f>15109.16+9717+2845.2+6445.11</f>
        <v>34116.47</v>
      </c>
      <c r="P92" s="150">
        <f>14228.16+881+9717+2845.2</f>
        <v>27671.360000000001</v>
      </c>
      <c r="Q92" s="146">
        <f>O92-P92</f>
        <v>6445.1100000000006</v>
      </c>
      <c r="R92" s="6"/>
    </row>
    <row r="93" spans="1:18" ht="25.5" x14ac:dyDescent="0.25">
      <c r="A93" s="148">
        <v>37</v>
      </c>
      <c r="B93" s="255" t="s">
        <v>508</v>
      </c>
      <c r="C93" s="155" t="s">
        <v>64</v>
      </c>
      <c r="D93" s="254" t="s">
        <v>509</v>
      </c>
      <c r="E93" s="155" t="s">
        <v>74</v>
      </c>
      <c r="F93" s="255" t="s">
        <v>510</v>
      </c>
      <c r="G93" s="255" t="s">
        <v>326</v>
      </c>
      <c r="H93" s="258">
        <v>3</v>
      </c>
      <c r="I93" s="258">
        <v>1</v>
      </c>
      <c r="J93" s="258">
        <v>1</v>
      </c>
      <c r="K93" s="259">
        <v>0</v>
      </c>
      <c r="L93" s="146">
        <v>0</v>
      </c>
      <c r="M93" s="146">
        <v>0</v>
      </c>
      <c r="N93" s="257">
        <v>0</v>
      </c>
      <c r="O93" s="146">
        <v>0</v>
      </c>
      <c r="P93" s="150">
        <v>0</v>
      </c>
      <c r="Q93" s="150">
        <v>0</v>
      </c>
      <c r="R93" s="6"/>
    </row>
    <row r="94" spans="1:18" x14ac:dyDescent="0.25">
      <c r="A94" s="147">
        <v>38</v>
      </c>
      <c r="B94" s="255" t="s">
        <v>299</v>
      </c>
      <c r="C94" s="155" t="s">
        <v>62</v>
      </c>
      <c r="D94" s="139"/>
      <c r="E94" s="155" t="s">
        <v>158</v>
      </c>
      <c r="F94" s="255" t="s">
        <v>375</v>
      </c>
      <c r="G94" s="255" t="s">
        <v>326</v>
      </c>
      <c r="H94" s="258">
        <v>3</v>
      </c>
      <c r="I94" s="258">
        <v>1</v>
      </c>
      <c r="J94" s="258">
        <v>1</v>
      </c>
      <c r="K94" s="259">
        <f>704.8</f>
        <v>704.8</v>
      </c>
      <c r="L94" s="146">
        <f>704.8</f>
        <v>704.8</v>
      </c>
      <c r="M94" s="146">
        <f t="shared" ref="M94:M100" si="4">K94-L94</f>
        <v>0</v>
      </c>
      <c r="N94" s="257">
        <v>0</v>
      </c>
      <c r="O94" s="142">
        <v>0</v>
      </c>
      <c r="P94" s="150">
        <v>0</v>
      </c>
      <c r="Q94" s="150">
        <f t="shared" ref="Q94:Q100" si="5">O94-P94</f>
        <v>0</v>
      </c>
      <c r="R94" s="6"/>
    </row>
    <row r="95" spans="1:18" x14ac:dyDescent="0.25">
      <c r="A95" s="147">
        <v>39</v>
      </c>
      <c r="B95" s="255" t="s">
        <v>376</v>
      </c>
      <c r="C95" s="155" t="s">
        <v>62</v>
      </c>
      <c r="D95" s="139"/>
      <c r="E95" s="155" t="s">
        <v>74</v>
      </c>
      <c r="F95" s="255" t="s">
        <v>377</v>
      </c>
      <c r="G95" s="255" t="s">
        <v>326</v>
      </c>
      <c r="H95" s="258">
        <v>4</v>
      </c>
      <c r="I95" s="258">
        <v>3</v>
      </c>
      <c r="J95" s="258">
        <v>3</v>
      </c>
      <c r="K95" s="259">
        <f>1409.6+2643</f>
        <v>4052.6</v>
      </c>
      <c r="L95" s="146">
        <f>1409.6+2339.82</f>
        <v>3749.42</v>
      </c>
      <c r="M95" s="146">
        <f t="shared" si="4"/>
        <v>303.17999999999984</v>
      </c>
      <c r="N95" s="257">
        <v>0</v>
      </c>
      <c r="O95" s="142">
        <v>0</v>
      </c>
      <c r="P95" s="150">
        <v>0</v>
      </c>
      <c r="Q95" s="150">
        <f t="shared" si="5"/>
        <v>0</v>
      </c>
      <c r="R95" s="6"/>
    </row>
    <row r="96" spans="1:18" x14ac:dyDescent="0.25">
      <c r="A96" s="147">
        <v>40</v>
      </c>
      <c r="B96" s="255" t="s">
        <v>129</v>
      </c>
      <c r="C96" s="155" t="s">
        <v>62</v>
      </c>
      <c r="D96" s="139"/>
      <c r="E96" s="155" t="s">
        <v>74</v>
      </c>
      <c r="F96" s="255" t="s">
        <v>378</v>
      </c>
      <c r="G96" s="255" t="s">
        <v>326</v>
      </c>
      <c r="H96" s="258">
        <v>39</v>
      </c>
      <c r="I96" s="258">
        <v>14</v>
      </c>
      <c r="J96" s="258">
        <v>14</v>
      </c>
      <c r="K96" s="259">
        <f>7355.96+1306.55+4415.93+5710.35+1310.55</f>
        <v>20099.34</v>
      </c>
      <c r="L96" s="146">
        <f>3615.96+5046.55+4415.93+2821.97+2888.38</f>
        <v>18788.79</v>
      </c>
      <c r="M96" s="146">
        <f t="shared" si="4"/>
        <v>1310.5499999999993</v>
      </c>
      <c r="N96" s="257">
        <v>27</v>
      </c>
      <c r="O96" s="142">
        <f>28417.04+2923.96+3402.23+528.6+3259.4+1369.4+10104.55</f>
        <v>50005.180000000008</v>
      </c>
      <c r="P96" s="143">
        <f>22002.43+5101.53+1313.08+2923.96+3402.23+528.6+3259.4</f>
        <v>38531.230000000003</v>
      </c>
      <c r="Q96" s="150">
        <f t="shared" si="5"/>
        <v>11473.950000000004</v>
      </c>
      <c r="R96" s="6"/>
    </row>
    <row r="97" spans="1:18" x14ac:dyDescent="0.25">
      <c r="A97" s="147">
        <v>41</v>
      </c>
      <c r="B97" s="255" t="s">
        <v>379</v>
      </c>
      <c r="C97" s="155" t="s">
        <v>62</v>
      </c>
      <c r="D97" s="139"/>
      <c r="E97" s="155" t="s">
        <v>158</v>
      </c>
      <c r="F97" s="255" t="s">
        <v>380</v>
      </c>
      <c r="G97" s="255" t="s">
        <v>326</v>
      </c>
      <c r="H97" s="258">
        <v>3</v>
      </c>
      <c r="I97" s="258">
        <v>1</v>
      </c>
      <c r="J97" s="258">
        <v>1</v>
      </c>
      <c r="K97" s="259">
        <v>704.8</v>
      </c>
      <c r="L97" s="146">
        <f>704.8</f>
        <v>704.8</v>
      </c>
      <c r="M97" s="146">
        <f t="shared" si="4"/>
        <v>0</v>
      </c>
      <c r="N97" s="257">
        <v>0</v>
      </c>
      <c r="O97" s="142">
        <v>0</v>
      </c>
      <c r="P97" s="150">
        <v>0</v>
      </c>
      <c r="Q97" s="150">
        <f t="shared" si="5"/>
        <v>0</v>
      </c>
      <c r="R97" s="6"/>
    </row>
    <row r="98" spans="1:18" x14ac:dyDescent="0.25">
      <c r="A98" s="147">
        <v>42</v>
      </c>
      <c r="B98" s="255" t="s">
        <v>130</v>
      </c>
      <c r="C98" s="155" t="s">
        <v>62</v>
      </c>
      <c r="D98" s="139"/>
      <c r="E98" s="155" t="s">
        <v>74</v>
      </c>
      <c r="F98" s="255" t="s">
        <v>557</v>
      </c>
      <c r="G98" s="255" t="s">
        <v>326</v>
      </c>
      <c r="H98" s="258">
        <v>1</v>
      </c>
      <c r="I98" s="258">
        <v>0</v>
      </c>
      <c r="J98" s="258">
        <v>0</v>
      </c>
      <c r="K98" s="259">
        <v>0</v>
      </c>
      <c r="L98" s="146">
        <v>0</v>
      </c>
      <c r="M98" s="146">
        <f t="shared" si="4"/>
        <v>0</v>
      </c>
      <c r="N98" s="257">
        <v>2</v>
      </c>
      <c r="O98" s="142">
        <f>3700.2</f>
        <v>3700.2</v>
      </c>
      <c r="P98" s="150">
        <v>0</v>
      </c>
      <c r="Q98" s="150">
        <f t="shared" si="5"/>
        <v>3700.2</v>
      </c>
      <c r="R98" s="6"/>
    </row>
    <row r="99" spans="1:18" x14ac:dyDescent="0.25">
      <c r="A99" s="147">
        <v>43</v>
      </c>
      <c r="B99" s="255" t="s">
        <v>382</v>
      </c>
      <c r="C99" s="155" t="s">
        <v>62</v>
      </c>
      <c r="D99" s="139"/>
      <c r="E99" s="155" t="s">
        <v>383</v>
      </c>
      <c r="F99" s="255" t="s">
        <v>384</v>
      </c>
      <c r="G99" s="255" t="s">
        <v>326</v>
      </c>
      <c r="H99" s="258">
        <v>1</v>
      </c>
      <c r="I99" s="258">
        <v>1</v>
      </c>
      <c r="J99" s="258">
        <v>1</v>
      </c>
      <c r="K99" s="259">
        <v>704.8</v>
      </c>
      <c r="L99" s="146">
        <f>187.75+517.05</f>
        <v>704.8</v>
      </c>
      <c r="M99" s="146">
        <f t="shared" si="4"/>
        <v>0</v>
      </c>
      <c r="N99" s="257">
        <v>0</v>
      </c>
      <c r="O99" s="142">
        <v>0</v>
      </c>
      <c r="P99" s="150">
        <v>0</v>
      </c>
      <c r="Q99" s="150">
        <f t="shared" si="5"/>
        <v>0</v>
      </c>
      <c r="R99" s="6"/>
    </row>
    <row r="100" spans="1:18" x14ac:dyDescent="0.25">
      <c r="A100" s="147">
        <v>44</v>
      </c>
      <c r="B100" s="255" t="s">
        <v>385</v>
      </c>
      <c r="C100" s="155" t="s">
        <v>62</v>
      </c>
      <c r="D100" s="139"/>
      <c r="E100" s="139" t="s">
        <v>145</v>
      </c>
      <c r="F100" s="255" t="s">
        <v>386</v>
      </c>
      <c r="G100" s="255" t="s">
        <v>326</v>
      </c>
      <c r="H100" s="258">
        <v>11</v>
      </c>
      <c r="I100" s="258">
        <v>5</v>
      </c>
      <c r="J100" s="258">
        <v>5</v>
      </c>
      <c r="K100" s="259">
        <f>1762+2422.75</f>
        <v>4184.75</v>
      </c>
      <c r="L100" s="146">
        <f>1057.2+704.8</f>
        <v>1762</v>
      </c>
      <c r="M100" s="146">
        <f t="shared" si="4"/>
        <v>2422.75</v>
      </c>
      <c r="N100" s="257">
        <v>18</v>
      </c>
      <c r="O100" s="142">
        <v>9602.9</v>
      </c>
      <c r="P100" s="143">
        <f>9074.3+528.6</f>
        <v>9602.9</v>
      </c>
      <c r="Q100" s="150">
        <f t="shared" si="5"/>
        <v>0</v>
      </c>
      <c r="R100" s="6"/>
    </row>
    <row r="101" spans="1:18" x14ac:dyDescent="0.25">
      <c r="A101" s="147">
        <v>45</v>
      </c>
      <c r="B101" s="255" t="s">
        <v>150</v>
      </c>
      <c r="C101" s="155" t="s">
        <v>62</v>
      </c>
      <c r="D101" s="139"/>
      <c r="E101" s="155" t="s">
        <v>74</v>
      </c>
      <c r="F101" s="255" t="s">
        <v>370</v>
      </c>
      <c r="G101" s="255" t="s">
        <v>326</v>
      </c>
      <c r="H101" s="258">
        <v>0</v>
      </c>
      <c r="I101" s="258">
        <v>0</v>
      </c>
      <c r="J101" s="258">
        <v>0</v>
      </c>
      <c r="K101" s="259">
        <v>0</v>
      </c>
      <c r="L101" s="146">
        <v>0</v>
      </c>
      <c r="M101" s="146">
        <v>0</v>
      </c>
      <c r="N101" s="257">
        <v>0</v>
      </c>
      <c r="O101" s="142">
        <v>0</v>
      </c>
      <c r="P101" s="143">
        <v>0</v>
      </c>
      <c r="Q101" s="150">
        <v>0</v>
      </c>
      <c r="R101" s="6"/>
    </row>
    <row r="102" spans="1:18" x14ac:dyDescent="0.25">
      <c r="A102" s="147">
        <v>46</v>
      </c>
      <c r="B102" s="255" t="s">
        <v>387</v>
      </c>
      <c r="C102" s="155" t="s">
        <v>62</v>
      </c>
      <c r="D102" s="139"/>
      <c r="E102" s="155" t="s">
        <v>157</v>
      </c>
      <c r="F102" s="255" t="s">
        <v>388</v>
      </c>
      <c r="G102" s="255" t="s">
        <v>326</v>
      </c>
      <c r="H102" s="258">
        <v>0</v>
      </c>
      <c r="I102" s="258">
        <v>0</v>
      </c>
      <c r="J102" s="258">
        <v>0</v>
      </c>
      <c r="K102" s="273">
        <v>0</v>
      </c>
      <c r="L102" s="146">
        <v>0</v>
      </c>
      <c r="M102" s="146">
        <f>K102-L102</f>
        <v>0</v>
      </c>
      <c r="N102" s="257">
        <v>0</v>
      </c>
      <c r="O102" s="142">
        <v>0</v>
      </c>
      <c r="P102" s="150">
        <v>0</v>
      </c>
      <c r="Q102" s="150">
        <f>O102-P102</f>
        <v>0</v>
      </c>
      <c r="R102" s="6"/>
    </row>
    <row r="103" spans="1:18" x14ac:dyDescent="0.25">
      <c r="A103" s="147">
        <v>47</v>
      </c>
      <c r="B103" s="255" t="s">
        <v>54</v>
      </c>
      <c r="C103" s="155" t="s">
        <v>62</v>
      </c>
      <c r="D103" s="139"/>
      <c r="E103" s="155" t="s">
        <v>338</v>
      </c>
      <c r="F103" s="255" t="s">
        <v>391</v>
      </c>
      <c r="G103" s="255" t="s">
        <v>326</v>
      </c>
      <c r="H103" s="258">
        <v>0</v>
      </c>
      <c r="I103" s="258">
        <v>0</v>
      </c>
      <c r="J103" s="139">
        <v>0</v>
      </c>
      <c r="K103" s="273">
        <v>0</v>
      </c>
      <c r="L103" s="146">
        <v>0</v>
      </c>
      <c r="M103" s="146">
        <f>K103-L103</f>
        <v>0</v>
      </c>
      <c r="N103" s="257">
        <v>0</v>
      </c>
      <c r="O103" s="142">
        <v>0</v>
      </c>
      <c r="P103" s="143">
        <v>0</v>
      </c>
      <c r="Q103" s="150">
        <f>O103-P103</f>
        <v>0</v>
      </c>
      <c r="R103" s="6"/>
    </row>
    <row r="104" spans="1:18" ht="39" x14ac:dyDescent="0.25">
      <c r="A104" s="148">
        <v>48</v>
      </c>
      <c r="B104" s="255" t="s">
        <v>131</v>
      </c>
      <c r="C104" s="155" t="s">
        <v>64</v>
      </c>
      <c r="D104" s="261" t="s">
        <v>392</v>
      </c>
      <c r="E104" s="155" t="s">
        <v>158</v>
      </c>
      <c r="F104" s="256" t="s">
        <v>393</v>
      </c>
      <c r="G104" s="255" t="s">
        <v>326</v>
      </c>
      <c r="H104" s="258">
        <v>0</v>
      </c>
      <c r="I104" s="258">
        <v>0</v>
      </c>
      <c r="J104" s="145">
        <v>0</v>
      </c>
      <c r="K104" s="274">
        <v>0</v>
      </c>
      <c r="L104" s="150">
        <v>0</v>
      </c>
      <c r="M104" s="150">
        <f>K104-L104</f>
        <v>0</v>
      </c>
      <c r="N104" s="256">
        <v>0</v>
      </c>
      <c r="O104" s="150">
        <v>0</v>
      </c>
      <c r="P104" s="150">
        <v>0</v>
      </c>
      <c r="Q104" s="150">
        <f>O104-P104</f>
        <v>0</v>
      </c>
      <c r="R104" s="6"/>
    </row>
    <row r="105" spans="1:18" ht="25.5" x14ac:dyDescent="0.25">
      <c r="A105" s="63">
        <v>1</v>
      </c>
      <c r="B105" s="100" t="s">
        <v>21</v>
      </c>
      <c r="C105" s="100" t="s">
        <v>62</v>
      </c>
      <c r="D105" s="100"/>
      <c r="E105" s="100" t="s">
        <v>157</v>
      </c>
      <c r="F105" s="100" t="s">
        <v>523</v>
      </c>
      <c r="G105" s="100" t="s">
        <v>524</v>
      </c>
      <c r="H105" s="234">
        <v>1</v>
      </c>
      <c r="I105" s="234">
        <v>0</v>
      </c>
      <c r="J105" s="234">
        <v>0</v>
      </c>
      <c r="K105" s="215">
        <v>0</v>
      </c>
      <c r="L105" s="215">
        <v>0</v>
      </c>
      <c r="M105" s="215">
        <v>0</v>
      </c>
      <c r="N105" s="234">
        <v>1</v>
      </c>
      <c r="O105" s="215">
        <v>1233.4000000000001</v>
      </c>
      <c r="P105" s="215">
        <v>1233.4000000000001</v>
      </c>
      <c r="Q105" s="215">
        <v>0</v>
      </c>
      <c r="R105" s="6"/>
    </row>
    <row r="106" spans="1:18" ht="25.5" x14ac:dyDescent="0.25">
      <c r="A106" s="63">
        <v>2</v>
      </c>
      <c r="B106" s="100" t="s">
        <v>147</v>
      </c>
      <c r="C106" s="100" t="s">
        <v>62</v>
      </c>
      <c r="D106" s="100"/>
      <c r="E106" s="100" t="s">
        <v>158</v>
      </c>
      <c r="F106" s="100" t="s">
        <v>525</v>
      </c>
      <c r="G106" s="100" t="s">
        <v>524</v>
      </c>
      <c r="H106" s="234">
        <v>1</v>
      </c>
      <c r="I106" s="234">
        <v>1</v>
      </c>
      <c r="J106" s="234">
        <v>1</v>
      </c>
      <c r="K106" s="215">
        <v>1762</v>
      </c>
      <c r="L106" s="215">
        <v>1762</v>
      </c>
      <c r="M106" s="215">
        <v>0</v>
      </c>
      <c r="N106" s="234">
        <v>2</v>
      </c>
      <c r="O106" s="215">
        <v>10751.3</v>
      </c>
      <c r="P106" s="215">
        <v>3805.4</v>
      </c>
      <c r="Q106" s="215">
        <v>6945.9</v>
      </c>
      <c r="R106" s="6"/>
    </row>
    <row r="107" spans="1:18" ht="25.5" x14ac:dyDescent="0.25">
      <c r="A107" s="63">
        <v>3</v>
      </c>
      <c r="B107" s="232" t="s">
        <v>526</v>
      </c>
      <c r="C107" s="100" t="s">
        <v>62</v>
      </c>
      <c r="D107" s="100"/>
      <c r="E107" s="100" t="s">
        <v>527</v>
      </c>
      <c r="F107" s="100" t="s">
        <v>528</v>
      </c>
      <c r="G107" s="100" t="s">
        <v>524</v>
      </c>
      <c r="H107" s="234">
        <v>0</v>
      </c>
      <c r="I107" s="234">
        <v>0</v>
      </c>
      <c r="J107" s="234">
        <v>0</v>
      </c>
      <c r="K107" s="215">
        <v>0</v>
      </c>
      <c r="L107" s="215">
        <v>0</v>
      </c>
      <c r="M107" s="215">
        <v>0</v>
      </c>
      <c r="N107" s="234">
        <v>0</v>
      </c>
      <c r="O107" s="218">
        <v>0</v>
      </c>
      <c r="P107" s="215">
        <v>0</v>
      </c>
      <c r="Q107" s="215">
        <v>0</v>
      </c>
      <c r="R107" s="6"/>
    </row>
    <row r="108" spans="1:18" ht="25.5" x14ac:dyDescent="0.25">
      <c r="A108" s="63">
        <v>4</v>
      </c>
      <c r="B108" s="100" t="s">
        <v>305</v>
      </c>
      <c r="C108" s="100" t="s">
        <v>62</v>
      </c>
      <c r="D108" s="100"/>
      <c r="E108" s="100" t="s">
        <v>157</v>
      </c>
      <c r="F108" s="100" t="s">
        <v>531</v>
      </c>
      <c r="G108" s="100" t="s">
        <v>524</v>
      </c>
      <c r="H108" s="234">
        <v>4</v>
      </c>
      <c r="I108" s="234">
        <v>2</v>
      </c>
      <c r="J108" s="234">
        <v>2</v>
      </c>
      <c r="K108" s="215">
        <v>2819.2</v>
      </c>
      <c r="L108" s="215">
        <v>2819.2</v>
      </c>
      <c r="M108" s="215">
        <v>0</v>
      </c>
      <c r="N108" s="234">
        <v>0</v>
      </c>
      <c r="O108" s="215">
        <v>0</v>
      </c>
      <c r="P108" s="215">
        <v>0</v>
      </c>
      <c r="Q108" s="215">
        <v>0</v>
      </c>
      <c r="R108" s="6"/>
    </row>
    <row r="109" spans="1:18" ht="25.5" x14ac:dyDescent="0.25">
      <c r="A109" s="63">
        <v>5</v>
      </c>
      <c r="B109" s="100" t="s">
        <v>407</v>
      </c>
      <c r="C109" s="100" t="s">
        <v>62</v>
      </c>
      <c r="D109" s="100"/>
      <c r="E109" s="100" t="s">
        <v>157</v>
      </c>
      <c r="F109" s="100" t="s">
        <v>532</v>
      </c>
      <c r="G109" s="100" t="s">
        <v>524</v>
      </c>
      <c r="H109" s="234">
        <v>4</v>
      </c>
      <c r="I109" s="234">
        <v>0</v>
      </c>
      <c r="J109" s="234">
        <v>0</v>
      </c>
      <c r="K109" s="215">
        <v>0</v>
      </c>
      <c r="L109" s="215">
        <v>0</v>
      </c>
      <c r="M109" s="215">
        <v>0</v>
      </c>
      <c r="N109" s="234">
        <v>0</v>
      </c>
      <c r="O109" s="215">
        <v>0</v>
      </c>
      <c r="P109" s="215">
        <v>0</v>
      </c>
      <c r="Q109" s="215">
        <v>0</v>
      </c>
      <c r="R109" s="6"/>
    </row>
    <row r="110" spans="1:18" ht="25.5" x14ac:dyDescent="0.25">
      <c r="A110" s="63">
        <v>6</v>
      </c>
      <c r="B110" s="100" t="s">
        <v>185</v>
      </c>
      <c r="C110" s="100" t="s">
        <v>62</v>
      </c>
      <c r="D110" s="100"/>
      <c r="E110" s="100" t="s">
        <v>157</v>
      </c>
      <c r="F110" s="100" t="s">
        <v>533</v>
      </c>
      <c r="G110" s="100" t="s">
        <v>524</v>
      </c>
      <c r="H110" s="234">
        <v>4</v>
      </c>
      <c r="I110" s="234">
        <v>0</v>
      </c>
      <c r="J110" s="234">
        <v>0</v>
      </c>
      <c r="K110" s="215">
        <v>0</v>
      </c>
      <c r="L110" s="215">
        <v>0</v>
      </c>
      <c r="M110" s="215">
        <v>0</v>
      </c>
      <c r="N110" s="234">
        <v>0</v>
      </c>
      <c r="O110" s="215">
        <v>0</v>
      </c>
      <c r="P110" s="215">
        <v>0</v>
      </c>
      <c r="Q110" s="215">
        <v>0</v>
      </c>
      <c r="R110" s="6"/>
    </row>
    <row r="111" spans="1:18" ht="25.5" x14ac:dyDescent="0.25">
      <c r="A111" s="63">
        <v>7</v>
      </c>
      <c r="B111" s="100" t="s">
        <v>534</v>
      </c>
      <c r="C111" s="100" t="s">
        <v>62</v>
      </c>
      <c r="D111" s="100"/>
      <c r="E111" s="100" t="s">
        <v>157</v>
      </c>
      <c r="F111" s="100" t="s">
        <v>535</v>
      </c>
      <c r="G111" s="100" t="s">
        <v>524</v>
      </c>
      <c r="H111" s="234">
        <v>1</v>
      </c>
      <c r="I111" s="234">
        <v>0</v>
      </c>
      <c r="J111" s="234">
        <v>0</v>
      </c>
      <c r="K111" s="215">
        <v>0</v>
      </c>
      <c r="L111" s="215">
        <v>0</v>
      </c>
      <c r="M111" s="215">
        <v>0</v>
      </c>
      <c r="N111" s="234">
        <v>0</v>
      </c>
      <c r="O111" s="215">
        <v>0</v>
      </c>
      <c r="P111" s="215">
        <v>0</v>
      </c>
      <c r="Q111" s="215">
        <v>0</v>
      </c>
      <c r="R111" s="6"/>
    </row>
    <row r="112" spans="1:18" ht="25.5" x14ac:dyDescent="0.25">
      <c r="A112" s="63">
        <v>8</v>
      </c>
      <c r="B112" s="100" t="s">
        <v>104</v>
      </c>
      <c r="C112" s="100" t="s">
        <v>62</v>
      </c>
      <c r="D112" s="100"/>
      <c r="E112" s="100" t="s">
        <v>158</v>
      </c>
      <c r="F112" s="233" t="s">
        <v>536</v>
      </c>
      <c r="G112" s="100" t="s">
        <v>524</v>
      </c>
      <c r="H112" s="234">
        <v>0</v>
      </c>
      <c r="I112" s="234">
        <v>0</v>
      </c>
      <c r="J112" s="234">
        <v>0</v>
      </c>
      <c r="K112" s="215">
        <v>0</v>
      </c>
      <c r="L112" s="215">
        <v>0</v>
      </c>
      <c r="M112" s="215">
        <v>0</v>
      </c>
      <c r="N112" s="234">
        <v>0</v>
      </c>
      <c r="O112" s="215">
        <v>0</v>
      </c>
      <c r="P112" s="215">
        <v>0</v>
      </c>
      <c r="Q112" s="215">
        <v>0</v>
      </c>
      <c r="R112" s="6"/>
    </row>
    <row r="113" spans="1:18" ht="25.5" x14ac:dyDescent="0.25">
      <c r="A113" s="63">
        <v>9</v>
      </c>
      <c r="B113" s="100" t="s">
        <v>30</v>
      </c>
      <c r="C113" s="100" t="s">
        <v>62</v>
      </c>
      <c r="D113" s="100"/>
      <c r="E113" s="100" t="s">
        <v>537</v>
      </c>
      <c r="F113" s="100" t="s">
        <v>592</v>
      </c>
      <c r="G113" s="100" t="s">
        <v>524</v>
      </c>
      <c r="H113" s="234">
        <v>0</v>
      </c>
      <c r="I113" s="234">
        <v>0</v>
      </c>
      <c r="J113" s="234">
        <v>0</v>
      </c>
      <c r="K113" s="215">
        <v>0</v>
      </c>
      <c r="L113" s="215">
        <v>0</v>
      </c>
      <c r="M113" s="215">
        <v>0</v>
      </c>
      <c r="N113" s="234">
        <v>0</v>
      </c>
      <c r="O113" s="215">
        <v>0</v>
      </c>
      <c r="P113" s="215">
        <v>0</v>
      </c>
      <c r="Q113" s="215">
        <v>0</v>
      </c>
      <c r="R113" s="6"/>
    </row>
    <row r="114" spans="1:18" x14ac:dyDescent="0.25">
      <c r="A114" s="71">
        <v>1</v>
      </c>
      <c r="B114" s="277" t="s">
        <v>47</v>
      </c>
      <c r="C114" s="277" t="s">
        <v>62</v>
      </c>
      <c r="D114" s="71"/>
      <c r="E114" s="277" t="s">
        <v>141</v>
      </c>
      <c r="F114" s="286" t="s">
        <v>448</v>
      </c>
      <c r="G114" s="277" t="s">
        <v>142</v>
      </c>
      <c r="H114" s="275">
        <v>6</v>
      </c>
      <c r="I114" s="275">
        <v>1</v>
      </c>
      <c r="J114" s="275">
        <v>1</v>
      </c>
      <c r="K114" s="276">
        <v>1233.4000000000001</v>
      </c>
      <c r="L114" s="276">
        <v>1233.4000000000001</v>
      </c>
      <c r="M114" s="276">
        <v>0</v>
      </c>
      <c r="N114" s="275">
        <v>25</v>
      </c>
      <c r="O114" s="276">
        <v>31443.13</v>
      </c>
      <c r="P114" s="276">
        <v>24659.43</v>
      </c>
      <c r="Q114" s="276">
        <v>3391.85</v>
      </c>
      <c r="R114" s="6"/>
    </row>
    <row r="115" spans="1:18" x14ac:dyDescent="0.25">
      <c r="A115" s="71">
        <f>A114+1</f>
        <v>2</v>
      </c>
      <c r="B115" s="277" t="s">
        <v>55</v>
      </c>
      <c r="C115" s="277" t="s">
        <v>62</v>
      </c>
      <c r="D115" s="71"/>
      <c r="E115" s="277" t="s">
        <v>141</v>
      </c>
      <c r="F115" s="286" t="s">
        <v>449</v>
      </c>
      <c r="G115" s="277" t="s">
        <v>142</v>
      </c>
      <c r="H115" s="275">
        <v>8</v>
      </c>
      <c r="I115" s="275">
        <v>3</v>
      </c>
      <c r="J115" s="275">
        <v>3</v>
      </c>
      <c r="K115" s="276">
        <v>2995.4</v>
      </c>
      <c r="L115" s="276">
        <v>2995.4</v>
      </c>
      <c r="M115" s="276">
        <v>0</v>
      </c>
      <c r="N115" s="275">
        <v>11</v>
      </c>
      <c r="O115" s="276">
        <v>21232.1</v>
      </c>
      <c r="P115" s="276">
        <v>21232.1</v>
      </c>
      <c r="Q115" s="276">
        <v>0</v>
      </c>
      <c r="R115" s="6"/>
    </row>
    <row r="116" spans="1:18" x14ac:dyDescent="0.25">
      <c r="A116" s="71">
        <f>A115+1</f>
        <v>3</v>
      </c>
      <c r="B116" s="277" t="s">
        <v>122</v>
      </c>
      <c r="C116" s="277" t="s">
        <v>62</v>
      </c>
      <c r="D116" s="71"/>
      <c r="E116" s="277" t="s">
        <v>143</v>
      </c>
      <c r="F116" s="286" t="s">
        <v>450</v>
      </c>
      <c r="G116" s="277" t="s">
        <v>142</v>
      </c>
      <c r="H116" s="275">
        <v>5</v>
      </c>
      <c r="I116" s="275">
        <v>0</v>
      </c>
      <c r="J116" s="275">
        <v>0</v>
      </c>
      <c r="K116" s="276">
        <v>0</v>
      </c>
      <c r="L116" s="276">
        <v>0</v>
      </c>
      <c r="M116" s="276">
        <v>0</v>
      </c>
      <c r="N116" s="275">
        <v>4</v>
      </c>
      <c r="O116" s="276">
        <v>8841.5400000000009</v>
      </c>
      <c r="P116" s="276">
        <v>8841.5400000000009</v>
      </c>
      <c r="Q116" s="276">
        <v>0</v>
      </c>
      <c r="R116" s="6"/>
    </row>
    <row r="117" spans="1:18" x14ac:dyDescent="0.25">
      <c r="A117" s="71">
        <f>A116+1</f>
        <v>4</v>
      </c>
      <c r="B117" s="277" t="s">
        <v>144</v>
      </c>
      <c r="C117" s="277" t="s">
        <v>62</v>
      </c>
      <c r="D117" s="71"/>
      <c r="E117" s="277" t="s">
        <v>141</v>
      </c>
      <c r="F117" s="286" t="s">
        <v>451</v>
      </c>
      <c r="G117" s="277" t="s">
        <v>142</v>
      </c>
      <c r="H117" s="275">
        <v>7</v>
      </c>
      <c r="I117" s="275">
        <v>6</v>
      </c>
      <c r="J117" s="275">
        <v>6</v>
      </c>
      <c r="K117" s="276">
        <v>7017.02</v>
      </c>
      <c r="L117" s="276">
        <v>6096.52</v>
      </c>
      <c r="M117" s="276">
        <v>920.5</v>
      </c>
      <c r="N117" s="275">
        <v>2</v>
      </c>
      <c r="O117" s="276">
        <v>1938.2</v>
      </c>
      <c r="P117" s="276">
        <v>1938.2</v>
      </c>
      <c r="Q117" s="276">
        <v>0</v>
      </c>
      <c r="R117" s="6"/>
    </row>
    <row r="118" spans="1:18" ht="26.25" x14ac:dyDescent="0.25">
      <c r="A118" s="71">
        <f>A117+1</f>
        <v>5</v>
      </c>
      <c r="B118" s="277" t="s">
        <v>46</v>
      </c>
      <c r="C118" s="277" t="s">
        <v>62</v>
      </c>
      <c r="D118" s="71"/>
      <c r="E118" s="277" t="s">
        <v>452</v>
      </c>
      <c r="F118" s="286" t="s">
        <v>453</v>
      </c>
      <c r="G118" s="277" t="s">
        <v>142</v>
      </c>
      <c r="H118" s="275">
        <v>0</v>
      </c>
      <c r="I118" s="275">
        <v>0</v>
      </c>
      <c r="J118" s="275">
        <v>0</v>
      </c>
      <c r="K118" s="276">
        <v>0</v>
      </c>
      <c r="L118" s="276">
        <v>0</v>
      </c>
      <c r="M118" s="276">
        <v>0</v>
      </c>
      <c r="N118" s="275">
        <v>0</v>
      </c>
      <c r="O118" s="276">
        <v>0</v>
      </c>
      <c r="P118" s="276">
        <v>0</v>
      </c>
      <c r="Q118" s="276">
        <v>0</v>
      </c>
      <c r="R118" s="6"/>
    </row>
    <row r="119" spans="1:18" x14ac:dyDescent="0.25">
      <c r="A119" s="286">
        <v>6</v>
      </c>
      <c r="B119" s="277" t="s">
        <v>133</v>
      </c>
      <c r="C119" s="277" t="s">
        <v>67</v>
      </c>
      <c r="D119" s="286" t="s">
        <v>397</v>
      </c>
      <c r="E119" s="277" t="s">
        <v>74</v>
      </c>
      <c r="F119" s="286" t="s">
        <v>593</v>
      </c>
      <c r="G119" s="277" t="s">
        <v>142</v>
      </c>
      <c r="H119" s="275">
        <v>0</v>
      </c>
      <c r="I119" s="287">
        <v>0</v>
      </c>
      <c r="J119" s="287">
        <v>0</v>
      </c>
      <c r="K119" s="288">
        <v>0</v>
      </c>
      <c r="L119" s="288">
        <v>0</v>
      </c>
      <c r="M119" s="288">
        <v>0</v>
      </c>
      <c r="N119" s="275">
        <v>0</v>
      </c>
      <c r="O119" s="276">
        <v>0</v>
      </c>
      <c r="P119" s="276">
        <v>0</v>
      </c>
      <c r="Q119" s="276">
        <v>0</v>
      </c>
      <c r="R119" s="6"/>
    </row>
    <row r="120" spans="1:18" x14ac:dyDescent="0.25">
      <c r="A120" s="286">
        <v>7</v>
      </c>
      <c r="B120" s="277" t="s">
        <v>176</v>
      </c>
      <c r="C120" s="277" t="s">
        <v>62</v>
      </c>
      <c r="D120" s="286"/>
      <c r="E120" s="277" t="s">
        <v>141</v>
      </c>
      <c r="F120" s="286" t="s">
        <v>455</v>
      </c>
      <c r="G120" s="277" t="s">
        <v>142</v>
      </c>
      <c r="H120" s="275">
        <v>10</v>
      </c>
      <c r="I120" s="275">
        <v>7</v>
      </c>
      <c r="J120" s="275">
        <v>7</v>
      </c>
      <c r="K120" s="276">
        <v>8598.56</v>
      </c>
      <c r="L120" s="276">
        <v>8598.56</v>
      </c>
      <c r="M120" s="276">
        <v>0</v>
      </c>
      <c r="N120" s="275">
        <v>0</v>
      </c>
      <c r="O120" s="276">
        <v>0</v>
      </c>
      <c r="P120" s="276">
        <v>0</v>
      </c>
      <c r="Q120" s="276">
        <v>0</v>
      </c>
      <c r="R120" s="6"/>
    </row>
    <row r="121" spans="1:18" x14ac:dyDescent="0.25">
      <c r="A121" s="286">
        <v>8</v>
      </c>
      <c r="B121" s="277" t="s">
        <v>235</v>
      </c>
      <c r="C121" s="277" t="s">
        <v>62</v>
      </c>
      <c r="D121" s="286"/>
      <c r="E121" s="277" t="s">
        <v>456</v>
      </c>
      <c r="F121" s="286" t="s">
        <v>457</v>
      </c>
      <c r="G121" s="277" t="s">
        <v>142</v>
      </c>
      <c r="H121" s="287">
        <v>3</v>
      </c>
      <c r="I121" s="287">
        <v>0</v>
      </c>
      <c r="J121" s="287">
        <v>0</v>
      </c>
      <c r="K121" s="288">
        <v>0</v>
      </c>
      <c r="L121" s="288">
        <v>0</v>
      </c>
      <c r="M121" s="288">
        <v>0</v>
      </c>
      <c r="N121" s="275">
        <v>0</v>
      </c>
      <c r="O121" s="276">
        <v>0</v>
      </c>
      <c r="P121" s="276">
        <v>0</v>
      </c>
      <c r="Q121" s="276">
        <v>0</v>
      </c>
      <c r="R121" s="6"/>
    </row>
    <row r="122" spans="1:18" x14ac:dyDescent="0.25">
      <c r="A122" s="286">
        <v>9</v>
      </c>
      <c r="B122" s="277" t="s">
        <v>251</v>
      </c>
      <c r="C122" s="277" t="s">
        <v>62</v>
      </c>
      <c r="D122" s="286"/>
      <c r="E122" s="277" t="s">
        <v>141</v>
      </c>
      <c r="F122" s="286" t="s">
        <v>458</v>
      </c>
      <c r="G122" s="277" t="s">
        <v>142</v>
      </c>
      <c r="H122" s="275">
        <v>5</v>
      </c>
      <c r="I122" s="275">
        <v>2</v>
      </c>
      <c r="J122" s="275">
        <v>2</v>
      </c>
      <c r="K122" s="276">
        <v>1409.6</v>
      </c>
      <c r="L122" s="276">
        <v>1409.6</v>
      </c>
      <c r="M122" s="276">
        <v>0</v>
      </c>
      <c r="N122" s="275">
        <v>0</v>
      </c>
      <c r="O122" s="276">
        <v>0</v>
      </c>
      <c r="P122" s="276">
        <v>0</v>
      </c>
      <c r="Q122" s="276">
        <v>0</v>
      </c>
      <c r="R122" s="6"/>
    </row>
    <row r="123" spans="1:18" x14ac:dyDescent="0.25">
      <c r="A123" s="286">
        <v>10</v>
      </c>
      <c r="B123" s="277" t="s">
        <v>30</v>
      </c>
      <c r="C123" s="277" t="s">
        <v>62</v>
      </c>
      <c r="D123" s="286"/>
      <c r="E123" s="277" t="s">
        <v>459</v>
      </c>
      <c r="F123" s="286" t="s">
        <v>460</v>
      </c>
      <c r="G123" s="277" t="s">
        <v>142</v>
      </c>
      <c r="H123" s="275">
        <v>1</v>
      </c>
      <c r="I123" s="275">
        <v>0</v>
      </c>
      <c r="J123" s="275">
        <v>0</v>
      </c>
      <c r="K123" s="276">
        <v>0</v>
      </c>
      <c r="L123" s="276">
        <v>0</v>
      </c>
      <c r="M123" s="276">
        <v>0</v>
      </c>
      <c r="N123" s="275">
        <v>0</v>
      </c>
      <c r="O123" s="276">
        <v>0</v>
      </c>
      <c r="P123" s="276">
        <v>0</v>
      </c>
      <c r="Q123" s="276">
        <v>0</v>
      </c>
      <c r="R123" s="6"/>
    </row>
    <row r="124" spans="1:18" x14ac:dyDescent="0.25">
      <c r="A124" s="286">
        <v>11</v>
      </c>
      <c r="B124" s="277" t="s">
        <v>35</v>
      </c>
      <c r="C124" s="277" t="s">
        <v>62</v>
      </c>
      <c r="D124" s="286"/>
      <c r="E124" s="277" t="s">
        <v>461</v>
      </c>
      <c r="F124" s="286" t="s">
        <v>462</v>
      </c>
      <c r="G124" s="277" t="s">
        <v>142</v>
      </c>
      <c r="H124" s="275">
        <v>1</v>
      </c>
      <c r="I124" s="275">
        <v>0</v>
      </c>
      <c r="J124" s="275">
        <v>0</v>
      </c>
      <c r="K124" s="276">
        <v>0</v>
      </c>
      <c r="L124" s="276">
        <v>0</v>
      </c>
      <c r="M124" s="276">
        <v>0</v>
      </c>
      <c r="N124" s="275">
        <v>0</v>
      </c>
      <c r="O124" s="276">
        <v>0</v>
      </c>
      <c r="P124" s="276">
        <v>0</v>
      </c>
      <c r="Q124" s="276">
        <v>0</v>
      </c>
      <c r="R124" s="6"/>
    </row>
    <row r="125" spans="1:18" x14ac:dyDescent="0.25">
      <c r="A125" s="82">
        <v>1</v>
      </c>
      <c r="B125" s="81" t="s">
        <v>19</v>
      </c>
      <c r="C125" s="81" t="s">
        <v>62</v>
      </c>
      <c r="D125" s="82"/>
      <c r="E125" s="81" t="s">
        <v>71</v>
      </c>
      <c r="F125" s="81" t="s">
        <v>394</v>
      </c>
      <c r="G125" s="82" t="s">
        <v>395</v>
      </c>
      <c r="H125" s="48">
        <v>1</v>
      </c>
      <c r="I125" s="289">
        <v>0</v>
      </c>
      <c r="J125" s="290">
        <v>0</v>
      </c>
      <c r="K125" s="28">
        <v>0</v>
      </c>
      <c r="L125" s="28">
        <v>0</v>
      </c>
      <c r="M125" s="28">
        <v>0</v>
      </c>
      <c r="N125" s="291">
        <v>0</v>
      </c>
      <c r="O125" s="292">
        <v>0</v>
      </c>
      <c r="P125" s="199">
        <v>0</v>
      </c>
      <c r="Q125" s="248">
        <f t="shared" ref="Q125:Q132" si="6">O125-P125</f>
        <v>0</v>
      </c>
      <c r="R125" s="6"/>
    </row>
    <row r="126" spans="1:18" ht="51" x14ac:dyDescent="0.25">
      <c r="A126" s="293">
        <f>A125+1</f>
        <v>2</v>
      </c>
      <c r="B126" s="81" t="s">
        <v>90</v>
      </c>
      <c r="C126" s="81" t="s">
        <v>62</v>
      </c>
      <c r="D126" s="81" t="s">
        <v>63</v>
      </c>
      <c r="E126" s="81" t="s">
        <v>205</v>
      </c>
      <c r="F126" s="81" t="s">
        <v>396</v>
      </c>
      <c r="G126" s="91" t="s">
        <v>395</v>
      </c>
      <c r="H126" s="27">
        <v>0</v>
      </c>
      <c r="I126" s="27">
        <v>9</v>
      </c>
      <c r="J126" s="27">
        <v>9</v>
      </c>
      <c r="K126" s="28">
        <v>7400.4</v>
      </c>
      <c r="L126" s="28">
        <v>5814.6</v>
      </c>
      <c r="M126" s="28">
        <f t="shared" ref="M126:M132" si="7">K126-L126</f>
        <v>1585.7999999999993</v>
      </c>
      <c r="N126" s="27">
        <v>20</v>
      </c>
      <c r="O126" s="28">
        <v>23170.3</v>
      </c>
      <c r="P126" s="87">
        <v>23170.3</v>
      </c>
      <c r="Q126" s="248">
        <f t="shared" si="6"/>
        <v>0</v>
      </c>
      <c r="R126" s="6"/>
    </row>
    <row r="127" spans="1:18" x14ac:dyDescent="0.25">
      <c r="A127" s="293">
        <f>A126+1</f>
        <v>3</v>
      </c>
      <c r="B127" s="82" t="s">
        <v>133</v>
      </c>
      <c r="C127" s="82" t="s">
        <v>67</v>
      </c>
      <c r="D127" s="82" t="s">
        <v>397</v>
      </c>
      <c r="E127" s="82" t="s">
        <v>74</v>
      </c>
      <c r="F127" s="81" t="s">
        <v>398</v>
      </c>
      <c r="G127" s="91" t="s">
        <v>395</v>
      </c>
      <c r="H127" s="27">
        <v>9</v>
      </c>
      <c r="I127" s="27">
        <v>1</v>
      </c>
      <c r="J127" s="27">
        <v>1</v>
      </c>
      <c r="K127" s="28">
        <v>1057.2</v>
      </c>
      <c r="L127" s="28">
        <v>0</v>
      </c>
      <c r="M127" s="28">
        <f t="shared" si="7"/>
        <v>1057.2</v>
      </c>
      <c r="N127" s="27">
        <v>8</v>
      </c>
      <c r="O127" s="28">
        <v>11920.73</v>
      </c>
      <c r="P127" s="87">
        <v>7630.79</v>
      </c>
      <c r="Q127" s="248">
        <f t="shared" si="6"/>
        <v>4289.9399999999996</v>
      </c>
      <c r="R127" s="6"/>
    </row>
    <row r="128" spans="1:18" ht="25.5" x14ac:dyDescent="0.25">
      <c r="A128" s="293">
        <v>4</v>
      </c>
      <c r="B128" s="81" t="s">
        <v>399</v>
      </c>
      <c r="C128" s="81" t="s">
        <v>62</v>
      </c>
      <c r="D128" s="81"/>
      <c r="E128" s="81" t="s">
        <v>400</v>
      </c>
      <c r="F128" s="81" t="s">
        <v>401</v>
      </c>
      <c r="G128" s="91" t="s">
        <v>395</v>
      </c>
      <c r="H128" s="27">
        <v>23</v>
      </c>
      <c r="I128" s="27">
        <v>5</v>
      </c>
      <c r="J128" s="27">
        <v>5</v>
      </c>
      <c r="K128" s="28">
        <v>1762</v>
      </c>
      <c r="L128" s="28">
        <v>1762</v>
      </c>
      <c r="M128" s="28">
        <f t="shared" si="7"/>
        <v>0</v>
      </c>
      <c r="N128" s="27">
        <v>0</v>
      </c>
      <c r="O128" s="28">
        <v>0</v>
      </c>
      <c r="P128" s="87">
        <v>0</v>
      </c>
      <c r="Q128" s="248">
        <f t="shared" si="6"/>
        <v>0</v>
      </c>
      <c r="R128" s="6"/>
    </row>
    <row r="129" spans="1:18" x14ac:dyDescent="0.25">
      <c r="A129" s="293">
        <v>5</v>
      </c>
      <c r="B129" s="81" t="s">
        <v>402</v>
      </c>
      <c r="C129" s="81" t="s">
        <v>62</v>
      </c>
      <c r="D129" s="81"/>
      <c r="E129" s="82" t="s">
        <v>74</v>
      </c>
      <c r="F129" s="81" t="s">
        <v>403</v>
      </c>
      <c r="G129" s="91" t="s">
        <v>395</v>
      </c>
      <c r="H129" s="27">
        <v>2</v>
      </c>
      <c r="I129" s="27">
        <v>2</v>
      </c>
      <c r="J129" s="27">
        <v>2</v>
      </c>
      <c r="K129" s="28">
        <v>0</v>
      </c>
      <c r="L129" s="28">
        <v>0</v>
      </c>
      <c r="M129" s="28">
        <f t="shared" si="7"/>
        <v>0</v>
      </c>
      <c r="N129" s="27">
        <v>0</v>
      </c>
      <c r="O129" s="28">
        <v>0</v>
      </c>
      <c r="P129" s="87">
        <v>0</v>
      </c>
      <c r="Q129" s="248">
        <f t="shared" si="6"/>
        <v>0</v>
      </c>
      <c r="R129" s="6"/>
    </row>
    <row r="130" spans="1:18" ht="25.5" x14ac:dyDescent="0.25">
      <c r="A130" s="293">
        <v>6</v>
      </c>
      <c r="B130" s="81" t="s">
        <v>48</v>
      </c>
      <c r="C130" s="81" t="s">
        <v>62</v>
      </c>
      <c r="D130" s="81"/>
      <c r="E130" s="81" t="s">
        <v>81</v>
      </c>
      <c r="F130" s="81" t="s">
        <v>404</v>
      </c>
      <c r="G130" s="91" t="s">
        <v>395</v>
      </c>
      <c r="H130" s="27">
        <v>22</v>
      </c>
      <c r="I130" s="27">
        <v>4</v>
      </c>
      <c r="J130" s="27">
        <v>4</v>
      </c>
      <c r="K130" s="28">
        <v>528.6</v>
      </c>
      <c r="L130" s="28">
        <v>528.6</v>
      </c>
      <c r="M130" s="28">
        <f t="shared" si="7"/>
        <v>0</v>
      </c>
      <c r="N130" s="27">
        <v>15</v>
      </c>
      <c r="O130" s="28">
        <v>13919.8</v>
      </c>
      <c r="P130" s="87">
        <v>9609.61</v>
      </c>
      <c r="Q130" s="248">
        <f t="shared" si="6"/>
        <v>4310.1899999999987</v>
      </c>
      <c r="R130" s="6"/>
    </row>
    <row r="131" spans="1:18" x14ac:dyDescent="0.25">
      <c r="A131" s="293">
        <v>7</v>
      </c>
      <c r="B131" s="81" t="s">
        <v>39</v>
      </c>
      <c r="C131" s="81" t="s">
        <v>62</v>
      </c>
      <c r="D131" s="81"/>
      <c r="E131" s="81" t="s">
        <v>77</v>
      </c>
      <c r="F131" s="81" t="s">
        <v>405</v>
      </c>
      <c r="G131" s="91" t="s">
        <v>395</v>
      </c>
      <c r="H131" s="27">
        <v>28</v>
      </c>
      <c r="I131" s="27">
        <v>0</v>
      </c>
      <c r="J131" s="27">
        <v>0</v>
      </c>
      <c r="K131" s="28">
        <v>0</v>
      </c>
      <c r="L131" s="28">
        <v>0</v>
      </c>
      <c r="M131" s="28">
        <f t="shared" si="7"/>
        <v>0</v>
      </c>
      <c r="N131" s="27">
        <v>12</v>
      </c>
      <c r="O131" s="28">
        <v>15858</v>
      </c>
      <c r="P131" s="87">
        <v>13919.8</v>
      </c>
      <c r="Q131" s="248">
        <f t="shared" si="6"/>
        <v>1938.2000000000007</v>
      </c>
      <c r="R131" s="6"/>
    </row>
    <row r="132" spans="1:18" x14ac:dyDescent="0.25">
      <c r="A132" s="293">
        <v>8</v>
      </c>
      <c r="B132" s="1" t="s">
        <v>127</v>
      </c>
      <c r="C132" s="81" t="s">
        <v>62</v>
      </c>
      <c r="D132" s="1"/>
      <c r="E132" s="82" t="s">
        <v>74</v>
      </c>
      <c r="F132" s="1" t="s">
        <v>406</v>
      </c>
      <c r="G132" s="91" t="s">
        <v>395</v>
      </c>
      <c r="H132" s="27">
        <v>0</v>
      </c>
      <c r="I132" s="27">
        <v>0</v>
      </c>
      <c r="J132" s="27">
        <v>0</v>
      </c>
      <c r="K132" s="28">
        <v>0</v>
      </c>
      <c r="L132" s="28">
        <v>0</v>
      </c>
      <c r="M132" s="28">
        <f t="shared" si="7"/>
        <v>0</v>
      </c>
      <c r="N132" s="27">
        <v>1</v>
      </c>
      <c r="O132" s="28">
        <v>264.3</v>
      </c>
      <c r="P132" s="87">
        <v>264.3</v>
      </c>
      <c r="Q132" s="248">
        <f t="shared" si="6"/>
        <v>0</v>
      </c>
      <c r="R132" s="6"/>
    </row>
    <row r="133" spans="1:18" ht="25.5" x14ac:dyDescent="0.25">
      <c r="A133" s="293">
        <v>9</v>
      </c>
      <c r="B133" s="81" t="s">
        <v>561</v>
      </c>
      <c r="C133" s="81" t="s">
        <v>62</v>
      </c>
      <c r="D133" s="81"/>
      <c r="E133" s="81" t="s">
        <v>81</v>
      </c>
      <c r="F133" s="81" t="s">
        <v>562</v>
      </c>
      <c r="G133" s="91" t="s">
        <v>395</v>
      </c>
      <c r="H133" s="27">
        <v>30</v>
      </c>
      <c r="I133" s="27">
        <v>0</v>
      </c>
      <c r="J133" s="27">
        <v>0</v>
      </c>
      <c r="K133" s="28">
        <v>0</v>
      </c>
      <c r="L133" s="28">
        <v>0</v>
      </c>
      <c r="M133" s="28">
        <v>0</v>
      </c>
      <c r="N133" s="27">
        <v>0</v>
      </c>
      <c r="O133" s="28">
        <v>0</v>
      </c>
      <c r="P133" s="87">
        <v>0</v>
      </c>
      <c r="Q133" s="87">
        <v>0</v>
      </c>
      <c r="R133" s="6"/>
    </row>
    <row r="134" spans="1:18" ht="25.5" x14ac:dyDescent="0.25">
      <c r="A134" s="293">
        <v>10</v>
      </c>
      <c r="B134" s="81" t="s">
        <v>563</v>
      </c>
      <c r="C134" s="81" t="s">
        <v>62</v>
      </c>
      <c r="D134" s="81"/>
      <c r="E134" s="81" t="s">
        <v>81</v>
      </c>
      <c r="F134" s="81" t="s">
        <v>564</v>
      </c>
      <c r="G134" s="91" t="s">
        <v>395</v>
      </c>
      <c r="H134" s="27">
        <v>26</v>
      </c>
      <c r="I134" s="27">
        <v>0</v>
      </c>
      <c r="J134" s="27">
        <v>1</v>
      </c>
      <c r="K134" s="28">
        <v>0</v>
      </c>
      <c r="L134" s="28">
        <v>0</v>
      </c>
      <c r="M134" s="28">
        <v>0</v>
      </c>
      <c r="N134" s="27">
        <v>0</v>
      </c>
      <c r="O134" s="28">
        <v>0</v>
      </c>
      <c r="P134" s="87">
        <v>0</v>
      </c>
      <c r="Q134" s="87">
        <v>0</v>
      </c>
      <c r="R134" s="6"/>
    </row>
    <row r="135" spans="1:18" ht="25.5" x14ac:dyDescent="0.25">
      <c r="A135" s="294">
        <v>1</v>
      </c>
      <c r="B135" s="3" t="s">
        <v>159</v>
      </c>
      <c r="C135" s="3" t="s">
        <v>62</v>
      </c>
      <c r="D135" s="3" t="s">
        <v>63</v>
      </c>
      <c r="E135" s="3" t="s">
        <v>121</v>
      </c>
      <c r="F135" s="3" t="s">
        <v>160</v>
      </c>
      <c r="G135" s="4" t="s">
        <v>85</v>
      </c>
      <c r="H135" s="4">
        <v>3</v>
      </c>
      <c r="I135" s="4">
        <v>3</v>
      </c>
      <c r="J135" s="4">
        <v>3</v>
      </c>
      <c r="K135" s="28">
        <v>1493.3</v>
      </c>
      <c r="L135" s="28">
        <v>1493.3</v>
      </c>
      <c r="M135" s="28">
        <v>0</v>
      </c>
      <c r="N135" s="4">
        <v>7</v>
      </c>
      <c r="O135" s="28">
        <f>28053.94-1632.32</f>
        <v>26421.62</v>
      </c>
      <c r="P135" s="28">
        <f>28053.94-1632.32</f>
        <v>26421.62</v>
      </c>
      <c r="Q135" s="28">
        <v>0</v>
      </c>
      <c r="R135" s="6"/>
    </row>
    <row r="136" spans="1:18" x14ac:dyDescent="0.25">
      <c r="A136" s="294">
        <f>A135+1</f>
        <v>2</v>
      </c>
      <c r="B136" s="3" t="s">
        <v>581</v>
      </c>
      <c r="C136" s="3" t="s">
        <v>62</v>
      </c>
      <c r="D136" s="3" t="s">
        <v>63</v>
      </c>
      <c r="E136" s="3" t="s">
        <v>74</v>
      </c>
      <c r="F136" s="3" t="s">
        <v>582</v>
      </c>
      <c r="G136" s="4" t="s">
        <v>85</v>
      </c>
      <c r="H136" s="4">
        <v>0</v>
      </c>
      <c r="I136" s="4">
        <v>0</v>
      </c>
      <c r="J136" s="4">
        <v>0</v>
      </c>
      <c r="K136" s="28">
        <v>0</v>
      </c>
      <c r="L136" s="28">
        <v>0</v>
      </c>
      <c r="M136" s="28">
        <v>0</v>
      </c>
      <c r="N136" s="4">
        <v>2</v>
      </c>
      <c r="O136" s="28">
        <v>0</v>
      </c>
      <c r="P136" s="28">
        <v>0</v>
      </c>
      <c r="Q136" s="28">
        <v>0</v>
      </c>
      <c r="R136" s="6"/>
    </row>
    <row r="137" spans="1:18" ht="25.5" x14ac:dyDescent="0.25">
      <c r="A137" s="294">
        <f t="shared" ref="A137:A200" si="8">A136+1</f>
        <v>3</v>
      </c>
      <c r="B137" s="3" t="s">
        <v>18</v>
      </c>
      <c r="C137" s="3" t="s">
        <v>62</v>
      </c>
      <c r="D137" s="3" t="s">
        <v>63</v>
      </c>
      <c r="E137" s="3" t="s">
        <v>70</v>
      </c>
      <c r="F137" s="3" t="s">
        <v>565</v>
      </c>
      <c r="G137" s="4" t="s">
        <v>85</v>
      </c>
      <c r="H137" s="4">
        <v>3</v>
      </c>
      <c r="I137" s="4">
        <v>0</v>
      </c>
      <c r="J137" s="4">
        <v>0</v>
      </c>
      <c r="K137" s="28">
        <v>0</v>
      </c>
      <c r="L137" s="28">
        <v>0</v>
      </c>
      <c r="M137" s="28">
        <v>0</v>
      </c>
      <c r="N137" s="4">
        <v>1</v>
      </c>
      <c r="O137" s="28">
        <v>1585.8</v>
      </c>
      <c r="P137" s="28">
        <v>0</v>
      </c>
      <c r="Q137" s="28">
        <v>1585.8</v>
      </c>
      <c r="R137" s="6"/>
    </row>
    <row r="138" spans="1:18" x14ac:dyDescent="0.25">
      <c r="A138" s="294">
        <f t="shared" si="8"/>
        <v>4</v>
      </c>
      <c r="B138" s="3" t="s">
        <v>19</v>
      </c>
      <c r="C138" s="3" t="s">
        <v>62</v>
      </c>
      <c r="D138" s="3" t="s">
        <v>63</v>
      </c>
      <c r="E138" s="3" t="s">
        <v>71</v>
      </c>
      <c r="F138" s="3" t="s">
        <v>162</v>
      </c>
      <c r="G138" s="4" t="s">
        <v>85</v>
      </c>
      <c r="H138" s="4">
        <v>86</v>
      </c>
      <c r="I138" s="4">
        <v>73</v>
      </c>
      <c r="J138" s="4">
        <v>73</v>
      </c>
      <c r="K138" s="28">
        <v>48258.25</v>
      </c>
      <c r="L138" s="28">
        <v>48258.25</v>
      </c>
      <c r="M138" s="28">
        <v>0</v>
      </c>
      <c r="N138" s="4">
        <v>23</v>
      </c>
      <c r="O138" s="28">
        <v>60549.22</v>
      </c>
      <c r="P138" s="28">
        <v>60549.22</v>
      </c>
      <c r="Q138" s="28">
        <v>0</v>
      </c>
      <c r="R138" s="6"/>
    </row>
    <row r="139" spans="1:18" x14ac:dyDescent="0.25">
      <c r="A139" s="294">
        <f t="shared" si="8"/>
        <v>5</v>
      </c>
      <c r="B139" s="3" t="s">
        <v>86</v>
      </c>
      <c r="C139" s="3" t="s">
        <v>62</v>
      </c>
      <c r="D139" s="3" t="s">
        <v>63</v>
      </c>
      <c r="E139" s="3" t="s">
        <v>74</v>
      </c>
      <c r="F139" s="3" t="s">
        <v>165</v>
      </c>
      <c r="G139" s="4" t="s">
        <v>85</v>
      </c>
      <c r="H139" s="4">
        <v>48</v>
      </c>
      <c r="I139" s="4">
        <v>26</v>
      </c>
      <c r="J139" s="4">
        <v>28</v>
      </c>
      <c r="K139" s="28">
        <f>20362.9+13115.76</f>
        <v>33478.660000000003</v>
      </c>
      <c r="L139" s="28">
        <f>20362.9+13115.76</f>
        <v>33478.660000000003</v>
      </c>
      <c r="M139" s="28">
        <v>0</v>
      </c>
      <c r="N139" s="4">
        <v>18</v>
      </c>
      <c r="O139" s="28">
        <v>41124.29</v>
      </c>
      <c r="P139" s="28">
        <v>41124.29</v>
      </c>
      <c r="Q139" s="28">
        <v>0</v>
      </c>
      <c r="R139" s="6"/>
    </row>
    <row r="140" spans="1:18" x14ac:dyDescent="0.25">
      <c r="A140" s="294">
        <f t="shared" si="8"/>
        <v>6</v>
      </c>
      <c r="B140" s="3" t="s">
        <v>166</v>
      </c>
      <c r="C140" s="3" t="s">
        <v>62</v>
      </c>
      <c r="D140" s="3" t="s">
        <v>63</v>
      </c>
      <c r="E140" s="3" t="s">
        <v>63</v>
      </c>
      <c r="F140" s="3" t="s">
        <v>167</v>
      </c>
      <c r="G140" s="4" t="s">
        <v>85</v>
      </c>
      <c r="H140" s="4">
        <v>11</v>
      </c>
      <c r="I140" s="4">
        <v>11</v>
      </c>
      <c r="J140" s="4">
        <v>11</v>
      </c>
      <c r="K140" s="28">
        <v>3373.58</v>
      </c>
      <c r="L140" s="28">
        <v>3373.58</v>
      </c>
      <c r="M140" s="28">
        <v>0</v>
      </c>
      <c r="N140" s="4">
        <v>0</v>
      </c>
      <c r="O140" s="28">
        <v>0</v>
      </c>
      <c r="P140" s="28">
        <v>0</v>
      </c>
      <c r="Q140" s="28">
        <v>0</v>
      </c>
      <c r="R140" s="6"/>
    </row>
    <row r="141" spans="1:18" x14ac:dyDescent="0.25">
      <c r="A141" s="294">
        <f t="shared" si="8"/>
        <v>7</v>
      </c>
      <c r="B141" s="3" t="s">
        <v>168</v>
      </c>
      <c r="C141" s="3" t="s">
        <v>62</v>
      </c>
      <c r="D141" s="3" t="s">
        <v>63</v>
      </c>
      <c r="E141" s="3" t="s">
        <v>63</v>
      </c>
      <c r="F141" s="3" t="s">
        <v>169</v>
      </c>
      <c r="G141" s="4" t="s">
        <v>85</v>
      </c>
      <c r="H141" s="4">
        <v>26</v>
      </c>
      <c r="I141" s="4">
        <v>24</v>
      </c>
      <c r="J141" s="4">
        <v>27</v>
      </c>
      <c r="K141" s="28">
        <v>3017.04</v>
      </c>
      <c r="L141" s="28">
        <v>3017.04</v>
      </c>
      <c r="M141" s="28">
        <v>0</v>
      </c>
      <c r="N141" s="4">
        <v>0</v>
      </c>
      <c r="O141" s="28">
        <v>0</v>
      </c>
      <c r="P141" s="28">
        <v>0</v>
      </c>
      <c r="Q141" s="28">
        <v>0</v>
      </c>
      <c r="R141" s="6"/>
    </row>
    <row r="142" spans="1:18" x14ac:dyDescent="0.25">
      <c r="A142" s="294">
        <f t="shared" si="8"/>
        <v>8</v>
      </c>
      <c r="B142" s="3" t="s">
        <v>21</v>
      </c>
      <c r="C142" s="3" t="s">
        <v>62</v>
      </c>
      <c r="D142" s="3" t="s">
        <v>63</v>
      </c>
      <c r="E142" s="3" t="s">
        <v>73</v>
      </c>
      <c r="F142" s="3" t="s">
        <v>170</v>
      </c>
      <c r="G142" s="4" t="s">
        <v>85</v>
      </c>
      <c r="H142" s="4">
        <v>43</v>
      </c>
      <c r="I142" s="4">
        <v>38</v>
      </c>
      <c r="J142" s="4">
        <v>47</v>
      </c>
      <c r="K142" s="28">
        <v>35579.82</v>
      </c>
      <c r="L142" s="28">
        <v>35579.82</v>
      </c>
      <c r="M142" s="28">
        <v>0</v>
      </c>
      <c r="N142" s="4">
        <v>37</v>
      </c>
      <c r="O142" s="28">
        <v>55974.63</v>
      </c>
      <c r="P142" s="28">
        <v>55974.63</v>
      </c>
      <c r="Q142" s="28">
        <v>0</v>
      </c>
      <c r="R142" s="6"/>
    </row>
    <row r="143" spans="1:18" x14ac:dyDescent="0.25">
      <c r="A143" s="294">
        <f t="shared" si="8"/>
        <v>9</v>
      </c>
      <c r="B143" s="3" t="s">
        <v>22</v>
      </c>
      <c r="C143" s="3" t="s">
        <v>62</v>
      </c>
      <c r="D143" s="3" t="s">
        <v>63</v>
      </c>
      <c r="E143" s="3" t="s">
        <v>74</v>
      </c>
      <c r="F143" s="3" t="s">
        <v>171</v>
      </c>
      <c r="G143" s="4" t="s">
        <v>85</v>
      </c>
      <c r="H143" s="4">
        <v>32</v>
      </c>
      <c r="I143" s="4">
        <v>25</v>
      </c>
      <c r="J143" s="4">
        <v>32</v>
      </c>
      <c r="K143" s="28">
        <v>31389.19</v>
      </c>
      <c r="L143" s="28">
        <v>31389.19</v>
      </c>
      <c r="M143" s="28">
        <v>0</v>
      </c>
      <c r="N143" s="4">
        <v>38</v>
      </c>
      <c r="O143" s="28">
        <v>38901.29</v>
      </c>
      <c r="P143" s="28">
        <v>32673.99</v>
      </c>
      <c r="Q143" s="28">
        <v>6227.3</v>
      </c>
      <c r="R143" s="6"/>
    </row>
    <row r="144" spans="1:18" ht="25.5" x14ac:dyDescent="0.25">
      <c r="A144" s="294">
        <f t="shared" si="8"/>
        <v>10</v>
      </c>
      <c r="B144" s="3" t="s">
        <v>20</v>
      </c>
      <c r="C144" s="3" t="s">
        <v>62</v>
      </c>
      <c r="D144" s="3" t="s">
        <v>63</v>
      </c>
      <c r="E144" s="3" t="s">
        <v>72</v>
      </c>
      <c r="F144" s="3" t="s">
        <v>163</v>
      </c>
      <c r="G144" s="4" t="s">
        <v>85</v>
      </c>
      <c r="H144" s="4">
        <v>0</v>
      </c>
      <c r="I144" s="4">
        <v>0</v>
      </c>
      <c r="J144" s="4">
        <v>0</v>
      </c>
      <c r="K144" s="28">
        <v>0</v>
      </c>
      <c r="L144" s="28">
        <v>0</v>
      </c>
      <c r="M144" s="28">
        <v>0</v>
      </c>
      <c r="N144" s="4">
        <v>0</v>
      </c>
      <c r="O144" s="28">
        <v>6138.73</v>
      </c>
      <c r="P144" s="28">
        <v>6138.73</v>
      </c>
      <c r="Q144" s="28">
        <v>0</v>
      </c>
      <c r="R144" s="6"/>
    </row>
    <row r="145" spans="1:18" ht="25.5" x14ac:dyDescent="0.25">
      <c r="A145" s="294">
        <f t="shared" si="8"/>
        <v>11</v>
      </c>
      <c r="B145" s="3" t="s">
        <v>100</v>
      </c>
      <c r="C145" s="3" t="s">
        <v>62</v>
      </c>
      <c r="D145" s="3" t="s">
        <v>63</v>
      </c>
      <c r="E145" s="3" t="s">
        <v>101</v>
      </c>
      <c r="F145" s="3" t="s">
        <v>164</v>
      </c>
      <c r="G145" s="4" t="s">
        <v>85</v>
      </c>
      <c r="H145" s="4">
        <v>15</v>
      </c>
      <c r="I145" s="4">
        <v>13</v>
      </c>
      <c r="J145" s="4">
        <v>17</v>
      </c>
      <c r="K145" s="28">
        <f>L145+M145</f>
        <v>18894.53</v>
      </c>
      <c r="L145" s="28">
        <v>4979.45</v>
      </c>
      <c r="M145" s="28">
        <f>15347.41-1432.33</f>
        <v>13915.08</v>
      </c>
      <c r="N145" s="4">
        <v>12</v>
      </c>
      <c r="O145" s="28">
        <f>P145+Q145</f>
        <v>14560.86</v>
      </c>
      <c r="P145" s="28">
        <v>14560.86</v>
      </c>
      <c r="Q145" s="28">
        <v>0</v>
      </c>
      <c r="R145" s="6"/>
    </row>
    <row r="146" spans="1:18" ht="25.5" x14ac:dyDescent="0.25">
      <c r="A146" s="294">
        <f t="shared" si="8"/>
        <v>12</v>
      </c>
      <c r="B146" s="3" t="s">
        <v>23</v>
      </c>
      <c r="C146" s="3" t="s">
        <v>62</v>
      </c>
      <c r="D146" s="3" t="s">
        <v>63</v>
      </c>
      <c r="E146" s="3" t="s">
        <v>75</v>
      </c>
      <c r="F146" s="3" t="s">
        <v>136</v>
      </c>
      <c r="G146" s="4" t="s">
        <v>85</v>
      </c>
      <c r="H146" s="4">
        <v>2</v>
      </c>
      <c r="I146" s="4">
        <v>0</v>
      </c>
      <c r="J146" s="4">
        <v>0</v>
      </c>
      <c r="K146" s="28">
        <v>0</v>
      </c>
      <c r="L146" s="28">
        <v>0</v>
      </c>
      <c r="M146" s="28">
        <v>0</v>
      </c>
      <c r="N146" s="4">
        <v>0</v>
      </c>
      <c r="O146" s="28">
        <v>0</v>
      </c>
      <c r="P146" s="28">
        <v>0</v>
      </c>
      <c r="Q146" s="28">
        <v>0</v>
      </c>
      <c r="R146" s="6"/>
    </row>
    <row r="147" spans="1:18" x14ac:dyDescent="0.25">
      <c r="A147" s="294">
        <f t="shared" si="8"/>
        <v>13</v>
      </c>
      <c r="B147" s="3" t="s">
        <v>24</v>
      </c>
      <c r="C147" s="3" t="s">
        <v>62</v>
      </c>
      <c r="D147" s="3" t="s">
        <v>63</v>
      </c>
      <c r="E147" s="3" t="s">
        <v>74</v>
      </c>
      <c r="F147" s="3" t="s">
        <v>172</v>
      </c>
      <c r="G147" s="4" t="s">
        <v>85</v>
      </c>
      <c r="H147" s="4">
        <v>32</v>
      </c>
      <c r="I147" s="4">
        <v>24</v>
      </c>
      <c r="J147" s="4">
        <v>31</v>
      </c>
      <c r="K147" s="28">
        <v>17924.09</v>
      </c>
      <c r="L147" s="28">
        <v>13896.45</v>
      </c>
      <c r="M147" s="28">
        <v>4027.64</v>
      </c>
      <c r="N147" s="4">
        <v>24</v>
      </c>
      <c r="O147" s="28">
        <v>62054.37</v>
      </c>
      <c r="P147" s="28">
        <v>40694.49</v>
      </c>
      <c r="Q147" s="28">
        <v>21359.88</v>
      </c>
      <c r="R147" s="6"/>
    </row>
    <row r="148" spans="1:18" ht="25.5" x14ac:dyDescent="0.25">
      <c r="A148" s="294">
        <f t="shared" si="8"/>
        <v>14</v>
      </c>
      <c r="B148" s="3" t="s">
        <v>102</v>
      </c>
      <c r="C148" s="3" t="s">
        <v>67</v>
      </c>
      <c r="D148" s="3" t="s">
        <v>594</v>
      </c>
      <c r="E148" s="3" t="s">
        <v>74</v>
      </c>
      <c r="F148" s="3" t="s">
        <v>477</v>
      </c>
      <c r="G148" s="4" t="s">
        <v>85</v>
      </c>
      <c r="H148" s="4">
        <v>2</v>
      </c>
      <c r="I148" s="4">
        <v>1</v>
      </c>
      <c r="J148" s="4">
        <v>1</v>
      </c>
      <c r="K148" s="28">
        <v>528.6</v>
      </c>
      <c r="L148" s="28">
        <v>528.6</v>
      </c>
      <c r="M148" s="28">
        <v>0</v>
      </c>
      <c r="N148" s="4">
        <v>4</v>
      </c>
      <c r="O148" s="28">
        <v>9770.18</v>
      </c>
      <c r="P148" s="28">
        <v>5219.82</v>
      </c>
      <c r="Q148" s="28">
        <v>4550.3599999999997</v>
      </c>
      <c r="R148" s="6"/>
    </row>
    <row r="149" spans="1:18" ht="25.5" x14ac:dyDescent="0.25">
      <c r="A149" s="294">
        <f t="shared" si="8"/>
        <v>15</v>
      </c>
      <c r="B149" s="3" t="s">
        <v>173</v>
      </c>
      <c r="C149" s="3" t="s">
        <v>67</v>
      </c>
      <c r="D149" s="3" t="s">
        <v>478</v>
      </c>
      <c r="E149" s="3" t="s">
        <v>174</v>
      </c>
      <c r="F149" s="3" t="s">
        <v>175</v>
      </c>
      <c r="G149" s="4" t="s">
        <v>85</v>
      </c>
      <c r="H149" s="4">
        <v>21</v>
      </c>
      <c r="I149" s="4">
        <v>16</v>
      </c>
      <c r="J149" s="4">
        <v>16</v>
      </c>
      <c r="K149" s="28">
        <v>5014.49</v>
      </c>
      <c r="L149" s="28">
        <v>5014.49</v>
      </c>
      <c r="M149" s="28">
        <v>0</v>
      </c>
      <c r="N149" s="4">
        <v>0</v>
      </c>
      <c r="O149" s="28">
        <v>0</v>
      </c>
      <c r="P149" s="28">
        <v>0</v>
      </c>
      <c r="Q149" s="28">
        <v>0</v>
      </c>
      <c r="R149" s="6"/>
    </row>
    <row r="150" spans="1:18" ht="25.5" x14ac:dyDescent="0.25">
      <c r="A150" s="294">
        <f t="shared" si="8"/>
        <v>16</v>
      </c>
      <c r="B150" s="3" t="s">
        <v>595</v>
      </c>
      <c r="C150" s="3" t="s">
        <v>64</v>
      </c>
      <c r="D150" s="3" t="s">
        <v>596</v>
      </c>
      <c r="E150" s="3" t="s">
        <v>597</v>
      </c>
      <c r="F150" s="3" t="s">
        <v>598</v>
      </c>
      <c r="G150" s="4" t="s">
        <v>85</v>
      </c>
      <c r="H150" s="4">
        <v>1</v>
      </c>
      <c r="I150" s="4">
        <v>1</v>
      </c>
      <c r="J150" s="4">
        <v>1</v>
      </c>
      <c r="K150" s="28">
        <v>0</v>
      </c>
      <c r="L150" s="28">
        <v>0</v>
      </c>
      <c r="M150" s="28">
        <v>0</v>
      </c>
      <c r="N150" s="4">
        <v>0</v>
      </c>
      <c r="O150" s="28">
        <v>0</v>
      </c>
      <c r="P150" s="28">
        <v>0</v>
      </c>
      <c r="Q150" s="28">
        <v>0</v>
      </c>
      <c r="R150" s="6"/>
    </row>
    <row r="151" spans="1:18" ht="25.5" x14ac:dyDescent="0.25">
      <c r="A151" s="294">
        <f t="shared" si="8"/>
        <v>17</v>
      </c>
      <c r="B151" s="3" t="s">
        <v>25</v>
      </c>
      <c r="C151" s="3" t="s">
        <v>62</v>
      </c>
      <c r="D151" s="3" t="s">
        <v>63</v>
      </c>
      <c r="E151" s="3" t="s">
        <v>76</v>
      </c>
      <c r="F151" s="3" t="s">
        <v>543</v>
      </c>
      <c r="G151" s="4" t="s">
        <v>85</v>
      </c>
      <c r="H151" s="4">
        <v>39</v>
      </c>
      <c r="I151" s="4">
        <v>0</v>
      </c>
      <c r="J151" s="4">
        <v>0</v>
      </c>
      <c r="K151" s="28">
        <v>0</v>
      </c>
      <c r="L151" s="28">
        <v>0</v>
      </c>
      <c r="M151" s="28">
        <v>0</v>
      </c>
      <c r="N151" s="4">
        <v>0</v>
      </c>
      <c r="O151" s="28">
        <v>0</v>
      </c>
      <c r="P151" s="28">
        <v>0</v>
      </c>
      <c r="Q151" s="28">
        <v>0</v>
      </c>
      <c r="R151" s="6"/>
    </row>
    <row r="152" spans="1:18" ht="25.5" x14ac:dyDescent="0.25">
      <c r="A152" s="294">
        <f t="shared" si="8"/>
        <v>18</v>
      </c>
      <c r="B152" s="3" t="s">
        <v>600</v>
      </c>
      <c r="C152" s="3" t="s">
        <v>62</v>
      </c>
      <c r="D152" s="3" t="s">
        <v>63</v>
      </c>
      <c r="E152" s="3" t="s">
        <v>75</v>
      </c>
      <c r="F152" s="3" t="s">
        <v>103</v>
      </c>
      <c r="G152" s="4" t="s">
        <v>85</v>
      </c>
      <c r="H152" s="4">
        <v>0</v>
      </c>
      <c r="I152" s="4">
        <v>0</v>
      </c>
      <c r="J152" s="4">
        <v>0</v>
      </c>
      <c r="K152" s="28">
        <v>0</v>
      </c>
      <c r="L152" s="28">
        <v>0</v>
      </c>
      <c r="M152" s="28">
        <v>0</v>
      </c>
      <c r="N152" s="4">
        <v>15</v>
      </c>
      <c r="O152" s="28">
        <v>62481.86</v>
      </c>
      <c r="P152" s="28">
        <v>11308.01</v>
      </c>
      <c r="Q152" s="28">
        <v>51173.85</v>
      </c>
      <c r="R152" s="6"/>
    </row>
    <row r="153" spans="1:18" ht="25.5" x14ac:dyDescent="0.25">
      <c r="A153" s="294">
        <f t="shared" si="8"/>
        <v>19</v>
      </c>
      <c r="B153" s="3" t="s">
        <v>479</v>
      </c>
      <c r="C153" s="3" t="s">
        <v>67</v>
      </c>
      <c r="D153" s="3" t="s">
        <v>480</v>
      </c>
      <c r="E153" s="3" t="s">
        <v>271</v>
      </c>
      <c r="F153" s="3" t="s">
        <v>481</v>
      </c>
      <c r="G153" s="4" t="s">
        <v>85</v>
      </c>
      <c r="H153" s="4">
        <v>12</v>
      </c>
      <c r="I153" s="4">
        <v>5</v>
      </c>
      <c r="J153" s="4">
        <v>5</v>
      </c>
      <c r="K153" s="28">
        <v>0</v>
      </c>
      <c r="L153" s="28">
        <v>0</v>
      </c>
      <c r="M153" s="28">
        <v>0</v>
      </c>
      <c r="N153" s="4">
        <v>0</v>
      </c>
      <c r="O153" s="28">
        <v>0</v>
      </c>
      <c r="P153" s="28">
        <v>0</v>
      </c>
      <c r="Q153" s="28">
        <v>0</v>
      </c>
      <c r="R153" s="6"/>
    </row>
    <row r="154" spans="1:18" ht="25.5" x14ac:dyDescent="0.25">
      <c r="A154" s="294">
        <f t="shared" si="8"/>
        <v>20</v>
      </c>
      <c r="B154" s="3" t="s">
        <v>176</v>
      </c>
      <c r="C154" s="3" t="s">
        <v>62</v>
      </c>
      <c r="D154" s="3" t="s">
        <v>63</v>
      </c>
      <c r="E154" s="3" t="s">
        <v>177</v>
      </c>
      <c r="F154" s="3" t="s">
        <v>178</v>
      </c>
      <c r="G154" s="4" t="s">
        <v>85</v>
      </c>
      <c r="H154" s="4">
        <v>14</v>
      </c>
      <c r="I154" s="4">
        <v>8</v>
      </c>
      <c r="J154" s="4">
        <v>7</v>
      </c>
      <c r="K154" s="28">
        <v>5567.92</v>
      </c>
      <c r="L154" s="28">
        <v>5215.5200000000004</v>
      </c>
      <c r="M154" s="28">
        <v>352.4</v>
      </c>
      <c r="N154" s="4">
        <v>0</v>
      </c>
      <c r="O154" s="28">
        <v>0</v>
      </c>
      <c r="P154" s="28">
        <v>0</v>
      </c>
      <c r="Q154" s="28">
        <v>0</v>
      </c>
      <c r="R154" s="6"/>
    </row>
    <row r="155" spans="1:18" x14ac:dyDescent="0.25">
      <c r="A155" s="294">
        <f t="shared" si="8"/>
        <v>21</v>
      </c>
      <c r="B155" s="3" t="s">
        <v>152</v>
      </c>
      <c r="C155" s="3" t="s">
        <v>62</v>
      </c>
      <c r="D155" s="3" t="s">
        <v>63</v>
      </c>
      <c r="E155" s="3" t="s">
        <v>63</v>
      </c>
      <c r="F155" s="3" t="s">
        <v>179</v>
      </c>
      <c r="G155" s="4" t="s">
        <v>85</v>
      </c>
      <c r="H155" s="4">
        <v>26</v>
      </c>
      <c r="I155" s="4">
        <v>13</v>
      </c>
      <c r="J155" s="4">
        <v>12</v>
      </c>
      <c r="K155" s="28">
        <v>3385.94</v>
      </c>
      <c r="L155" s="28">
        <v>3385.94</v>
      </c>
      <c r="M155" s="28">
        <v>0</v>
      </c>
      <c r="N155" s="4">
        <v>12</v>
      </c>
      <c r="O155" s="28">
        <v>10033.950000000001</v>
      </c>
      <c r="P155" s="28">
        <v>10033.950000000001</v>
      </c>
      <c r="Q155" s="28">
        <v>0</v>
      </c>
      <c r="R155" s="6"/>
    </row>
    <row r="156" spans="1:18" x14ac:dyDescent="0.25">
      <c r="A156" s="294">
        <f t="shared" si="8"/>
        <v>22</v>
      </c>
      <c r="B156" s="3" t="s">
        <v>88</v>
      </c>
      <c r="C156" s="3" t="s">
        <v>62</v>
      </c>
      <c r="D156" s="3" t="s">
        <v>63</v>
      </c>
      <c r="E156" s="3" t="s">
        <v>74</v>
      </c>
      <c r="F156" s="3" t="s">
        <v>180</v>
      </c>
      <c r="G156" s="4" t="s">
        <v>85</v>
      </c>
      <c r="H156" s="4">
        <v>9</v>
      </c>
      <c r="I156" s="4">
        <v>2</v>
      </c>
      <c r="J156" s="4">
        <v>2</v>
      </c>
      <c r="K156" s="28">
        <v>2706.43</v>
      </c>
      <c r="L156" s="28">
        <v>2706.43</v>
      </c>
      <c r="M156" s="28">
        <v>0</v>
      </c>
      <c r="N156" s="4">
        <v>2</v>
      </c>
      <c r="O156" s="28">
        <f>P156+Q156</f>
        <v>2692.05</v>
      </c>
      <c r="P156" s="28">
        <v>2692.05</v>
      </c>
      <c r="Q156" s="28">
        <v>0</v>
      </c>
      <c r="R156" s="6"/>
    </row>
    <row r="157" spans="1:18" x14ac:dyDescent="0.25">
      <c r="A157" s="294">
        <f t="shared" si="8"/>
        <v>23</v>
      </c>
      <c r="B157" s="3" t="s">
        <v>26</v>
      </c>
      <c r="C157" s="3" t="s">
        <v>62</v>
      </c>
      <c r="D157" s="3" t="s">
        <v>63</v>
      </c>
      <c r="E157" s="3" t="s">
        <v>74</v>
      </c>
      <c r="F157" s="3" t="s">
        <v>181</v>
      </c>
      <c r="G157" s="4" t="s">
        <v>85</v>
      </c>
      <c r="H157" s="4">
        <v>26</v>
      </c>
      <c r="I157" s="4">
        <v>22</v>
      </c>
      <c r="J157" s="4">
        <v>28</v>
      </c>
      <c r="K157" s="28">
        <v>35238.32</v>
      </c>
      <c r="L157" s="28">
        <v>31624.46</v>
      </c>
      <c r="M157" s="28">
        <v>3613.86</v>
      </c>
      <c r="N157" s="4">
        <v>11</v>
      </c>
      <c r="O157" s="28">
        <v>21569.8</v>
      </c>
      <c r="P157" s="28">
        <v>18637.830000000002</v>
      </c>
      <c r="Q157" s="28">
        <v>2931.97</v>
      </c>
      <c r="R157" s="6"/>
    </row>
    <row r="158" spans="1:18" ht="25.5" x14ac:dyDescent="0.25">
      <c r="A158" s="294">
        <f t="shared" si="8"/>
        <v>24</v>
      </c>
      <c r="B158" s="3" t="s">
        <v>182</v>
      </c>
      <c r="C158" s="3" t="s">
        <v>62</v>
      </c>
      <c r="D158" s="3" t="s">
        <v>63</v>
      </c>
      <c r="E158" s="3" t="s">
        <v>174</v>
      </c>
      <c r="F158" s="3" t="s">
        <v>183</v>
      </c>
      <c r="G158" s="4" t="s">
        <v>85</v>
      </c>
      <c r="H158" s="4">
        <v>31</v>
      </c>
      <c r="I158" s="4">
        <v>23</v>
      </c>
      <c r="J158" s="4">
        <v>28</v>
      </c>
      <c r="K158" s="28">
        <v>17543.240000000002</v>
      </c>
      <c r="L158" s="28">
        <v>17543.240000000002</v>
      </c>
      <c r="M158" s="28">
        <v>0</v>
      </c>
      <c r="N158" s="4">
        <v>0</v>
      </c>
      <c r="O158" s="28">
        <v>0</v>
      </c>
      <c r="P158" s="28">
        <v>0</v>
      </c>
      <c r="Q158" s="28">
        <v>0</v>
      </c>
      <c r="R158" s="6"/>
    </row>
    <row r="159" spans="1:18" ht="25.5" x14ac:dyDescent="0.25">
      <c r="A159" s="294">
        <f t="shared" si="8"/>
        <v>25</v>
      </c>
      <c r="B159" s="3" t="s">
        <v>137</v>
      </c>
      <c r="C159" s="3" t="s">
        <v>62</v>
      </c>
      <c r="D159" s="3" t="s">
        <v>63</v>
      </c>
      <c r="E159" s="3" t="s">
        <v>78</v>
      </c>
      <c r="F159" s="3" t="s">
        <v>184</v>
      </c>
      <c r="G159" s="4" t="s">
        <v>85</v>
      </c>
      <c r="H159" s="4">
        <v>9</v>
      </c>
      <c r="I159" s="4">
        <v>4</v>
      </c>
      <c r="J159" s="4">
        <v>4</v>
      </c>
      <c r="K159" s="28">
        <v>2678.24</v>
      </c>
      <c r="L159" s="28">
        <v>2678.24</v>
      </c>
      <c r="M159" s="28">
        <v>0</v>
      </c>
      <c r="N159" s="4">
        <v>4</v>
      </c>
      <c r="O159" s="28">
        <v>6101.8</v>
      </c>
      <c r="P159" s="28">
        <v>6101.8</v>
      </c>
      <c r="Q159" s="28">
        <v>0</v>
      </c>
      <c r="R159" s="6"/>
    </row>
    <row r="160" spans="1:18" ht="25.5" x14ac:dyDescent="0.25">
      <c r="A160" s="294">
        <f t="shared" si="8"/>
        <v>26</v>
      </c>
      <c r="B160" s="3" t="s">
        <v>185</v>
      </c>
      <c r="C160" s="3" t="s">
        <v>62</v>
      </c>
      <c r="D160" s="3" t="s">
        <v>63</v>
      </c>
      <c r="E160" s="3" t="s">
        <v>186</v>
      </c>
      <c r="F160" s="3" t="s">
        <v>463</v>
      </c>
      <c r="G160" s="4" t="s">
        <v>85</v>
      </c>
      <c r="H160" s="4">
        <v>11</v>
      </c>
      <c r="I160" s="4">
        <v>6</v>
      </c>
      <c r="J160" s="4">
        <v>7</v>
      </c>
      <c r="K160" s="28">
        <v>1409.6</v>
      </c>
      <c r="L160" s="28">
        <v>1409.6</v>
      </c>
      <c r="M160" s="28">
        <v>0</v>
      </c>
      <c r="N160" s="4">
        <v>0</v>
      </c>
      <c r="O160" s="28">
        <v>0</v>
      </c>
      <c r="P160" s="28">
        <v>0</v>
      </c>
      <c r="Q160" s="28">
        <v>0</v>
      </c>
      <c r="R160" s="6"/>
    </row>
    <row r="161" spans="1:18" x14ac:dyDescent="0.25">
      <c r="A161" s="294">
        <f t="shared" si="8"/>
        <v>27</v>
      </c>
      <c r="B161" s="3" t="s">
        <v>27</v>
      </c>
      <c r="C161" s="3" t="s">
        <v>62</v>
      </c>
      <c r="D161" s="3" t="s">
        <v>63</v>
      </c>
      <c r="E161" s="3" t="s">
        <v>74</v>
      </c>
      <c r="F161" s="3" t="s">
        <v>187</v>
      </c>
      <c r="G161" s="4" t="s">
        <v>85</v>
      </c>
      <c r="H161" s="4">
        <v>16</v>
      </c>
      <c r="I161" s="4">
        <v>7</v>
      </c>
      <c r="J161" s="4">
        <v>8</v>
      </c>
      <c r="K161" s="28">
        <v>4493.07</v>
      </c>
      <c r="L161" s="28">
        <v>2039.94</v>
      </c>
      <c r="M161" s="28">
        <v>2453.13</v>
      </c>
      <c r="N161" s="4">
        <v>5</v>
      </c>
      <c r="O161" s="28">
        <v>29814.94</v>
      </c>
      <c r="P161" s="28">
        <v>29814.94</v>
      </c>
      <c r="Q161" s="28">
        <v>0</v>
      </c>
      <c r="R161" s="6"/>
    </row>
    <row r="162" spans="1:18" x14ac:dyDescent="0.25">
      <c r="A162" s="294">
        <f t="shared" si="8"/>
        <v>28</v>
      </c>
      <c r="B162" s="3" t="s">
        <v>601</v>
      </c>
      <c r="C162" s="3" t="s">
        <v>62</v>
      </c>
      <c r="D162" s="3" t="s">
        <v>63</v>
      </c>
      <c r="E162" s="3" t="s">
        <v>366</v>
      </c>
      <c r="F162" s="3" t="s">
        <v>63</v>
      </c>
      <c r="G162" s="4" t="s">
        <v>85</v>
      </c>
      <c r="H162" s="4">
        <v>2</v>
      </c>
      <c r="I162" s="4">
        <v>0</v>
      </c>
      <c r="J162" s="4">
        <v>0</v>
      </c>
      <c r="K162" s="28">
        <v>0</v>
      </c>
      <c r="L162" s="28">
        <v>0</v>
      </c>
      <c r="M162" s="28">
        <v>0</v>
      </c>
      <c r="N162" s="4">
        <v>0</v>
      </c>
      <c r="O162" s="28">
        <v>0</v>
      </c>
      <c r="P162" s="28">
        <v>0</v>
      </c>
      <c r="Q162" s="28">
        <v>0</v>
      </c>
      <c r="R162" s="6"/>
    </row>
    <row r="163" spans="1:18" ht="25.5" x14ac:dyDescent="0.25">
      <c r="A163" s="294">
        <f t="shared" si="8"/>
        <v>29</v>
      </c>
      <c r="B163" s="3" t="s">
        <v>482</v>
      </c>
      <c r="C163" s="3" t="s">
        <v>64</v>
      </c>
      <c r="D163" s="3" t="s">
        <v>483</v>
      </c>
      <c r="E163" s="3" t="s">
        <v>313</v>
      </c>
      <c r="F163" s="3" t="s">
        <v>484</v>
      </c>
      <c r="G163" s="4" t="s">
        <v>85</v>
      </c>
      <c r="H163" s="4">
        <v>9</v>
      </c>
      <c r="I163" s="4">
        <v>0</v>
      </c>
      <c r="J163" s="4">
        <v>0</v>
      </c>
      <c r="K163" s="28">
        <v>0</v>
      </c>
      <c r="L163" s="28">
        <v>0</v>
      </c>
      <c r="M163" s="28">
        <v>0</v>
      </c>
      <c r="N163" s="4">
        <v>0</v>
      </c>
      <c r="O163" s="28">
        <v>0</v>
      </c>
      <c r="P163" s="28">
        <v>0</v>
      </c>
      <c r="Q163" s="28">
        <v>0</v>
      </c>
      <c r="R163" s="6"/>
    </row>
    <row r="164" spans="1:18" ht="25.5" x14ac:dyDescent="0.25">
      <c r="A164" s="294">
        <f t="shared" si="8"/>
        <v>30</v>
      </c>
      <c r="B164" s="3" t="s">
        <v>104</v>
      </c>
      <c r="C164" s="3" t="s">
        <v>62</v>
      </c>
      <c r="D164" s="3" t="s">
        <v>63</v>
      </c>
      <c r="E164" s="3" t="s">
        <v>105</v>
      </c>
      <c r="F164" s="3" t="s">
        <v>188</v>
      </c>
      <c r="G164" s="4" t="s">
        <v>85</v>
      </c>
      <c r="H164" s="4">
        <v>9</v>
      </c>
      <c r="I164" s="4">
        <v>7</v>
      </c>
      <c r="J164" s="4">
        <v>9</v>
      </c>
      <c r="K164" s="28">
        <v>2130.2600000000002</v>
      </c>
      <c r="L164" s="28">
        <v>2130.2600000000002</v>
      </c>
      <c r="M164" s="28">
        <v>0</v>
      </c>
      <c r="N164" s="4">
        <v>23</v>
      </c>
      <c r="O164" s="28">
        <f>29623.1+4863.12</f>
        <v>34486.22</v>
      </c>
      <c r="P164" s="28">
        <f>29623.1+4863.12</f>
        <v>34486.22</v>
      </c>
      <c r="Q164" s="28">
        <v>0</v>
      </c>
      <c r="R164" s="6"/>
    </row>
    <row r="165" spans="1:18" ht="25.5" x14ac:dyDescent="0.25">
      <c r="A165" s="294">
        <f t="shared" si="8"/>
        <v>31</v>
      </c>
      <c r="B165" s="3" t="s">
        <v>517</v>
      </c>
      <c r="C165" s="3" t="s">
        <v>62</v>
      </c>
      <c r="D165" s="3" t="s">
        <v>63</v>
      </c>
      <c r="E165" s="3" t="s">
        <v>239</v>
      </c>
      <c r="F165" s="3" t="s">
        <v>63</v>
      </c>
      <c r="G165" s="4" t="s">
        <v>85</v>
      </c>
      <c r="H165" s="4">
        <v>11</v>
      </c>
      <c r="I165" s="4">
        <v>7</v>
      </c>
      <c r="J165" s="4">
        <v>7</v>
      </c>
      <c r="K165" s="28">
        <v>0</v>
      </c>
      <c r="L165" s="28">
        <v>0</v>
      </c>
      <c r="M165" s="28">
        <v>0</v>
      </c>
      <c r="N165" s="4">
        <v>0</v>
      </c>
      <c r="O165" s="28">
        <v>0</v>
      </c>
      <c r="P165" s="28">
        <v>0</v>
      </c>
      <c r="Q165" s="28">
        <v>0</v>
      </c>
      <c r="R165" s="6"/>
    </row>
    <row r="166" spans="1:18" x14ac:dyDescent="0.25">
      <c r="A166" s="294">
        <f t="shared" si="8"/>
        <v>32</v>
      </c>
      <c r="B166" s="3" t="s">
        <v>28</v>
      </c>
      <c r="C166" s="3" t="s">
        <v>62</v>
      </c>
      <c r="D166" s="3" t="s">
        <v>63</v>
      </c>
      <c r="E166" s="3" t="s">
        <v>74</v>
      </c>
      <c r="F166" s="3" t="s">
        <v>189</v>
      </c>
      <c r="G166" s="4" t="s">
        <v>85</v>
      </c>
      <c r="H166" s="4">
        <v>7</v>
      </c>
      <c r="I166" s="4">
        <v>6</v>
      </c>
      <c r="J166" s="4">
        <v>6</v>
      </c>
      <c r="K166" s="28">
        <v>581.46</v>
      </c>
      <c r="L166" s="28">
        <v>581.46</v>
      </c>
      <c r="M166" s="28">
        <v>0</v>
      </c>
      <c r="N166" s="4">
        <v>6</v>
      </c>
      <c r="O166" s="28">
        <v>6953.99</v>
      </c>
      <c r="P166" s="28">
        <v>6953.99</v>
      </c>
      <c r="Q166" s="28">
        <v>0</v>
      </c>
      <c r="R166" s="6"/>
    </row>
    <row r="167" spans="1:18" x14ac:dyDescent="0.25">
      <c r="A167" s="294">
        <f t="shared" si="8"/>
        <v>33</v>
      </c>
      <c r="B167" s="3" t="s">
        <v>190</v>
      </c>
      <c r="C167" s="3" t="s">
        <v>62</v>
      </c>
      <c r="D167" s="3" t="s">
        <v>63</v>
      </c>
      <c r="E167" s="3" t="s">
        <v>63</v>
      </c>
      <c r="F167" s="3" t="s">
        <v>191</v>
      </c>
      <c r="G167" s="4" t="s">
        <v>85</v>
      </c>
      <c r="H167" s="4">
        <v>16</v>
      </c>
      <c r="I167" s="4">
        <v>13</v>
      </c>
      <c r="J167" s="4">
        <v>13</v>
      </c>
      <c r="K167" s="28">
        <v>6494.16</v>
      </c>
      <c r="L167" s="28">
        <v>6494.16</v>
      </c>
      <c r="M167" s="28">
        <v>0</v>
      </c>
      <c r="N167" s="4">
        <v>0</v>
      </c>
      <c r="O167" s="28">
        <v>0</v>
      </c>
      <c r="P167" s="28">
        <v>0</v>
      </c>
      <c r="Q167" s="28">
        <v>0</v>
      </c>
      <c r="R167" s="6"/>
    </row>
    <row r="168" spans="1:18" ht="38.25" x14ac:dyDescent="0.25">
      <c r="A168" s="294">
        <f t="shared" si="8"/>
        <v>34</v>
      </c>
      <c r="B168" s="3" t="s">
        <v>192</v>
      </c>
      <c r="C168" s="3" t="s">
        <v>64</v>
      </c>
      <c r="D168" s="3" t="s">
        <v>193</v>
      </c>
      <c r="E168" s="3" t="s">
        <v>74</v>
      </c>
      <c r="F168" s="3" t="s">
        <v>194</v>
      </c>
      <c r="G168" s="4" t="s">
        <v>85</v>
      </c>
      <c r="H168" s="4">
        <v>1</v>
      </c>
      <c r="I168" s="4">
        <v>0</v>
      </c>
      <c r="J168" s="4">
        <v>0</v>
      </c>
      <c r="K168" s="28">
        <v>0</v>
      </c>
      <c r="L168" s="28">
        <v>0</v>
      </c>
      <c r="M168" s="28">
        <v>0</v>
      </c>
      <c r="N168" s="4">
        <v>0</v>
      </c>
      <c r="O168" s="28">
        <v>0</v>
      </c>
      <c r="P168" s="28">
        <v>0</v>
      </c>
      <c r="Q168" s="28">
        <v>0</v>
      </c>
      <c r="R168" s="6"/>
    </row>
    <row r="169" spans="1:18" x14ac:dyDescent="0.25">
      <c r="A169" s="294">
        <f t="shared" si="8"/>
        <v>35</v>
      </c>
      <c r="B169" s="3" t="s">
        <v>89</v>
      </c>
      <c r="C169" s="3" t="s">
        <v>62</v>
      </c>
      <c r="D169" s="3" t="s">
        <v>63</v>
      </c>
      <c r="E169" s="3" t="s">
        <v>74</v>
      </c>
      <c r="F169" s="3" t="s">
        <v>195</v>
      </c>
      <c r="G169" s="4" t="s">
        <v>85</v>
      </c>
      <c r="H169" s="4">
        <v>30</v>
      </c>
      <c r="I169" s="4">
        <v>25</v>
      </c>
      <c r="J169" s="4">
        <v>27</v>
      </c>
      <c r="K169" s="28">
        <v>12234.98</v>
      </c>
      <c r="L169" s="28">
        <v>12234.98</v>
      </c>
      <c r="M169" s="28">
        <v>0</v>
      </c>
      <c r="N169" s="4">
        <v>6</v>
      </c>
      <c r="O169" s="28">
        <v>27163.93</v>
      </c>
      <c r="P169" s="28">
        <v>27163.93</v>
      </c>
      <c r="Q169" s="28">
        <v>0</v>
      </c>
      <c r="R169" s="6"/>
    </row>
    <row r="170" spans="1:18" ht="25.5" x14ac:dyDescent="0.25">
      <c r="A170" s="294">
        <f t="shared" si="8"/>
        <v>36</v>
      </c>
      <c r="B170" s="3" t="s">
        <v>196</v>
      </c>
      <c r="C170" s="3" t="s">
        <v>62</v>
      </c>
      <c r="D170" s="3" t="s">
        <v>63</v>
      </c>
      <c r="E170" s="3" t="s">
        <v>197</v>
      </c>
      <c r="F170" s="3" t="s">
        <v>198</v>
      </c>
      <c r="G170" s="4" t="s">
        <v>85</v>
      </c>
      <c r="H170" s="4">
        <v>19</v>
      </c>
      <c r="I170" s="4">
        <v>16</v>
      </c>
      <c r="J170" s="4">
        <v>16</v>
      </c>
      <c r="K170" s="28">
        <v>4212.17</v>
      </c>
      <c r="L170" s="28">
        <v>4212.17</v>
      </c>
      <c r="M170" s="28">
        <v>0</v>
      </c>
      <c r="N170" s="4">
        <v>0</v>
      </c>
      <c r="O170" s="28">
        <v>0</v>
      </c>
      <c r="P170" s="28">
        <v>0</v>
      </c>
      <c r="Q170" s="28">
        <v>0</v>
      </c>
      <c r="R170" s="6"/>
    </row>
    <row r="171" spans="1:18" x14ac:dyDescent="0.25">
      <c r="A171" s="294">
        <f t="shared" si="8"/>
        <v>37</v>
      </c>
      <c r="B171" s="3" t="s">
        <v>106</v>
      </c>
      <c r="C171" s="3" t="s">
        <v>62</v>
      </c>
      <c r="D171" s="3" t="s">
        <v>63</v>
      </c>
      <c r="E171" s="3" t="s">
        <v>74</v>
      </c>
      <c r="F171" s="3" t="s">
        <v>199</v>
      </c>
      <c r="G171" s="4" t="s">
        <v>85</v>
      </c>
      <c r="H171" s="4">
        <v>41</v>
      </c>
      <c r="I171" s="4">
        <v>33</v>
      </c>
      <c r="J171" s="4">
        <v>42</v>
      </c>
      <c r="K171" s="28">
        <v>30877.81</v>
      </c>
      <c r="L171" s="28">
        <v>27774.51</v>
      </c>
      <c r="M171" s="28">
        <v>3103.3</v>
      </c>
      <c r="N171" s="4">
        <v>25</v>
      </c>
      <c r="O171" s="28">
        <v>100286.82</v>
      </c>
      <c r="P171" s="28">
        <v>61804.6</v>
      </c>
      <c r="Q171" s="28">
        <v>38482.22</v>
      </c>
      <c r="R171" s="6"/>
    </row>
    <row r="172" spans="1:18" x14ac:dyDescent="0.25">
      <c r="A172" s="294">
        <f t="shared" si="8"/>
        <v>38</v>
      </c>
      <c r="B172" s="3" t="s">
        <v>107</v>
      </c>
      <c r="C172" s="3" t="s">
        <v>62</v>
      </c>
      <c r="D172" s="3" t="s">
        <v>63</v>
      </c>
      <c r="E172" s="3" t="s">
        <v>74</v>
      </c>
      <c r="F172" s="3" t="s">
        <v>138</v>
      </c>
      <c r="G172" s="4" t="s">
        <v>85</v>
      </c>
      <c r="H172" s="4">
        <v>2</v>
      </c>
      <c r="I172" s="4">
        <v>0</v>
      </c>
      <c r="J172" s="4">
        <v>0</v>
      </c>
      <c r="K172" s="28">
        <v>0</v>
      </c>
      <c r="L172" s="28">
        <v>0</v>
      </c>
      <c r="M172" s="28">
        <v>0</v>
      </c>
      <c r="N172" s="4">
        <v>0</v>
      </c>
      <c r="O172" s="28">
        <v>0</v>
      </c>
      <c r="P172" s="28">
        <v>0</v>
      </c>
      <c r="Q172" s="28">
        <v>0</v>
      </c>
      <c r="R172" s="6"/>
    </row>
    <row r="173" spans="1:18" x14ac:dyDescent="0.25">
      <c r="A173" s="294">
        <f t="shared" si="8"/>
        <v>39</v>
      </c>
      <c r="B173" s="3" t="s">
        <v>29</v>
      </c>
      <c r="C173" s="3" t="s">
        <v>62</v>
      </c>
      <c r="D173" s="3" t="s">
        <v>63</v>
      </c>
      <c r="E173" s="3" t="s">
        <v>74</v>
      </c>
      <c r="F173" s="3" t="s">
        <v>200</v>
      </c>
      <c r="G173" s="4" t="s">
        <v>85</v>
      </c>
      <c r="H173" s="4">
        <v>24</v>
      </c>
      <c r="I173" s="4">
        <v>19</v>
      </c>
      <c r="J173" s="4">
        <v>28</v>
      </c>
      <c r="K173" s="28">
        <v>33525.11</v>
      </c>
      <c r="L173" s="28">
        <v>31780.73</v>
      </c>
      <c r="M173" s="28">
        <v>1744.38</v>
      </c>
      <c r="N173" s="4">
        <v>17</v>
      </c>
      <c r="O173" s="28">
        <v>26326.38</v>
      </c>
      <c r="P173" s="28">
        <v>20228.03</v>
      </c>
      <c r="Q173" s="28">
        <v>6098.35</v>
      </c>
      <c r="R173" s="6"/>
    </row>
    <row r="174" spans="1:18" x14ac:dyDescent="0.25">
      <c r="A174" s="294">
        <f t="shared" si="8"/>
        <v>40</v>
      </c>
      <c r="B174" s="3" t="s">
        <v>201</v>
      </c>
      <c r="C174" s="3" t="s">
        <v>67</v>
      </c>
      <c r="D174" s="3" t="s">
        <v>485</v>
      </c>
      <c r="E174" s="3" t="s">
        <v>74</v>
      </c>
      <c r="F174" s="3" t="s">
        <v>202</v>
      </c>
      <c r="G174" s="4" t="s">
        <v>85</v>
      </c>
      <c r="H174" s="4">
        <v>20</v>
      </c>
      <c r="I174" s="4">
        <v>13</v>
      </c>
      <c r="J174" s="4">
        <v>13</v>
      </c>
      <c r="K174" s="28">
        <v>8297.66</v>
      </c>
      <c r="L174" s="28">
        <v>8297.66</v>
      </c>
      <c r="M174" s="28">
        <v>0</v>
      </c>
      <c r="N174" s="4">
        <v>1</v>
      </c>
      <c r="O174" s="28">
        <v>1717.95</v>
      </c>
      <c r="P174" s="28">
        <v>1717.95</v>
      </c>
      <c r="Q174" s="28">
        <v>0</v>
      </c>
      <c r="R174" s="6"/>
    </row>
    <row r="175" spans="1:18" x14ac:dyDescent="0.25">
      <c r="A175" s="294">
        <f t="shared" si="8"/>
        <v>41</v>
      </c>
      <c r="B175" s="3" t="s">
        <v>95</v>
      </c>
      <c r="C175" s="3" t="s">
        <v>62</v>
      </c>
      <c r="D175" s="3" t="s">
        <v>63</v>
      </c>
      <c r="E175" s="3" t="s">
        <v>74</v>
      </c>
      <c r="F175" s="3" t="s">
        <v>161</v>
      </c>
      <c r="G175" s="4" t="s">
        <v>85</v>
      </c>
      <c r="H175" s="4">
        <v>37</v>
      </c>
      <c r="I175" s="4">
        <v>31</v>
      </c>
      <c r="J175" s="4">
        <v>40</v>
      </c>
      <c r="K175" s="28">
        <f>L175+M175</f>
        <v>33807.08</v>
      </c>
      <c r="L175" s="28">
        <f>29308.96+3740.42</f>
        <v>33049.379999999997</v>
      </c>
      <c r="M175" s="28">
        <f>17078.15-16320.45</f>
        <v>757.70000000000073</v>
      </c>
      <c r="N175" s="4">
        <v>23</v>
      </c>
      <c r="O175" s="28">
        <v>74616.39</v>
      </c>
      <c r="P175" s="28">
        <v>57450.400000000001</v>
      </c>
      <c r="Q175" s="28">
        <v>17165.990000000002</v>
      </c>
      <c r="R175" s="6"/>
    </row>
    <row r="176" spans="1:18" ht="25.5" x14ac:dyDescent="0.25">
      <c r="A176" s="294">
        <f t="shared" si="8"/>
        <v>42</v>
      </c>
      <c r="B176" s="3" t="s">
        <v>30</v>
      </c>
      <c r="C176" s="3" t="s">
        <v>62</v>
      </c>
      <c r="D176" s="3" t="s">
        <v>63</v>
      </c>
      <c r="E176" s="3" t="s">
        <v>203</v>
      </c>
      <c r="F176" s="3" t="s">
        <v>204</v>
      </c>
      <c r="G176" s="4" t="s">
        <v>85</v>
      </c>
      <c r="H176" s="4">
        <v>20</v>
      </c>
      <c r="I176" s="4">
        <v>15</v>
      </c>
      <c r="J176" s="4">
        <v>22</v>
      </c>
      <c r="K176" s="28">
        <v>15082.45</v>
      </c>
      <c r="L176" s="28">
        <v>15082.45</v>
      </c>
      <c r="M176" s="28">
        <v>0</v>
      </c>
      <c r="N176" s="4">
        <v>18</v>
      </c>
      <c r="O176" s="28">
        <f>P176+Q176</f>
        <v>42770.920000000006</v>
      </c>
      <c r="P176" s="28">
        <f>44825.3-2054.38</f>
        <v>42770.920000000006</v>
      </c>
      <c r="Q176" s="28">
        <v>0</v>
      </c>
      <c r="R176" s="6"/>
    </row>
    <row r="177" spans="1:18" x14ac:dyDescent="0.25">
      <c r="A177" s="294">
        <f t="shared" si="8"/>
        <v>43</v>
      </c>
      <c r="B177" s="3" t="s">
        <v>31</v>
      </c>
      <c r="C177" s="3" t="s">
        <v>62</v>
      </c>
      <c r="D177" s="3" t="s">
        <v>63</v>
      </c>
      <c r="E177" s="3" t="s">
        <v>74</v>
      </c>
      <c r="F177" s="3" t="s">
        <v>206</v>
      </c>
      <c r="G177" s="4" t="s">
        <v>85</v>
      </c>
      <c r="H177" s="4">
        <v>46</v>
      </c>
      <c r="I177" s="4">
        <v>33</v>
      </c>
      <c r="J177" s="4">
        <v>42</v>
      </c>
      <c r="K177" s="28">
        <v>57521.09</v>
      </c>
      <c r="L177" s="28">
        <v>52104.95</v>
      </c>
      <c r="M177" s="28">
        <v>5416.14</v>
      </c>
      <c r="N177" s="4">
        <v>20</v>
      </c>
      <c r="O177" s="28">
        <v>74965.509999999995</v>
      </c>
      <c r="P177" s="28">
        <v>66805.69</v>
      </c>
      <c r="Q177" s="28">
        <v>8159.82</v>
      </c>
      <c r="R177" s="6"/>
    </row>
    <row r="178" spans="1:18" ht="25.5" x14ac:dyDescent="0.25">
      <c r="A178" s="294">
        <f t="shared" si="8"/>
        <v>44</v>
      </c>
      <c r="B178" s="3" t="s">
        <v>605</v>
      </c>
      <c r="C178" s="3" t="s">
        <v>62</v>
      </c>
      <c r="D178" s="3" t="s">
        <v>63</v>
      </c>
      <c r="E178" s="3" t="s">
        <v>108</v>
      </c>
      <c r="F178" s="3" t="s">
        <v>619</v>
      </c>
      <c r="G178" s="4" t="s">
        <v>85</v>
      </c>
      <c r="H178" s="4">
        <v>1</v>
      </c>
      <c r="I178" s="4">
        <v>0</v>
      </c>
      <c r="J178" s="4">
        <v>0</v>
      </c>
      <c r="K178" s="28">
        <v>0</v>
      </c>
      <c r="L178" s="28">
        <v>0</v>
      </c>
      <c r="M178" s="28">
        <v>0</v>
      </c>
      <c r="N178" s="4">
        <v>0</v>
      </c>
      <c r="O178" s="28">
        <v>1200.69</v>
      </c>
      <c r="P178" s="28">
        <v>1200.69</v>
      </c>
      <c r="Q178" s="28">
        <v>0</v>
      </c>
      <c r="R178" s="6"/>
    </row>
    <row r="179" spans="1:18" ht="51" x14ac:dyDescent="0.25">
      <c r="A179" s="294">
        <f t="shared" si="8"/>
        <v>45</v>
      </c>
      <c r="B179" s="3" t="s">
        <v>90</v>
      </c>
      <c r="C179" s="3" t="s">
        <v>62</v>
      </c>
      <c r="D179" s="3" t="s">
        <v>63</v>
      </c>
      <c r="E179" s="3" t="s">
        <v>205</v>
      </c>
      <c r="F179" s="3" t="s">
        <v>464</v>
      </c>
      <c r="G179" s="4" t="s">
        <v>85</v>
      </c>
      <c r="H179" s="4">
        <v>18</v>
      </c>
      <c r="I179" s="4">
        <v>13</v>
      </c>
      <c r="J179" s="4">
        <v>19</v>
      </c>
      <c r="K179" s="28">
        <v>9495.06</v>
      </c>
      <c r="L179" s="28">
        <v>8099.56</v>
      </c>
      <c r="M179" s="28">
        <v>1395.5</v>
      </c>
      <c r="N179" s="4">
        <v>17</v>
      </c>
      <c r="O179" s="28">
        <v>21084.5</v>
      </c>
      <c r="P179" s="28">
        <v>18831.080000000002</v>
      </c>
      <c r="Q179" s="28">
        <v>2253.42</v>
      </c>
      <c r="R179" s="6"/>
    </row>
    <row r="180" spans="1:18" x14ac:dyDescent="0.25">
      <c r="A180" s="294">
        <f t="shared" si="8"/>
        <v>46</v>
      </c>
      <c r="B180" s="3" t="s">
        <v>91</v>
      </c>
      <c r="C180" s="3" t="s">
        <v>62</v>
      </c>
      <c r="D180" s="3" t="s">
        <v>63</v>
      </c>
      <c r="E180" s="3" t="s">
        <v>63</v>
      </c>
      <c r="F180" s="3" t="s">
        <v>208</v>
      </c>
      <c r="G180" s="4" t="s">
        <v>85</v>
      </c>
      <c r="H180" s="4">
        <v>15</v>
      </c>
      <c r="I180" s="4">
        <v>11</v>
      </c>
      <c r="J180" s="4">
        <v>11</v>
      </c>
      <c r="K180" s="28">
        <v>5992.57</v>
      </c>
      <c r="L180" s="28">
        <v>5992.57</v>
      </c>
      <c r="M180" s="28">
        <v>0</v>
      </c>
      <c r="N180" s="4">
        <v>2</v>
      </c>
      <c r="O180" s="28">
        <v>5514.15</v>
      </c>
      <c r="P180" s="28">
        <v>5514.15</v>
      </c>
      <c r="Q180" s="28">
        <v>0</v>
      </c>
      <c r="R180" s="6"/>
    </row>
    <row r="181" spans="1:18" x14ac:dyDescent="0.25">
      <c r="A181" s="294">
        <f t="shared" si="8"/>
        <v>47</v>
      </c>
      <c r="B181" s="3" t="s">
        <v>33</v>
      </c>
      <c r="C181" s="3" t="s">
        <v>62</v>
      </c>
      <c r="D181" s="3" t="s">
        <v>63</v>
      </c>
      <c r="E181" s="3" t="s">
        <v>74</v>
      </c>
      <c r="F181" s="3" t="s">
        <v>209</v>
      </c>
      <c r="G181" s="4" t="s">
        <v>85</v>
      </c>
      <c r="H181" s="4">
        <v>35</v>
      </c>
      <c r="I181" s="4">
        <v>27</v>
      </c>
      <c r="J181" s="4">
        <v>31</v>
      </c>
      <c r="K181" s="28">
        <v>31117.84</v>
      </c>
      <c r="L181" s="28">
        <v>31117.84</v>
      </c>
      <c r="M181" s="28">
        <v>0</v>
      </c>
      <c r="N181" s="4">
        <v>36</v>
      </c>
      <c r="O181" s="28">
        <f>P181+Q181</f>
        <v>98292.799999999988</v>
      </c>
      <c r="P181" s="28">
        <f>71790.76+16311.09</f>
        <v>88101.849999999991</v>
      </c>
      <c r="Q181" s="28">
        <v>10190.950000000001</v>
      </c>
      <c r="R181" s="6"/>
    </row>
    <row r="182" spans="1:18" x14ac:dyDescent="0.25">
      <c r="A182" s="294">
        <f t="shared" si="8"/>
        <v>48</v>
      </c>
      <c r="B182" s="3" t="s">
        <v>32</v>
      </c>
      <c r="C182" s="3" t="s">
        <v>62</v>
      </c>
      <c r="D182" s="3" t="s">
        <v>63</v>
      </c>
      <c r="E182" s="3" t="s">
        <v>74</v>
      </c>
      <c r="F182" s="3" t="s">
        <v>207</v>
      </c>
      <c r="G182" s="4" t="s">
        <v>85</v>
      </c>
      <c r="H182" s="4">
        <v>42</v>
      </c>
      <c r="I182" s="4">
        <v>32</v>
      </c>
      <c r="J182" s="4">
        <v>35</v>
      </c>
      <c r="K182" s="28">
        <v>17066.91</v>
      </c>
      <c r="L182" s="28">
        <v>17066.91</v>
      </c>
      <c r="M182" s="28">
        <v>0</v>
      </c>
      <c r="N182" s="4">
        <v>33</v>
      </c>
      <c r="O182" s="28">
        <v>68847.38</v>
      </c>
      <c r="P182" s="28">
        <v>68847.38</v>
      </c>
      <c r="Q182" s="28">
        <v>0</v>
      </c>
      <c r="R182" s="6"/>
    </row>
    <row r="183" spans="1:18" ht="25.5" x14ac:dyDescent="0.25">
      <c r="A183" s="294">
        <f t="shared" si="8"/>
        <v>49</v>
      </c>
      <c r="B183" s="3" t="s">
        <v>541</v>
      </c>
      <c r="C183" s="3" t="s">
        <v>62</v>
      </c>
      <c r="D183" s="3" t="s">
        <v>63</v>
      </c>
      <c r="E183" s="3" t="s">
        <v>177</v>
      </c>
      <c r="F183" s="3" t="s">
        <v>542</v>
      </c>
      <c r="G183" s="4" t="s">
        <v>85</v>
      </c>
      <c r="H183" s="4">
        <v>18</v>
      </c>
      <c r="I183" s="4">
        <v>12</v>
      </c>
      <c r="J183" s="4">
        <v>16</v>
      </c>
      <c r="K183" s="28">
        <v>0</v>
      </c>
      <c r="L183" s="28">
        <v>0</v>
      </c>
      <c r="M183" s="28">
        <v>0</v>
      </c>
      <c r="N183" s="4">
        <v>0</v>
      </c>
      <c r="O183" s="28">
        <v>0</v>
      </c>
      <c r="P183" s="28">
        <v>0</v>
      </c>
      <c r="Q183" s="28">
        <v>0</v>
      </c>
      <c r="R183" s="6"/>
    </row>
    <row r="184" spans="1:18" x14ac:dyDescent="0.25">
      <c r="A184" s="294">
        <f t="shared" si="8"/>
        <v>50</v>
      </c>
      <c r="B184" s="3" t="s">
        <v>34</v>
      </c>
      <c r="C184" s="3" t="s">
        <v>62</v>
      </c>
      <c r="D184" s="3" t="s">
        <v>63</v>
      </c>
      <c r="E184" s="3" t="s">
        <v>74</v>
      </c>
      <c r="F184" s="3" t="s">
        <v>211</v>
      </c>
      <c r="G184" s="4" t="s">
        <v>85</v>
      </c>
      <c r="H184" s="4">
        <v>17</v>
      </c>
      <c r="I184" s="4">
        <v>9</v>
      </c>
      <c r="J184" s="4">
        <v>9</v>
      </c>
      <c r="K184" s="28">
        <v>4532.5200000000004</v>
      </c>
      <c r="L184" s="28">
        <v>3933.44</v>
      </c>
      <c r="M184" s="28">
        <v>599.08000000000004</v>
      </c>
      <c r="N184" s="4">
        <v>24</v>
      </c>
      <c r="O184" s="28">
        <v>78298.570000000007</v>
      </c>
      <c r="P184" s="28">
        <v>66328.38</v>
      </c>
      <c r="Q184" s="28">
        <v>11970.19</v>
      </c>
      <c r="R184" s="6"/>
    </row>
    <row r="185" spans="1:18" ht="25.5" x14ac:dyDescent="0.25">
      <c r="A185" s="294">
        <f t="shared" si="8"/>
        <v>51</v>
      </c>
      <c r="B185" s="3" t="s">
        <v>154</v>
      </c>
      <c r="C185" s="3" t="s">
        <v>62</v>
      </c>
      <c r="D185" s="3" t="s">
        <v>63</v>
      </c>
      <c r="E185" s="3" t="s">
        <v>72</v>
      </c>
      <c r="F185" s="3" t="s">
        <v>212</v>
      </c>
      <c r="G185" s="4" t="s">
        <v>85</v>
      </c>
      <c r="H185" s="4">
        <v>6</v>
      </c>
      <c r="I185" s="4">
        <v>2</v>
      </c>
      <c r="J185" s="4">
        <v>2</v>
      </c>
      <c r="K185" s="28">
        <v>0</v>
      </c>
      <c r="L185" s="28">
        <v>0</v>
      </c>
      <c r="M185" s="28">
        <v>0</v>
      </c>
      <c r="N185" s="4">
        <v>2</v>
      </c>
      <c r="O185" s="28">
        <v>4636.17</v>
      </c>
      <c r="P185" s="28">
        <v>4636.17</v>
      </c>
      <c r="Q185" s="28">
        <v>0</v>
      </c>
      <c r="R185" s="6"/>
    </row>
    <row r="186" spans="1:18" x14ac:dyDescent="0.25">
      <c r="A186" s="294">
        <f t="shared" si="8"/>
        <v>52</v>
      </c>
      <c r="B186" s="3" t="s">
        <v>153</v>
      </c>
      <c r="C186" s="3" t="s">
        <v>62</v>
      </c>
      <c r="D186" s="3" t="s">
        <v>63</v>
      </c>
      <c r="E186" s="3" t="s">
        <v>74</v>
      </c>
      <c r="F186" s="3" t="s">
        <v>210</v>
      </c>
      <c r="G186" s="4" t="s">
        <v>85</v>
      </c>
      <c r="H186" s="4">
        <v>0</v>
      </c>
      <c r="I186" s="4">
        <v>0</v>
      </c>
      <c r="J186" s="4">
        <v>0</v>
      </c>
      <c r="K186" s="28">
        <v>0</v>
      </c>
      <c r="L186" s="28">
        <v>0</v>
      </c>
      <c r="M186" s="28">
        <v>0</v>
      </c>
      <c r="N186" s="4">
        <v>3</v>
      </c>
      <c r="O186" s="28">
        <v>9709.0400000000009</v>
      </c>
      <c r="P186" s="28">
        <v>9709.0400000000009</v>
      </c>
      <c r="Q186" s="28">
        <v>0</v>
      </c>
      <c r="R186" s="6"/>
    </row>
    <row r="187" spans="1:18" x14ac:dyDescent="0.25">
      <c r="A187" s="294">
        <f t="shared" si="8"/>
        <v>53</v>
      </c>
      <c r="B187" s="3" t="s">
        <v>109</v>
      </c>
      <c r="C187" s="3" t="s">
        <v>62</v>
      </c>
      <c r="D187" s="3" t="s">
        <v>63</v>
      </c>
      <c r="E187" s="3" t="s">
        <v>74</v>
      </c>
      <c r="F187" s="3" t="s">
        <v>213</v>
      </c>
      <c r="G187" s="4" t="s">
        <v>85</v>
      </c>
      <c r="H187" s="4">
        <v>0</v>
      </c>
      <c r="I187" s="4">
        <v>0</v>
      </c>
      <c r="J187" s="4">
        <v>0</v>
      </c>
      <c r="K187" s="28">
        <v>0</v>
      </c>
      <c r="L187" s="28">
        <v>0</v>
      </c>
      <c r="M187" s="28">
        <v>0</v>
      </c>
      <c r="N187" s="4">
        <v>2</v>
      </c>
      <c r="O187" s="28">
        <v>0</v>
      </c>
      <c r="P187" s="28">
        <v>0</v>
      </c>
      <c r="Q187" s="28">
        <v>0</v>
      </c>
      <c r="R187" s="6"/>
    </row>
    <row r="188" spans="1:18" x14ac:dyDescent="0.25">
      <c r="A188" s="294">
        <f t="shared" si="8"/>
        <v>54</v>
      </c>
      <c r="B188" s="3" t="s">
        <v>110</v>
      </c>
      <c r="C188" s="3" t="s">
        <v>62</v>
      </c>
      <c r="D188" s="3" t="s">
        <v>63</v>
      </c>
      <c r="E188" s="3" t="s">
        <v>74</v>
      </c>
      <c r="F188" s="3" t="s">
        <v>214</v>
      </c>
      <c r="G188" s="4" t="s">
        <v>85</v>
      </c>
      <c r="H188" s="4">
        <v>0</v>
      </c>
      <c r="I188" s="4">
        <v>0</v>
      </c>
      <c r="J188" s="4">
        <v>0</v>
      </c>
      <c r="K188" s="28">
        <v>0</v>
      </c>
      <c r="L188" s="28">
        <v>0</v>
      </c>
      <c r="M188" s="28">
        <v>0</v>
      </c>
      <c r="N188" s="4">
        <v>0</v>
      </c>
      <c r="O188" s="28">
        <v>12489.14</v>
      </c>
      <c r="P188" s="28">
        <v>12489.14</v>
      </c>
      <c r="Q188" s="28">
        <v>0</v>
      </c>
      <c r="R188" s="6"/>
    </row>
    <row r="189" spans="1:18" x14ac:dyDescent="0.25">
      <c r="A189" s="294">
        <f t="shared" si="8"/>
        <v>55</v>
      </c>
      <c r="B189" s="3" t="s">
        <v>111</v>
      </c>
      <c r="C189" s="3" t="s">
        <v>112</v>
      </c>
      <c r="D189" s="3" t="s">
        <v>113</v>
      </c>
      <c r="E189" s="3" t="s">
        <v>63</v>
      </c>
      <c r="F189" s="3" t="s">
        <v>139</v>
      </c>
      <c r="G189" s="4" t="s">
        <v>85</v>
      </c>
      <c r="H189" s="4">
        <v>1</v>
      </c>
      <c r="I189" s="4">
        <v>0</v>
      </c>
      <c r="J189" s="4">
        <v>0</v>
      </c>
      <c r="K189" s="28">
        <v>0</v>
      </c>
      <c r="L189" s="28">
        <v>0</v>
      </c>
      <c r="M189" s="28">
        <v>0</v>
      </c>
      <c r="N189" s="4">
        <v>0</v>
      </c>
      <c r="O189" s="28">
        <v>0</v>
      </c>
      <c r="P189" s="28">
        <v>0</v>
      </c>
      <c r="Q189" s="28">
        <v>0</v>
      </c>
      <c r="R189" s="6"/>
    </row>
    <row r="190" spans="1:18" ht="25.5" x14ac:dyDescent="0.25">
      <c r="A190" s="294">
        <f t="shared" si="8"/>
        <v>56</v>
      </c>
      <c r="B190" s="3" t="s">
        <v>570</v>
      </c>
      <c r="C190" s="3" t="s">
        <v>62</v>
      </c>
      <c r="D190" s="3" t="s">
        <v>63</v>
      </c>
      <c r="E190" s="3" t="s">
        <v>223</v>
      </c>
      <c r="F190" s="3" t="s">
        <v>63</v>
      </c>
      <c r="G190" s="4" t="s">
        <v>85</v>
      </c>
      <c r="H190" s="4">
        <v>1</v>
      </c>
      <c r="I190" s="4">
        <v>0</v>
      </c>
      <c r="J190" s="4">
        <v>0</v>
      </c>
      <c r="K190" s="28">
        <v>0</v>
      </c>
      <c r="L190" s="28">
        <v>0</v>
      </c>
      <c r="M190" s="28">
        <v>0</v>
      </c>
      <c r="N190" s="4">
        <v>0</v>
      </c>
      <c r="O190" s="28">
        <v>0</v>
      </c>
      <c r="P190" s="28">
        <v>0</v>
      </c>
      <c r="Q190" s="28">
        <v>0</v>
      </c>
      <c r="R190" s="6"/>
    </row>
    <row r="191" spans="1:18" x14ac:dyDescent="0.25">
      <c r="A191" s="294">
        <f t="shared" si="8"/>
        <v>57</v>
      </c>
      <c r="B191" s="3" t="s">
        <v>92</v>
      </c>
      <c r="C191" s="3" t="s">
        <v>62</v>
      </c>
      <c r="D191" s="3" t="s">
        <v>63</v>
      </c>
      <c r="E191" s="3" t="s">
        <v>74</v>
      </c>
      <c r="F191" s="3" t="s">
        <v>215</v>
      </c>
      <c r="G191" s="4" t="s">
        <v>85</v>
      </c>
      <c r="H191" s="4">
        <v>30</v>
      </c>
      <c r="I191" s="4">
        <v>26</v>
      </c>
      <c r="J191" s="4">
        <v>33</v>
      </c>
      <c r="K191" s="28">
        <v>17600.349999999999</v>
      </c>
      <c r="L191" s="28">
        <v>17600.349999999999</v>
      </c>
      <c r="M191" s="28">
        <v>0</v>
      </c>
      <c r="N191" s="4">
        <v>12</v>
      </c>
      <c r="O191" s="28">
        <v>18181.04</v>
      </c>
      <c r="P191" s="28">
        <v>18181.04</v>
      </c>
      <c r="Q191" s="28">
        <v>0</v>
      </c>
      <c r="R191" s="6"/>
    </row>
    <row r="192" spans="1:18" ht="25.5" x14ac:dyDescent="0.25">
      <c r="A192" s="294">
        <f t="shared" si="8"/>
        <v>58</v>
      </c>
      <c r="B192" s="3" t="s">
        <v>216</v>
      </c>
      <c r="C192" s="3" t="s">
        <v>67</v>
      </c>
      <c r="D192" s="3" t="s">
        <v>436</v>
      </c>
      <c r="E192" s="3" t="s">
        <v>217</v>
      </c>
      <c r="F192" s="3" t="s">
        <v>218</v>
      </c>
      <c r="G192" s="4" t="s">
        <v>85</v>
      </c>
      <c r="H192" s="4">
        <v>13</v>
      </c>
      <c r="I192" s="4">
        <v>8</v>
      </c>
      <c r="J192" s="4">
        <v>8</v>
      </c>
      <c r="K192" s="28">
        <v>3386.04</v>
      </c>
      <c r="L192" s="28">
        <v>3386.04</v>
      </c>
      <c r="M192" s="28">
        <v>0</v>
      </c>
      <c r="N192" s="4">
        <v>0</v>
      </c>
      <c r="O192" s="28">
        <v>0</v>
      </c>
      <c r="P192" s="28">
        <v>0</v>
      </c>
      <c r="Q192" s="28">
        <v>0</v>
      </c>
      <c r="R192" s="6"/>
    </row>
    <row r="193" spans="1:18" ht="25.5" x14ac:dyDescent="0.25">
      <c r="A193" s="294">
        <f t="shared" si="8"/>
        <v>59</v>
      </c>
      <c r="B193" s="3" t="s">
        <v>35</v>
      </c>
      <c r="C193" s="3" t="s">
        <v>62</v>
      </c>
      <c r="D193" s="3" t="s">
        <v>63</v>
      </c>
      <c r="E193" s="3" t="s">
        <v>219</v>
      </c>
      <c r="F193" s="3" t="s">
        <v>220</v>
      </c>
      <c r="G193" s="4" t="s">
        <v>85</v>
      </c>
      <c r="H193" s="4">
        <v>47</v>
      </c>
      <c r="I193" s="4">
        <v>40</v>
      </c>
      <c r="J193" s="4">
        <v>45</v>
      </c>
      <c r="K193" s="28">
        <v>31130.07</v>
      </c>
      <c r="L193" s="28">
        <v>20431.93</v>
      </c>
      <c r="M193" s="28">
        <v>10698.14</v>
      </c>
      <c r="N193" s="4">
        <v>30</v>
      </c>
      <c r="O193" s="28">
        <v>52287.51</v>
      </c>
      <c r="P193" s="28">
        <v>51090.74</v>
      </c>
      <c r="Q193" s="28">
        <v>1196.77</v>
      </c>
      <c r="R193" s="6"/>
    </row>
    <row r="194" spans="1:18" ht="25.5" x14ac:dyDescent="0.25">
      <c r="A194" s="294">
        <f t="shared" si="8"/>
        <v>60</v>
      </c>
      <c r="B194" s="3" t="s">
        <v>114</v>
      </c>
      <c r="C194" s="3" t="s">
        <v>62</v>
      </c>
      <c r="D194" s="3" t="s">
        <v>63</v>
      </c>
      <c r="E194" s="3" t="s">
        <v>115</v>
      </c>
      <c r="F194" s="3" t="s">
        <v>221</v>
      </c>
      <c r="G194" s="4" t="s">
        <v>85</v>
      </c>
      <c r="H194" s="4">
        <v>9</v>
      </c>
      <c r="I194" s="4">
        <v>2</v>
      </c>
      <c r="J194" s="4">
        <v>2</v>
      </c>
      <c r="K194" s="28">
        <v>0</v>
      </c>
      <c r="L194" s="28">
        <v>0</v>
      </c>
      <c r="M194" s="28">
        <v>0</v>
      </c>
      <c r="N194" s="4">
        <v>0</v>
      </c>
      <c r="O194" s="28">
        <v>1108.48</v>
      </c>
      <c r="P194" s="28">
        <v>1108.48</v>
      </c>
      <c r="Q194" s="28">
        <v>0</v>
      </c>
      <c r="R194" s="6"/>
    </row>
    <row r="195" spans="1:18" ht="25.5" x14ac:dyDescent="0.25">
      <c r="A195" s="294">
        <f t="shared" si="8"/>
        <v>61</v>
      </c>
      <c r="B195" s="3" t="s">
        <v>222</v>
      </c>
      <c r="C195" s="3" t="s">
        <v>64</v>
      </c>
      <c r="D195" s="3" t="s">
        <v>486</v>
      </c>
      <c r="E195" s="3" t="s">
        <v>223</v>
      </c>
      <c r="F195" s="3" t="s">
        <v>224</v>
      </c>
      <c r="G195" s="4" t="s">
        <v>85</v>
      </c>
      <c r="H195" s="4">
        <v>17</v>
      </c>
      <c r="I195" s="4">
        <v>11</v>
      </c>
      <c r="J195" s="4">
        <v>14</v>
      </c>
      <c r="K195" s="28">
        <v>10358.92</v>
      </c>
      <c r="L195" s="28">
        <v>10358.92</v>
      </c>
      <c r="M195" s="28">
        <v>0</v>
      </c>
      <c r="N195" s="4">
        <v>0</v>
      </c>
      <c r="O195" s="28">
        <v>0</v>
      </c>
      <c r="P195" s="28">
        <v>0</v>
      </c>
      <c r="Q195" s="28">
        <v>0</v>
      </c>
      <c r="R195" s="6"/>
    </row>
    <row r="196" spans="1:18" x14ac:dyDescent="0.25">
      <c r="A196" s="294">
        <f t="shared" si="8"/>
        <v>62</v>
      </c>
      <c r="B196" s="3" t="s">
        <v>93</v>
      </c>
      <c r="C196" s="3" t="s">
        <v>62</v>
      </c>
      <c r="D196" s="3" t="s">
        <v>63</v>
      </c>
      <c r="E196" s="3" t="s">
        <v>74</v>
      </c>
      <c r="F196" s="3" t="s">
        <v>225</v>
      </c>
      <c r="G196" s="4" t="s">
        <v>85</v>
      </c>
      <c r="H196" s="4">
        <v>14</v>
      </c>
      <c r="I196" s="4">
        <v>6</v>
      </c>
      <c r="J196" s="4">
        <v>7</v>
      </c>
      <c r="K196" s="28">
        <v>1233.4000000000001</v>
      </c>
      <c r="L196" s="28">
        <v>1233.4000000000001</v>
      </c>
      <c r="M196" s="28">
        <v>0</v>
      </c>
      <c r="N196" s="4">
        <v>7</v>
      </c>
      <c r="O196" s="28">
        <v>3227.7</v>
      </c>
      <c r="P196" s="28">
        <v>3194.66</v>
      </c>
      <c r="Q196" s="28">
        <v>33.04</v>
      </c>
      <c r="R196" s="6"/>
    </row>
    <row r="197" spans="1:18" ht="25.5" x14ac:dyDescent="0.25">
      <c r="A197" s="294">
        <f t="shared" si="8"/>
        <v>63</v>
      </c>
      <c r="B197" s="3" t="s">
        <v>226</v>
      </c>
      <c r="C197" s="3" t="s">
        <v>62</v>
      </c>
      <c r="D197" s="3" t="s">
        <v>63</v>
      </c>
      <c r="E197" s="3" t="s">
        <v>174</v>
      </c>
      <c r="F197" s="3" t="s">
        <v>227</v>
      </c>
      <c r="G197" s="4" t="s">
        <v>85</v>
      </c>
      <c r="H197" s="4">
        <v>23</v>
      </c>
      <c r="I197" s="4">
        <v>11</v>
      </c>
      <c r="J197" s="4">
        <v>13</v>
      </c>
      <c r="K197" s="28">
        <v>16022.52</v>
      </c>
      <c r="L197" s="28">
        <v>16022.52</v>
      </c>
      <c r="M197" s="28">
        <v>0</v>
      </c>
      <c r="N197" s="4">
        <v>0</v>
      </c>
      <c r="O197" s="28">
        <v>0</v>
      </c>
      <c r="P197" s="28">
        <v>0</v>
      </c>
      <c r="Q197" s="28">
        <v>0</v>
      </c>
      <c r="R197" s="6"/>
    </row>
    <row r="198" spans="1:18" ht="25.5" x14ac:dyDescent="0.25">
      <c r="A198" s="294">
        <f t="shared" si="8"/>
        <v>64</v>
      </c>
      <c r="B198" s="3" t="s">
        <v>228</v>
      </c>
      <c r="C198" s="3" t="s">
        <v>62</v>
      </c>
      <c r="D198" s="3" t="s">
        <v>63</v>
      </c>
      <c r="E198" s="3" t="s">
        <v>229</v>
      </c>
      <c r="F198" s="3" t="s">
        <v>230</v>
      </c>
      <c r="G198" s="4" t="s">
        <v>85</v>
      </c>
      <c r="H198" s="4">
        <v>26</v>
      </c>
      <c r="I198" s="4">
        <v>16</v>
      </c>
      <c r="J198" s="4">
        <v>11</v>
      </c>
      <c r="K198" s="28">
        <v>0</v>
      </c>
      <c r="L198" s="28">
        <v>0</v>
      </c>
      <c r="M198" s="28">
        <v>0</v>
      </c>
      <c r="N198" s="4">
        <v>0</v>
      </c>
      <c r="O198" s="28">
        <v>0</v>
      </c>
      <c r="P198" s="28">
        <v>0</v>
      </c>
      <c r="Q198" s="28">
        <v>0</v>
      </c>
      <c r="R198" s="6"/>
    </row>
    <row r="199" spans="1:18" ht="25.5" x14ac:dyDescent="0.25">
      <c r="A199" s="294">
        <f t="shared" si="8"/>
        <v>65</v>
      </c>
      <c r="B199" s="3" t="s">
        <v>232</v>
      </c>
      <c r="C199" s="3" t="s">
        <v>62</v>
      </c>
      <c r="D199" s="3" t="s">
        <v>63</v>
      </c>
      <c r="E199" s="3" t="s">
        <v>174</v>
      </c>
      <c r="F199" s="3" t="s">
        <v>233</v>
      </c>
      <c r="G199" s="4" t="s">
        <v>85</v>
      </c>
      <c r="H199" s="4">
        <v>10</v>
      </c>
      <c r="I199" s="4">
        <v>8</v>
      </c>
      <c r="J199" s="4">
        <v>8</v>
      </c>
      <c r="K199" s="28">
        <v>0</v>
      </c>
      <c r="L199" s="28">
        <v>0</v>
      </c>
      <c r="M199" s="28">
        <v>0</v>
      </c>
      <c r="N199" s="4">
        <v>0</v>
      </c>
      <c r="O199" s="28">
        <v>0</v>
      </c>
      <c r="P199" s="28">
        <v>0</v>
      </c>
      <c r="Q199" s="28">
        <v>0</v>
      </c>
      <c r="R199" s="6"/>
    </row>
    <row r="200" spans="1:18" ht="25.5" x14ac:dyDescent="0.25">
      <c r="A200" s="294">
        <f t="shared" si="8"/>
        <v>66</v>
      </c>
      <c r="B200" s="3" t="s">
        <v>487</v>
      </c>
      <c r="C200" s="3" t="s">
        <v>62</v>
      </c>
      <c r="D200" s="3" t="s">
        <v>63</v>
      </c>
      <c r="E200" s="3" t="s">
        <v>282</v>
      </c>
      <c r="F200" s="3" t="s">
        <v>488</v>
      </c>
      <c r="G200" s="4" t="s">
        <v>85</v>
      </c>
      <c r="H200" s="4">
        <v>8</v>
      </c>
      <c r="I200" s="4">
        <v>3</v>
      </c>
      <c r="J200" s="4">
        <v>3</v>
      </c>
      <c r="K200" s="28">
        <v>0</v>
      </c>
      <c r="L200" s="28">
        <v>0</v>
      </c>
      <c r="M200" s="28">
        <v>0</v>
      </c>
      <c r="N200" s="4">
        <v>0</v>
      </c>
      <c r="O200" s="28">
        <v>0</v>
      </c>
      <c r="P200" s="28">
        <v>0</v>
      </c>
      <c r="Q200" s="28">
        <v>0</v>
      </c>
      <c r="R200" s="6"/>
    </row>
    <row r="201" spans="1:18" x14ac:dyDescent="0.25">
      <c r="A201" s="294">
        <f t="shared" ref="A201:A264" si="9">A200+1</f>
        <v>67</v>
      </c>
      <c r="B201" s="3" t="s">
        <v>116</v>
      </c>
      <c r="C201" s="3" t="s">
        <v>62</v>
      </c>
      <c r="D201" s="3" t="s">
        <v>63</v>
      </c>
      <c r="E201" s="3" t="s">
        <v>74</v>
      </c>
      <c r="F201" s="3" t="s">
        <v>231</v>
      </c>
      <c r="G201" s="4" t="s">
        <v>85</v>
      </c>
      <c r="H201" s="4">
        <v>30</v>
      </c>
      <c r="I201" s="4">
        <v>22</v>
      </c>
      <c r="J201" s="4">
        <v>24</v>
      </c>
      <c r="K201" s="28">
        <v>29296.92</v>
      </c>
      <c r="L201" s="28">
        <v>29296.92</v>
      </c>
      <c r="M201" s="28">
        <v>0</v>
      </c>
      <c r="N201" s="4">
        <v>3</v>
      </c>
      <c r="O201" s="28">
        <v>5058.49</v>
      </c>
      <c r="P201" s="28">
        <v>5058.49</v>
      </c>
      <c r="Q201" s="28">
        <v>0</v>
      </c>
      <c r="R201" s="6"/>
    </row>
    <row r="202" spans="1:18" ht="25.5" x14ac:dyDescent="0.25">
      <c r="A202" s="294">
        <f t="shared" si="9"/>
        <v>68</v>
      </c>
      <c r="B202" s="3" t="s">
        <v>37</v>
      </c>
      <c r="C202" s="3" t="s">
        <v>62</v>
      </c>
      <c r="D202" s="3" t="s">
        <v>63</v>
      </c>
      <c r="E202" s="3" t="s">
        <v>70</v>
      </c>
      <c r="F202" s="3" t="s">
        <v>234</v>
      </c>
      <c r="G202" s="4" t="s">
        <v>85</v>
      </c>
      <c r="H202" s="4">
        <v>15</v>
      </c>
      <c r="I202" s="4">
        <v>9</v>
      </c>
      <c r="J202" s="4">
        <v>9</v>
      </c>
      <c r="K202" s="28">
        <v>3700.2</v>
      </c>
      <c r="L202" s="28">
        <v>3700.2</v>
      </c>
      <c r="M202" s="28">
        <v>0</v>
      </c>
      <c r="N202" s="4">
        <v>3</v>
      </c>
      <c r="O202" s="28">
        <v>2111.7399999999998</v>
      </c>
      <c r="P202" s="28">
        <v>2111.7399999999998</v>
      </c>
      <c r="Q202" s="28">
        <v>0</v>
      </c>
      <c r="R202" s="6"/>
    </row>
    <row r="203" spans="1:18" ht="38.25" x14ac:dyDescent="0.25">
      <c r="A203" s="294">
        <f t="shared" si="9"/>
        <v>69</v>
      </c>
      <c r="B203" s="3" t="s">
        <v>235</v>
      </c>
      <c r="C203" s="3" t="s">
        <v>62</v>
      </c>
      <c r="D203" s="3" t="s">
        <v>63</v>
      </c>
      <c r="E203" s="3" t="s">
        <v>236</v>
      </c>
      <c r="F203" s="3" t="s">
        <v>237</v>
      </c>
      <c r="G203" s="4" t="s">
        <v>85</v>
      </c>
      <c r="H203" s="4">
        <v>8</v>
      </c>
      <c r="I203" s="4">
        <v>4</v>
      </c>
      <c r="J203" s="4">
        <v>5</v>
      </c>
      <c r="K203" s="28">
        <f>L203+M203</f>
        <v>528.6</v>
      </c>
      <c r="L203" s="28">
        <v>528.6</v>
      </c>
      <c r="M203" s="28">
        <v>0</v>
      </c>
      <c r="N203" s="4">
        <v>0</v>
      </c>
      <c r="O203" s="28">
        <v>0</v>
      </c>
      <c r="P203" s="28">
        <v>0</v>
      </c>
      <c r="Q203" s="28">
        <v>0</v>
      </c>
      <c r="R203" s="6"/>
    </row>
    <row r="204" spans="1:18" ht="25.5" x14ac:dyDescent="0.25">
      <c r="A204" s="294">
        <f t="shared" si="9"/>
        <v>70</v>
      </c>
      <c r="B204" s="3" t="s">
        <v>238</v>
      </c>
      <c r="C204" s="3" t="s">
        <v>62</v>
      </c>
      <c r="D204" s="3" t="s">
        <v>63</v>
      </c>
      <c r="E204" s="3" t="s">
        <v>239</v>
      </c>
      <c r="F204" s="3" t="s">
        <v>240</v>
      </c>
      <c r="G204" s="4" t="s">
        <v>85</v>
      </c>
      <c r="H204" s="4">
        <v>11</v>
      </c>
      <c r="I204" s="4">
        <v>8</v>
      </c>
      <c r="J204" s="4">
        <v>9</v>
      </c>
      <c r="K204" s="28">
        <v>8493.5499999999993</v>
      </c>
      <c r="L204" s="28">
        <v>8493.5499999999993</v>
      </c>
      <c r="M204" s="28">
        <v>0</v>
      </c>
      <c r="N204" s="4">
        <v>0</v>
      </c>
      <c r="O204" s="28">
        <v>0</v>
      </c>
      <c r="P204" s="28">
        <v>0</v>
      </c>
      <c r="Q204" s="28">
        <v>0</v>
      </c>
      <c r="R204" s="6"/>
    </row>
    <row r="205" spans="1:18" ht="25.5" x14ac:dyDescent="0.25">
      <c r="A205" s="294">
        <f t="shared" si="9"/>
        <v>71</v>
      </c>
      <c r="B205" s="3" t="s">
        <v>357</v>
      </c>
      <c r="C205" s="3" t="s">
        <v>64</v>
      </c>
      <c r="D205" s="3" t="s">
        <v>585</v>
      </c>
      <c r="E205" s="3" t="s">
        <v>74</v>
      </c>
      <c r="F205" s="3" t="s">
        <v>573</v>
      </c>
      <c r="G205" s="4" t="s">
        <v>85</v>
      </c>
      <c r="H205" s="4">
        <v>1</v>
      </c>
      <c r="I205" s="4">
        <v>0</v>
      </c>
      <c r="J205" s="4">
        <v>0</v>
      </c>
      <c r="K205" s="28">
        <v>0</v>
      </c>
      <c r="L205" s="28">
        <v>0</v>
      </c>
      <c r="M205" s="28">
        <v>0</v>
      </c>
      <c r="N205" s="4">
        <v>1</v>
      </c>
      <c r="O205" s="28">
        <f>P205+Q205</f>
        <v>6753.85</v>
      </c>
      <c r="P205" s="28">
        <v>0</v>
      </c>
      <c r="Q205" s="27">
        <v>6753.85</v>
      </c>
      <c r="R205" s="6"/>
    </row>
    <row r="206" spans="1:18" x14ac:dyDescent="0.25">
      <c r="A206" s="294">
        <f t="shared" si="9"/>
        <v>72</v>
      </c>
      <c r="B206" s="3" t="s">
        <v>36</v>
      </c>
      <c r="C206" s="3" t="s">
        <v>62</v>
      </c>
      <c r="D206" s="3" t="s">
        <v>63</v>
      </c>
      <c r="E206" s="3" t="s">
        <v>74</v>
      </c>
      <c r="F206" s="3" t="s">
        <v>465</v>
      </c>
      <c r="G206" s="4" t="s">
        <v>85</v>
      </c>
      <c r="H206" s="4">
        <v>5</v>
      </c>
      <c r="I206" s="4">
        <v>1</v>
      </c>
      <c r="J206" s="4">
        <v>1</v>
      </c>
      <c r="K206" s="28">
        <v>0</v>
      </c>
      <c r="L206" s="28">
        <v>0</v>
      </c>
      <c r="M206" s="28">
        <v>0</v>
      </c>
      <c r="N206" s="4">
        <v>4</v>
      </c>
      <c r="O206" s="28">
        <v>2643</v>
      </c>
      <c r="P206" s="28">
        <v>2643</v>
      </c>
      <c r="Q206" s="28">
        <v>0</v>
      </c>
      <c r="R206" s="6"/>
    </row>
    <row r="207" spans="1:18" x14ac:dyDescent="0.25">
      <c r="A207" s="294">
        <f t="shared" si="9"/>
        <v>73</v>
      </c>
      <c r="B207" s="3" t="s">
        <v>39</v>
      </c>
      <c r="C207" s="3" t="s">
        <v>62</v>
      </c>
      <c r="D207" s="3" t="s">
        <v>63</v>
      </c>
      <c r="E207" s="3" t="s">
        <v>77</v>
      </c>
      <c r="F207" s="3" t="s">
        <v>466</v>
      </c>
      <c r="G207" s="4" t="s">
        <v>85</v>
      </c>
      <c r="H207" s="4">
        <v>78</v>
      </c>
      <c r="I207" s="4">
        <v>61</v>
      </c>
      <c r="J207" s="4">
        <v>55</v>
      </c>
      <c r="K207" s="28">
        <v>21996.05</v>
      </c>
      <c r="L207" s="28">
        <v>11589.93</v>
      </c>
      <c r="M207" s="28">
        <v>10406.120000000001</v>
      </c>
      <c r="N207" s="4">
        <v>8</v>
      </c>
      <c r="O207" s="28">
        <v>16389.73</v>
      </c>
      <c r="P207" s="28">
        <v>11533.38</v>
      </c>
      <c r="Q207" s="28">
        <v>4856.3500000000004</v>
      </c>
      <c r="R207" s="6"/>
    </row>
    <row r="208" spans="1:18" ht="38.25" x14ac:dyDescent="0.25">
      <c r="A208" s="294">
        <f t="shared" si="9"/>
        <v>74</v>
      </c>
      <c r="B208" s="3" t="s">
        <v>40</v>
      </c>
      <c r="C208" s="3" t="s">
        <v>62</v>
      </c>
      <c r="D208" s="3" t="s">
        <v>63</v>
      </c>
      <c r="E208" s="3" t="s">
        <v>249</v>
      </c>
      <c r="F208" s="3" t="s">
        <v>250</v>
      </c>
      <c r="G208" s="4" t="s">
        <v>85</v>
      </c>
      <c r="H208" s="4">
        <v>23</v>
      </c>
      <c r="I208" s="4">
        <v>21</v>
      </c>
      <c r="J208" s="4">
        <v>29</v>
      </c>
      <c r="K208" s="28">
        <v>47627.72</v>
      </c>
      <c r="L208" s="28">
        <v>41183.26</v>
      </c>
      <c r="M208" s="28">
        <v>6444.46</v>
      </c>
      <c r="N208" s="4">
        <v>18</v>
      </c>
      <c r="O208" s="28">
        <v>44654.28</v>
      </c>
      <c r="P208" s="28">
        <v>44654.28</v>
      </c>
      <c r="Q208" s="28">
        <v>0</v>
      </c>
      <c r="R208" s="6"/>
    </row>
    <row r="209" spans="1:18" ht="25.5" x14ac:dyDescent="0.25">
      <c r="A209" s="294">
        <f t="shared" si="9"/>
        <v>75</v>
      </c>
      <c r="B209" s="3" t="s">
        <v>251</v>
      </c>
      <c r="C209" s="3" t="s">
        <v>62</v>
      </c>
      <c r="D209" s="3" t="s">
        <v>63</v>
      </c>
      <c r="E209" s="3" t="s">
        <v>177</v>
      </c>
      <c r="F209" s="3" t="s">
        <v>252</v>
      </c>
      <c r="G209" s="4" t="s">
        <v>85</v>
      </c>
      <c r="H209" s="4">
        <v>31</v>
      </c>
      <c r="I209" s="4">
        <v>21</v>
      </c>
      <c r="J209" s="4">
        <v>32</v>
      </c>
      <c r="K209" s="28">
        <v>26456.78</v>
      </c>
      <c r="L209" s="28">
        <v>24231.37</v>
      </c>
      <c r="M209" s="28">
        <v>2225.41</v>
      </c>
      <c r="N209" s="4">
        <v>0</v>
      </c>
      <c r="O209" s="28">
        <v>0</v>
      </c>
      <c r="P209" s="28">
        <v>0</v>
      </c>
      <c r="Q209" s="28">
        <v>0</v>
      </c>
      <c r="R209" s="6"/>
    </row>
    <row r="210" spans="1:18" x14ac:dyDescent="0.25">
      <c r="A210" s="294">
        <f t="shared" si="9"/>
        <v>76</v>
      </c>
      <c r="B210" s="3" t="s">
        <v>117</v>
      </c>
      <c r="C210" s="3" t="s">
        <v>62</v>
      </c>
      <c r="D210" s="3" t="s">
        <v>63</v>
      </c>
      <c r="E210" s="3" t="s">
        <v>74</v>
      </c>
      <c r="F210" s="3" t="s">
        <v>520</v>
      </c>
      <c r="G210" s="4" t="s">
        <v>85</v>
      </c>
      <c r="H210" s="4">
        <v>1</v>
      </c>
      <c r="I210" s="4">
        <v>1</v>
      </c>
      <c r="J210" s="4">
        <v>1</v>
      </c>
      <c r="K210" s="28">
        <v>2616.5700000000002</v>
      </c>
      <c r="L210" s="28">
        <v>2616.5700000000002</v>
      </c>
      <c r="M210" s="28">
        <v>0</v>
      </c>
      <c r="N210" s="4">
        <v>2</v>
      </c>
      <c r="O210" s="28">
        <v>581.46</v>
      </c>
      <c r="P210" s="28">
        <v>581.46</v>
      </c>
      <c r="Q210" s="28">
        <v>0</v>
      </c>
      <c r="R210" s="6"/>
    </row>
    <row r="211" spans="1:18" ht="25.5" x14ac:dyDescent="0.25">
      <c r="A211" s="294">
        <f t="shared" si="9"/>
        <v>77</v>
      </c>
      <c r="B211" s="3" t="s">
        <v>41</v>
      </c>
      <c r="C211" s="3" t="s">
        <v>64</v>
      </c>
      <c r="D211" s="3" t="s">
        <v>65</v>
      </c>
      <c r="E211" s="3" t="s">
        <v>72</v>
      </c>
      <c r="F211" s="3" t="s">
        <v>253</v>
      </c>
      <c r="G211" s="4" t="s">
        <v>85</v>
      </c>
      <c r="H211" s="4">
        <v>2</v>
      </c>
      <c r="I211" s="4">
        <v>2</v>
      </c>
      <c r="J211" s="4">
        <v>2</v>
      </c>
      <c r="K211" s="28">
        <v>1575.23</v>
      </c>
      <c r="L211" s="28">
        <v>1575.23</v>
      </c>
      <c r="M211" s="28">
        <v>0</v>
      </c>
      <c r="N211" s="4">
        <v>12</v>
      </c>
      <c r="O211" s="28">
        <v>33315.620000000003</v>
      </c>
      <c r="P211" s="28">
        <v>33315.620000000003</v>
      </c>
      <c r="Q211" s="28">
        <v>0</v>
      </c>
      <c r="R211" s="6"/>
    </row>
    <row r="212" spans="1:18" x14ac:dyDescent="0.25">
      <c r="A212" s="294">
        <f t="shared" si="9"/>
        <v>78</v>
      </c>
      <c r="B212" s="3" t="s">
        <v>118</v>
      </c>
      <c r="C212" s="3" t="s">
        <v>62</v>
      </c>
      <c r="D212" s="3" t="s">
        <v>63</v>
      </c>
      <c r="E212" s="3" t="s">
        <v>63</v>
      </c>
      <c r="F212" s="3" t="s">
        <v>467</v>
      </c>
      <c r="G212" s="4" t="s">
        <v>85</v>
      </c>
      <c r="H212" s="4">
        <v>5</v>
      </c>
      <c r="I212" s="4">
        <v>1</v>
      </c>
      <c r="J212" s="4">
        <v>1</v>
      </c>
      <c r="K212" s="28">
        <v>0</v>
      </c>
      <c r="L212" s="28">
        <v>0</v>
      </c>
      <c r="M212" s="28">
        <v>0</v>
      </c>
      <c r="N212" s="4">
        <v>1</v>
      </c>
      <c r="O212" s="28">
        <v>4722.2299999999996</v>
      </c>
      <c r="P212" s="28">
        <v>4722.2299999999996</v>
      </c>
      <c r="Q212" s="28">
        <v>0</v>
      </c>
      <c r="R212" s="6"/>
    </row>
    <row r="213" spans="1:18" ht="25.5" x14ac:dyDescent="0.25">
      <c r="A213" s="294">
        <f t="shared" si="9"/>
        <v>79</v>
      </c>
      <c r="B213" s="3" t="s">
        <v>548</v>
      </c>
      <c r="C213" s="3" t="s">
        <v>62</v>
      </c>
      <c r="D213" s="3" t="s">
        <v>63</v>
      </c>
      <c r="E213" s="3" t="s">
        <v>549</v>
      </c>
      <c r="F213" s="3" t="s">
        <v>550</v>
      </c>
      <c r="G213" s="4" t="s">
        <v>85</v>
      </c>
      <c r="H213" s="4">
        <v>3</v>
      </c>
      <c r="I213" s="4">
        <v>1</v>
      </c>
      <c r="J213" s="4">
        <v>1</v>
      </c>
      <c r="K213" s="28">
        <v>0</v>
      </c>
      <c r="L213" s="28">
        <v>0</v>
      </c>
      <c r="M213" s="28">
        <v>0</v>
      </c>
      <c r="N213" s="4">
        <v>0</v>
      </c>
      <c r="O213" s="28">
        <v>0</v>
      </c>
      <c r="P213" s="28">
        <v>0</v>
      </c>
      <c r="Q213" s="28">
        <v>0</v>
      </c>
      <c r="R213" s="6"/>
    </row>
    <row r="214" spans="1:18" ht="25.5" x14ac:dyDescent="0.25">
      <c r="A214" s="294">
        <f t="shared" si="9"/>
        <v>80</v>
      </c>
      <c r="B214" s="3" t="s">
        <v>254</v>
      </c>
      <c r="C214" s="3" t="s">
        <v>62</v>
      </c>
      <c r="D214" s="3" t="s">
        <v>63</v>
      </c>
      <c r="E214" s="3" t="s">
        <v>239</v>
      </c>
      <c r="F214" s="3" t="s">
        <v>255</v>
      </c>
      <c r="G214" s="4" t="s">
        <v>85</v>
      </c>
      <c r="H214" s="4">
        <v>7</v>
      </c>
      <c r="I214" s="4">
        <v>2</v>
      </c>
      <c r="J214" s="4">
        <v>2</v>
      </c>
      <c r="K214" s="28">
        <v>0</v>
      </c>
      <c r="L214" s="28">
        <v>0</v>
      </c>
      <c r="M214" s="28">
        <v>0</v>
      </c>
      <c r="N214" s="4">
        <v>0</v>
      </c>
      <c r="O214" s="28">
        <v>0</v>
      </c>
      <c r="P214" s="28">
        <v>0</v>
      </c>
      <c r="Q214" s="28">
        <v>0</v>
      </c>
      <c r="R214" s="6"/>
    </row>
    <row r="215" spans="1:18" x14ac:dyDescent="0.25">
      <c r="A215" s="294">
        <f t="shared" si="9"/>
        <v>81</v>
      </c>
      <c r="B215" s="3" t="s">
        <v>587</v>
      </c>
      <c r="C215" s="3" t="s">
        <v>62</v>
      </c>
      <c r="D215" s="3" t="s">
        <v>63</v>
      </c>
      <c r="E215" s="3" t="s">
        <v>63</v>
      </c>
      <c r="F215" s="3" t="s">
        <v>609</v>
      </c>
      <c r="G215" s="4" t="s">
        <v>85</v>
      </c>
      <c r="H215" s="4">
        <v>0</v>
      </c>
      <c r="I215" s="4">
        <v>0</v>
      </c>
      <c r="J215" s="4">
        <v>0</v>
      </c>
      <c r="K215" s="28">
        <v>0</v>
      </c>
      <c r="L215" s="28">
        <v>0</v>
      </c>
      <c r="M215" s="28">
        <v>0</v>
      </c>
      <c r="N215" s="4">
        <v>1</v>
      </c>
      <c r="O215" s="28">
        <v>0</v>
      </c>
      <c r="P215" s="28">
        <v>0</v>
      </c>
      <c r="Q215" s="28">
        <v>0</v>
      </c>
      <c r="R215" s="6"/>
    </row>
    <row r="216" spans="1:18" ht="25.5" x14ac:dyDescent="0.25">
      <c r="A216" s="294">
        <f t="shared" si="9"/>
        <v>82</v>
      </c>
      <c r="B216" s="3" t="s">
        <v>241</v>
      </c>
      <c r="C216" s="3" t="s">
        <v>62</v>
      </c>
      <c r="D216" s="3" t="s">
        <v>63</v>
      </c>
      <c r="E216" s="3" t="s">
        <v>242</v>
      </c>
      <c r="F216" s="3" t="s">
        <v>243</v>
      </c>
      <c r="G216" s="4" t="s">
        <v>85</v>
      </c>
      <c r="H216" s="4">
        <v>8</v>
      </c>
      <c r="I216" s="4">
        <v>7</v>
      </c>
      <c r="J216" s="4">
        <v>10</v>
      </c>
      <c r="K216" s="28">
        <v>3433.01</v>
      </c>
      <c r="L216" s="28">
        <v>3433.01</v>
      </c>
      <c r="M216" s="28">
        <v>0</v>
      </c>
      <c r="N216" s="4">
        <v>0</v>
      </c>
      <c r="O216" s="28">
        <v>0</v>
      </c>
      <c r="P216" s="28">
        <v>0</v>
      </c>
      <c r="Q216" s="28">
        <v>0</v>
      </c>
      <c r="R216" s="6"/>
    </row>
    <row r="217" spans="1:18" ht="38.25" x14ac:dyDescent="0.25">
      <c r="A217" s="294">
        <f t="shared" si="9"/>
        <v>83</v>
      </c>
      <c r="B217" s="3" t="s">
        <v>38</v>
      </c>
      <c r="C217" s="3" t="s">
        <v>62</v>
      </c>
      <c r="D217" s="3" t="s">
        <v>63</v>
      </c>
      <c r="E217" s="3" t="s">
        <v>244</v>
      </c>
      <c r="F217" s="3" t="s">
        <v>245</v>
      </c>
      <c r="G217" s="4" t="s">
        <v>85</v>
      </c>
      <c r="H217" s="4">
        <v>71</v>
      </c>
      <c r="I217" s="4">
        <v>53</v>
      </c>
      <c r="J217" s="4">
        <v>85</v>
      </c>
      <c r="K217" s="28">
        <v>119240.35</v>
      </c>
      <c r="L217" s="28">
        <v>88032.26</v>
      </c>
      <c r="M217" s="28">
        <v>31208.09</v>
      </c>
      <c r="N217" s="4">
        <v>79</v>
      </c>
      <c r="O217" s="28">
        <v>211691.13</v>
      </c>
      <c r="P217" s="28">
        <v>180429.03</v>
      </c>
      <c r="Q217" s="28">
        <v>31262.1</v>
      </c>
      <c r="R217" s="6"/>
    </row>
    <row r="218" spans="1:18" ht="25.5" x14ac:dyDescent="0.25">
      <c r="A218" s="294">
        <f t="shared" si="9"/>
        <v>84</v>
      </c>
      <c r="B218" s="3" t="s">
        <v>246</v>
      </c>
      <c r="C218" s="3" t="s">
        <v>62</v>
      </c>
      <c r="D218" s="3" t="s">
        <v>63</v>
      </c>
      <c r="E218" s="3" t="s">
        <v>247</v>
      </c>
      <c r="F218" s="3" t="s">
        <v>248</v>
      </c>
      <c r="G218" s="4" t="s">
        <v>85</v>
      </c>
      <c r="H218" s="4">
        <v>24</v>
      </c>
      <c r="I218" s="4">
        <v>16</v>
      </c>
      <c r="J218" s="4">
        <v>19</v>
      </c>
      <c r="K218" s="28">
        <f>L218+M218</f>
        <v>6203.94</v>
      </c>
      <c r="L218" s="28">
        <v>6203.94</v>
      </c>
      <c r="M218" s="28">
        <v>0</v>
      </c>
      <c r="N218" s="4">
        <v>0</v>
      </c>
      <c r="O218" s="28">
        <v>0</v>
      </c>
      <c r="P218" s="28">
        <v>0</v>
      </c>
      <c r="Q218" s="28">
        <v>0</v>
      </c>
      <c r="R218" s="6"/>
    </row>
    <row r="219" spans="1:18" x14ac:dyDescent="0.25">
      <c r="A219" s="294">
        <f t="shared" si="9"/>
        <v>85</v>
      </c>
      <c r="B219" s="3" t="s">
        <v>256</v>
      </c>
      <c r="C219" s="3" t="s">
        <v>62</v>
      </c>
      <c r="D219" s="3" t="s">
        <v>63</v>
      </c>
      <c r="E219" s="3" t="s">
        <v>158</v>
      </c>
      <c r="F219" s="3" t="s">
        <v>257</v>
      </c>
      <c r="G219" s="4" t="s">
        <v>85</v>
      </c>
      <c r="H219" s="4">
        <v>9</v>
      </c>
      <c r="I219" s="4">
        <v>4</v>
      </c>
      <c r="J219" s="4">
        <v>4</v>
      </c>
      <c r="K219" s="28">
        <v>2079.16</v>
      </c>
      <c r="L219" s="28">
        <v>2079.16</v>
      </c>
      <c r="M219" s="28">
        <v>0</v>
      </c>
      <c r="N219" s="4">
        <v>0</v>
      </c>
      <c r="O219" s="28">
        <v>0</v>
      </c>
      <c r="P219" s="28">
        <v>0</v>
      </c>
      <c r="Q219" s="28">
        <v>0</v>
      </c>
      <c r="R219" s="6"/>
    </row>
    <row r="220" spans="1:18" ht="25.5" x14ac:dyDescent="0.25">
      <c r="A220" s="294">
        <f t="shared" si="9"/>
        <v>86</v>
      </c>
      <c r="B220" s="3" t="s">
        <v>258</v>
      </c>
      <c r="C220" s="3" t="s">
        <v>62</v>
      </c>
      <c r="D220" s="3" t="s">
        <v>63</v>
      </c>
      <c r="E220" s="3" t="s">
        <v>239</v>
      </c>
      <c r="F220" s="3" t="s">
        <v>259</v>
      </c>
      <c r="G220" s="4" t="s">
        <v>85</v>
      </c>
      <c r="H220" s="4">
        <v>19</v>
      </c>
      <c r="I220" s="4">
        <v>13</v>
      </c>
      <c r="J220" s="4">
        <v>13</v>
      </c>
      <c r="K220" s="28">
        <v>1347.43</v>
      </c>
      <c r="L220" s="28">
        <v>1347.43</v>
      </c>
      <c r="M220" s="28">
        <v>0</v>
      </c>
      <c r="N220" s="4">
        <v>0</v>
      </c>
      <c r="O220" s="28">
        <v>0</v>
      </c>
      <c r="P220" s="28">
        <v>0</v>
      </c>
      <c r="Q220" s="28">
        <v>0</v>
      </c>
      <c r="R220" s="6"/>
    </row>
    <row r="221" spans="1:18" ht="25.5" x14ac:dyDescent="0.25">
      <c r="A221" s="294">
        <f t="shared" si="9"/>
        <v>87</v>
      </c>
      <c r="B221" s="3" t="s">
        <v>42</v>
      </c>
      <c r="C221" s="3" t="s">
        <v>62</v>
      </c>
      <c r="D221" s="3" t="s">
        <v>63</v>
      </c>
      <c r="E221" s="3" t="s">
        <v>78</v>
      </c>
      <c r="F221" s="3" t="s">
        <v>260</v>
      </c>
      <c r="G221" s="4" t="s">
        <v>85</v>
      </c>
      <c r="H221" s="4">
        <v>36</v>
      </c>
      <c r="I221" s="4">
        <v>27</v>
      </c>
      <c r="J221" s="4">
        <v>33</v>
      </c>
      <c r="K221" s="28">
        <f>L221+M221</f>
        <v>152929.63</v>
      </c>
      <c r="L221" s="28">
        <v>29428.3</v>
      </c>
      <c r="M221" s="28">
        <v>123501.33</v>
      </c>
      <c r="N221" s="4">
        <v>29</v>
      </c>
      <c r="O221" s="28">
        <v>62962.76</v>
      </c>
      <c r="P221" s="28">
        <v>59860.09</v>
      </c>
      <c r="Q221" s="28">
        <v>3102.67</v>
      </c>
      <c r="R221" s="6"/>
    </row>
    <row r="222" spans="1:18" ht="25.5" x14ac:dyDescent="0.25">
      <c r="A222" s="294">
        <f t="shared" si="9"/>
        <v>88</v>
      </c>
      <c r="B222" s="3" t="s">
        <v>43</v>
      </c>
      <c r="C222" s="3" t="s">
        <v>62</v>
      </c>
      <c r="D222" s="3" t="s">
        <v>63</v>
      </c>
      <c r="E222" s="3" t="s">
        <v>72</v>
      </c>
      <c r="F222" s="3" t="s">
        <v>261</v>
      </c>
      <c r="G222" s="4" t="s">
        <v>85</v>
      </c>
      <c r="H222" s="4">
        <v>21</v>
      </c>
      <c r="I222" s="4">
        <v>15</v>
      </c>
      <c r="J222" s="4">
        <v>20</v>
      </c>
      <c r="K222" s="28">
        <v>22770.03</v>
      </c>
      <c r="L222" s="28">
        <v>22770.03</v>
      </c>
      <c r="M222" s="28">
        <v>0</v>
      </c>
      <c r="N222" s="4">
        <v>37</v>
      </c>
      <c r="O222" s="28">
        <v>87291.33</v>
      </c>
      <c r="P222" s="28">
        <v>87291.33</v>
      </c>
      <c r="Q222" s="28">
        <v>0</v>
      </c>
      <c r="R222" s="6"/>
    </row>
    <row r="223" spans="1:18" x14ac:dyDescent="0.25">
      <c r="A223" s="294">
        <f t="shared" si="9"/>
        <v>89</v>
      </c>
      <c r="B223" s="3" t="s">
        <v>44</v>
      </c>
      <c r="C223" s="3" t="s">
        <v>62</v>
      </c>
      <c r="D223" s="3" t="s">
        <v>63</v>
      </c>
      <c r="E223" s="3" t="s">
        <v>74</v>
      </c>
      <c r="F223" s="3" t="s">
        <v>262</v>
      </c>
      <c r="G223" s="4" t="s">
        <v>85</v>
      </c>
      <c r="H223" s="4">
        <v>36</v>
      </c>
      <c r="I223" s="4">
        <v>27</v>
      </c>
      <c r="J223" s="4">
        <v>31</v>
      </c>
      <c r="K223" s="28">
        <v>12746.49</v>
      </c>
      <c r="L223" s="28">
        <v>9759.7199999999993</v>
      </c>
      <c r="M223" s="28">
        <v>2986.77</v>
      </c>
      <c r="N223" s="4">
        <v>33</v>
      </c>
      <c r="O223" s="28">
        <v>83628.98</v>
      </c>
      <c r="P223" s="28">
        <v>80034.320000000007</v>
      </c>
      <c r="Q223" s="28">
        <v>3594.66</v>
      </c>
      <c r="R223" s="6"/>
    </row>
    <row r="224" spans="1:18" ht="25.5" x14ac:dyDescent="0.25">
      <c r="A224" s="294">
        <f t="shared" si="9"/>
        <v>90</v>
      </c>
      <c r="B224" s="3" t="s">
        <v>45</v>
      </c>
      <c r="C224" s="3" t="s">
        <v>62</v>
      </c>
      <c r="D224" s="3" t="s">
        <v>63</v>
      </c>
      <c r="E224" s="3" t="s">
        <v>79</v>
      </c>
      <c r="F224" s="3" t="s">
        <v>263</v>
      </c>
      <c r="G224" s="4" t="s">
        <v>85</v>
      </c>
      <c r="H224" s="4">
        <v>14</v>
      </c>
      <c r="I224" s="4">
        <v>9</v>
      </c>
      <c r="J224" s="4">
        <v>14</v>
      </c>
      <c r="K224" s="28">
        <v>11874.43</v>
      </c>
      <c r="L224" s="28">
        <v>7644.39</v>
      </c>
      <c r="M224" s="28">
        <v>4230.04</v>
      </c>
      <c r="N224" s="4">
        <v>3</v>
      </c>
      <c r="O224" s="28">
        <v>17166.18</v>
      </c>
      <c r="P224" s="28">
        <v>17166.18</v>
      </c>
      <c r="Q224" s="28">
        <v>0</v>
      </c>
      <c r="R224" s="6"/>
    </row>
    <row r="225" spans="1:18" x14ac:dyDescent="0.25">
      <c r="A225" s="294">
        <f t="shared" si="9"/>
        <v>91</v>
      </c>
      <c r="B225" s="3" t="s">
        <v>264</v>
      </c>
      <c r="C225" s="3" t="s">
        <v>62</v>
      </c>
      <c r="D225" s="3" t="s">
        <v>63</v>
      </c>
      <c r="E225" s="3" t="s">
        <v>74</v>
      </c>
      <c r="F225" s="3" t="s">
        <v>265</v>
      </c>
      <c r="G225" s="4" t="s">
        <v>85</v>
      </c>
      <c r="H225" s="4">
        <v>22</v>
      </c>
      <c r="I225" s="4">
        <v>17</v>
      </c>
      <c r="J225" s="4">
        <v>19</v>
      </c>
      <c r="K225" s="28">
        <v>10073.64</v>
      </c>
      <c r="L225" s="28">
        <v>10073.64</v>
      </c>
      <c r="M225" s="28">
        <v>0</v>
      </c>
      <c r="N225" s="4">
        <v>0</v>
      </c>
      <c r="O225" s="28">
        <v>0</v>
      </c>
      <c r="P225" s="28">
        <v>0</v>
      </c>
      <c r="Q225" s="28">
        <v>0</v>
      </c>
      <c r="R225" s="6"/>
    </row>
    <row r="226" spans="1:18" ht="25.5" x14ac:dyDescent="0.25">
      <c r="A226" s="294">
        <f t="shared" si="9"/>
        <v>92</v>
      </c>
      <c r="B226" s="3" t="s">
        <v>119</v>
      </c>
      <c r="C226" s="3" t="s">
        <v>62</v>
      </c>
      <c r="D226" s="3" t="s">
        <v>63</v>
      </c>
      <c r="E226" s="3" t="s">
        <v>108</v>
      </c>
      <c r="F226" s="3" t="s">
        <v>266</v>
      </c>
      <c r="G226" s="4" t="s">
        <v>85</v>
      </c>
      <c r="H226" s="4">
        <v>16</v>
      </c>
      <c r="I226" s="4">
        <v>12</v>
      </c>
      <c r="J226" s="4">
        <v>14</v>
      </c>
      <c r="K226" s="28">
        <f>L226+M226</f>
        <v>11504.81</v>
      </c>
      <c r="L226" s="28">
        <f>8738.09+251.21</f>
        <v>8989.2999999999993</v>
      </c>
      <c r="M226" s="28">
        <f>2766.72-251.21</f>
        <v>2515.5099999999998</v>
      </c>
      <c r="N226" s="4">
        <v>3</v>
      </c>
      <c r="O226" s="28">
        <v>1291.3499999999999</v>
      </c>
      <c r="P226" s="28">
        <v>1291.3499999999999</v>
      </c>
      <c r="Q226" s="28">
        <v>0</v>
      </c>
      <c r="R226" s="6"/>
    </row>
    <row r="227" spans="1:18" ht="38.25" x14ac:dyDescent="0.25">
      <c r="A227" s="294">
        <f t="shared" si="9"/>
        <v>93</v>
      </c>
      <c r="B227" s="3" t="s">
        <v>46</v>
      </c>
      <c r="C227" s="3" t="s">
        <v>62</v>
      </c>
      <c r="D227" s="3" t="s">
        <v>63</v>
      </c>
      <c r="E227" s="3" t="s">
        <v>267</v>
      </c>
      <c r="F227" s="3" t="s">
        <v>268</v>
      </c>
      <c r="G227" s="4" t="s">
        <v>85</v>
      </c>
      <c r="H227" s="4">
        <v>19</v>
      </c>
      <c r="I227" s="4">
        <v>15</v>
      </c>
      <c r="J227" s="4">
        <v>24</v>
      </c>
      <c r="K227" s="28">
        <v>28839.57</v>
      </c>
      <c r="L227" s="28">
        <v>19256.34</v>
      </c>
      <c r="M227" s="28">
        <v>9583.23</v>
      </c>
      <c r="N227" s="4">
        <v>22</v>
      </c>
      <c r="O227" s="28">
        <v>114070.48</v>
      </c>
      <c r="P227" s="28">
        <v>91463.84</v>
      </c>
      <c r="Q227" s="28">
        <v>22606.639999999999</v>
      </c>
      <c r="R227" s="6"/>
    </row>
    <row r="228" spans="1:18" ht="25.5" x14ac:dyDescent="0.25">
      <c r="A228" s="294">
        <f t="shared" si="9"/>
        <v>94</v>
      </c>
      <c r="B228" s="3" t="s">
        <v>47</v>
      </c>
      <c r="C228" s="3" t="s">
        <v>62</v>
      </c>
      <c r="D228" s="3" t="s">
        <v>63</v>
      </c>
      <c r="E228" s="3" t="s">
        <v>80</v>
      </c>
      <c r="F228" s="3" t="s">
        <v>269</v>
      </c>
      <c r="G228" s="4" t="s">
        <v>85</v>
      </c>
      <c r="H228" s="4">
        <v>59</v>
      </c>
      <c r="I228" s="4">
        <v>43</v>
      </c>
      <c r="J228" s="4">
        <v>65</v>
      </c>
      <c r="K228" s="28">
        <v>96454.75</v>
      </c>
      <c r="L228" s="28">
        <v>61380.47</v>
      </c>
      <c r="M228" s="28">
        <v>35074.28</v>
      </c>
      <c r="N228" s="4">
        <v>108</v>
      </c>
      <c r="O228" s="28">
        <v>399569.58</v>
      </c>
      <c r="P228" s="28">
        <v>295249.23</v>
      </c>
      <c r="Q228" s="28">
        <v>104320.35</v>
      </c>
      <c r="R228" s="6"/>
    </row>
    <row r="229" spans="1:18" ht="25.5" x14ac:dyDescent="0.25">
      <c r="A229" s="294">
        <f t="shared" si="9"/>
        <v>95</v>
      </c>
      <c r="B229" s="3" t="s">
        <v>270</v>
      </c>
      <c r="C229" s="3" t="s">
        <v>62</v>
      </c>
      <c r="D229" s="3" t="s">
        <v>63</v>
      </c>
      <c r="E229" s="3" t="s">
        <v>271</v>
      </c>
      <c r="F229" s="3" t="s">
        <v>272</v>
      </c>
      <c r="G229" s="4" t="s">
        <v>85</v>
      </c>
      <c r="H229" s="4">
        <v>14</v>
      </c>
      <c r="I229" s="4">
        <v>8</v>
      </c>
      <c r="J229" s="4">
        <v>10</v>
      </c>
      <c r="K229" s="28">
        <v>6888.14</v>
      </c>
      <c r="L229" s="28">
        <v>6888.14</v>
      </c>
      <c r="M229" s="28">
        <v>0</v>
      </c>
      <c r="N229" s="4">
        <v>0</v>
      </c>
      <c r="O229" s="28">
        <v>0</v>
      </c>
      <c r="P229" s="28">
        <v>0</v>
      </c>
      <c r="Q229" s="28">
        <v>0</v>
      </c>
      <c r="R229" s="6"/>
    </row>
    <row r="230" spans="1:18" ht="25.5" x14ac:dyDescent="0.25">
      <c r="A230" s="294">
        <f t="shared" si="9"/>
        <v>96</v>
      </c>
      <c r="B230" s="3" t="s">
        <v>273</v>
      </c>
      <c r="C230" s="3" t="s">
        <v>62</v>
      </c>
      <c r="D230" s="3" t="s">
        <v>63</v>
      </c>
      <c r="E230" s="3" t="s">
        <v>186</v>
      </c>
      <c r="F230" s="3" t="s">
        <v>511</v>
      </c>
      <c r="G230" s="4" t="s">
        <v>85</v>
      </c>
      <c r="H230" s="4">
        <v>7</v>
      </c>
      <c r="I230" s="4">
        <v>0</v>
      </c>
      <c r="J230" s="4">
        <v>0</v>
      </c>
      <c r="K230" s="28">
        <v>0</v>
      </c>
      <c r="L230" s="28">
        <v>0</v>
      </c>
      <c r="M230" s="28">
        <v>0</v>
      </c>
      <c r="N230" s="4">
        <v>0</v>
      </c>
      <c r="O230" s="28">
        <v>0</v>
      </c>
      <c r="P230" s="28">
        <v>0</v>
      </c>
      <c r="Q230" s="28">
        <v>0</v>
      </c>
      <c r="R230" s="6"/>
    </row>
    <row r="231" spans="1:18" x14ac:dyDescent="0.25">
      <c r="A231" s="294">
        <f t="shared" si="9"/>
        <v>97</v>
      </c>
      <c r="B231" s="3" t="s">
        <v>490</v>
      </c>
      <c r="C231" s="3" t="s">
        <v>62</v>
      </c>
      <c r="D231" s="3" t="s">
        <v>63</v>
      </c>
      <c r="E231" s="3" t="s">
        <v>491</v>
      </c>
      <c r="F231" s="3" t="s">
        <v>492</v>
      </c>
      <c r="G231" s="4" t="s">
        <v>85</v>
      </c>
      <c r="H231" s="4">
        <v>9</v>
      </c>
      <c r="I231" s="4">
        <v>6</v>
      </c>
      <c r="J231" s="4">
        <v>8</v>
      </c>
      <c r="K231" s="28">
        <v>0</v>
      </c>
      <c r="L231" s="28">
        <v>0</v>
      </c>
      <c r="M231" s="28">
        <v>0</v>
      </c>
      <c r="N231" s="4">
        <v>0</v>
      </c>
      <c r="O231" s="28">
        <v>0</v>
      </c>
      <c r="P231" s="28">
        <v>0</v>
      </c>
      <c r="Q231" s="28">
        <v>0</v>
      </c>
      <c r="R231" s="6"/>
    </row>
    <row r="232" spans="1:18" x14ac:dyDescent="0.25">
      <c r="A232" s="294">
        <f t="shared" si="9"/>
        <v>98</v>
      </c>
      <c r="B232" s="3" t="s">
        <v>94</v>
      </c>
      <c r="C232" s="3" t="s">
        <v>62</v>
      </c>
      <c r="D232" s="3" t="s">
        <v>63</v>
      </c>
      <c r="E232" s="3" t="s">
        <v>74</v>
      </c>
      <c r="F232" s="3" t="s">
        <v>274</v>
      </c>
      <c r="G232" s="4" t="s">
        <v>85</v>
      </c>
      <c r="H232" s="4">
        <v>14</v>
      </c>
      <c r="I232" s="4">
        <v>2</v>
      </c>
      <c r="J232" s="4">
        <v>2</v>
      </c>
      <c r="K232" s="28">
        <v>1613.29</v>
      </c>
      <c r="L232" s="28">
        <v>1613.29</v>
      </c>
      <c r="M232" s="28">
        <v>0</v>
      </c>
      <c r="N232" s="4">
        <v>6</v>
      </c>
      <c r="O232" s="28">
        <v>4493.33</v>
      </c>
      <c r="P232" s="28">
        <v>4493.33</v>
      </c>
      <c r="Q232" s="28">
        <v>0</v>
      </c>
      <c r="R232" s="6"/>
    </row>
    <row r="233" spans="1:18" ht="25.5" x14ac:dyDescent="0.25">
      <c r="A233" s="294">
        <f t="shared" si="9"/>
        <v>99</v>
      </c>
      <c r="B233" s="3" t="s">
        <v>120</v>
      </c>
      <c r="C233" s="3" t="s">
        <v>67</v>
      </c>
      <c r="D233" s="3" t="s">
        <v>493</v>
      </c>
      <c r="E233" s="3" t="s">
        <v>121</v>
      </c>
      <c r="F233" s="3" t="s">
        <v>468</v>
      </c>
      <c r="G233" s="4" t="s">
        <v>85</v>
      </c>
      <c r="H233" s="4">
        <v>9</v>
      </c>
      <c r="I233" s="4">
        <v>6</v>
      </c>
      <c r="J233" s="4">
        <v>7</v>
      </c>
      <c r="K233" s="28">
        <v>2760</v>
      </c>
      <c r="L233" s="28">
        <v>2760</v>
      </c>
      <c r="M233" s="28">
        <v>0</v>
      </c>
      <c r="N233" s="4">
        <v>0</v>
      </c>
      <c r="O233" s="28">
        <v>0</v>
      </c>
      <c r="P233" s="28">
        <v>0</v>
      </c>
      <c r="Q233" s="28">
        <v>0</v>
      </c>
      <c r="R233" s="6"/>
    </row>
    <row r="234" spans="1:18" ht="25.5" x14ac:dyDescent="0.25">
      <c r="A234" s="294">
        <f t="shared" si="9"/>
        <v>100</v>
      </c>
      <c r="B234" s="3" t="s">
        <v>407</v>
      </c>
      <c r="C234" s="3" t="s">
        <v>611</v>
      </c>
      <c r="D234" s="3" t="s">
        <v>611</v>
      </c>
      <c r="E234" s="3" t="s">
        <v>186</v>
      </c>
      <c r="F234" s="3" t="s">
        <v>512</v>
      </c>
      <c r="G234" s="4" t="s">
        <v>85</v>
      </c>
      <c r="H234" s="4">
        <v>2</v>
      </c>
      <c r="I234" s="4">
        <v>2</v>
      </c>
      <c r="J234" s="4">
        <v>2</v>
      </c>
      <c r="K234" s="28">
        <v>0</v>
      </c>
      <c r="L234" s="28">
        <v>0</v>
      </c>
      <c r="M234" s="28">
        <v>0</v>
      </c>
      <c r="N234" s="4">
        <v>0</v>
      </c>
      <c r="O234" s="28">
        <v>0</v>
      </c>
      <c r="P234" s="28">
        <v>0</v>
      </c>
      <c r="Q234" s="28">
        <v>0</v>
      </c>
      <c r="R234" s="6"/>
    </row>
    <row r="235" spans="1:18" ht="25.5" x14ac:dyDescent="0.25">
      <c r="A235" s="294">
        <f t="shared" si="9"/>
        <v>101</v>
      </c>
      <c r="B235" s="3" t="s">
        <v>122</v>
      </c>
      <c r="C235" s="3" t="s">
        <v>62</v>
      </c>
      <c r="D235" s="3" t="s">
        <v>63</v>
      </c>
      <c r="E235" s="3" t="s">
        <v>275</v>
      </c>
      <c r="F235" s="3" t="s">
        <v>276</v>
      </c>
      <c r="G235" s="4" t="s">
        <v>85</v>
      </c>
      <c r="H235" s="4">
        <v>11</v>
      </c>
      <c r="I235" s="4">
        <v>10</v>
      </c>
      <c r="J235" s="4">
        <v>14</v>
      </c>
      <c r="K235" s="28">
        <v>5471.36</v>
      </c>
      <c r="L235" s="28">
        <v>5471.36</v>
      </c>
      <c r="M235" s="28">
        <v>0</v>
      </c>
      <c r="N235" s="4">
        <v>5</v>
      </c>
      <c r="O235" s="28">
        <v>7270.27</v>
      </c>
      <c r="P235" s="28">
        <v>7270.27</v>
      </c>
      <c r="Q235" s="28">
        <v>0</v>
      </c>
      <c r="R235" s="6"/>
    </row>
    <row r="236" spans="1:18" x14ac:dyDescent="0.25">
      <c r="A236" s="294">
        <f t="shared" si="9"/>
        <v>102</v>
      </c>
      <c r="B236" s="3" t="s">
        <v>133</v>
      </c>
      <c r="C236" s="3" t="s">
        <v>67</v>
      </c>
      <c r="D236" s="3" t="s">
        <v>494</v>
      </c>
      <c r="E236" s="3" t="s">
        <v>74</v>
      </c>
      <c r="F236" s="3" t="s">
        <v>620</v>
      </c>
      <c r="G236" s="4" t="s">
        <v>85</v>
      </c>
      <c r="H236" s="4">
        <v>9</v>
      </c>
      <c r="I236" s="4">
        <v>5</v>
      </c>
      <c r="J236" s="4">
        <v>7</v>
      </c>
      <c r="K236" s="28">
        <v>6859.43</v>
      </c>
      <c r="L236" s="28">
        <v>6859.43</v>
      </c>
      <c r="M236" s="28">
        <v>0</v>
      </c>
      <c r="N236" s="4">
        <v>0</v>
      </c>
      <c r="O236" s="28">
        <v>0</v>
      </c>
      <c r="P236" s="28">
        <v>0</v>
      </c>
      <c r="Q236" s="28">
        <v>0</v>
      </c>
      <c r="R236" s="6"/>
    </row>
    <row r="237" spans="1:18" x14ac:dyDescent="0.25">
      <c r="A237" s="294">
        <f t="shared" si="9"/>
        <v>103</v>
      </c>
      <c r="B237" s="3" t="s">
        <v>96</v>
      </c>
      <c r="C237" s="3" t="s">
        <v>62</v>
      </c>
      <c r="D237" s="3" t="s">
        <v>63</v>
      </c>
      <c r="E237" s="3" t="s">
        <v>98</v>
      </c>
      <c r="F237" s="3" t="s">
        <v>277</v>
      </c>
      <c r="G237" s="4" t="s">
        <v>85</v>
      </c>
      <c r="H237" s="4">
        <v>30</v>
      </c>
      <c r="I237" s="4">
        <v>10</v>
      </c>
      <c r="J237" s="4">
        <v>12</v>
      </c>
      <c r="K237" s="28">
        <v>7539.6</v>
      </c>
      <c r="L237" s="28">
        <v>7539.6</v>
      </c>
      <c r="M237" s="28">
        <v>0</v>
      </c>
      <c r="N237" s="4">
        <v>11</v>
      </c>
      <c r="O237" s="28">
        <v>24982.959999999999</v>
      </c>
      <c r="P237" s="28">
        <v>18644</v>
      </c>
      <c r="Q237" s="28">
        <v>6338.96</v>
      </c>
      <c r="R237" s="6"/>
    </row>
    <row r="238" spans="1:18" ht="25.5" x14ac:dyDescent="0.25">
      <c r="A238" s="294">
        <f t="shared" si="9"/>
        <v>104</v>
      </c>
      <c r="B238" s="3" t="s">
        <v>48</v>
      </c>
      <c r="C238" s="3" t="s">
        <v>62</v>
      </c>
      <c r="D238" s="3" t="s">
        <v>63</v>
      </c>
      <c r="E238" s="3" t="s">
        <v>81</v>
      </c>
      <c r="F238" s="3" t="s">
        <v>278</v>
      </c>
      <c r="G238" s="4" t="s">
        <v>85</v>
      </c>
      <c r="H238" s="4">
        <v>39</v>
      </c>
      <c r="I238" s="4">
        <v>32</v>
      </c>
      <c r="J238" s="4">
        <v>45</v>
      </c>
      <c r="K238" s="28">
        <v>24013.86</v>
      </c>
      <c r="L238" s="28">
        <v>11717.75</v>
      </c>
      <c r="M238" s="28">
        <v>12296.11</v>
      </c>
      <c r="N238" s="4">
        <v>12</v>
      </c>
      <c r="O238" s="28">
        <f>P238+Q238</f>
        <v>57642.479999999996</v>
      </c>
      <c r="P238" s="28">
        <v>34796.1</v>
      </c>
      <c r="Q238" s="28">
        <f>11324.65+11521.73</f>
        <v>22846.379999999997</v>
      </c>
      <c r="R238" s="6"/>
    </row>
    <row r="239" spans="1:18" ht="25.5" x14ac:dyDescent="0.25">
      <c r="A239" s="294">
        <f t="shared" si="9"/>
        <v>105</v>
      </c>
      <c r="B239" s="3" t="s">
        <v>50</v>
      </c>
      <c r="C239" s="3" t="s">
        <v>67</v>
      </c>
      <c r="D239" s="3" t="s">
        <v>123</v>
      </c>
      <c r="E239" s="3" t="s">
        <v>82</v>
      </c>
      <c r="F239" s="3" t="s">
        <v>280</v>
      </c>
      <c r="G239" s="4" t="s">
        <v>85</v>
      </c>
      <c r="H239" s="4">
        <v>7</v>
      </c>
      <c r="I239" s="4">
        <v>1</v>
      </c>
      <c r="J239" s="4">
        <v>1</v>
      </c>
      <c r="K239" s="28">
        <v>0</v>
      </c>
      <c r="L239" s="28">
        <v>0</v>
      </c>
      <c r="M239" s="28">
        <v>0</v>
      </c>
      <c r="N239" s="4">
        <v>4</v>
      </c>
      <c r="O239" s="28">
        <v>7205.22</v>
      </c>
      <c r="P239" s="28">
        <v>7205.22</v>
      </c>
      <c r="Q239" s="28">
        <v>0</v>
      </c>
      <c r="R239" s="6"/>
    </row>
    <row r="240" spans="1:18" ht="25.5" x14ac:dyDescent="0.25">
      <c r="A240" s="294">
        <f t="shared" si="9"/>
        <v>106</v>
      </c>
      <c r="B240" s="3" t="s">
        <v>281</v>
      </c>
      <c r="C240" s="3" t="s">
        <v>62</v>
      </c>
      <c r="D240" s="3" t="s">
        <v>63</v>
      </c>
      <c r="E240" s="3" t="s">
        <v>282</v>
      </c>
      <c r="F240" s="3" t="s">
        <v>283</v>
      </c>
      <c r="G240" s="4" t="s">
        <v>85</v>
      </c>
      <c r="H240" s="4">
        <v>23</v>
      </c>
      <c r="I240" s="4">
        <v>5</v>
      </c>
      <c r="J240" s="4">
        <v>5</v>
      </c>
      <c r="K240" s="28">
        <v>0</v>
      </c>
      <c r="L240" s="28">
        <v>0</v>
      </c>
      <c r="M240" s="28">
        <v>0</v>
      </c>
      <c r="N240" s="4">
        <v>0</v>
      </c>
      <c r="O240" s="28">
        <v>0</v>
      </c>
      <c r="P240" s="28">
        <v>0</v>
      </c>
      <c r="Q240" s="28">
        <v>0</v>
      </c>
      <c r="R240" s="6"/>
    </row>
    <row r="241" spans="1:18" x14ac:dyDescent="0.25">
      <c r="A241" s="294">
        <f t="shared" si="9"/>
        <v>107</v>
      </c>
      <c r="B241" s="3" t="s">
        <v>49</v>
      </c>
      <c r="C241" s="3" t="s">
        <v>62</v>
      </c>
      <c r="D241" s="3" t="s">
        <v>63</v>
      </c>
      <c r="E241" s="3" t="s">
        <v>74</v>
      </c>
      <c r="F241" s="3" t="s">
        <v>279</v>
      </c>
      <c r="G241" s="4" t="s">
        <v>85</v>
      </c>
      <c r="H241" s="4">
        <v>22</v>
      </c>
      <c r="I241" s="4">
        <v>18</v>
      </c>
      <c r="J241" s="4">
        <v>20</v>
      </c>
      <c r="K241" s="28">
        <f>L241+M241</f>
        <v>16429.5</v>
      </c>
      <c r="L241" s="28">
        <v>10483.14</v>
      </c>
      <c r="M241" s="28">
        <v>5946.36</v>
      </c>
      <c r="N241" s="4">
        <v>5</v>
      </c>
      <c r="O241" s="28">
        <v>37590.26</v>
      </c>
      <c r="P241" s="28">
        <v>37590.26</v>
      </c>
      <c r="Q241" s="28">
        <v>0</v>
      </c>
      <c r="R241" s="6"/>
    </row>
    <row r="242" spans="1:18" x14ac:dyDescent="0.25">
      <c r="A242" s="294">
        <f t="shared" si="9"/>
        <v>108</v>
      </c>
      <c r="B242" s="3" t="s">
        <v>124</v>
      </c>
      <c r="C242" s="3" t="s">
        <v>62</v>
      </c>
      <c r="D242" s="3" t="s">
        <v>63</v>
      </c>
      <c r="E242" s="3" t="s">
        <v>63</v>
      </c>
      <c r="F242" s="3" t="s">
        <v>284</v>
      </c>
      <c r="G242" s="4" t="s">
        <v>85</v>
      </c>
      <c r="H242" s="4">
        <v>30</v>
      </c>
      <c r="I242" s="4">
        <v>25</v>
      </c>
      <c r="J242" s="4">
        <v>32</v>
      </c>
      <c r="K242" s="28">
        <v>22572.28</v>
      </c>
      <c r="L242" s="28">
        <v>18034.61</v>
      </c>
      <c r="M242" s="28">
        <v>4537.67</v>
      </c>
      <c r="N242" s="4">
        <v>16</v>
      </c>
      <c r="O242" s="28">
        <v>18186.439999999999</v>
      </c>
      <c r="P242" s="28">
        <v>18186.439999999999</v>
      </c>
      <c r="Q242" s="28">
        <v>0</v>
      </c>
      <c r="R242" s="6"/>
    </row>
    <row r="243" spans="1:18" x14ac:dyDescent="0.25">
      <c r="A243" s="294">
        <f t="shared" si="9"/>
        <v>109</v>
      </c>
      <c r="B243" s="3" t="s">
        <v>51</v>
      </c>
      <c r="C243" s="3" t="s">
        <v>62</v>
      </c>
      <c r="D243" s="3" t="s">
        <v>63</v>
      </c>
      <c r="E243" s="3" t="s">
        <v>74</v>
      </c>
      <c r="F243" s="3" t="s">
        <v>285</v>
      </c>
      <c r="G243" s="4" t="s">
        <v>85</v>
      </c>
      <c r="H243" s="4">
        <v>16</v>
      </c>
      <c r="I243" s="4">
        <v>15</v>
      </c>
      <c r="J243" s="4">
        <v>15</v>
      </c>
      <c r="K243" s="28">
        <v>2325.7399999999998</v>
      </c>
      <c r="L243" s="28">
        <v>2325.7399999999998</v>
      </c>
      <c r="M243" s="28">
        <v>0</v>
      </c>
      <c r="N243" s="4">
        <v>10</v>
      </c>
      <c r="O243" s="28">
        <v>1797.24</v>
      </c>
      <c r="P243" s="28">
        <v>1797.24</v>
      </c>
      <c r="Q243" s="28">
        <v>0</v>
      </c>
      <c r="R243" s="6"/>
    </row>
    <row r="244" spans="1:18" ht="25.5" x14ac:dyDescent="0.25">
      <c r="A244" s="294">
        <f t="shared" si="9"/>
        <v>110</v>
      </c>
      <c r="B244" s="3" t="s">
        <v>286</v>
      </c>
      <c r="C244" s="3" t="s">
        <v>62</v>
      </c>
      <c r="D244" s="3" t="s">
        <v>63</v>
      </c>
      <c r="E244" s="3" t="s">
        <v>174</v>
      </c>
      <c r="F244" s="3" t="s">
        <v>287</v>
      </c>
      <c r="G244" s="4" t="s">
        <v>85</v>
      </c>
      <c r="H244" s="4">
        <v>10</v>
      </c>
      <c r="I244" s="4">
        <v>8</v>
      </c>
      <c r="J244" s="4">
        <v>9</v>
      </c>
      <c r="K244" s="28">
        <v>1399.03</v>
      </c>
      <c r="L244" s="28">
        <v>1399.03</v>
      </c>
      <c r="M244" s="28">
        <v>0</v>
      </c>
      <c r="N244" s="4">
        <v>0</v>
      </c>
      <c r="O244" s="28">
        <v>0</v>
      </c>
      <c r="P244" s="28">
        <v>0</v>
      </c>
      <c r="Q244" s="28">
        <v>0</v>
      </c>
      <c r="R244" s="6"/>
    </row>
    <row r="245" spans="1:18" x14ac:dyDescent="0.25">
      <c r="A245" s="294">
        <f t="shared" si="9"/>
        <v>111</v>
      </c>
      <c r="B245" s="3" t="s">
        <v>52</v>
      </c>
      <c r="C245" s="3" t="s">
        <v>62</v>
      </c>
      <c r="D245" s="3" t="s">
        <v>63</v>
      </c>
      <c r="E245" s="3" t="s">
        <v>74</v>
      </c>
      <c r="F245" s="3" t="s">
        <v>125</v>
      </c>
      <c r="G245" s="4" t="s">
        <v>85</v>
      </c>
      <c r="H245" s="4">
        <v>3</v>
      </c>
      <c r="I245" s="4">
        <v>0</v>
      </c>
      <c r="J245" s="4">
        <v>0</v>
      </c>
      <c r="K245" s="28">
        <v>0</v>
      </c>
      <c r="L245" s="28">
        <v>0</v>
      </c>
      <c r="M245" s="28">
        <v>0</v>
      </c>
      <c r="N245" s="4">
        <v>0</v>
      </c>
      <c r="O245" s="28">
        <v>0</v>
      </c>
      <c r="P245" s="28">
        <v>0</v>
      </c>
      <c r="Q245" s="28">
        <v>0</v>
      </c>
      <c r="R245" s="6"/>
    </row>
    <row r="246" spans="1:18" x14ac:dyDescent="0.25">
      <c r="A246" s="294">
        <f t="shared" si="9"/>
        <v>112</v>
      </c>
      <c r="B246" s="3" t="s">
        <v>469</v>
      </c>
      <c r="C246" s="3" t="s">
        <v>62</v>
      </c>
      <c r="D246" s="3" t="s">
        <v>63</v>
      </c>
      <c r="E246" s="3" t="s">
        <v>74</v>
      </c>
      <c r="F246" s="3" t="s">
        <v>470</v>
      </c>
      <c r="G246" s="4" t="s">
        <v>85</v>
      </c>
      <c r="H246" s="4">
        <v>1</v>
      </c>
      <c r="I246" s="4">
        <v>0</v>
      </c>
      <c r="J246" s="4">
        <v>0</v>
      </c>
      <c r="K246" s="28">
        <v>0</v>
      </c>
      <c r="L246" s="28">
        <v>0</v>
      </c>
      <c r="M246" s="28">
        <v>0</v>
      </c>
      <c r="N246" s="4">
        <v>0</v>
      </c>
      <c r="O246" s="28">
        <v>0</v>
      </c>
      <c r="P246" s="28">
        <v>0</v>
      </c>
      <c r="Q246" s="28">
        <v>0</v>
      </c>
      <c r="R246" s="6"/>
    </row>
    <row r="247" spans="1:18" x14ac:dyDescent="0.25">
      <c r="A247" s="294">
        <f t="shared" si="9"/>
        <v>113</v>
      </c>
      <c r="B247" s="3" t="s">
        <v>53</v>
      </c>
      <c r="C247" s="3" t="s">
        <v>62</v>
      </c>
      <c r="D247" s="3" t="s">
        <v>63</v>
      </c>
      <c r="E247" s="3" t="s">
        <v>74</v>
      </c>
      <c r="F247" s="3" t="s">
        <v>126</v>
      </c>
      <c r="G247" s="4" t="s">
        <v>85</v>
      </c>
      <c r="H247" s="4">
        <v>8</v>
      </c>
      <c r="I247" s="4">
        <v>0</v>
      </c>
      <c r="J247" s="4">
        <v>0</v>
      </c>
      <c r="K247" s="28">
        <v>0</v>
      </c>
      <c r="L247" s="28">
        <v>0</v>
      </c>
      <c r="M247" s="28">
        <v>0</v>
      </c>
      <c r="N247" s="4">
        <v>0</v>
      </c>
      <c r="O247" s="28">
        <v>0</v>
      </c>
      <c r="P247" s="28">
        <v>0</v>
      </c>
      <c r="Q247" s="28">
        <v>0</v>
      </c>
      <c r="R247" s="6"/>
    </row>
    <row r="248" spans="1:18" x14ac:dyDescent="0.25">
      <c r="A248" s="294">
        <f t="shared" si="9"/>
        <v>114</v>
      </c>
      <c r="B248" s="3" t="s">
        <v>151</v>
      </c>
      <c r="C248" s="3" t="s">
        <v>62</v>
      </c>
      <c r="D248" s="3" t="s">
        <v>63</v>
      </c>
      <c r="E248" s="3" t="s">
        <v>74</v>
      </c>
      <c r="F248" s="3" t="s">
        <v>288</v>
      </c>
      <c r="G248" s="4" t="s">
        <v>85</v>
      </c>
      <c r="H248" s="4">
        <v>10</v>
      </c>
      <c r="I248" s="4">
        <v>6</v>
      </c>
      <c r="J248" s="4">
        <v>8</v>
      </c>
      <c r="K248" s="28">
        <v>974.39</v>
      </c>
      <c r="L248" s="28">
        <v>974.39</v>
      </c>
      <c r="M248" s="28">
        <v>0</v>
      </c>
      <c r="N248" s="4">
        <v>6</v>
      </c>
      <c r="O248" s="28">
        <v>4554.97</v>
      </c>
      <c r="P248" s="28">
        <v>4554.97</v>
      </c>
      <c r="Q248" s="28">
        <v>0</v>
      </c>
      <c r="R248" s="6"/>
    </row>
    <row r="249" spans="1:18" x14ac:dyDescent="0.25">
      <c r="A249" s="294">
        <f t="shared" si="9"/>
        <v>115</v>
      </c>
      <c r="B249" s="3" t="s">
        <v>155</v>
      </c>
      <c r="C249" s="3" t="s">
        <v>62</v>
      </c>
      <c r="D249" s="3" t="s">
        <v>63</v>
      </c>
      <c r="E249" s="3" t="s">
        <v>74</v>
      </c>
      <c r="F249" s="3" t="s">
        <v>289</v>
      </c>
      <c r="G249" s="4" t="s">
        <v>85</v>
      </c>
      <c r="H249" s="4">
        <v>11</v>
      </c>
      <c r="I249" s="4">
        <v>8</v>
      </c>
      <c r="J249" s="4">
        <v>11</v>
      </c>
      <c r="K249" s="28">
        <v>25762.27</v>
      </c>
      <c r="L249" s="28">
        <v>25762.27</v>
      </c>
      <c r="M249" s="28">
        <v>0</v>
      </c>
      <c r="N249" s="4">
        <v>2</v>
      </c>
      <c r="O249" s="28">
        <v>15810.55</v>
      </c>
      <c r="P249" s="28">
        <v>15810.55</v>
      </c>
      <c r="Q249" s="28">
        <v>0</v>
      </c>
      <c r="R249" s="6"/>
    </row>
    <row r="250" spans="1:18" x14ac:dyDescent="0.25">
      <c r="A250" s="294">
        <f t="shared" si="9"/>
        <v>116</v>
      </c>
      <c r="B250" s="3" t="s">
        <v>290</v>
      </c>
      <c r="C250" s="3" t="s">
        <v>62</v>
      </c>
      <c r="D250" s="3" t="s">
        <v>63</v>
      </c>
      <c r="E250" s="3" t="s">
        <v>291</v>
      </c>
      <c r="F250" s="3" t="s">
        <v>292</v>
      </c>
      <c r="G250" s="4" t="s">
        <v>85</v>
      </c>
      <c r="H250" s="4">
        <v>26</v>
      </c>
      <c r="I250" s="4">
        <v>19</v>
      </c>
      <c r="J250" s="4">
        <v>24</v>
      </c>
      <c r="K250" s="28">
        <v>2466.8000000000002</v>
      </c>
      <c r="L250" s="28">
        <v>2466.8000000000002</v>
      </c>
      <c r="M250" s="28">
        <v>0</v>
      </c>
      <c r="N250" s="4">
        <v>0</v>
      </c>
      <c r="O250" s="28">
        <v>0</v>
      </c>
      <c r="P250" s="28">
        <v>0</v>
      </c>
      <c r="Q250" s="28">
        <v>0</v>
      </c>
      <c r="R250" s="6"/>
    </row>
    <row r="251" spans="1:18" ht="25.5" x14ac:dyDescent="0.25">
      <c r="A251" s="294">
        <f t="shared" si="9"/>
        <v>117</v>
      </c>
      <c r="B251" s="3" t="s">
        <v>495</v>
      </c>
      <c r="C251" s="3" t="s">
        <v>62</v>
      </c>
      <c r="D251" s="3" t="s">
        <v>63</v>
      </c>
      <c r="E251" s="3" t="s">
        <v>313</v>
      </c>
      <c r="F251" s="3" t="s">
        <v>496</v>
      </c>
      <c r="G251" s="4" t="s">
        <v>85</v>
      </c>
      <c r="H251" s="4">
        <v>17</v>
      </c>
      <c r="I251" s="4">
        <v>5</v>
      </c>
      <c r="J251" s="4">
        <v>5</v>
      </c>
      <c r="K251" s="28">
        <v>2358.88</v>
      </c>
      <c r="L251" s="28">
        <v>0</v>
      </c>
      <c r="M251" s="28">
        <v>2358.88</v>
      </c>
      <c r="N251" s="4">
        <v>0</v>
      </c>
      <c r="O251" s="28">
        <v>0</v>
      </c>
      <c r="P251" s="28">
        <v>0</v>
      </c>
      <c r="Q251" s="28">
        <v>0</v>
      </c>
      <c r="R251" s="6"/>
    </row>
    <row r="252" spans="1:18" x14ac:dyDescent="0.25">
      <c r="A252" s="294">
        <f t="shared" si="9"/>
        <v>118</v>
      </c>
      <c r="B252" s="3" t="s">
        <v>134</v>
      </c>
      <c r="C252" s="3" t="s">
        <v>62</v>
      </c>
      <c r="D252" s="3" t="s">
        <v>63</v>
      </c>
      <c r="E252" s="3" t="s">
        <v>74</v>
      </c>
      <c r="F252" s="3" t="s">
        <v>293</v>
      </c>
      <c r="G252" s="4" t="s">
        <v>85</v>
      </c>
      <c r="H252" s="4">
        <v>4</v>
      </c>
      <c r="I252" s="4">
        <v>0</v>
      </c>
      <c r="J252" s="4">
        <v>0</v>
      </c>
      <c r="K252" s="28">
        <v>0</v>
      </c>
      <c r="L252" s="28">
        <v>0</v>
      </c>
      <c r="M252" s="28">
        <v>0</v>
      </c>
      <c r="N252" s="4">
        <v>1</v>
      </c>
      <c r="O252" s="28">
        <f>P252+Q252</f>
        <v>14690.98</v>
      </c>
      <c r="P252" s="28">
        <f>10990.78+3700.2</f>
        <v>14690.98</v>
      </c>
      <c r="Q252" s="28">
        <v>0</v>
      </c>
      <c r="R252" s="6"/>
    </row>
    <row r="253" spans="1:18" x14ac:dyDescent="0.25">
      <c r="A253" s="294">
        <f t="shared" si="9"/>
        <v>119</v>
      </c>
      <c r="B253" s="3" t="s">
        <v>127</v>
      </c>
      <c r="C253" s="3" t="s">
        <v>62</v>
      </c>
      <c r="D253" s="3" t="s">
        <v>63</v>
      </c>
      <c r="E253" s="3" t="s">
        <v>74</v>
      </c>
      <c r="F253" s="3" t="s">
        <v>294</v>
      </c>
      <c r="G253" s="4" t="s">
        <v>85</v>
      </c>
      <c r="H253" s="4">
        <v>8</v>
      </c>
      <c r="I253" s="4">
        <v>4</v>
      </c>
      <c r="J253" s="4">
        <v>4</v>
      </c>
      <c r="K253" s="28">
        <v>611.08000000000004</v>
      </c>
      <c r="L253" s="28">
        <v>0</v>
      </c>
      <c r="M253" s="28">
        <v>611.08000000000004</v>
      </c>
      <c r="N253" s="4">
        <v>2</v>
      </c>
      <c r="O253" s="28">
        <v>3267.6</v>
      </c>
      <c r="P253" s="28">
        <v>748.88</v>
      </c>
      <c r="Q253" s="28">
        <v>2518.7199999999998</v>
      </c>
      <c r="R253" s="6"/>
    </row>
    <row r="254" spans="1:18" ht="25.5" x14ac:dyDescent="0.25">
      <c r="A254" s="294">
        <f t="shared" si="9"/>
        <v>120</v>
      </c>
      <c r="B254" s="3" t="s">
        <v>55</v>
      </c>
      <c r="C254" s="3" t="s">
        <v>64</v>
      </c>
      <c r="D254" s="3" t="s">
        <v>66</v>
      </c>
      <c r="E254" s="3" t="s">
        <v>80</v>
      </c>
      <c r="F254" s="3" t="s">
        <v>295</v>
      </c>
      <c r="G254" s="4" t="s">
        <v>85</v>
      </c>
      <c r="H254" s="4">
        <v>5</v>
      </c>
      <c r="I254" s="4">
        <v>3</v>
      </c>
      <c r="J254" s="4">
        <v>3</v>
      </c>
      <c r="K254" s="28">
        <v>528.6</v>
      </c>
      <c r="L254" s="28">
        <v>528.6</v>
      </c>
      <c r="M254" s="28">
        <v>0</v>
      </c>
      <c r="N254" s="4">
        <v>2</v>
      </c>
      <c r="O254" s="28">
        <v>555.72</v>
      </c>
      <c r="P254" s="28">
        <v>555.72</v>
      </c>
      <c r="Q254" s="28">
        <v>0</v>
      </c>
      <c r="R254" s="6"/>
    </row>
    <row r="255" spans="1:18" x14ac:dyDescent="0.25">
      <c r="A255" s="294">
        <f t="shared" si="9"/>
        <v>121</v>
      </c>
      <c r="B255" s="3" t="s">
        <v>135</v>
      </c>
      <c r="C255" s="3" t="s">
        <v>62</v>
      </c>
      <c r="D255" s="3" t="s">
        <v>63</v>
      </c>
      <c r="E255" s="3" t="s">
        <v>63</v>
      </c>
      <c r="F255" s="3" t="s">
        <v>296</v>
      </c>
      <c r="G255" s="4" t="s">
        <v>85</v>
      </c>
      <c r="H255" s="4">
        <v>6</v>
      </c>
      <c r="I255" s="4">
        <v>2</v>
      </c>
      <c r="J255" s="4">
        <v>2</v>
      </c>
      <c r="K255" s="28">
        <v>0</v>
      </c>
      <c r="L255" s="28">
        <v>0</v>
      </c>
      <c r="M255" s="28">
        <v>0</v>
      </c>
      <c r="N255" s="4">
        <v>10</v>
      </c>
      <c r="O255" s="28">
        <v>18103.64</v>
      </c>
      <c r="P255" s="28">
        <v>16686.990000000002</v>
      </c>
      <c r="Q255" s="28">
        <v>1416.65</v>
      </c>
      <c r="R255" s="6"/>
    </row>
    <row r="256" spans="1:18" x14ac:dyDescent="0.25">
      <c r="A256" s="294">
        <f t="shared" si="9"/>
        <v>122</v>
      </c>
      <c r="B256" s="3" t="s">
        <v>128</v>
      </c>
      <c r="C256" s="3" t="s">
        <v>62</v>
      </c>
      <c r="D256" s="3" t="s">
        <v>63</v>
      </c>
      <c r="E256" s="3" t="s">
        <v>74</v>
      </c>
      <c r="F256" s="3" t="s">
        <v>297</v>
      </c>
      <c r="G256" s="4" t="s">
        <v>85</v>
      </c>
      <c r="H256" s="4">
        <v>2</v>
      </c>
      <c r="I256" s="4">
        <v>2</v>
      </c>
      <c r="J256" s="4">
        <v>2</v>
      </c>
      <c r="K256" s="28">
        <v>0</v>
      </c>
      <c r="L256" s="28">
        <v>0</v>
      </c>
      <c r="M256" s="28">
        <v>0</v>
      </c>
      <c r="N256" s="4">
        <v>1</v>
      </c>
      <c r="O256" s="28">
        <v>264.3</v>
      </c>
      <c r="P256" s="28">
        <v>264.3</v>
      </c>
      <c r="Q256" s="28">
        <v>0</v>
      </c>
      <c r="R256" s="6"/>
    </row>
    <row r="257" spans="1:18" ht="25.5" x14ac:dyDescent="0.25">
      <c r="A257" s="294">
        <f t="shared" si="9"/>
        <v>123</v>
      </c>
      <c r="B257" s="3" t="s">
        <v>508</v>
      </c>
      <c r="C257" s="3" t="s">
        <v>64</v>
      </c>
      <c r="D257" s="3" t="s">
        <v>551</v>
      </c>
      <c r="E257" s="3" t="s">
        <v>313</v>
      </c>
      <c r="F257" s="3" t="s">
        <v>552</v>
      </c>
      <c r="G257" s="4" t="s">
        <v>85</v>
      </c>
      <c r="H257" s="4">
        <v>14</v>
      </c>
      <c r="I257" s="4">
        <v>6</v>
      </c>
      <c r="J257" s="4">
        <v>6</v>
      </c>
      <c r="K257" s="28">
        <v>0</v>
      </c>
      <c r="L257" s="28">
        <v>0</v>
      </c>
      <c r="M257" s="28">
        <v>0</v>
      </c>
      <c r="N257" s="4">
        <v>0</v>
      </c>
      <c r="O257" s="28">
        <v>0</v>
      </c>
      <c r="P257" s="28">
        <v>0</v>
      </c>
      <c r="Q257" s="28">
        <v>0</v>
      </c>
      <c r="R257" s="6"/>
    </row>
    <row r="258" spans="1:18" ht="25.5" x14ac:dyDescent="0.25">
      <c r="A258" s="294">
        <f t="shared" si="9"/>
        <v>124</v>
      </c>
      <c r="B258" s="3" t="s">
        <v>497</v>
      </c>
      <c r="C258" s="3" t="s">
        <v>62</v>
      </c>
      <c r="D258" s="3" t="s">
        <v>63</v>
      </c>
      <c r="E258" s="3" t="s">
        <v>313</v>
      </c>
      <c r="F258" s="3" t="s">
        <v>498</v>
      </c>
      <c r="G258" s="4" t="s">
        <v>85</v>
      </c>
      <c r="H258" s="4">
        <v>43</v>
      </c>
      <c r="I258" s="4">
        <v>27</v>
      </c>
      <c r="J258" s="4">
        <v>28</v>
      </c>
      <c r="K258" s="28">
        <v>5588.36</v>
      </c>
      <c r="L258" s="28">
        <v>5588.36</v>
      </c>
      <c r="M258" s="28">
        <v>0</v>
      </c>
      <c r="N258" s="4">
        <v>0</v>
      </c>
      <c r="O258" s="28">
        <v>0</v>
      </c>
      <c r="P258" s="28">
        <v>0</v>
      </c>
      <c r="Q258" s="28">
        <v>0</v>
      </c>
      <c r="R258" s="6"/>
    </row>
    <row r="259" spans="1:18" x14ac:dyDescent="0.25">
      <c r="A259" s="294">
        <f t="shared" si="9"/>
        <v>125</v>
      </c>
      <c r="B259" s="3" t="s">
        <v>56</v>
      </c>
      <c r="C259" s="3" t="s">
        <v>62</v>
      </c>
      <c r="D259" s="3" t="s">
        <v>63</v>
      </c>
      <c r="E259" s="3" t="s">
        <v>83</v>
      </c>
      <c r="F259" s="3" t="s">
        <v>298</v>
      </c>
      <c r="G259" s="4" t="s">
        <v>85</v>
      </c>
      <c r="H259" s="4">
        <v>58</v>
      </c>
      <c r="I259" s="4">
        <v>51</v>
      </c>
      <c r="J259" s="4">
        <v>71</v>
      </c>
      <c r="K259" s="28">
        <v>62018.080000000002</v>
      </c>
      <c r="L259" s="28">
        <v>50469.58</v>
      </c>
      <c r="M259" s="28">
        <v>11548.5</v>
      </c>
      <c r="N259" s="4">
        <v>30</v>
      </c>
      <c r="O259" s="28">
        <v>85217.78</v>
      </c>
      <c r="P259" s="28">
        <v>83636.210000000006</v>
      </c>
      <c r="Q259" s="28">
        <v>1581.57</v>
      </c>
      <c r="R259" s="6"/>
    </row>
    <row r="260" spans="1:18" ht="25.5" x14ac:dyDescent="0.25">
      <c r="A260" s="294">
        <f t="shared" si="9"/>
        <v>126</v>
      </c>
      <c r="B260" s="3" t="s">
        <v>299</v>
      </c>
      <c r="C260" s="3" t="s">
        <v>62</v>
      </c>
      <c r="D260" s="3" t="s">
        <v>63</v>
      </c>
      <c r="E260" s="3" t="s">
        <v>174</v>
      </c>
      <c r="F260" s="3" t="s">
        <v>300</v>
      </c>
      <c r="G260" s="4" t="s">
        <v>85</v>
      </c>
      <c r="H260" s="4">
        <v>21</v>
      </c>
      <c r="I260" s="4">
        <v>13</v>
      </c>
      <c r="J260" s="4">
        <v>14</v>
      </c>
      <c r="K260" s="28">
        <v>2924.92</v>
      </c>
      <c r="L260" s="28">
        <v>2924.92</v>
      </c>
      <c r="M260" s="28">
        <v>0</v>
      </c>
      <c r="N260" s="4">
        <v>0</v>
      </c>
      <c r="O260" s="28">
        <v>0</v>
      </c>
      <c r="P260" s="28">
        <v>0</v>
      </c>
      <c r="Q260" s="28">
        <v>0</v>
      </c>
      <c r="R260" s="6"/>
    </row>
    <row r="261" spans="1:18" x14ac:dyDescent="0.25">
      <c r="A261" s="294">
        <f t="shared" si="9"/>
        <v>127</v>
      </c>
      <c r="B261" s="3" t="s">
        <v>156</v>
      </c>
      <c r="C261" s="3" t="s">
        <v>67</v>
      </c>
      <c r="D261" s="3" t="s">
        <v>499</v>
      </c>
      <c r="E261" s="3" t="s">
        <v>74</v>
      </c>
      <c r="F261" s="3" t="s">
        <v>301</v>
      </c>
      <c r="G261" s="4" t="s">
        <v>85</v>
      </c>
      <c r="H261" s="4">
        <v>30</v>
      </c>
      <c r="I261" s="4">
        <v>26</v>
      </c>
      <c r="J261" s="4">
        <v>28</v>
      </c>
      <c r="K261" s="28">
        <v>19255.759999999998</v>
      </c>
      <c r="L261" s="28">
        <v>19255.759999999998</v>
      </c>
      <c r="M261" s="28">
        <v>0</v>
      </c>
      <c r="N261" s="4">
        <v>33</v>
      </c>
      <c r="O261" s="28">
        <v>51164.89</v>
      </c>
      <c r="P261" s="28">
        <v>51164.89</v>
      </c>
      <c r="Q261" s="28">
        <v>0</v>
      </c>
      <c r="R261" s="6"/>
    </row>
    <row r="262" spans="1:18" x14ac:dyDescent="0.25">
      <c r="A262" s="294">
        <f t="shared" si="9"/>
        <v>128</v>
      </c>
      <c r="B262" s="3" t="s">
        <v>302</v>
      </c>
      <c r="C262" s="3" t="s">
        <v>62</v>
      </c>
      <c r="D262" s="3" t="s">
        <v>63</v>
      </c>
      <c r="E262" s="3" t="s">
        <v>63</v>
      </c>
      <c r="F262" s="3" t="s">
        <v>303</v>
      </c>
      <c r="G262" s="4" t="s">
        <v>85</v>
      </c>
      <c r="H262" s="4">
        <v>9</v>
      </c>
      <c r="I262" s="4">
        <v>7</v>
      </c>
      <c r="J262" s="4">
        <v>8</v>
      </c>
      <c r="K262" s="28">
        <v>4060.97</v>
      </c>
      <c r="L262" s="28">
        <v>4060.97</v>
      </c>
      <c r="M262" s="28">
        <v>0</v>
      </c>
      <c r="N262" s="4">
        <v>0</v>
      </c>
      <c r="O262" s="28">
        <v>0</v>
      </c>
      <c r="P262" s="28">
        <v>0</v>
      </c>
      <c r="Q262" s="28">
        <v>0</v>
      </c>
      <c r="R262" s="6"/>
    </row>
    <row r="263" spans="1:18" x14ac:dyDescent="0.25">
      <c r="A263" s="294">
        <f t="shared" si="9"/>
        <v>129</v>
      </c>
      <c r="B263" s="3" t="s">
        <v>140</v>
      </c>
      <c r="C263" s="3" t="s">
        <v>62</v>
      </c>
      <c r="D263" s="3" t="s">
        <v>63</v>
      </c>
      <c r="E263" s="3" t="s">
        <v>74</v>
      </c>
      <c r="F263" s="3" t="s">
        <v>304</v>
      </c>
      <c r="G263" s="4" t="s">
        <v>85</v>
      </c>
      <c r="H263" s="4">
        <v>49</v>
      </c>
      <c r="I263" s="4">
        <v>41</v>
      </c>
      <c r="J263" s="4">
        <v>44</v>
      </c>
      <c r="K263" s="28">
        <v>33303.599999999999</v>
      </c>
      <c r="L263" s="28">
        <v>32753</v>
      </c>
      <c r="M263" s="28">
        <v>550.6</v>
      </c>
      <c r="N263" s="4">
        <v>19</v>
      </c>
      <c r="O263" s="28">
        <v>34005.660000000003</v>
      </c>
      <c r="P263" s="28">
        <v>28197.26</v>
      </c>
      <c r="Q263" s="28">
        <v>5808.4</v>
      </c>
      <c r="R263" s="6"/>
    </row>
    <row r="264" spans="1:18" ht="25.5" x14ac:dyDescent="0.25">
      <c r="A264" s="294">
        <f t="shared" si="9"/>
        <v>130</v>
      </c>
      <c r="B264" s="3" t="s">
        <v>305</v>
      </c>
      <c r="C264" s="3" t="s">
        <v>62</v>
      </c>
      <c r="D264" s="3" t="s">
        <v>63</v>
      </c>
      <c r="E264" s="3" t="s">
        <v>186</v>
      </c>
      <c r="F264" s="3" t="s">
        <v>513</v>
      </c>
      <c r="G264" s="4" t="s">
        <v>85</v>
      </c>
      <c r="H264" s="4">
        <v>11</v>
      </c>
      <c r="I264" s="4">
        <v>7</v>
      </c>
      <c r="J264" s="4">
        <v>8</v>
      </c>
      <c r="K264" s="28">
        <v>0</v>
      </c>
      <c r="L264" s="28">
        <v>0</v>
      </c>
      <c r="M264" s="28">
        <v>0</v>
      </c>
      <c r="N264" s="4">
        <v>0</v>
      </c>
      <c r="O264" s="28">
        <v>0</v>
      </c>
      <c r="P264" s="28">
        <v>0</v>
      </c>
      <c r="Q264" s="28">
        <v>0</v>
      </c>
      <c r="R264" s="6"/>
    </row>
    <row r="265" spans="1:18" x14ac:dyDescent="0.25">
      <c r="A265" s="294">
        <f t="shared" ref="A265:A280" si="10">A264+1</f>
        <v>131</v>
      </c>
      <c r="B265" s="3" t="s">
        <v>471</v>
      </c>
      <c r="C265" s="3" t="s">
        <v>64</v>
      </c>
      <c r="D265" s="3" t="s">
        <v>65</v>
      </c>
      <c r="E265" s="3" t="s">
        <v>74</v>
      </c>
      <c r="F265" s="3" t="s">
        <v>472</v>
      </c>
      <c r="G265" s="4" t="s">
        <v>85</v>
      </c>
      <c r="H265" s="4">
        <v>0</v>
      </c>
      <c r="I265" s="4">
        <v>0</v>
      </c>
      <c r="J265" s="4">
        <v>0</v>
      </c>
      <c r="K265" s="28">
        <v>0</v>
      </c>
      <c r="L265" s="28">
        <v>0</v>
      </c>
      <c r="M265" s="28">
        <v>0</v>
      </c>
      <c r="N265" s="4">
        <v>1</v>
      </c>
      <c r="O265" s="28">
        <v>0</v>
      </c>
      <c r="P265" s="28">
        <v>0</v>
      </c>
      <c r="Q265" s="28">
        <v>0</v>
      </c>
      <c r="R265" s="6"/>
    </row>
    <row r="266" spans="1:18" ht="38.25" x14ac:dyDescent="0.25">
      <c r="A266" s="294">
        <f t="shared" si="10"/>
        <v>132</v>
      </c>
      <c r="B266" s="3" t="s">
        <v>57</v>
      </c>
      <c r="C266" s="3" t="s">
        <v>62</v>
      </c>
      <c r="D266" s="3" t="s">
        <v>63</v>
      </c>
      <c r="E266" s="3" t="s">
        <v>244</v>
      </c>
      <c r="F266" s="3" t="s">
        <v>306</v>
      </c>
      <c r="G266" s="4" t="s">
        <v>85</v>
      </c>
      <c r="H266" s="4">
        <v>23</v>
      </c>
      <c r="I266" s="4">
        <v>11</v>
      </c>
      <c r="J266" s="4">
        <v>12</v>
      </c>
      <c r="K266" s="28">
        <v>10382.219999999999</v>
      </c>
      <c r="L266" s="28">
        <v>10382.219999999999</v>
      </c>
      <c r="M266" s="28">
        <v>0</v>
      </c>
      <c r="N266" s="4">
        <v>18</v>
      </c>
      <c r="O266" s="28">
        <v>68644.460000000006</v>
      </c>
      <c r="P266" s="28">
        <v>39538.47</v>
      </c>
      <c r="Q266" s="28">
        <v>29105.99</v>
      </c>
      <c r="R266" s="6"/>
    </row>
    <row r="267" spans="1:18" x14ac:dyDescent="0.25">
      <c r="A267" s="294">
        <f t="shared" si="10"/>
        <v>133</v>
      </c>
      <c r="B267" s="3" t="s">
        <v>473</v>
      </c>
      <c r="C267" s="3" t="s">
        <v>62</v>
      </c>
      <c r="D267" s="3" t="s">
        <v>63</v>
      </c>
      <c r="E267" s="3" t="s">
        <v>63</v>
      </c>
      <c r="F267" s="3" t="s">
        <v>500</v>
      </c>
      <c r="G267" s="4" t="s">
        <v>85</v>
      </c>
      <c r="H267" s="4">
        <v>15</v>
      </c>
      <c r="I267" s="4">
        <v>5</v>
      </c>
      <c r="J267" s="4">
        <v>6</v>
      </c>
      <c r="K267" s="28">
        <v>0</v>
      </c>
      <c r="L267" s="28">
        <v>0</v>
      </c>
      <c r="M267" s="28">
        <v>0</v>
      </c>
      <c r="N267" s="4">
        <v>4</v>
      </c>
      <c r="O267" s="28">
        <v>17280.25</v>
      </c>
      <c r="P267" s="28">
        <v>17280.25</v>
      </c>
      <c r="Q267" s="28">
        <v>0</v>
      </c>
      <c r="R267" s="6"/>
    </row>
    <row r="268" spans="1:18" x14ac:dyDescent="0.25">
      <c r="A268" s="294">
        <f t="shared" si="10"/>
        <v>134</v>
      </c>
      <c r="B268" s="3" t="s">
        <v>129</v>
      </c>
      <c r="C268" s="3" t="s">
        <v>62</v>
      </c>
      <c r="D268" s="3" t="s">
        <v>63</v>
      </c>
      <c r="E268" s="3" t="s">
        <v>74</v>
      </c>
      <c r="F268" s="3" t="s">
        <v>307</v>
      </c>
      <c r="G268" s="4" t="s">
        <v>85</v>
      </c>
      <c r="H268" s="4">
        <v>0</v>
      </c>
      <c r="I268" s="4">
        <v>0</v>
      </c>
      <c r="J268" s="4">
        <v>0</v>
      </c>
      <c r="K268" s="28">
        <v>0</v>
      </c>
      <c r="L268" s="28">
        <v>0</v>
      </c>
      <c r="M268" s="28">
        <v>0</v>
      </c>
      <c r="N268" s="4">
        <v>2</v>
      </c>
      <c r="O268" s="28">
        <f>P268+Q268</f>
        <v>5710.4</v>
      </c>
      <c r="P268" s="28">
        <v>5710.4</v>
      </c>
      <c r="Q268" s="28">
        <v>0</v>
      </c>
      <c r="R268" s="6"/>
    </row>
    <row r="269" spans="1:18" ht="25.5" x14ac:dyDescent="0.25">
      <c r="A269" s="294">
        <f t="shared" si="10"/>
        <v>135</v>
      </c>
      <c r="B269" s="3" t="s">
        <v>58</v>
      </c>
      <c r="C269" s="3" t="s">
        <v>62</v>
      </c>
      <c r="D269" s="3" t="s">
        <v>63</v>
      </c>
      <c r="E269" s="3" t="s">
        <v>84</v>
      </c>
      <c r="F269" s="3" t="s">
        <v>308</v>
      </c>
      <c r="G269" s="4" t="s">
        <v>85</v>
      </c>
      <c r="H269" s="4">
        <v>164</v>
      </c>
      <c r="I269" s="4">
        <v>138</v>
      </c>
      <c r="J269" s="4">
        <v>156</v>
      </c>
      <c r="K269" s="28">
        <v>127815.66</v>
      </c>
      <c r="L269" s="28">
        <v>76438.899999999994</v>
      </c>
      <c r="M269" s="28">
        <v>51376.76</v>
      </c>
      <c r="N269" s="4">
        <v>59</v>
      </c>
      <c r="O269" s="28">
        <v>155989.18</v>
      </c>
      <c r="P269" s="28">
        <f>130601.99-2475.07</f>
        <v>128126.92</v>
      </c>
      <c r="Q269" s="28">
        <f>25387.19+2475.07</f>
        <v>27862.26</v>
      </c>
      <c r="R269" s="6"/>
    </row>
    <row r="270" spans="1:18" ht="25.5" x14ac:dyDescent="0.25">
      <c r="A270" s="294">
        <f t="shared" si="10"/>
        <v>136</v>
      </c>
      <c r="B270" s="3" t="s">
        <v>59</v>
      </c>
      <c r="C270" s="3" t="s">
        <v>64</v>
      </c>
      <c r="D270" s="3" t="s">
        <v>66</v>
      </c>
      <c r="E270" s="3" t="s">
        <v>80</v>
      </c>
      <c r="F270" s="3" t="s">
        <v>309</v>
      </c>
      <c r="G270" s="4" t="s">
        <v>85</v>
      </c>
      <c r="H270" s="4">
        <v>38</v>
      </c>
      <c r="I270" s="4">
        <v>29</v>
      </c>
      <c r="J270" s="4">
        <v>39</v>
      </c>
      <c r="K270" s="28">
        <v>30860.09</v>
      </c>
      <c r="L270" s="28">
        <v>26899.22</v>
      </c>
      <c r="M270" s="28">
        <v>3960.87</v>
      </c>
      <c r="N270" s="4">
        <v>26</v>
      </c>
      <c r="O270" s="28">
        <v>60246.84</v>
      </c>
      <c r="P270" s="28">
        <v>60246.84</v>
      </c>
      <c r="Q270" s="28">
        <v>0</v>
      </c>
      <c r="R270" s="6"/>
    </row>
    <row r="271" spans="1:18" x14ac:dyDescent="0.25">
      <c r="A271" s="294">
        <f t="shared" si="10"/>
        <v>137</v>
      </c>
      <c r="B271" s="3" t="s">
        <v>130</v>
      </c>
      <c r="C271" s="3" t="s">
        <v>62</v>
      </c>
      <c r="D271" s="3" t="s">
        <v>63</v>
      </c>
      <c r="E271" s="3" t="s">
        <v>74</v>
      </c>
      <c r="F271" s="3" t="s">
        <v>553</v>
      </c>
      <c r="G271" s="4" t="s">
        <v>85</v>
      </c>
      <c r="H271" s="4">
        <v>2</v>
      </c>
      <c r="I271" s="4">
        <v>1</v>
      </c>
      <c r="J271" s="4">
        <v>1</v>
      </c>
      <c r="K271" s="28">
        <v>299.54000000000002</v>
      </c>
      <c r="L271" s="28">
        <v>299.54000000000002</v>
      </c>
      <c r="M271" s="28">
        <v>0</v>
      </c>
      <c r="N271" s="4">
        <v>2</v>
      </c>
      <c r="O271" s="28">
        <v>1374.36</v>
      </c>
      <c r="P271" s="28">
        <v>1374.36</v>
      </c>
      <c r="Q271" s="28">
        <v>0</v>
      </c>
      <c r="R271" s="6"/>
    </row>
    <row r="272" spans="1:18" x14ac:dyDescent="0.25">
      <c r="A272" s="294">
        <f t="shared" si="10"/>
        <v>138</v>
      </c>
      <c r="B272" s="3" t="s">
        <v>97</v>
      </c>
      <c r="C272" s="3" t="s">
        <v>62</v>
      </c>
      <c r="D272" s="3" t="s">
        <v>63</v>
      </c>
      <c r="E272" s="3" t="s">
        <v>74</v>
      </c>
      <c r="F272" s="3" t="s">
        <v>310</v>
      </c>
      <c r="G272" s="4" t="s">
        <v>85</v>
      </c>
      <c r="H272" s="4">
        <v>6</v>
      </c>
      <c r="I272" s="4">
        <v>3</v>
      </c>
      <c r="J272" s="4">
        <v>3</v>
      </c>
      <c r="K272" s="28">
        <v>687.18</v>
      </c>
      <c r="L272" s="28">
        <v>687.18</v>
      </c>
      <c r="M272" s="28">
        <v>0</v>
      </c>
      <c r="N272" s="4">
        <v>1</v>
      </c>
      <c r="O272" s="28">
        <v>808.76</v>
      </c>
      <c r="P272" s="28">
        <v>808.76</v>
      </c>
      <c r="Q272" s="28">
        <v>0</v>
      </c>
      <c r="R272" s="6"/>
    </row>
    <row r="273" spans="1:18" ht="25.5" x14ac:dyDescent="0.25">
      <c r="A273" s="294">
        <f t="shared" si="10"/>
        <v>139</v>
      </c>
      <c r="B273" s="3" t="s">
        <v>514</v>
      </c>
      <c r="C273" s="3" t="s">
        <v>62</v>
      </c>
      <c r="D273" s="3" t="s">
        <v>63</v>
      </c>
      <c r="E273" s="3" t="s">
        <v>223</v>
      </c>
      <c r="F273" s="3" t="s">
        <v>515</v>
      </c>
      <c r="G273" s="4" t="s">
        <v>85</v>
      </c>
      <c r="H273" s="4">
        <v>13</v>
      </c>
      <c r="I273" s="4">
        <v>8</v>
      </c>
      <c r="J273" s="4">
        <v>12</v>
      </c>
      <c r="K273" s="28">
        <v>0</v>
      </c>
      <c r="L273" s="28">
        <v>0</v>
      </c>
      <c r="M273" s="28">
        <v>0</v>
      </c>
      <c r="N273" s="4">
        <v>0</v>
      </c>
      <c r="O273" s="28">
        <v>0</v>
      </c>
      <c r="P273" s="28">
        <v>0</v>
      </c>
      <c r="Q273" s="28">
        <v>0</v>
      </c>
      <c r="R273" s="6"/>
    </row>
    <row r="274" spans="1:18" x14ac:dyDescent="0.25">
      <c r="A274" s="294">
        <f t="shared" si="10"/>
        <v>140</v>
      </c>
      <c r="B274" s="3" t="s">
        <v>132</v>
      </c>
      <c r="C274" s="3" t="s">
        <v>62</v>
      </c>
      <c r="D274" s="3" t="s">
        <v>63</v>
      </c>
      <c r="E274" s="3" t="s">
        <v>74</v>
      </c>
      <c r="F274" s="3" t="s">
        <v>311</v>
      </c>
      <c r="G274" s="4" t="s">
        <v>85</v>
      </c>
      <c r="H274" s="4">
        <v>16</v>
      </c>
      <c r="I274" s="4">
        <v>7</v>
      </c>
      <c r="J274" s="4">
        <v>8</v>
      </c>
      <c r="K274" s="28">
        <v>422.88</v>
      </c>
      <c r="L274" s="28">
        <v>422.88</v>
      </c>
      <c r="M274" s="28">
        <v>0</v>
      </c>
      <c r="N274" s="4">
        <v>10</v>
      </c>
      <c r="O274" s="28">
        <v>5554.71</v>
      </c>
      <c r="P274" s="28">
        <v>5554.71</v>
      </c>
      <c r="Q274" s="28">
        <v>0</v>
      </c>
      <c r="R274" s="6"/>
    </row>
    <row r="275" spans="1:18" ht="25.5" x14ac:dyDescent="0.25">
      <c r="A275" s="294">
        <f t="shared" si="10"/>
        <v>141</v>
      </c>
      <c r="B275" s="3" t="s">
        <v>312</v>
      </c>
      <c r="C275" s="3" t="s">
        <v>62</v>
      </c>
      <c r="D275" s="3" t="s">
        <v>63</v>
      </c>
      <c r="E275" s="3" t="s">
        <v>313</v>
      </c>
      <c r="F275" s="3" t="s">
        <v>314</v>
      </c>
      <c r="G275" s="4" t="s">
        <v>85</v>
      </c>
      <c r="H275" s="4">
        <v>31</v>
      </c>
      <c r="I275" s="4">
        <v>1</v>
      </c>
      <c r="J275" s="4">
        <v>1</v>
      </c>
      <c r="K275" s="28">
        <v>0</v>
      </c>
      <c r="L275" s="28">
        <v>0</v>
      </c>
      <c r="M275" s="28">
        <v>0</v>
      </c>
      <c r="N275" s="4">
        <v>0</v>
      </c>
      <c r="O275" s="28">
        <v>0</v>
      </c>
      <c r="P275" s="28">
        <v>0</v>
      </c>
      <c r="Q275" s="28">
        <v>0</v>
      </c>
      <c r="R275" s="6"/>
    </row>
    <row r="276" spans="1:18" x14ac:dyDescent="0.25">
      <c r="A276" s="294">
        <f t="shared" si="10"/>
        <v>142</v>
      </c>
      <c r="B276" s="3" t="s">
        <v>315</v>
      </c>
      <c r="C276" s="3" t="s">
        <v>62</v>
      </c>
      <c r="D276" s="3" t="s">
        <v>63</v>
      </c>
      <c r="E276" s="3" t="s">
        <v>74</v>
      </c>
      <c r="F276" s="3" t="s">
        <v>316</v>
      </c>
      <c r="G276" s="4" t="s">
        <v>85</v>
      </c>
      <c r="H276" s="4">
        <v>15</v>
      </c>
      <c r="I276" s="4">
        <v>7</v>
      </c>
      <c r="J276" s="4">
        <v>8</v>
      </c>
      <c r="K276" s="28">
        <v>7088.53</v>
      </c>
      <c r="L276" s="28">
        <v>7088.53</v>
      </c>
      <c r="M276" s="28">
        <v>0</v>
      </c>
      <c r="N276" s="4">
        <v>3</v>
      </c>
      <c r="O276" s="28">
        <v>2596.64</v>
      </c>
      <c r="P276" s="28">
        <v>2596.64</v>
      </c>
      <c r="Q276" s="28">
        <v>0</v>
      </c>
      <c r="R276" s="6"/>
    </row>
    <row r="277" spans="1:18" x14ac:dyDescent="0.25">
      <c r="A277" s="294">
        <f t="shared" si="10"/>
        <v>143</v>
      </c>
      <c r="B277" s="3" t="s">
        <v>317</v>
      </c>
      <c r="C277" s="3" t="s">
        <v>62</v>
      </c>
      <c r="D277" s="3" t="s">
        <v>63</v>
      </c>
      <c r="E277" s="3" t="s">
        <v>158</v>
      </c>
      <c r="F277" s="3" t="s">
        <v>474</v>
      </c>
      <c r="G277" s="4" t="s">
        <v>85</v>
      </c>
      <c r="H277" s="4">
        <v>7</v>
      </c>
      <c r="I277" s="4">
        <v>3</v>
      </c>
      <c r="J277" s="4">
        <v>3</v>
      </c>
      <c r="K277" s="28">
        <v>0</v>
      </c>
      <c r="L277" s="28">
        <v>0</v>
      </c>
      <c r="M277" s="28">
        <v>0</v>
      </c>
      <c r="N277" s="4">
        <v>0</v>
      </c>
      <c r="O277" s="28">
        <v>0</v>
      </c>
      <c r="P277" s="28">
        <v>0</v>
      </c>
      <c r="Q277" s="28">
        <v>0</v>
      </c>
      <c r="R277" s="6"/>
    </row>
    <row r="278" spans="1:18" ht="25.5" x14ac:dyDescent="0.25">
      <c r="A278" s="294">
        <f t="shared" si="10"/>
        <v>144</v>
      </c>
      <c r="B278" s="3" t="s">
        <v>318</v>
      </c>
      <c r="C278" s="3" t="s">
        <v>62</v>
      </c>
      <c r="D278" s="3" t="s">
        <v>63</v>
      </c>
      <c r="E278" s="3" t="s">
        <v>174</v>
      </c>
      <c r="F278" s="3" t="s">
        <v>319</v>
      </c>
      <c r="G278" s="4" t="s">
        <v>85</v>
      </c>
      <c r="H278" s="4">
        <v>22</v>
      </c>
      <c r="I278" s="4">
        <v>16</v>
      </c>
      <c r="J278" s="4">
        <v>19</v>
      </c>
      <c r="K278" s="28">
        <v>12895.13</v>
      </c>
      <c r="L278" s="28">
        <v>6466.84</v>
      </c>
      <c r="M278" s="28">
        <v>6428.29</v>
      </c>
      <c r="N278" s="4">
        <v>0</v>
      </c>
      <c r="O278" s="28">
        <v>0</v>
      </c>
      <c r="P278" s="28">
        <v>0</v>
      </c>
      <c r="Q278" s="28">
        <v>0</v>
      </c>
      <c r="R278" s="6"/>
    </row>
    <row r="279" spans="1:18" x14ac:dyDescent="0.25">
      <c r="A279" s="294">
        <f t="shared" si="10"/>
        <v>145</v>
      </c>
      <c r="B279" s="3" t="s">
        <v>60</v>
      </c>
      <c r="C279" s="3" t="s">
        <v>67</v>
      </c>
      <c r="D279" s="3" t="s">
        <v>68</v>
      </c>
      <c r="E279" s="3" t="s">
        <v>74</v>
      </c>
      <c r="F279" s="3" t="s">
        <v>320</v>
      </c>
      <c r="G279" s="4" t="s">
        <v>85</v>
      </c>
      <c r="H279" s="4">
        <v>49</v>
      </c>
      <c r="I279" s="4">
        <v>46</v>
      </c>
      <c r="J279" s="4">
        <v>66</v>
      </c>
      <c r="K279" s="28">
        <v>107467.68</v>
      </c>
      <c r="L279" s="28">
        <v>79197.17</v>
      </c>
      <c r="M279" s="28">
        <v>28270.51</v>
      </c>
      <c r="N279" s="4">
        <v>37</v>
      </c>
      <c r="O279" s="28">
        <f>P279+Q279</f>
        <v>60746.979999999996</v>
      </c>
      <c r="P279" s="28">
        <f>53586.82-0.04</f>
        <v>53586.78</v>
      </c>
      <c r="Q279" s="28">
        <f>29055.47-21895.27</f>
        <v>7160.2000000000007</v>
      </c>
      <c r="R279" s="6"/>
    </row>
    <row r="280" spans="1:18" x14ac:dyDescent="0.25">
      <c r="A280" s="294">
        <f t="shared" si="10"/>
        <v>146</v>
      </c>
      <c r="B280" s="3" t="s">
        <v>61</v>
      </c>
      <c r="C280" s="3" t="s">
        <v>67</v>
      </c>
      <c r="D280" s="3" t="s">
        <v>69</v>
      </c>
      <c r="E280" s="3" t="s">
        <v>74</v>
      </c>
      <c r="F280" s="3" t="s">
        <v>321</v>
      </c>
      <c r="G280" s="4" t="s">
        <v>85</v>
      </c>
      <c r="H280" s="4">
        <v>8</v>
      </c>
      <c r="I280" s="4">
        <v>5</v>
      </c>
      <c r="J280" s="4">
        <v>5</v>
      </c>
      <c r="K280" s="28">
        <v>9051.74</v>
      </c>
      <c r="L280" s="28">
        <v>9051.74</v>
      </c>
      <c r="M280" s="28">
        <v>0</v>
      </c>
      <c r="N280" s="4">
        <v>7</v>
      </c>
      <c r="O280" s="28">
        <v>7602.26</v>
      </c>
      <c r="P280" s="28">
        <v>7602.26</v>
      </c>
      <c r="Q280" s="28">
        <v>0</v>
      </c>
      <c r="R280" s="6"/>
    </row>
  </sheetData>
  <autoFilter ref="A8:Q8"/>
  <mergeCells count="8">
    <mergeCell ref="B7:G7"/>
    <mergeCell ref="H7:M7"/>
    <mergeCell ref="N7:Q7"/>
    <mergeCell ref="O1:Q1"/>
    <mergeCell ref="A3:Q3"/>
    <mergeCell ref="A4:Q4"/>
    <mergeCell ref="A5:Q5"/>
    <mergeCell ref="A6:Q6"/>
  </mergeCells>
  <pageMargins left="0.31496062992125984" right="0.31496062992125984" top="0.55118110236220474" bottom="0.55118110236220474" header="0" footer="0"/>
  <pageSetup paperSize="9" scale="18" fitToWidth="2" orientation="landscape" horizontalDpi="300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R299"/>
  <sheetViews>
    <sheetView topLeftCell="A194" workbookViewId="0">
      <selection activeCell="B226" sqref="B226"/>
    </sheetView>
  </sheetViews>
  <sheetFormatPr defaultRowHeight="12.75" x14ac:dyDescent="0.2"/>
  <cols>
    <col min="1" max="1" width="5" style="459" customWidth="1"/>
    <col min="2" max="2" width="43" style="459" customWidth="1"/>
    <col min="3" max="3" width="10.140625" style="459" customWidth="1"/>
    <col min="4" max="4" width="45" style="459" customWidth="1"/>
    <col min="5" max="5" width="34.5703125" style="459" customWidth="1"/>
    <col min="6" max="6" width="20.42578125" style="459" customWidth="1"/>
    <col min="7" max="7" width="36" style="459" customWidth="1"/>
    <col min="8" max="10" width="9.140625" style="459"/>
    <col min="11" max="12" width="9.5703125" style="459" customWidth="1"/>
    <col min="13" max="13" width="9.42578125" style="459" customWidth="1"/>
    <col min="14" max="14" width="9.140625" style="459"/>
    <col min="15" max="16" width="10.5703125" style="459" customWidth="1"/>
    <col min="17" max="17" width="9.42578125" style="459" customWidth="1"/>
    <col min="18" max="256" width="9.140625" style="459"/>
    <col min="257" max="257" width="5" style="459" customWidth="1"/>
    <col min="258" max="258" width="43" style="459" customWidth="1"/>
    <col min="259" max="259" width="10.140625" style="459" customWidth="1"/>
    <col min="260" max="260" width="45" style="459" customWidth="1"/>
    <col min="261" max="261" width="34.5703125" style="459" customWidth="1"/>
    <col min="262" max="262" width="20.42578125" style="459" customWidth="1"/>
    <col min="263" max="263" width="36" style="459" customWidth="1"/>
    <col min="264" max="266" width="9.140625" style="459"/>
    <col min="267" max="268" width="9.5703125" style="459" customWidth="1"/>
    <col min="269" max="269" width="9.42578125" style="459" customWidth="1"/>
    <col min="270" max="270" width="9.140625" style="459"/>
    <col min="271" max="272" width="10.5703125" style="459" customWidth="1"/>
    <col min="273" max="273" width="9.42578125" style="459" customWidth="1"/>
    <col min="274" max="512" width="9.140625" style="459"/>
    <col min="513" max="513" width="5" style="459" customWidth="1"/>
    <col min="514" max="514" width="43" style="459" customWidth="1"/>
    <col min="515" max="515" width="10.140625" style="459" customWidth="1"/>
    <col min="516" max="516" width="45" style="459" customWidth="1"/>
    <col min="517" max="517" width="34.5703125" style="459" customWidth="1"/>
    <col min="518" max="518" width="20.42578125" style="459" customWidth="1"/>
    <col min="519" max="519" width="36" style="459" customWidth="1"/>
    <col min="520" max="522" width="9.140625" style="459"/>
    <col min="523" max="524" width="9.5703125" style="459" customWidth="1"/>
    <col min="525" max="525" width="9.42578125" style="459" customWidth="1"/>
    <col min="526" max="526" width="9.140625" style="459"/>
    <col min="527" max="528" width="10.5703125" style="459" customWidth="1"/>
    <col min="529" max="529" width="9.42578125" style="459" customWidth="1"/>
    <col min="530" max="768" width="9.140625" style="459"/>
    <col min="769" max="769" width="5" style="459" customWidth="1"/>
    <col min="770" max="770" width="43" style="459" customWidth="1"/>
    <col min="771" max="771" width="10.140625" style="459" customWidth="1"/>
    <col min="772" max="772" width="45" style="459" customWidth="1"/>
    <col min="773" max="773" width="34.5703125" style="459" customWidth="1"/>
    <col min="774" max="774" width="20.42578125" style="459" customWidth="1"/>
    <col min="775" max="775" width="36" style="459" customWidth="1"/>
    <col min="776" max="778" width="9.140625" style="459"/>
    <col min="779" max="780" width="9.5703125" style="459" customWidth="1"/>
    <col min="781" max="781" width="9.42578125" style="459" customWidth="1"/>
    <col min="782" max="782" width="9.140625" style="459"/>
    <col min="783" max="784" width="10.5703125" style="459" customWidth="1"/>
    <col min="785" max="785" width="9.42578125" style="459" customWidth="1"/>
    <col min="786" max="1024" width="9.140625" style="459"/>
    <col min="1025" max="1025" width="5" style="459" customWidth="1"/>
    <col min="1026" max="1026" width="43" style="459" customWidth="1"/>
    <col min="1027" max="1027" width="10.140625" style="459" customWidth="1"/>
    <col min="1028" max="1028" width="45" style="459" customWidth="1"/>
    <col min="1029" max="1029" width="34.5703125" style="459" customWidth="1"/>
    <col min="1030" max="1030" width="20.42578125" style="459" customWidth="1"/>
    <col min="1031" max="1031" width="36" style="459" customWidth="1"/>
    <col min="1032" max="1034" width="9.140625" style="459"/>
    <col min="1035" max="1036" width="9.5703125" style="459" customWidth="1"/>
    <col min="1037" max="1037" width="9.42578125" style="459" customWidth="1"/>
    <col min="1038" max="1038" width="9.140625" style="459"/>
    <col min="1039" max="1040" width="10.5703125" style="459" customWidth="1"/>
    <col min="1041" max="1041" width="9.42578125" style="459" customWidth="1"/>
    <col min="1042" max="1280" width="9.140625" style="459"/>
    <col min="1281" max="1281" width="5" style="459" customWidth="1"/>
    <col min="1282" max="1282" width="43" style="459" customWidth="1"/>
    <col min="1283" max="1283" width="10.140625" style="459" customWidth="1"/>
    <col min="1284" max="1284" width="45" style="459" customWidth="1"/>
    <col min="1285" max="1285" width="34.5703125" style="459" customWidth="1"/>
    <col min="1286" max="1286" width="20.42578125" style="459" customWidth="1"/>
    <col min="1287" max="1287" width="36" style="459" customWidth="1"/>
    <col min="1288" max="1290" width="9.140625" style="459"/>
    <col min="1291" max="1292" width="9.5703125" style="459" customWidth="1"/>
    <col min="1293" max="1293" width="9.42578125" style="459" customWidth="1"/>
    <col min="1294" max="1294" width="9.140625" style="459"/>
    <col min="1295" max="1296" width="10.5703125" style="459" customWidth="1"/>
    <col min="1297" max="1297" width="9.42578125" style="459" customWidth="1"/>
    <col min="1298" max="1536" width="9.140625" style="459"/>
    <col min="1537" max="1537" width="5" style="459" customWidth="1"/>
    <col min="1538" max="1538" width="43" style="459" customWidth="1"/>
    <col min="1539" max="1539" width="10.140625" style="459" customWidth="1"/>
    <col min="1540" max="1540" width="45" style="459" customWidth="1"/>
    <col min="1541" max="1541" width="34.5703125" style="459" customWidth="1"/>
    <col min="1542" max="1542" width="20.42578125" style="459" customWidth="1"/>
    <col min="1543" max="1543" width="36" style="459" customWidth="1"/>
    <col min="1544" max="1546" width="9.140625" style="459"/>
    <col min="1547" max="1548" width="9.5703125" style="459" customWidth="1"/>
    <col min="1549" max="1549" width="9.42578125" style="459" customWidth="1"/>
    <col min="1550" max="1550" width="9.140625" style="459"/>
    <col min="1551" max="1552" width="10.5703125" style="459" customWidth="1"/>
    <col min="1553" max="1553" width="9.42578125" style="459" customWidth="1"/>
    <col min="1554" max="1792" width="9.140625" style="459"/>
    <col min="1793" max="1793" width="5" style="459" customWidth="1"/>
    <col min="1794" max="1794" width="43" style="459" customWidth="1"/>
    <col min="1795" max="1795" width="10.140625" style="459" customWidth="1"/>
    <col min="1796" max="1796" width="45" style="459" customWidth="1"/>
    <col min="1797" max="1797" width="34.5703125" style="459" customWidth="1"/>
    <col min="1798" max="1798" width="20.42578125" style="459" customWidth="1"/>
    <col min="1799" max="1799" width="36" style="459" customWidth="1"/>
    <col min="1800" max="1802" width="9.140625" style="459"/>
    <col min="1803" max="1804" width="9.5703125" style="459" customWidth="1"/>
    <col min="1805" max="1805" width="9.42578125" style="459" customWidth="1"/>
    <col min="1806" max="1806" width="9.140625" style="459"/>
    <col min="1807" max="1808" width="10.5703125" style="459" customWidth="1"/>
    <col min="1809" max="1809" width="9.42578125" style="459" customWidth="1"/>
    <col min="1810" max="2048" width="9.140625" style="459"/>
    <col min="2049" max="2049" width="5" style="459" customWidth="1"/>
    <col min="2050" max="2050" width="43" style="459" customWidth="1"/>
    <col min="2051" max="2051" width="10.140625" style="459" customWidth="1"/>
    <col min="2052" max="2052" width="45" style="459" customWidth="1"/>
    <col min="2053" max="2053" width="34.5703125" style="459" customWidth="1"/>
    <col min="2054" max="2054" width="20.42578125" style="459" customWidth="1"/>
    <col min="2055" max="2055" width="36" style="459" customWidth="1"/>
    <col min="2056" max="2058" width="9.140625" style="459"/>
    <col min="2059" max="2060" width="9.5703125" style="459" customWidth="1"/>
    <col min="2061" max="2061" width="9.42578125" style="459" customWidth="1"/>
    <col min="2062" max="2062" width="9.140625" style="459"/>
    <col min="2063" max="2064" width="10.5703125" style="459" customWidth="1"/>
    <col min="2065" max="2065" width="9.42578125" style="459" customWidth="1"/>
    <col min="2066" max="2304" width="9.140625" style="459"/>
    <col min="2305" max="2305" width="5" style="459" customWidth="1"/>
    <col min="2306" max="2306" width="43" style="459" customWidth="1"/>
    <col min="2307" max="2307" width="10.140625" style="459" customWidth="1"/>
    <col min="2308" max="2308" width="45" style="459" customWidth="1"/>
    <col min="2309" max="2309" width="34.5703125" style="459" customWidth="1"/>
    <col min="2310" max="2310" width="20.42578125" style="459" customWidth="1"/>
    <col min="2311" max="2311" width="36" style="459" customWidth="1"/>
    <col min="2312" max="2314" width="9.140625" style="459"/>
    <col min="2315" max="2316" width="9.5703125" style="459" customWidth="1"/>
    <col min="2317" max="2317" width="9.42578125" style="459" customWidth="1"/>
    <col min="2318" max="2318" width="9.140625" style="459"/>
    <col min="2319" max="2320" width="10.5703125" style="459" customWidth="1"/>
    <col min="2321" max="2321" width="9.42578125" style="459" customWidth="1"/>
    <col min="2322" max="2560" width="9.140625" style="459"/>
    <col min="2561" max="2561" width="5" style="459" customWidth="1"/>
    <col min="2562" max="2562" width="43" style="459" customWidth="1"/>
    <col min="2563" max="2563" width="10.140625" style="459" customWidth="1"/>
    <col min="2564" max="2564" width="45" style="459" customWidth="1"/>
    <col min="2565" max="2565" width="34.5703125" style="459" customWidth="1"/>
    <col min="2566" max="2566" width="20.42578125" style="459" customWidth="1"/>
    <col min="2567" max="2567" width="36" style="459" customWidth="1"/>
    <col min="2568" max="2570" width="9.140625" style="459"/>
    <col min="2571" max="2572" width="9.5703125" style="459" customWidth="1"/>
    <col min="2573" max="2573" width="9.42578125" style="459" customWidth="1"/>
    <col min="2574" max="2574" width="9.140625" style="459"/>
    <col min="2575" max="2576" width="10.5703125" style="459" customWidth="1"/>
    <col min="2577" max="2577" width="9.42578125" style="459" customWidth="1"/>
    <col min="2578" max="2816" width="9.140625" style="459"/>
    <col min="2817" max="2817" width="5" style="459" customWidth="1"/>
    <col min="2818" max="2818" width="43" style="459" customWidth="1"/>
    <col min="2819" max="2819" width="10.140625" style="459" customWidth="1"/>
    <col min="2820" max="2820" width="45" style="459" customWidth="1"/>
    <col min="2821" max="2821" width="34.5703125" style="459" customWidth="1"/>
    <col min="2822" max="2822" width="20.42578125" style="459" customWidth="1"/>
    <col min="2823" max="2823" width="36" style="459" customWidth="1"/>
    <col min="2824" max="2826" width="9.140625" style="459"/>
    <col min="2827" max="2828" width="9.5703125" style="459" customWidth="1"/>
    <col min="2829" max="2829" width="9.42578125" style="459" customWidth="1"/>
    <col min="2830" max="2830" width="9.140625" style="459"/>
    <col min="2831" max="2832" width="10.5703125" style="459" customWidth="1"/>
    <col min="2833" max="2833" width="9.42578125" style="459" customWidth="1"/>
    <col min="2834" max="3072" width="9.140625" style="459"/>
    <col min="3073" max="3073" width="5" style="459" customWidth="1"/>
    <col min="3074" max="3074" width="43" style="459" customWidth="1"/>
    <col min="3075" max="3075" width="10.140625" style="459" customWidth="1"/>
    <col min="3076" max="3076" width="45" style="459" customWidth="1"/>
    <col min="3077" max="3077" width="34.5703125" style="459" customWidth="1"/>
    <col min="3078" max="3078" width="20.42578125" style="459" customWidth="1"/>
    <col min="3079" max="3079" width="36" style="459" customWidth="1"/>
    <col min="3080" max="3082" width="9.140625" style="459"/>
    <col min="3083" max="3084" width="9.5703125" style="459" customWidth="1"/>
    <col min="3085" max="3085" width="9.42578125" style="459" customWidth="1"/>
    <col min="3086" max="3086" width="9.140625" style="459"/>
    <col min="3087" max="3088" width="10.5703125" style="459" customWidth="1"/>
    <col min="3089" max="3089" width="9.42578125" style="459" customWidth="1"/>
    <col min="3090" max="3328" width="9.140625" style="459"/>
    <col min="3329" max="3329" width="5" style="459" customWidth="1"/>
    <col min="3330" max="3330" width="43" style="459" customWidth="1"/>
    <col min="3331" max="3331" width="10.140625" style="459" customWidth="1"/>
    <col min="3332" max="3332" width="45" style="459" customWidth="1"/>
    <col min="3333" max="3333" width="34.5703125" style="459" customWidth="1"/>
    <col min="3334" max="3334" width="20.42578125" style="459" customWidth="1"/>
    <col min="3335" max="3335" width="36" style="459" customWidth="1"/>
    <col min="3336" max="3338" width="9.140625" style="459"/>
    <col min="3339" max="3340" width="9.5703125" style="459" customWidth="1"/>
    <col min="3341" max="3341" width="9.42578125" style="459" customWidth="1"/>
    <col min="3342" max="3342" width="9.140625" style="459"/>
    <col min="3343" max="3344" width="10.5703125" style="459" customWidth="1"/>
    <col min="3345" max="3345" width="9.42578125" style="459" customWidth="1"/>
    <col min="3346" max="3584" width="9.140625" style="459"/>
    <col min="3585" max="3585" width="5" style="459" customWidth="1"/>
    <col min="3586" max="3586" width="43" style="459" customWidth="1"/>
    <col min="3587" max="3587" width="10.140625" style="459" customWidth="1"/>
    <col min="3588" max="3588" width="45" style="459" customWidth="1"/>
    <col min="3589" max="3589" width="34.5703125" style="459" customWidth="1"/>
    <col min="3590" max="3590" width="20.42578125" style="459" customWidth="1"/>
    <col min="3591" max="3591" width="36" style="459" customWidth="1"/>
    <col min="3592" max="3594" width="9.140625" style="459"/>
    <col min="3595" max="3596" width="9.5703125" style="459" customWidth="1"/>
    <col min="3597" max="3597" width="9.42578125" style="459" customWidth="1"/>
    <col min="3598" max="3598" width="9.140625" style="459"/>
    <col min="3599" max="3600" width="10.5703125" style="459" customWidth="1"/>
    <col min="3601" max="3601" width="9.42578125" style="459" customWidth="1"/>
    <col min="3602" max="3840" width="9.140625" style="459"/>
    <col min="3841" max="3841" width="5" style="459" customWidth="1"/>
    <col min="3842" max="3842" width="43" style="459" customWidth="1"/>
    <col min="3843" max="3843" width="10.140625" style="459" customWidth="1"/>
    <col min="3844" max="3844" width="45" style="459" customWidth="1"/>
    <col min="3845" max="3845" width="34.5703125" style="459" customWidth="1"/>
    <col min="3846" max="3846" width="20.42578125" style="459" customWidth="1"/>
    <col min="3847" max="3847" width="36" style="459" customWidth="1"/>
    <col min="3848" max="3850" width="9.140625" style="459"/>
    <col min="3851" max="3852" width="9.5703125" style="459" customWidth="1"/>
    <col min="3853" max="3853" width="9.42578125" style="459" customWidth="1"/>
    <col min="3854" max="3854" width="9.140625" style="459"/>
    <col min="3855" max="3856" width="10.5703125" style="459" customWidth="1"/>
    <col min="3857" max="3857" width="9.42578125" style="459" customWidth="1"/>
    <col min="3858" max="4096" width="9.140625" style="459"/>
    <col min="4097" max="4097" width="5" style="459" customWidth="1"/>
    <col min="4098" max="4098" width="43" style="459" customWidth="1"/>
    <col min="4099" max="4099" width="10.140625" style="459" customWidth="1"/>
    <col min="4100" max="4100" width="45" style="459" customWidth="1"/>
    <col min="4101" max="4101" width="34.5703125" style="459" customWidth="1"/>
    <col min="4102" max="4102" width="20.42578125" style="459" customWidth="1"/>
    <col min="4103" max="4103" width="36" style="459" customWidth="1"/>
    <col min="4104" max="4106" width="9.140625" style="459"/>
    <col min="4107" max="4108" width="9.5703125" style="459" customWidth="1"/>
    <col min="4109" max="4109" width="9.42578125" style="459" customWidth="1"/>
    <col min="4110" max="4110" width="9.140625" style="459"/>
    <col min="4111" max="4112" width="10.5703125" style="459" customWidth="1"/>
    <col min="4113" max="4113" width="9.42578125" style="459" customWidth="1"/>
    <col min="4114" max="4352" width="9.140625" style="459"/>
    <col min="4353" max="4353" width="5" style="459" customWidth="1"/>
    <col min="4354" max="4354" width="43" style="459" customWidth="1"/>
    <col min="4355" max="4355" width="10.140625" style="459" customWidth="1"/>
    <col min="4356" max="4356" width="45" style="459" customWidth="1"/>
    <col min="4357" max="4357" width="34.5703125" style="459" customWidth="1"/>
    <col min="4358" max="4358" width="20.42578125" style="459" customWidth="1"/>
    <col min="4359" max="4359" width="36" style="459" customWidth="1"/>
    <col min="4360" max="4362" width="9.140625" style="459"/>
    <col min="4363" max="4364" width="9.5703125" style="459" customWidth="1"/>
    <col min="4365" max="4365" width="9.42578125" style="459" customWidth="1"/>
    <col min="4366" max="4366" width="9.140625" style="459"/>
    <col min="4367" max="4368" width="10.5703125" style="459" customWidth="1"/>
    <col min="4369" max="4369" width="9.42578125" style="459" customWidth="1"/>
    <col min="4370" max="4608" width="9.140625" style="459"/>
    <col min="4609" max="4609" width="5" style="459" customWidth="1"/>
    <col min="4610" max="4610" width="43" style="459" customWidth="1"/>
    <col min="4611" max="4611" width="10.140625" style="459" customWidth="1"/>
    <col min="4612" max="4612" width="45" style="459" customWidth="1"/>
    <col min="4613" max="4613" width="34.5703125" style="459" customWidth="1"/>
    <col min="4614" max="4614" width="20.42578125" style="459" customWidth="1"/>
    <col min="4615" max="4615" width="36" style="459" customWidth="1"/>
    <col min="4616" max="4618" width="9.140625" style="459"/>
    <col min="4619" max="4620" width="9.5703125" style="459" customWidth="1"/>
    <col min="4621" max="4621" width="9.42578125" style="459" customWidth="1"/>
    <col min="4622" max="4622" width="9.140625" style="459"/>
    <col min="4623" max="4624" width="10.5703125" style="459" customWidth="1"/>
    <col min="4625" max="4625" width="9.42578125" style="459" customWidth="1"/>
    <col min="4626" max="4864" width="9.140625" style="459"/>
    <col min="4865" max="4865" width="5" style="459" customWidth="1"/>
    <col min="4866" max="4866" width="43" style="459" customWidth="1"/>
    <col min="4867" max="4867" width="10.140625" style="459" customWidth="1"/>
    <col min="4868" max="4868" width="45" style="459" customWidth="1"/>
    <col min="4869" max="4869" width="34.5703125" style="459" customWidth="1"/>
    <col min="4870" max="4870" width="20.42578125" style="459" customWidth="1"/>
    <col min="4871" max="4871" width="36" style="459" customWidth="1"/>
    <col min="4872" max="4874" width="9.140625" style="459"/>
    <col min="4875" max="4876" width="9.5703125" style="459" customWidth="1"/>
    <col min="4877" max="4877" width="9.42578125" style="459" customWidth="1"/>
    <col min="4878" max="4878" width="9.140625" style="459"/>
    <col min="4879" max="4880" width="10.5703125" style="459" customWidth="1"/>
    <col min="4881" max="4881" width="9.42578125" style="459" customWidth="1"/>
    <col min="4882" max="5120" width="9.140625" style="459"/>
    <col min="5121" max="5121" width="5" style="459" customWidth="1"/>
    <col min="5122" max="5122" width="43" style="459" customWidth="1"/>
    <col min="5123" max="5123" width="10.140625" style="459" customWidth="1"/>
    <col min="5124" max="5124" width="45" style="459" customWidth="1"/>
    <col min="5125" max="5125" width="34.5703125" style="459" customWidth="1"/>
    <col min="5126" max="5126" width="20.42578125" style="459" customWidth="1"/>
    <col min="5127" max="5127" width="36" style="459" customWidth="1"/>
    <col min="5128" max="5130" width="9.140625" style="459"/>
    <col min="5131" max="5132" width="9.5703125" style="459" customWidth="1"/>
    <col min="5133" max="5133" width="9.42578125" style="459" customWidth="1"/>
    <col min="5134" max="5134" width="9.140625" style="459"/>
    <col min="5135" max="5136" width="10.5703125" style="459" customWidth="1"/>
    <col min="5137" max="5137" width="9.42578125" style="459" customWidth="1"/>
    <col min="5138" max="5376" width="9.140625" style="459"/>
    <col min="5377" max="5377" width="5" style="459" customWidth="1"/>
    <col min="5378" max="5378" width="43" style="459" customWidth="1"/>
    <col min="5379" max="5379" width="10.140625" style="459" customWidth="1"/>
    <col min="5380" max="5380" width="45" style="459" customWidth="1"/>
    <col min="5381" max="5381" width="34.5703125" style="459" customWidth="1"/>
    <col min="5382" max="5382" width="20.42578125" style="459" customWidth="1"/>
    <col min="5383" max="5383" width="36" style="459" customWidth="1"/>
    <col min="5384" max="5386" width="9.140625" style="459"/>
    <col min="5387" max="5388" width="9.5703125" style="459" customWidth="1"/>
    <col min="5389" max="5389" width="9.42578125" style="459" customWidth="1"/>
    <col min="5390" max="5390" width="9.140625" style="459"/>
    <col min="5391" max="5392" width="10.5703125" style="459" customWidth="1"/>
    <col min="5393" max="5393" width="9.42578125" style="459" customWidth="1"/>
    <col min="5394" max="5632" width="9.140625" style="459"/>
    <col min="5633" max="5633" width="5" style="459" customWidth="1"/>
    <col min="5634" max="5634" width="43" style="459" customWidth="1"/>
    <col min="5635" max="5635" width="10.140625" style="459" customWidth="1"/>
    <col min="5636" max="5636" width="45" style="459" customWidth="1"/>
    <col min="5637" max="5637" width="34.5703125" style="459" customWidth="1"/>
    <col min="5638" max="5638" width="20.42578125" style="459" customWidth="1"/>
    <col min="5639" max="5639" width="36" style="459" customWidth="1"/>
    <col min="5640" max="5642" width="9.140625" style="459"/>
    <col min="5643" max="5644" width="9.5703125" style="459" customWidth="1"/>
    <col min="5645" max="5645" width="9.42578125" style="459" customWidth="1"/>
    <col min="5646" max="5646" width="9.140625" style="459"/>
    <col min="5647" max="5648" width="10.5703125" style="459" customWidth="1"/>
    <col min="5649" max="5649" width="9.42578125" style="459" customWidth="1"/>
    <col min="5650" max="5888" width="9.140625" style="459"/>
    <col min="5889" max="5889" width="5" style="459" customWidth="1"/>
    <col min="5890" max="5890" width="43" style="459" customWidth="1"/>
    <col min="5891" max="5891" width="10.140625" style="459" customWidth="1"/>
    <col min="5892" max="5892" width="45" style="459" customWidth="1"/>
    <col min="5893" max="5893" width="34.5703125" style="459" customWidth="1"/>
    <col min="5894" max="5894" width="20.42578125" style="459" customWidth="1"/>
    <col min="5895" max="5895" width="36" style="459" customWidth="1"/>
    <col min="5896" max="5898" width="9.140625" style="459"/>
    <col min="5899" max="5900" width="9.5703125" style="459" customWidth="1"/>
    <col min="5901" max="5901" width="9.42578125" style="459" customWidth="1"/>
    <col min="5902" max="5902" width="9.140625" style="459"/>
    <col min="5903" max="5904" width="10.5703125" style="459" customWidth="1"/>
    <col min="5905" max="5905" width="9.42578125" style="459" customWidth="1"/>
    <col min="5906" max="6144" width="9.140625" style="459"/>
    <col min="6145" max="6145" width="5" style="459" customWidth="1"/>
    <col min="6146" max="6146" width="43" style="459" customWidth="1"/>
    <col min="6147" max="6147" width="10.140625" style="459" customWidth="1"/>
    <col min="6148" max="6148" width="45" style="459" customWidth="1"/>
    <col min="6149" max="6149" width="34.5703125" style="459" customWidth="1"/>
    <col min="6150" max="6150" width="20.42578125" style="459" customWidth="1"/>
    <col min="6151" max="6151" width="36" style="459" customWidth="1"/>
    <col min="6152" max="6154" width="9.140625" style="459"/>
    <col min="6155" max="6156" width="9.5703125" style="459" customWidth="1"/>
    <col min="6157" max="6157" width="9.42578125" style="459" customWidth="1"/>
    <col min="6158" max="6158" width="9.140625" style="459"/>
    <col min="6159" max="6160" width="10.5703125" style="459" customWidth="1"/>
    <col min="6161" max="6161" width="9.42578125" style="459" customWidth="1"/>
    <col min="6162" max="6400" width="9.140625" style="459"/>
    <col min="6401" max="6401" width="5" style="459" customWidth="1"/>
    <col min="6402" max="6402" width="43" style="459" customWidth="1"/>
    <col min="6403" max="6403" width="10.140625" style="459" customWidth="1"/>
    <col min="6404" max="6404" width="45" style="459" customWidth="1"/>
    <col min="6405" max="6405" width="34.5703125" style="459" customWidth="1"/>
    <col min="6406" max="6406" width="20.42578125" style="459" customWidth="1"/>
    <col min="6407" max="6407" width="36" style="459" customWidth="1"/>
    <col min="6408" max="6410" width="9.140625" style="459"/>
    <col min="6411" max="6412" width="9.5703125" style="459" customWidth="1"/>
    <col min="6413" max="6413" width="9.42578125" style="459" customWidth="1"/>
    <col min="6414" max="6414" width="9.140625" style="459"/>
    <col min="6415" max="6416" width="10.5703125" style="459" customWidth="1"/>
    <col min="6417" max="6417" width="9.42578125" style="459" customWidth="1"/>
    <col min="6418" max="6656" width="9.140625" style="459"/>
    <col min="6657" max="6657" width="5" style="459" customWidth="1"/>
    <col min="6658" max="6658" width="43" style="459" customWidth="1"/>
    <col min="6659" max="6659" width="10.140625" style="459" customWidth="1"/>
    <col min="6660" max="6660" width="45" style="459" customWidth="1"/>
    <col min="6661" max="6661" width="34.5703125" style="459" customWidth="1"/>
    <col min="6662" max="6662" width="20.42578125" style="459" customWidth="1"/>
    <col min="6663" max="6663" width="36" style="459" customWidth="1"/>
    <col min="6664" max="6666" width="9.140625" style="459"/>
    <col min="6667" max="6668" width="9.5703125" style="459" customWidth="1"/>
    <col min="6669" max="6669" width="9.42578125" style="459" customWidth="1"/>
    <col min="6670" max="6670" width="9.140625" style="459"/>
    <col min="6671" max="6672" width="10.5703125" style="459" customWidth="1"/>
    <col min="6673" max="6673" width="9.42578125" style="459" customWidth="1"/>
    <col min="6674" max="6912" width="9.140625" style="459"/>
    <col min="6913" max="6913" width="5" style="459" customWidth="1"/>
    <col min="6914" max="6914" width="43" style="459" customWidth="1"/>
    <col min="6915" max="6915" width="10.140625" style="459" customWidth="1"/>
    <col min="6916" max="6916" width="45" style="459" customWidth="1"/>
    <col min="6917" max="6917" width="34.5703125" style="459" customWidth="1"/>
    <col min="6918" max="6918" width="20.42578125" style="459" customWidth="1"/>
    <col min="6919" max="6919" width="36" style="459" customWidth="1"/>
    <col min="6920" max="6922" width="9.140625" style="459"/>
    <col min="6923" max="6924" width="9.5703125" style="459" customWidth="1"/>
    <col min="6925" max="6925" width="9.42578125" style="459" customWidth="1"/>
    <col min="6926" max="6926" width="9.140625" style="459"/>
    <col min="6927" max="6928" width="10.5703125" style="459" customWidth="1"/>
    <col min="6929" max="6929" width="9.42578125" style="459" customWidth="1"/>
    <col min="6930" max="7168" width="9.140625" style="459"/>
    <col min="7169" max="7169" width="5" style="459" customWidth="1"/>
    <col min="7170" max="7170" width="43" style="459" customWidth="1"/>
    <col min="7171" max="7171" width="10.140625" style="459" customWidth="1"/>
    <col min="7172" max="7172" width="45" style="459" customWidth="1"/>
    <col min="7173" max="7173" width="34.5703125" style="459" customWidth="1"/>
    <col min="7174" max="7174" width="20.42578125" style="459" customWidth="1"/>
    <col min="7175" max="7175" width="36" style="459" customWidth="1"/>
    <col min="7176" max="7178" width="9.140625" style="459"/>
    <col min="7179" max="7180" width="9.5703125" style="459" customWidth="1"/>
    <col min="7181" max="7181" width="9.42578125" style="459" customWidth="1"/>
    <col min="7182" max="7182" width="9.140625" style="459"/>
    <col min="7183" max="7184" width="10.5703125" style="459" customWidth="1"/>
    <col min="7185" max="7185" width="9.42578125" style="459" customWidth="1"/>
    <col min="7186" max="7424" width="9.140625" style="459"/>
    <col min="7425" max="7425" width="5" style="459" customWidth="1"/>
    <col min="7426" max="7426" width="43" style="459" customWidth="1"/>
    <col min="7427" max="7427" width="10.140625" style="459" customWidth="1"/>
    <col min="7428" max="7428" width="45" style="459" customWidth="1"/>
    <col min="7429" max="7429" width="34.5703125" style="459" customWidth="1"/>
    <col min="7430" max="7430" width="20.42578125" style="459" customWidth="1"/>
    <col min="7431" max="7431" width="36" style="459" customWidth="1"/>
    <col min="7432" max="7434" width="9.140625" style="459"/>
    <col min="7435" max="7436" width="9.5703125" style="459" customWidth="1"/>
    <col min="7437" max="7437" width="9.42578125" style="459" customWidth="1"/>
    <col min="7438" max="7438" width="9.140625" style="459"/>
    <col min="7439" max="7440" width="10.5703125" style="459" customWidth="1"/>
    <col min="7441" max="7441" width="9.42578125" style="459" customWidth="1"/>
    <col min="7442" max="7680" width="9.140625" style="459"/>
    <col min="7681" max="7681" width="5" style="459" customWidth="1"/>
    <col min="7682" max="7682" width="43" style="459" customWidth="1"/>
    <col min="7683" max="7683" width="10.140625" style="459" customWidth="1"/>
    <col min="7684" max="7684" width="45" style="459" customWidth="1"/>
    <col min="7685" max="7685" width="34.5703125" style="459" customWidth="1"/>
    <col min="7686" max="7686" width="20.42578125" style="459" customWidth="1"/>
    <col min="7687" max="7687" width="36" style="459" customWidth="1"/>
    <col min="7688" max="7690" width="9.140625" style="459"/>
    <col min="7691" max="7692" width="9.5703125" style="459" customWidth="1"/>
    <col min="7693" max="7693" width="9.42578125" style="459" customWidth="1"/>
    <col min="7694" max="7694" width="9.140625" style="459"/>
    <col min="7695" max="7696" width="10.5703125" style="459" customWidth="1"/>
    <col min="7697" max="7697" width="9.42578125" style="459" customWidth="1"/>
    <col min="7698" max="7936" width="9.140625" style="459"/>
    <col min="7937" max="7937" width="5" style="459" customWidth="1"/>
    <col min="7938" max="7938" width="43" style="459" customWidth="1"/>
    <col min="7939" max="7939" width="10.140625" style="459" customWidth="1"/>
    <col min="7940" max="7940" width="45" style="459" customWidth="1"/>
    <col min="7941" max="7941" width="34.5703125" style="459" customWidth="1"/>
    <col min="7942" max="7942" width="20.42578125" style="459" customWidth="1"/>
    <col min="7943" max="7943" width="36" style="459" customWidth="1"/>
    <col min="7944" max="7946" width="9.140625" style="459"/>
    <col min="7947" max="7948" width="9.5703125" style="459" customWidth="1"/>
    <col min="7949" max="7949" width="9.42578125" style="459" customWidth="1"/>
    <col min="7950" max="7950" width="9.140625" style="459"/>
    <col min="7951" max="7952" width="10.5703125" style="459" customWidth="1"/>
    <col min="7953" max="7953" width="9.42578125" style="459" customWidth="1"/>
    <col min="7954" max="8192" width="9.140625" style="459"/>
    <col min="8193" max="8193" width="5" style="459" customWidth="1"/>
    <col min="8194" max="8194" width="43" style="459" customWidth="1"/>
    <col min="8195" max="8195" width="10.140625" style="459" customWidth="1"/>
    <col min="8196" max="8196" width="45" style="459" customWidth="1"/>
    <col min="8197" max="8197" width="34.5703125" style="459" customWidth="1"/>
    <col min="8198" max="8198" width="20.42578125" style="459" customWidth="1"/>
    <col min="8199" max="8199" width="36" style="459" customWidth="1"/>
    <col min="8200" max="8202" width="9.140625" style="459"/>
    <col min="8203" max="8204" width="9.5703125" style="459" customWidth="1"/>
    <col min="8205" max="8205" width="9.42578125" style="459" customWidth="1"/>
    <col min="8206" max="8206" width="9.140625" style="459"/>
    <col min="8207" max="8208" width="10.5703125" style="459" customWidth="1"/>
    <col min="8209" max="8209" width="9.42578125" style="459" customWidth="1"/>
    <col min="8210" max="8448" width="9.140625" style="459"/>
    <col min="8449" max="8449" width="5" style="459" customWidth="1"/>
    <col min="8450" max="8450" width="43" style="459" customWidth="1"/>
    <col min="8451" max="8451" width="10.140625" style="459" customWidth="1"/>
    <col min="8452" max="8452" width="45" style="459" customWidth="1"/>
    <col min="8453" max="8453" width="34.5703125" style="459" customWidth="1"/>
    <col min="8454" max="8454" width="20.42578125" style="459" customWidth="1"/>
    <col min="8455" max="8455" width="36" style="459" customWidth="1"/>
    <col min="8456" max="8458" width="9.140625" style="459"/>
    <col min="8459" max="8460" width="9.5703125" style="459" customWidth="1"/>
    <col min="8461" max="8461" width="9.42578125" style="459" customWidth="1"/>
    <col min="8462" max="8462" width="9.140625" style="459"/>
    <col min="8463" max="8464" width="10.5703125" style="459" customWidth="1"/>
    <col min="8465" max="8465" width="9.42578125" style="459" customWidth="1"/>
    <col min="8466" max="8704" width="9.140625" style="459"/>
    <col min="8705" max="8705" width="5" style="459" customWidth="1"/>
    <col min="8706" max="8706" width="43" style="459" customWidth="1"/>
    <col min="8707" max="8707" width="10.140625" style="459" customWidth="1"/>
    <col min="8708" max="8708" width="45" style="459" customWidth="1"/>
    <col min="8709" max="8709" width="34.5703125" style="459" customWidth="1"/>
    <col min="8710" max="8710" width="20.42578125" style="459" customWidth="1"/>
    <col min="8711" max="8711" width="36" style="459" customWidth="1"/>
    <col min="8712" max="8714" width="9.140625" style="459"/>
    <col min="8715" max="8716" width="9.5703125" style="459" customWidth="1"/>
    <col min="8717" max="8717" width="9.42578125" style="459" customWidth="1"/>
    <col min="8718" max="8718" width="9.140625" style="459"/>
    <col min="8719" max="8720" width="10.5703125" style="459" customWidth="1"/>
    <col min="8721" max="8721" width="9.42578125" style="459" customWidth="1"/>
    <col min="8722" max="8960" width="9.140625" style="459"/>
    <col min="8961" max="8961" width="5" style="459" customWidth="1"/>
    <col min="8962" max="8962" width="43" style="459" customWidth="1"/>
    <col min="8963" max="8963" width="10.140625" style="459" customWidth="1"/>
    <col min="8964" max="8964" width="45" style="459" customWidth="1"/>
    <col min="8965" max="8965" width="34.5703125" style="459" customWidth="1"/>
    <col min="8966" max="8966" width="20.42578125" style="459" customWidth="1"/>
    <col min="8967" max="8967" width="36" style="459" customWidth="1"/>
    <col min="8968" max="8970" width="9.140625" style="459"/>
    <col min="8971" max="8972" width="9.5703125" style="459" customWidth="1"/>
    <col min="8973" max="8973" width="9.42578125" style="459" customWidth="1"/>
    <col min="8974" max="8974" width="9.140625" style="459"/>
    <col min="8975" max="8976" width="10.5703125" style="459" customWidth="1"/>
    <col min="8977" max="8977" width="9.42578125" style="459" customWidth="1"/>
    <col min="8978" max="9216" width="9.140625" style="459"/>
    <col min="9217" max="9217" width="5" style="459" customWidth="1"/>
    <col min="9218" max="9218" width="43" style="459" customWidth="1"/>
    <col min="9219" max="9219" width="10.140625" style="459" customWidth="1"/>
    <col min="9220" max="9220" width="45" style="459" customWidth="1"/>
    <col min="9221" max="9221" width="34.5703125" style="459" customWidth="1"/>
    <col min="9222" max="9222" width="20.42578125" style="459" customWidth="1"/>
    <col min="9223" max="9223" width="36" style="459" customWidth="1"/>
    <col min="9224" max="9226" width="9.140625" style="459"/>
    <col min="9227" max="9228" width="9.5703125" style="459" customWidth="1"/>
    <col min="9229" max="9229" width="9.42578125" style="459" customWidth="1"/>
    <col min="9230" max="9230" width="9.140625" style="459"/>
    <col min="9231" max="9232" width="10.5703125" style="459" customWidth="1"/>
    <col min="9233" max="9233" width="9.42578125" style="459" customWidth="1"/>
    <col min="9234" max="9472" width="9.140625" style="459"/>
    <col min="9473" max="9473" width="5" style="459" customWidth="1"/>
    <col min="9474" max="9474" width="43" style="459" customWidth="1"/>
    <col min="9475" max="9475" width="10.140625" style="459" customWidth="1"/>
    <col min="9476" max="9476" width="45" style="459" customWidth="1"/>
    <col min="9477" max="9477" width="34.5703125" style="459" customWidth="1"/>
    <col min="9478" max="9478" width="20.42578125" style="459" customWidth="1"/>
    <col min="9479" max="9479" width="36" style="459" customWidth="1"/>
    <col min="9480" max="9482" width="9.140625" style="459"/>
    <col min="9483" max="9484" width="9.5703125" style="459" customWidth="1"/>
    <col min="9485" max="9485" width="9.42578125" style="459" customWidth="1"/>
    <col min="9486" max="9486" width="9.140625" style="459"/>
    <col min="9487" max="9488" width="10.5703125" style="459" customWidth="1"/>
    <col min="9489" max="9489" width="9.42578125" style="459" customWidth="1"/>
    <col min="9490" max="9728" width="9.140625" style="459"/>
    <col min="9729" max="9729" width="5" style="459" customWidth="1"/>
    <col min="9730" max="9730" width="43" style="459" customWidth="1"/>
    <col min="9731" max="9731" width="10.140625" style="459" customWidth="1"/>
    <col min="9732" max="9732" width="45" style="459" customWidth="1"/>
    <col min="9733" max="9733" width="34.5703125" style="459" customWidth="1"/>
    <col min="9734" max="9734" width="20.42578125" style="459" customWidth="1"/>
    <col min="9735" max="9735" width="36" style="459" customWidth="1"/>
    <col min="9736" max="9738" width="9.140625" style="459"/>
    <col min="9739" max="9740" width="9.5703125" style="459" customWidth="1"/>
    <col min="9741" max="9741" width="9.42578125" style="459" customWidth="1"/>
    <col min="9742" max="9742" width="9.140625" style="459"/>
    <col min="9743" max="9744" width="10.5703125" style="459" customWidth="1"/>
    <col min="9745" max="9745" width="9.42578125" style="459" customWidth="1"/>
    <col min="9746" max="9984" width="9.140625" style="459"/>
    <col min="9985" max="9985" width="5" style="459" customWidth="1"/>
    <col min="9986" max="9986" width="43" style="459" customWidth="1"/>
    <col min="9987" max="9987" width="10.140625" style="459" customWidth="1"/>
    <col min="9988" max="9988" width="45" style="459" customWidth="1"/>
    <col min="9989" max="9989" width="34.5703125" style="459" customWidth="1"/>
    <col min="9990" max="9990" width="20.42578125" style="459" customWidth="1"/>
    <col min="9991" max="9991" width="36" style="459" customWidth="1"/>
    <col min="9992" max="9994" width="9.140625" style="459"/>
    <col min="9995" max="9996" width="9.5703125" style="459" customWidth="1"/>
    <col min="9997" max="9997" width="9.42578125" style="459" customWidth="1"/>
    <col min="9998" max="9998" width="9.140625" style="459"/>
    <col min="9999" max="10000" width="10.5703125" style="459" customWidth="1"/>
    <col min="10001" max="10001" width="9.42578125" style="459" customWidth="1"/>
    <col min="10002" max="10240" width="9.140625" style="459"/>
    <col min="10241" max="10241" width="5" style="459" customWidth="1"/>
    <col min="10242" max="10242" width="43" style="459" customWidth="1"/>
    <col min="10243" max="10243" width="10.140625" style="459" customWidth="1"/>
    <col min="10244" max="10244" width="45" style="459" customWidth="1"/>
    <col min="10245" max="10245" width="34.5703125" style="459" customWidth="1"/>
    <col min="10246" max="10246" width="20.42578125" style="459" customWidth="1"/>
    <col min="10247" max="10247" width="36" style="459" customWidth="1"/>
    <col min="10248" max="10250" width="9.140625" style="459"/>
    <col min="10251" max="10252" width="9.5703125" style="459" customWidth="1"/>
    <col min="10253" max="10253" width="9.42578125" style="459" customWidth="1"/>
    <col min="10254" max="10254" width="9.140625" style="459"/>
    <col min="10255" max="10256" width="10.5703125" style="459" customWidth="1"/>
    <col min="10257" max="10257" width="9.42578125" style="459" customWidth="1"/>
    <col min="10258" max="10496" width="9.140625" style="459"/>
    <col min="10497" max="10497" width="5" style="459" customWidth="1"/>
    <col min="10498" max="10498" width="43" style="459" customWidth="1"/>
    <col min="10499" max="10499" width="10.140625" style="459" customWidth="1"/>
    <col min="10500" max="10500" width="45" style="459" customWidth="1"/>
    <col min="10501" max="10501" width="34.5703125" style="459" customWidth="1"/>
    <col min="10502" max="10502" width="20.42578125" style="459" customWidth="1"/>
    <col min="10503" max="10503" width="36" style="459" customWidth="1"/>
    <col min="10504" max="10506" width="9.140625" style="459"/>
    <col min="10507" max="10508" width="9.5703125" style="459" customWidth="1"/>
    <col min="10509" max="10509" width="9.42578125" style="459" customWidth="1"/>
    <col min="10510" max="10510" width="9.140625" style="459"/>
    <col min="10511" max="10512" width="10.5703125" style="459" customWidth="1"/>
    <col min="10513" max="10513" width="9.42578125" style="459" customWidth="1"/>
    <col min="10514" max="10752" width="9.140625" style="459"/>
    <col min="10753" max="10753" width="5" style="459" customWidth="1"/>
    <col min="10754" max="10754" width="43" style="459" customWidth="1"/>
    <col min="10755" max="10755" width="10.140625" style="459" customWidth="1"/>
    <col min="10756" max="10756" width="45" style="459" customWidth="1"/>
    <col min="10757" max="10757" width="34.5703125" style="459" customWidth="1"/>
    <col min="10758" max="10758" width="20.42578125" style="459" customWidth="1"/>
    <col min="10759" max="10759" width="36" style="459" customWidth="1"/>
    <col min="10760" max="10762" width="9.140625" style="459"/>
    <col min="10763" max="10764" width="9.5703125" style="459" customWidth="1"/>
    <col min="10765" max="10765" width="9.42578125" style="459" customWidth="1"/>
    <col min="10766" max="10766" width="9.140625" style="459"/>
    <col min="10767" max="10768" width="10.5703125" style="459" customWidth="1"/>
    <col min="10769" max="10769" width="9.42578125" style="459" customWidth="1"/>
    <col min="10770" max="11008" width="9.140625" style="459"/>
    <col min="11009" max="11009" width="5" style="459" customWidth="1"/>
    <col min="11010" max="11010" width="43" style="459" customWidth="1"/>
    <col min="11011" max="11011" width="10.140625" style="459" customWidth="1"/>
    <col min="11012" max="11012" width="45" style="459" customWidth="1"/>
    <col min="11013" max="11013" width="34.5703125" style="459" customWidth="1"/>
    <col min="11014" max="11014" width="20.42578125" style="459" customWidth="1"/>
    <col min="11015" max="11015" width="36" style="459" customWidth="1"/>
    <col min="11016" max="11018" width="9.140625" style="459"/>
    <col min="11019" max="11020" width="9.5703125" style="459" customWidth="1"/>
    <col min="11021" max="11021" width="9.42578125" style="459" customWidth="1"/>
    <col min="11022" max="11022" width="9.140625" style="459"/>
    <col min="11023" max="11024" width="10.5703125" style="459" customWidth="1"/>
    <col min="11025" max="11025" width="9.42578125" style="459" customWidth="1"/>
    <col min="11026" max="11264" width="9.140625" style="459"/>
    <col min="11265" max="11265" width="5" style="459" customWidth="1"/>
    <col min="11266" max="11266" width="43" style="459" customWidth="1"/>
    <col min="11267" max="11267" width="10.140625" style="459" customWidth="1"/>
    <col min="11268" max="11268" width="45" style="459" customWidth="1"/>
    <col min="11269" max="11269" width="34.5703125" style="459" customWidth="1"/>
    <col min="11270" max="11270" width="20.42578125" style="459" customWidth="1"/>
    <col min="11271" max="11271" width="36" style="459" customWidth="1"/>
    <col min="11272" max="11274" width="9.140625" style="459"/>
    <col min="11275" max="11276" width="9.5703125" style="459" customWidth="1"/>
    <col min="11277" max="11277" width="9.42578125" style="459" customWidth="1"/>
    <col min="11278" max="11278" width="9.140625" style="459"/>
    <col min="11279" max="11280" width="10.5703125" style="459" customWidth="1"/>
    <col min="11281" max="11281" width="9.42578125" style="459" customWidth="1"/>
    <col min="11282" max="11520" width="9.140625" style="459"/>
    <col min="11521" max="11521" width="5" style="459" customWidth="1"/>
    <col min="11522" max="11522" width="43" style="459" customWidth="1"/>
    <col min="11523" max="11523" width="10.140625" style="459" customWidth="1"/>
    <col min="11524" max="11524" width="45" style="459" customWidth="1"/>
    <col min="11525" max="11525" width="34.5703125" style="459" customWidth="1"/>
    <col min="11526" max="11526" width="20.42578125" style="459" customWidth="1"/>
    <col min="11527" max="11527" width="36" style="459" customWidth="1"/>
    <col min="11528" max="11530" width="9.140625" style="459"/>
    <col min="11531" max="11532" width="9.5703125" style="459" customWidth="1"/>
    <col min="11533" max="11533" width="9.42578125" style="459" customWidth="1"/>
    <col min="11534" max="11534" width="9.140625" style="459"/>
    <col min="11535" max="11536" width="10.5703125" style="459" customWidth="1"/>
    <col min="11537" max="11537" width="9.42578125" style="459" customWidth="1"/>
    <col min="11538" max="11776" width="9.140625" style="459"/>
    <col min="11777" max="11777" width="5" style="459" customWidth="1"/>
    <col min="11778" max="11778" width="43" style="459" customWidth="1"/>
    <col min="11779" max="11779" width="10.140625" style="459" customWidth="1"/>
    <col min="11780" max="11780" width="45" style="459" customWidth="1"/>
    <col min="11781" max="11781" width="34.5703125" style="459" customWidth="1"/>
    <col min="11782" max="11782" width="20.42578125" style="459" customWidth="1"/>
    <col min="11783" max="11783" width="36" style="459" customWidth="1"/>
    <col min="11784" max="11786" width="9.140625" style="459"/>
    <col min="11787" max="11788" width="9.5703125" style="459" customWidth="1"/>
    <col min="11789" max="11789" width="9.42578125" style="459" customWidth="1"/>
    <col min="11790" max="11790" width="9.140625" style="459"/>
    <col min="11791" max="11792" width="10.5703125" style="459" customWidth="1"/>
    <col min="11793" max="11793" width="9.42578125" style="459" customWidth="1"/>
    <col min="11794" max="12032" width="9.140625" style="459"/>
    <col min="12033" max="12033" width="5" style="459" customWidth="1"/>
    <col min="12034" max="12034" width="43" style="459" customWidth="1"/>
    <col min="12035" max="12035" width="10.140625" style="459" customWidth="1"/>
    <col min="12036" max="12036" width="45" style="459" customWidth="1"/>
    <col min="12037" max="12037" width="34.5703125" style="459" customWidth="1"/>
    <col min="12038" max="12038" width="20.42578125" style="459" customWidth="1"/>
    <col min="12039" max="12039" width="36" style="459" customWidth="1"/>
    <col min="12040" max="12042" width="9.140625" style="459"/>
    <col min="12043" max="12044" width="9.5703125" style="459" customWidth="1"/>
    <col min="12045" max="12045" width="9.42578125" style="459" customWidth="1"/>
    <col min="12046" max="12046" width="9.140625" style="459"/>
    <col min="12047" max="12048" width="10.5703125" style="459" customWidth="1"/>
    <col min="12049" max="12049" width="9.42578125" style="459" customWidth="1"/>
    <col min="12050" max="12288" width="9.140625" style="459"/>
    <col min="12289" max="12289" width="5" style="459" customWidth="1"/>
    <col min="12290" max="12290" width="43" style="459" customWidth="1"/>
    <col min="12291" max="12291" width="10.140625" style="459" customWidth="1"/>
    <col min="12292" max="12292" width="45" style="459" customWidth="1"/>
    <col min="12293" max="12293" width="34.5703125" style="459" customWidth="1"/>
    <col min="12294" max="12294" width="20.42578125" style="459" customWidth="1"/>
    <col min="12295" max="12295" width="36" style="459" customWidth="1"/>
    <col min="12296" max="12298" width="9.140625" style="459"/>
    <col min="12299" max="12300" width="9.5703125" style="459" customWidth="1"/>
    <col min="12301" max="12301" width="9.42578125" style="459" customWidth="1"/>
    <col min="12302" max="12302" width="9.140625" style="459"/>
    <col min="12303" max="12304" width="10.5703125" style="459" customWidth="1"/>
    <col min="12305" max="12305" width="9.42578125" style="459" customWidth="1"/>
    <col min="12306" max="12544" width="9.140625" style="459"/>
    <col min="12545" max="12545" width="5" style="459" customWidth="1"/>
    <col min="12546" max="12546" width="43" style="459" customWidth="1"/>
    <col min="12547" max="12547" width="10.140625" style="459" customWidth="1"/>
    <col min="12548" max="12548" width="45" style="459" customWidth="1"/>
    <col min="12549" max="12549" width="34.5703125" style="459" customWidth="1"/>
    <col min="12550" max="12550" width="20.42578125" style="459" customWidth="1"/>
    <col min="12551" max="12551" width="36" style="459" customWidth="1"/>
    <col min="12552" max="12554" width="9.140625" style="459"/>
    <col min="12555" max="12556" width="9.5703125" style="459" customWidth="1"/>
    <col min="12557" max="12557" width="9.42578125" style="459" customWidth="1"/>
    <col min="12558" max="12558" width="9.140625" style="459"/>
    <col min="12559" max="12560" width="10.5703125" style="459" customWidth="1"/>
    <col min="12561" max="12561" width="9.42578125" style="459" customWidth="1"/>
    <col min="12562" max="12800" width="9.140625" style="459"/>
    <col min="12801" max="12801" width="5" style="459" customWidth="1"/>
    <col min="12802" max="12802" width="43" style="459" customWidth="1"/>
    <col min="12803" max="12803" width="10.140625" style="459" customWidth="1"/>
    <col min="12804" max="12804" width="45" style="459" customWidth="1"/>
    <col min="12805" max="12805" width="34.5703125" style="459" customWidth="1"/>
    <col min="12806" max="12806" width="20.42578125" style="459" customWidth="1"/>
    <col min="12807" max="12807" width="36" style="459" customWidth="1"/>
    <col min="12808" max="12810" width="9.140625" style="459"/>
    <col min="12811" max="12812" width="9.5703125" style="459" customWidth="1"/>
    <col min="12813" max="12813" width="9.42578125" style="459" customWidth="1"/>
    <col min="12814" max="12814" width="9.140625" style="459"/>
    <col min="12815" max="12816" width="10.5703125" style="459" customWidth="1"/>
    <col min="12817" max="12817" width="9.42578125" style="459" customWidth="1"/>
    <col min="12818" max="13056" width="9.140625" style="459"/>
    <col min="13057" max="13057" width="5" style="459" customWidth="1"/>
    <col min="13058" max="13058" width="43" style="459" customWidth="1"/>
    <col min="13059" max="13059" width="10.140625" style="459" customWidth="1"/>
    <col min="13060" max="13060" width="45" style="459" customWidth="1"/>
    <col min="13061" max="13061" width="34.5703125" style="459" customWidth="1"/>
    <col min="13062" max="13062" width="20.42578125" style="459" customWidth="1"/>
    <col min="13063" max="13063" width="36" style="459" customWidth="1"/>
    <col min="13064" max="13066" width="9.140625" style="459"/>
    <col min="13067" max="13068" width="9.5703125" style="459" customWidth="1"/>
    <col min="13069" max="13069" width="9.42578125" style="459" customWidth="1"/>
    <col min="13070" max="13070" width="9.140625" style="459"/>
    <col min="13071" max="13072" width="10.5703125" style="459" customWidth="1"/>
    <col min="13073" max="13073" width="9.42578125" style="459" customWidth="1"/>
    <col min="13074" max="13312" width="9.140625" style="459"/>
    <col min="13313" max="13313" width="5" style="459" customWidth="1"/>
    <col min="13314" max="13314" width="43" style="459" customWidth="1"/>
    <col min="13315" max="13315" width="10.140625" style="459" customWidth="1"/>
    <col min="13316" max="13316" width="45" style="459" customWidth="1"/>
    <col min="13317" max="13317" width="34.5703125" style="459" customWidth="1"/>
    <col min="13318" max="13318" width="20.42578125" style="459" customWidth="1"/>
    <col min="13319" max="13319" width="36" style="459" customWidth="1"/>
    <col min="13320" max="13322" width="9.140625" style="459"/>
    <col min="13323" max="13324" width="9.5703125" style="459" customWidth="1"/>
    <col min="13325" max="13325" width="9.42578125" style="459" customWidth="1"/>
    <col min="13326" max="13326" width="9.140625" style="459"/>
    <col min="13327" max="13328" width="10.5703125" style="459" customWidth="1"/>
    <col min="13329" max="13329" width="9.42578125" style="459" customWidth="1"/>
    <col min="13330" max="13568" width="9.140625" style="459"/>
    <col min="13569" max="13569" width="5" style="459" customWidth="1"/>
    <col min="13570" max="13570" width="43" style="459" customWidth="1"/>
    <col min="13571" max="13571" width="10.140625" style="459" customWidth="1"/>
    <col min="13572" max="13572" width="45" style="459" customWidth="1"/>
    <col min="13573" max="13573" width="34.5703125" style="459" customWidth="1"/>
    <col min="13574" max="13574" width="20.42578125" style="459" customWidth="1"/>
    <col min="13575" max="13575" width="36" style="459" customWidth="1"/>
    <col min="13576" max="13578" width="9.140625" style="459"/>
    <col min="13579" max="13580" width="9.5703125" style="459" customWidth="1"/>
    <col min="13581" max="13581" width="9.42578125" style="459" customWidth="1"/>
    <col min="13582" max="13582" width="9.140625" style="459"/>
    <col min="13583" max="13584" width="10.5703125" style="459" customWidth="1"/>
    <col min="13585" max="13585" width="9.42578125" style="459" customWidth="1"/>
    <col min="13586" max="13824" width="9.140625" style="459"/>
    <col min="13825" max="13825" width="5" style="459" customWidth="1"/>
    <col min="13826" max="13826" width="43" style="459" customWidth="1"/>
    <col min="13827" max="13827" width="10.140625" style="459" customWidth="1"/>
    <col min="13828" max="13828" width="45" style="459" customWidth="1"/>
    <col min="13829" max="13829" width="34.5703125" style="459" customWidth="1"/>
    <col min="13830" max="13830" width="20.42578125" style="459" customWidth="1"/>
    <col min="13831" max="13831" width="36" style="459" customWidth="1"/>
    <col min="13832" max="13834" width="9.140625" style="459"/>
    <col min="13835" max="13836" width="9.5703125" style="459" customWidth="1"/>
    <col min="13837" max="13837" width="9.42578125" style="459" customWidth="1"/>
    <col min="13838" max="13838" width="9.140625" style="459"/>
    <col min="13839" max="13840" width="10.5703125" style="459" customWidth="1"/>
    <col min="13841" max="13841" width="9.42578125" style="459" customWidth="1"/>
    <col min="13842" max="14080" width="9.140625" style="459"/>
    <col min="14081" max="14081" width="5" style="459" customWidth="1"/>
    <col min="14082" max="14082" width="43" style="459" customWidth="1"/>
    <col min="14083" max="14083" width="10.140625" style="459" customWidth="1"/>
    <col min="14084" max="14084" width="45" style="459" customWidth="1"/>
    <col min="14085" max="14085" width="34.5703125" style="459" customWidth="1"/>
    <col min="14086" max="14086" width="20.42578125" style="459" customWidth="1"/>
    <col min="14087" max="14087" width="36" style="459" customWidth="1"/>
    <col min="14088" max="14090" width="9.140625" style="459"/>
    <col min="14091" max="14092" width="9.5703125" style="459" customWidth="1"/>
    <col min="14093" max="14093" width="9.42578125" style="459" customWidth="1"/>
    <col min="14094" max="14094" width="9.140625" style="459"/>
    <col min="14095" max="14096" width="10.5703125" style="459" customWidth="1"/>
    <col min="14097" max="14097" width="9.42578125" style="459" customWidth="1"/>
    <col min="14098" max="14336" width="9.140625" style="459"/>
    <col min="14337" max="14337" width="5" style="459" customWidth="1"/>
    <col min="14338" max="14338" width="43" style="459" customWidth="1"/>
    <col min="14339" max="14339" width="10.140625" style="459" customWidth="1"/>
    <col min="14340" max="14340" width="45" style="459" customWidth="1"/>
    <col min="14341" max="14341" width="34.5703125" style="459" customWidth="1"/>
    <col min="14342" max="14342" width="20.42578125" style="459" customWidth="1"/>
    <col min="14343" max="14343" width="36" style="459" customWidth="1"/>
    <col min="14344" max="14346" width="9.140625" style="459"/>
    <col min="14347" max="14348" width="9.5703125" style="459" customWidth="1"/>
    <col min="14349" max="14349" width="9.42578125" style="459" customWidth="1"/>
    <col min="14350" max="14350" width="9.140625" style="459"/>
    <col min="14351" max="14352" width="10.5703125" style="459" customWidth="1"/>
    <col min="14353" max="14353" width="9.42578125" style="459" customWidth="1"/>
    <col min="14354" max="14592" width="9.140625" style="459"/>
    <col min="14593" max="14593" width="5" style="459" customWidth="1"/>
    <col min="14594" max="14594" width="43" style="459" customWidth="1"/>
    <col min="14595" max="14595" width="10.140625" style="459" customWidth="1"/>
    <col min="14596" max="14596" width="45" style="459" customWidth="1"/>
    <col min="14597" max="14597" width="34.5703125" style="459" customWidth="1"/>
    <col min="14598" max="14598" width="20.42578125" style="459" customWidth="1"/>
    <col min="14599" max="14599" width="36" style="459" customWidth="1"/>
    <col min="14600" max="14602" width="9.140625" style="459"/>
    <col min="14603" max="14604" width="9.5703125" style="459" customWidth="1"/>
    <col min="14605" max="14605" width="9.42578125" style="459" customWidth="1"/>
    <col min="14606" max="14606" width="9.140625" style="459"/>
    <col min="14607" max="14608" width="10.5703125" style="459" customWidth="1"/>
    <col min="14609" max="14609" width="9.42578125" style="459" customWidth="1"/>
    <col min="14610" max="14848" width="9.140625" style="459"/>
    <col min="14849" max="14849" width="5" style="459" customWidth="1"/>
    <col min="14850" max="14850" width="43" style="459" customWidth="1"/>
    <col min="14851" max="14851" width="10.140625" style="459" customWidth="1"/>
    <col min="14852" max="14852" width="45" style="459" customWidth="1"/>
    <col min="14853" max="14853" width="34.5703125" style="459" customWidth="1"/>
    <col min="14854" max="14854" width="20.42578125" style="459" customWidth="1"/>
    <col min="14855" max="14855" width="36" style="459" customWidth="1"/>
    <col min="14856" max="14858" width="9.140625" style="459"/>
    <col min="14859" max="14860" width="9.5703125" style="459" customWidth="1"/>
    <col min="14861" max="14861" width="9.42578125" style="459" customWidth="1"/>
    <col min="14862" max="14862" width="9.140625" style="459"/>
    <col min="14863" max="14864" width="10.5703125" style="459" customWidth="1"/>
    <col min="14865" max="14865" width="9.42578125" style="459" customWidth="1"/>
    <col min="14866" max="15104" width="9.140625" style="459"/>
    <col min="15105" max="15105" width="5" style="459" customWidth="1"/>
    <col min="15106" max="15106" width="43" style="459" customWidth="1"/>
    <col min="15107" max="15107" width="10.140625" style="459" customWidth="1"/>
    <col min="15108" max="15108" width="45" style="459" customWidth="1"/>
    <col min="15109" max="15109" width="34.5703125" style="459" customWidth="1"/>
    <col min="15110" max="15110" width="20.42578125" style="459" customWidth="1"/>
    <col min="15111" max="15111" width="36" style="459" customWidth="1"/>
    <col min="15112" max="15114" width="9.140625" style="459"/>
    <col min="15115" max="15116" width="9.5703125" style="459" customWidth="1"/>
    <col min="15117" max="15117" width="9.42578125" style="459" customWidth="1"/>
    <col min="15118" max="15118" width="9.140625" style="459"/>
    <col min="15119" max="15120" width="10.5703125" style="459" customWidth="1"/>
    <col min="15121" max="15121" width="9.42578125" style="459" customWidth="1"/>
    <col min="15122" max="15360" width="9.140625" style="459"/>
    <col min="15361" max="15361" width="5" style="459" customWidth="1"/>
    <col min="15362" max="15362" width="43" style="459" customWidth="1"/>
    <col min="15363" max="15363" width="10.140625" style="459" customWidth="1"/>
    <col min="15364" max="15364" width="45" style="459" customWidth="1"/>
    <col min="15365" max="15365" width="34.5703125" style="459" customWidth="1"/>
    <col min="15366" max="15366" width="20.42578125" style="459" customWidth="1"/>
    <col min="15367" max="15367" width="36" style="459" customWidth="1"/>
    <col min="15368" max="15370" width="9.140625" style="459"/>
    <col min="15371" max="15372" width="9.5703125" style="459" customWidth="1"/>
    <col min="15373" max="15373" width="9.42578125" style="459" customWidth="1"/>
    <col min="15374" max="15374" width="9.140625" style="459"/>
    <col min="15375" max="15376" width="10.5703125" style="459" customWidth="1"/>
    <col min="15377" max="15377" width="9.42578125" style="459" customWidth="1"/>
    <col min="15378" max="15616" width="9.140625" style="459"/>
    <col min="15617" max="15617" width="5" style="459" customWidth="1"/>
    <col min="15618" max="15618" width="43" style="459" customWidth="1"/>
    <col min="15619" max="15619" width="10.140625" style="459" customWidth="1"/>
    <col min="15620" max="15620" width="45" style="459" customWidth="1"/>
    <col min="15621" max="15621" width="34.5703125" style="459" customWidth="1"/>
    <col min="15622" max="15622" width="20.42578125" style="459" customWidth="1"/>
    <col min="15623" max="15623" width="36" style="459" customWidth="1"/>
    <col min="15624" max="15626" width="9.140625" style="459"/>
    <col min="15627" max="15628" width="9.5703125" style="459" customWidth="1"/>
    <col min="15629" max="15629" width="9.42578125" style="459" customWidth="1"/>
    <col min="15630" max="15630" width="9.140625" style="459"/>
    <col min="15631" max="15632" width="10.5703125" style="459" customWidth="1"/>
    <col min="15633" max="15633" width="9.42578125" style="459" customWidth="1"/>
    <col min="15634" max="15872" width="9.140625" style="459"/>
    <col min="15873" max="15873" width="5" style="459" customWidth="1"/>
    <col min="15874" max="15874" width="43" style="459" customWidth="1"/>
    <col min="15875" max="15875" width="10.140625" style="459" customWidth="1"/>
    <col min="15876" max="15876" width="45" style="459" customWidth="1"/>
    <col min="15877" max="15877" width="34.5703125" style="459" customWidth="1"/>
    <col min="15878" max="15878" width="20.42578125" style="459" customWidth="1"/>
    <col min="15879" max="15879" width="36" style="459" customWidth="1"/>
    <col min="15880" max="15882" width="9.140625" style="459"/>
    <col min="15883" max="15884" width="9.5703125" style="459" customWidth="1"/>
    <col min="15885" max="15885" width="9.42578125" style="459" customWidth="1"/>
    <col min="15886" max="15886" width="9.140625" style="459"/>
    <col min="15887" max="15888" width="10.5703125" style="459" customWidth="1"/>
    <col min="15889" max="15889" width="9.42578125" style="459" customWidth="1"/>
    <col min="15890" max="16128" width="9.140625" style="459"/>
    <col min="16129" max="16129" width="5" style="459" customWidth="1"/>
    <col min="16130" max="16130" width="43" style="459" customWidth="1"/>
    <col min="16131" max="16131" width="10.140625" style="459" customWidth="1"/>
    <col min="16132" max="16132" width="45" style="459" customWidth="1"/>
    <col min="16133" max="16133" width="34.5703125" style="459" customWidth="1"/>
    <col min="16134" max="16134" width="20.42578125" style="459" customWidth="1"/>
    <col min="16135" max="16135" width="36" style="459" customWidth="1"/>
    <col min="16136" max="16138" width="9.140625" style="459"/>
    <col min="16139" max="16140" width="9.5703125" style="459" customWidth="1"/>
    <col min="16141" max="16141" width="9.42578125" style="459" customWidth="1"/>
    <col min="16142" max="16142" width="9.140625" style="459"/>
    <col min="16143" max="16144" width="10.5703125" style="459" customWidth="1"/>
    <col min="16145" max="16145" width="9.42578125" style="459" customWidth="1"/>
    <col min="16146" max="16384" width="9.140625" style="459"/>
  </cols>
  <sheetData>
    <row r="1" spans="1:252" ht="127.5" x14ac:dyDescent="0.2">
      <c r="A1" s="494"/>
      <c r="B1" s="495"/>
      <c r="C1" s="495"/>
      <c r="D1" s="495"/>
      <c r="E1" s="495"/>
      <c r="F1" s="495"/>
      <c r="G1" s="495"/>
      <c r="H1" s="495"/>
      <c r="I1" s="495"/>
      <c r="J1" s="495"/>
      <c r="K1" s="496"/>
      <c r="L1" s="496"/>
      <c r="M1" s="496"/>
      <c r="N1" s="495"/>
      <c r="O1" s="523" t="s">
        <v>15</v>
      </c>
      <c r="P1" s="523"/>
      <c r="Q1" s="523"/>
      <c r="R1" s="524"/>
      <c r="S1" s="524"/>
      <c r="T1" s="524"/>
      <c r="U1" s="524"/>
      <c r="V1" s="524"/>
      <c r="W1" s="524"/>
      <c r="X1" s="524"/>
      <c r="Y1" s="524"/>
      <c r="Z1" s="524"/>
      <c r="AA1" s="524"/>
      <c r="AB1" s="524"/>
      <c r="AC1" s="524"/>
      <c r="AD1" s="524"/>
      <c r="AE1" s="524"/>
      <c r="AF1" s="524"/>
      <c r="AG1" s="524"/>
      <c r="AH1" s="524"/>
      <c r="AI1" s="524"/>
      <c r="AJ1" s="524"/>
      <c r="AK1" s="524"/>
      <c r="AL1" s="524"/>
      <c r="AM1" s="524"/>
      <c r="AN1" s="524"/>
      <c r="AO1" s="524"/>
      <c r="AP1" s="524"/>
      <c r="AQ1" s="524"/>
      <c r="AR1" s="524"/>
      <c r="AS1" s="524"/>
      <c r="AT1" s="524"/>
      <c r="AU1" s="524"/>
      <c r="AV1" s="524"/>
      <c r="AW1" s="524"/>
      <c r="AX1" s="524"/>
      <c r="AY1" s="524"/>
      <c r="AZ1" s="524"/>
      <c r="BA1" s="524"/>
      <c r="BB1" s="524"/>
      <c r="BC1" s="524"/>
      <c r="BD1" s="524"/>
      <c r="BE1" s="524"/>
      <c r="BF1" s="524"/>
      <c r="BG1" s="524"/>
      <c r="BH1" s="524"/>
      <c r="BI1" s="524"/>
      <c r="BJ1" s="524"/>
      <c r="BK1" s="524"/>
      <c r="BL1" s="524"/>
      <c r="BM1" s="524"/>
      <c r="BN1" s="524"/>
      <c r="BO1" s="524"/>
      <c r="BP1" s="524"/>
      <c r="BQ1" s="524"/>
      <c r="BR1" s="524"/>
      <c r="BS1" s="524"/>
      <c r="BT1" s="524"/>
      <c r="BU1" s="524"/>
      <c r="BV1" s="524"/>
      <c r="BW1" s="524"/>
      <c r="BX1" s="524"/>
      <c r="BY1" s="524"/>
      <c r="BZ1" s="524"/>
      <c r="CA1" s="524"/>
      <c r="CB1" s="524"/>
      <c r="CC1" s="524"/>
      <c r="CD1" s="524"/>
      <c r="CE1" s="524"/>
      <c r="CF1" s="524"/>
      <c r="CG1" s="524"/>
      <c r="CH1" s="524"/>
      <c r="CI1" s="524"/>
      <c r="CJ1" s="524"/>
      <c r="CK1" s="524"/>
      <c r="CL1" s="524"/>
      <c r="CM1" s="524"/>
      <c r="CN1" s="524"/>
      <c r="CO1" s="524"/>
      <c r="CP1" s="524"/>
      <c r="CQ1" s="524"/>
      <c r="CR1" s="524"/>
      <c r="CS1" s="524"/>
      <c r="CT1" s="524"/>
      <c r="CU1" s="524"/>
      <c r="CV1" s="524"/>
      <c r="CW1" s="524"/>
      <c r="CX1" s="524"/>
      <c r="CY1" s="524"/>
      <c r="CZ1" s="524"/>
      <c r="DA1" s="524"/>
      <c r="DB1" s="524"/>
      <c r="DC1" s="524"/>
      <c r="DD1" s="524"/>
      <c r="DE1" s="524"/>
      <c r="DF1" s="524"/>
      <c r="DG1" s="524"/>
      <c r="DH1" s="524"/>
      <c r="DI1" s="524"/>
      <c r="DJ1" s="524"/>
      <c r="DK1" s="524"/>
      <c r="DL1" s="524"/>
      <c r="DM1" s="524"/>
      <c r="DN1" s="524"/>
      <c r="DO1" s="524"/>
      <c r="DP1" s="524"/>
      <c r="DQ1" s="524"/>
      <c r="DR1" s="524"/>
      <c r="DS1" s="524"/>
      <c r="DT1" s="524"/>
      <c r="DU1" s="524"/>
      <c r="DV1" s="524"/>
      <c r="DW1" s="524"/>
      <c r="DX1" s="524"/>
      <c r="DY1" s="524"/>
      <c r="DZ1" s="524"/>
      <c r="EA1" s="524"/>
      <c r="EB1" s="524"/>
      <c r="EC1" s="524"/>
      <c r="ED1" s="524"/>
      <c r="EE1" s="524"/>
      <c r="EF1" s="524"/>
      <c r="EG1" s="524"/>
      <c r="EH1" s="524"/>
      <c r="EI1" s="524"/>
      <c r="EJ1" s="524"/>
      <c r="EK1" s="524"/>
      <c r="EL1" s="524"/>
      <c r="EM1" s="524"/>
      <c r="EN1" s="524"/>
      <c r="EO1" s="524"/>
      <c r="EP1" s="524"/>
      <c r="EQ1" s="524"/>
      <c r="ER1" s="524"/>
      <c r="ES1" s="524"/>
      <c r="ET1" s="524"/>
      <c r="EU1" s="524"/>
      <c r="EV1" s="524"/>
      <c r="EW1" s="524"/>
      <c r="EX1" s="524"/>
      <c r="EY1" s="524"/>
      <c r="EZ1" s="524"/>
      <c r="FA1" s="524"/>
      <c r="FB1" s="524"/>
      <c r="FC1" s="524"/>
      <c r="FD1" s="524"/>
      <c r="FE1" s="524"/>
      <c r="FF1" s="524"/>
      <c r="FG1" s="524"/>
      <c r="FH1" s="524"/>
      <c r="FI1" s="524"/>
      <c r="FJ1" s="524"/>
      <c r="FK1" s="524"/>
      <c r="FL1" s="524"/>
      <c r="FM1" s="524"/>
      <c r="FN1" s="524"/>
      <c r="FO1" s="524"/>
      <c r="FP1" s="524"/>
      <c r="FQ1" s="524"/>
      <c r="FR1" s="524"/>
      <c r="FS1" s="524"/>
      <c r="FT1" s="524"/>
      <c r="FU1" s="524"/>
      <c r="FV1" s="524"/>
      <c r="FW1" s="524"/>
      <c r="FX1" s="524"/>
      <c r="FY1" s="524"/>
      <c r="FZ1" s="524"/>
      <c r="GA1" s="524"/>
      <c r="GB1" s="524"/>
      <c r="GC1" s="524"/>
      <c r="GD1" s="524"/>
      <c r="GE1" s="524"/>
      <c r="GF1" s="524"/>
      <c r="GG1" s="524"/>
      <c r="GH1" s="524"/>
      <c r="GI1" s="524"/>
      <c r="GJ1" s="524"/>
      <c r="GK1" s="524"/>
      <c r="GL1" s="524"/>
      <c r="GM1" s="524"/>
      <c r="GN1" s="524"/>
      <c r="GO1" s="524"/>
      <c r="GP1" s="524"/>
      <c r="GQ1" s="524"/>
      <c r="GR1" s="524"/>
      <c r="GS1" s="524"/>
      <c r="GT1" s="524"/>
      <c r="GU1" s="524"/>
      <c r="GV1" s="524"/>
      <c r="GW1" s="524"/>
      <c r="GX1" s="524"/>
      <c r="GY1" s="524"/>
      <c r="GZ1" s="524"/>
      <c r="HA1" s="524"/>
      <c r="HB1" s="524"/>
      <c r="HC1" s="524"/>
      <c r="HD1" s="524"/>
      <c r="HE1" s="524"/>
      <c r="HF1" s="524"/>
      <c r="HG1" s="524"/>
      <c r="HH1" s="524"/>
      <c r="HI1" s="524"/>
      <c r="HJ1" s="524"/>
      <c r="HK1" s="524"/>
      <c r="HL1" s="524"/>
      <c r="HM1" s="524"/>
      <c r="HN1" s="524"/>
      <c r="HO1" s="524"/>
      <c r="HP1" s="524"/>
      <c r="HQ1" s="524"/>
      <c r="HR1" s="524"/>
      <c r="HS1" s="524"/>
      <c r="HT1" s="524"/>
      <c r="HU1" s="524"/>
      <c r="HV1" s="524"/>
      <c r="HW1" s="524"/>
      <c r="HX1" s="524"/>
      <c r="HY1" s="524"/>
      <c r="HZ1" s="524"/>
      <c r="IA1" s="524"/>
      <c r="IB1" s="524"/>
      <c r="IC1" s="524"/>
      <c r="ID1" s="524"/>
      <c r="IE1" s="524"/>
      <c r="IF1" s="524"/>
      <c r="IG1" s="524"/>
      <c r="IH1" s="524"/>
      <c r="II1" s="524"/>
      <c r="IJ1" s="524"/>
      <c r="IK1" s="524"/>
      <c r="IL1" s="524"/>
      <c r="IM1" s="524"/>
      <c r="IN1" s="524"/>
      <c r="IO1" s="524"/>
      <c r="IP1" s="524"/>
      <c r="IQ1" s="524"/>
      <c r="IR1" s="524"/>
    </row>
    <row r="2" spans="1:252" x14ac:dyDescent="0.2">
      <c r="A2" s="494"/>
      <c r="B2" s="495"/>
      <c r="C2" s="495"/>
      <c r="D2" s="495"/>
      <c r="E2" s="495"/>
      <c r="F2" s="495"/>
      <c r="G2" s="495"/>
      <c r="H2" s="495"/>
      <c r="I2" s="495"/>
      <c r="J2" s="495"/>
      <c r="K2" s="496"/>
      <c r="L2" s="496"/>
      <c r="M2" s="496"/>
      <c r="N2" s="495"/>
      <c r="O2" s="496"/>
      <c r="P2" s="496"/>
      <c r="Q2" s="496"/>
      <c r="R2" s="524"/>
      <c r="S2" s="524"/>
      <c r="T2" s="524"/>
      <c r="U2" s="524"/>
      <c r="V2" s="524"/>
      <c r="W2" s="524"/>
      <c r="X2" s="524"/>
      <c r="Y2" s="524"/>
      <c r="Z2" s="524"/>
      <c r="AA2" s="524"/>
      <c r="AB2" s="524"/>
      <c r="AC2" s="524"/>
      <c r="AD2" s="524"/>
      <c r="AE2" s="524"/>
      <c r="AF2" s="524"/>
      <c r="AG2" s="524"/>
      <c r="AH2" s="524"/>
      <c r="AI2" s="524"/>
      <c r="AJ2" s="524"/>
      <c r="AK2" s="524"/>
      <c r="AL2" s="524"/>
      <c r="AM2" s="524"/>
      <c r="AN2" s="524"/>
      <c r="AO2" s="524"/>
      <c r="AP2" s="524"/>
      <c r="AQ2" s="524"/>
      <c r="AR2" s="524"/>
      <c r="AS2" s="524"/>
      <c r="AT2" s="524"/>
      <c r="AU2" s="524"/>
      <c r="AV2" s="524"/>
      <c r="AW2" s="524"/>
      <c r="AX2" s="524"/>
      <c r="AY2" s="524"/>
      <c r="AZ2" s="524"/>
      <c r="BA2" s="524"/>
      <c r="BB2" s="524"/>
      <c r="BC2" s="524"/>
      <c r="BD2" s="524"/>
      <c r="BE2" s="524"/>
      <c r="BF2" s="524"/>
      <c r="BG2" s="524"/>
      <c r="BH2" s="524"/>
      <c r="BI2" s="524"/>
      <c r="BJ2" s="524"/>
      <c r="BK2" s="524"/>
      <c r="BL2" s="524"/>
      <c r="BM2" s="524"/>
      <c r="BN2" s="524"/>
      <c r="BO2" s="524"/>
      <c r="BP2" s="524"/>
      <c r="BQ2" s="524"/>
      <c r="BR2" s="524"/>
      <c r="BS2" s="524"/>
      <c r="BT2" s="524"/>
      <c r="BU2" s="524"/>
      <c r="BV2" s="524"/>
      <c r="BW2" s="524"/>
      <c r="BX2" s="524"/>
      <c r="BY2" s="524"/>
      <c r="BZ2" s="524"/>
      <c r="CA2" s="524"/>
      <c r="CB2" s="524"/>
      <c r="CC2" s="524"/>
      <c r="CD2" s="524"/>
      <c r="CE2" s="524"/>
      <c r="CF2" s="524"/>
      <c r="CG2" s="524"/>
      <c r="CH2" s="524"/>
      <c r="CI2" s="524"/>
      <c r="CJ2" s="524"/>
      <c r="CK2" s="524"/>
      <c r="CL2" s="524"/>
      <c r="CM2" s="524"/>
      <c r="CN2" s="524"/>
      <c r="CO2" s="524"/>
      <c r="CP2" s="524"/>
      <c r="CQ2" s="524"/>
      <c r="CR2" s="524"/>
      <c r="CS2" s="524"/>
      <c r="CT2" s="524"/>
      <c r="CU2" s="524"/>
      <c r="CV2" s="524"/>
      <c r="CW2" s="524"/>
      <c r="CX2" s="524"/>
      <c r="CY2" s="524"/>
      <c r="CZ2" s="524"/>
      <c r="DA2" s="524"/>
      <c r="DB2" s="524"/>
      <c r="DC2" s="524"/>
      <c r="DD2" s="524"/>
      <c r="DE2" s="524"/>
      <c r="DF2" s="524"/>
      <c r="DG2" s="524"/>
      <c r="DH2" s="524"/>
      <c r="DI2" s="524"/>
      <c r="DJ2" s="524"/>
      <c r="DK2" s="524"/>
      <c r="DL2" s="524"/>
      <c r="DM2" s="524"/>
      <c r="DN2" s="524"/>
      <c r="DO2" s="524"/>
      <c r="DP2" s="524"/>
      <c r="DQ2" s="524"/>
      <c r="DR2" s="524"/>
      <c r="DS2" s="524"/>
      <c r="DT2" s="524"/>
      <c r="DU2" s="524"/>
      <c r="DV2" s="524"/>
      <c r="DW2" s="524"/>
      <c r="DX2" s="524"/>
      <c r="DY2" s="524"/>
      <c r="DZ2" s="524"/>
      <c r="EA2" s="524"/>
      <c r="EB2" s="524"/>
      <c r="EC2" s="524"/>
      <c r="ED2" s="524"/>
      <c r="EE2" s="524"/>
      <c r="EF2" s="524"/>
      <c r="EG2" s="524"/>
      <c r="EH2" s="524"/>
      <c r="EI2" s="524"/>
      <c r="EJ2" s="524"/>
      <c r="EK2" s="524"/>
      <c r="EL2" s="524"/>
      <c r="EM2" s="524"/>
      <c r="EN2" s="524"/>
      <c r="EO2" s="524"/>
      <c r="EP2" s="524"/>
      <c r="EQ2" s="524"/>
      <c r="ER2" s="524"/>
      <c r="ES2" s="524"/>
      <c r="ET2" s="524"/>
      <c r="EU2" s="524"/>
      <c r="EV2" s="524"/>
      <c r="EW2" s="524"/>
      <c r="EX2" s="524"/>
      <c r="EY2" s="524"/>
      <c r="EZ2" s="524"/>
      <c r="FA2" s="524"/>
      <c r="FB2" s="524"/>
      <c r="FC2" s="524"/>
      <c r="FD2" s="524"/>
      <c r="FE2" s="524"/>
      <c r="FF2" s="524"/>
      <c r="FG2" s="524"/>
      <c r="FH2" s="524"/>
      <c r="FI2" s="524"/>
      <c r="FJ2" s="524"/>
      <c r="FK2" s="524"/>
      <c r="FL2" s="524"/>
      <c r="FM2" s="524"/>
      <c r="FN2" s="524"/>
      <c r="FO2" s="524"/>
      <c r="FP2" s="524"/>
      <c r="FQ2" s="524"/>
      <c r="FR2" s="524"/>
      <c r="FS2" s="524"/>
      <c r="FT2" s="524"/>
      <c r="FU2" s="524"/>
      <c r="FV2" s="524"/>
      <c r="FW2" s="524"/>
      <c r="FX2" s="524"/>
      <c r="FY2" s="524"/>
      <c r="FZ2" s="524"/>
      <c r="GA2" s="524"/>
      <c r="GB2" s="524"/>
      <c r="GC2" s="524"/>
      <c r="GD2" s="524"/>
      <c r="GE2" s="524"/>
      <c r="GF2" s="524"/>
      <c r="GG2" s="524"/>
      <c r="GH2" s="524"/>
      <c r="GI2" s="524"/>
      <c r="GJ2" s="524"/>
      <c r="GK2" s="524"/>
      <c r="GL2" s="524"/>
      <c r="GM2" s="524"/>
      <c r="GN2" s="524"/>
      <c r="GO2" s="524"/>
      <c r="GP2" s="524"/>
      <c r="GQ2" s="524"/>
      <c r="GR2" s="524"/>
      <c r="GS2" s="524"/>
      <c r="GT2" s="524"/>
      <c r="GU2" s="524"/>
      <c r="GV2" s="524"/>
      <c r="GW2" s="524"/>
      <c r="GX2" s="524"/>
      <c r="GY2" s="524"/>
      <c r="GZ2" s="524"/>
      <c r="HA2" s="524"/>
      <c r="HB2" s="524"/>
      <c r="HC2" s="524"/>
      <c r="HD2" s="524"/>
      <c r="HE2" s="524"/>
      <c r="HF2" s="524"/>
      <c r="HG2" s="524"/>
      <c r="HH2" s="524"/>
      <c r="HI2" s="524"/>
      <c r="HJ2" s="524"/>
      <c r="HK2" s="524"/>
      <c r="HL2" s="524"/>
      <c r="HM2" s="524"/>
      <c r="HN2" s="524"/>
      <c r="HO2" s="524"/>
      <c r="HP2" s="524"/>
      <c r="HQ2" s="524"/>
      <c r="HR2" s="524"/>
      <c r="HS2" s="524"/>
      <c r="HT2" s="524"/>
      <c r="HU2" s="524"/>
      <c r="HV2" s="524"/>
      <c r="HW2" s="524"/>
      <c r="HX2" s="524"/>
      <c r="HY2" s="524"/>
      <c r="HZ2" s="524"/>
      <c r="IA2" s="524"/>
      <c r="IB2" s="524"/>
      <c r="IC2" s="524"/>
      <c r="ID2" s="524"/>
      <c r="IE2" s="524"/>
      <c r="IF2" s="524"/>
      <c r="IG2" s="524"/>
      <c r="IH2" s="524"/>
      <c r="II2" s="524"/>
      <c r="IJ2" s="524"/>
      <c r="IK2" s="524"/>
      <c r="IL2" s="524"/>
      <c r="IM2" s="524"/>
      <c r="IN2" s="524"/>
      <c r="IO2" s="524"/>
      <c r="IP2" s="524"/>
      <c r="IQ2" s="524"/>
      <c r="IR2" s="524"/>
    </row>
    <row r="3" spans="1:252" ht="15" x14ac:dyDescent="0.2">
      <c r="A3" s="497" t="s">
        <v>669</v>
      </c>
      <c r="B3" s="497"/>
      <c r="C3" s="497"/>
      <c r="D3" s="497"/>
      <c r="E3" s="497"/>
      <c r="F3" s="497"/>
      <c r="G3" s="497"/>
      <c r="H3" s="497"/>
      <c r="I3" s="497"/>
      <c r="J3" s="497"/>
      <c r="K3" s="497"/>
      <c r="L3" s="497"/>
      <c r="M3" s="497"/>
      <c r="N3" s="497"/>
      <c r="O3" s="497"/>
      <c r="P3" s="497"/>
      <c r="Q3" s="497"/>
      <c r="R3" s="524"/>
      <c r="S3" s="524"/>
      <c r="T3" s="524"/>
      <c r="U3" s="524"/>
      <c r="V3" s="524"/>
      <c r="W3" s="524"/>
      <c r="X3" s="524"/>
      <c r="Y3" s="524"/>
      <c r="Z3" s="524"/>
      <c r="AA3" s="524"/>
      <c r="AB3" s="524"/>
      <c r="AC3" s="524"/>
      <c r="AD3" s="524"/>
      <c r="AE3" s="524"/>
      <c r="AF3" s="524"/>
      <c r="AG3" s="524"/>
      <c r="AH3" s="524"/>
      <c r="AI3" s="524"/>
      <c r="AJ3" s="524"/>
      <c r="AK3" s="524"/>
      <c r="AL3" s="524"/>
      <c r="AM3" s="524"/>
      <c r="AN3" s="524"/>
      <c r="AO3" s="524"/>
      <c r="AP3" s="524"/>
      <c r="AQ3" s="524"/>
      <c r="AR3" s="524"/>
      <c r="AS3" s="524"/>
      <c r="AT3" s="524"/>
      <c r="AU3" s="524"/>
      <c r="AV3" s="524"/>
      <c r="AW3" s="524"/>
      <c r="AX3" s="524"/>
      <c r="AY3" s="524"/>
      <c r="AZ3" s="524"/>
      <c r="BA3" s="524"/>
      <c r="BB3" s="524"/>
      <c r="BC3" s="524"/>
      <c r="BD3" s="524"/>
      <c r="BE3" s="524"/>
      <c r="BF3" s="524"/>
      <c r="BG3" s="524"/>
      <c r="BH3" s="524"/>
      <c r="BI3" s="524"/>
      <c r="BJ3" s="524"/>
      <c r="BK3" s="524"/>
      <c r="BL3" s="524"/>
      <c r="BM3" s="524"/>
      <c r="BN3" s="524"/>
      <c r="BO3" s="524"/>
      <c r="BP3" s="524"/>
      <c r="BQ3" s="524"/>
      <c r="BR3" s="524"/>
      <c r="BS3" s="524"/>
      <c r="BT3" s="524"/>
      <c r="BU3" s="524"/>
      <c r="BV3" s="524"/>
      <c r="BW3" s="524"/>
      <c r="BX3" s="524"/>
      <c r="BY3" s="524"/>
      <c r="BZ3" s="524"/>
      <c r="CA3" s="524"/>
      <c r="CB3" s="524"/>
      <c r="CC3" s="524"/>
      <c r="CD3" s="524"/>
      <c r="CE3" s="524"/>
      <c r="CF3" s="524"/>
      <c r="CG3" s="524"/>
      <c r="CH3" s="524"/>
      <c r="CI3" s="524"/>
      <c r="CJ3" s="524"/>
      <c r="CK3" s="524"/>
      <c r="CL3" s="524"/>
      <c r="CM3" s="524"/>
      <c r="CN3" s="524"/>
      <c r="CO3" s="524"/>
      <c r="CP3" s="524"/>
      <c r="CQ3" s="524"/>
      <c r="CR3" s="524"/>
      <c r="CS3" s="524"/>
      <c r="CT3" s="524"/>
      <c r="CU3" s="524"/>
      <c r="CV3" s="524"/>
      <c r="CW3" s="524"/>
      <c r="CX3" s="524"/>
      <c r="CY3" s="524"/>
      <c r="CZ3" s="524"/>
      <c r="DA3" s="524"/>
      <c r="DB3" s="524"/>
      <c r="DC3" s="524"/>
      <c r="DD3" s="524"/>
      <c r="DE3" s="524"/>
      <c r="DF3" s="524"/>
      <c r="DG3" s="524"/>
      <c r="DH3" s="524"/>
      <c r="DI3" s="524"/>
      <c r="DJ3" s="524"/>
      <c r="DK3" s="524"/>
      <c r="DL3" s="524"/>
      <c r="DM3" s="524"/>
      <c r="DN3" s="524"/>
      <c r="DO3" s="524"/>
      <c r="DP3" s="524"/>
      <c r="DQ3" s="524"/>
      <c r="DR3" s="524"/>
      <c r="DS3" s="524"/>
      <c r="DT3" s="524"/>
      <c r="DU3" s="524"/>
      <c r="DV3" s="524"/>
      <c r="DW3" s="524"/>
      <c r="DX3" s="524"/>
      <c r="DY3" s="524"/>
      <c r="DZ3" s="524"/>
      <c r="EA3" s="524"/>
      <c r="EB3" s="524"/>
      <c r="EC3" s="524"/>
      <c r="ED3" s="524"/>
      <c r="EE3" s="524"/>
      <c r="EF3" s="524"/>
      <c r="EG3" s="524"/>
      <c r="EH3" s="524"/>
      <c r="EI3" s="524"/>
      <c r="EJ3" s="524"/>
      <c r="EK3" s="524"/>
      <c r="EL3" s="524"/>
      <c r="EM3" s="524"/>
      <c r="EN3" s="524"/>
      <c r="EO3" s="524"/>
      <c r="EP3" s="524"/>
      <c r="EQ3" s="524"/>
      <c r="ER3" s="524"/>
      <c r="ES3" s="524"/>
      <c r="ET3" s="524"/>
      <c r="EU3" s="524"/>
      <c r="EV3" s="524"/>
      <c r="EW3" s="524"/>
      <c r="EX3" s="524"/>
      <c r="EY3" s="524"/>
      <c r="EZ3" s="524"/>
      <c r="FA3" s="524"/>
      <c r="FB3" s="524"/>
      <c r="FC3" s="524"/>
      <c r="FD3" s="524"/>
      <c r="FE3" s="524"/>
      <c r="FF3" s="524"/>
      <c r="FG3" s="524"/>
      <c r="FH3" s="524"/>
      <c r="FI3" s="524"/>
      <c r="FJ3" s="524"/>
      <c r="FK3" s="524"/>
      <c r="FL3" s="524"/>
      <c r="FM3" s="524"/>
      <c r="FN3" s="524"/>
      <c r="FO3" s="524"/>
      <c r="FP3" s="524"/>
      <c r="FQ3" s="524"/>
      <c r="FR3" s="524"/>
      <c r="FS3" s="524"/>
      <c r="FT3" s="524"/>
      <c r="FU3" s="524"/>
      <c r="FV3" s="524"/>
      <c r="FW3" s="524"/>
      <c r="FX3" s="524"/>
      <c r="FY3" s="524"/>
      <c r="FZ3" s="524"/>
      <c r="GA3" s="524"/>
      <c r="GB3" s="524"/>
      <c r="GC3" s="524"/>
      <c r="GD3" s="524"/>
      <c r="GE3" s="524"/>
      <c r="GF3" s="524"/>
      <c r="GG3" s="524"/>
      <c r="GH3" s="524"/>
      <c r="GI3" s="524"/>
      <c r="GJ3" s="524"/>
      <c r="GK3" s="524"/>
      <c r="GL3" s="524"/>
      <c r="GM3" s="524"/>
      <c r="GN3" s="524"/>
      <c r="GO3" s="524"/>
      <c r="GP3" s="524"/>
      <c r="GQ3" s="524"/>
      <c r="GR3" s="524"/>
      <c r="GS3" s="524"/>
      <c r="GT3" s="524"/>
      <c r="GU3" s="524"/>
      <c r="GV3" s="524"/>
      <c r="GW3" s="524"/>
      <c r="GX3" s="524"/>
      <c r="GY3" s="524"/>
      <c r="GZ3" s="524"/>
      <c r="HA3" s="524"/>
      <c r="HB3" s="524"/>
      <c r="HC3" s="524"/>
      <c r="HD3" s="524"/>
      <c r="HE3" s="524"/>
      <c r="HF3" s="524"/>
      <c r="HG3" s="524"/>
      <c r="HH3" s="524"/>
      <c r="HI3" s="524"/>
      <c r="HJ3" s="524"/>
      <c r="HK3" s="524"/>
      <c r="HL3" s="524"/>
      <c r="HM3" s="524"/>
      <c r="HN3" s="524"/>
      <c r="HO3" s="524"/>
      <c r="HP3" s="524"/>
      <c r="HQ3" s="524"/>
      <c r="HR3" s="524"/>
      <c r="HS3" s="524"/>
      <c r="HT3" s="524"/>
      <c r="HU3" s="524"/>
      <c r="HV3" s="524"/>
      <c r="HW3" s="524"/>
      <c r="HX3" s="524"/>
      <c r="HY3" s="524"/>
      <c r="HZ3" s="524"/>
      <c r="IA3" s="524"/>
      <c r="IB3" s="524"/>
      <c r="IC3" s="524"/>
      <c r="ID3" s="524"/>
      <c r="IE3" s="524"/>
      <c r="IF3" s="524"/>
      <c r="IG3" s="524"/>
      <c r="IH3" s="524"/>
      <c r="II3" s="524"/>
      <c r="IJ3" s="524"/>
      <c r="IK3" s="524"/>
      <c r="IL3" s="524"/>
      <c r="IM3" s="524"/>
      <c r="IN3" s="524"/>
      <c r="IO3" s="524"/>
      <c r="IP3" s="524"/>
      <c r="IQ3" s="524"/>
      <c r="IR3" s="524"/>
    </row>
    <row r="4" spans="1:252" ht="18.75" x14ac:dyDescent="0.2">
      <c r="A4" s="498" t="s">
        <v>16</v>
      </c>
      <c r="B4" s="498"/>
      <c r="C4" s="498"/>
      <c r="D4" s="498"/>
      <c r="E4" s="498"/>
      <c r="F4" s="498"/>
      <c r="G4" s="498"/>
      <c r="H4" s="498"/>
      <c r="I4" s="498"/>
      <c r="J4" s="498"/>
      <c r="K4" s="498"/>
      <c r="L4" s="498"/>
      <c r="M4" s="498"/>
      <c r="N4" s="498"/>
      <c r="O4" s="498"/>
      <c r="P4" s="498"/>
      <c r="Q4" s="498"/>
      <c r="R4" s="524"/>
      <c r="S4" s="524"/>
      <c r="T4" s="524"/>
      <c r="U4" s="524"/>
      <c r="V4" s="524"/>
      <c r="W4" s="524"/>
      <c r="X4" s="524"/>
      <c r="Y4" s="524"/>
      <c r="Z4" s="524"/>
      <c r="AA4" s="524"/>
      <c r="AB4" s="524"/>
      <c r="AC4" s="524"/>
      <c r="AD4" s="524"/>
      <c r="AE4" s="524"/>
      <c r="AF4" s="524"/>
      <c r="AG4" s="524"/>
      <c r="AH4" s="524"/>
      <c r="AI4" s="524"/>
      <c r="AJ4" s="524"/>
      <c r="AK4" s="524"/>
      <c r="AL4" s="524"/>
      <c r="AM4" s="524"/>
      <c r="AN4" s="524"/>
      <c r="AO4" s="524"/>
      <c r="AP4" s="524"/>
      <c r="AQ4" s="524"/>
      <c r="AR4" s="524"/>
      <c r="AS4" s="524"/>
      <c r="AT4" s="524"/>
      <c r="AU4" s="524"/>
      <c r="AV4" s="524"/>
      <c r="AW4" s="524"/>
      <c r="AX4" s="524"/>
      <c r="AY4" s="524"/>
      <c r="AZ4" s="524"/>
      <c r="BA4" s="524"/>
      <c r="BB4" s="524"/>
      <c r="BC4" s="524"/>
      <c r="BD4" s="524"/>
      <c r="BE4" s="524"/>
      <c r="BF4" s="524"/>
      <c r="BG4" s="524"/>
      <c r="BH4" s="524"/>
      <c r="BI4" s="524"/>
      <c r="BJ4" s="524"/>
      <c r="BK4" s="524"/>
      <c r="BL4" s="524"/>
      <c r="BM4" s="524"/>
      <c r="BN4" s="524"/>
      <c r="BO4" s="524"/>
      <c r="BP4" s="524"/>
      <c r="BQ4" s="524"/>
      <c r="BR4" s="524"/>
      <c r="BS4" s="524"/>
      <c r="BT4" s="524"/>
      <c r="BU4" s="524"/>
      <c r="BV4" s="524"/>
      <c r="BW4" s="524"/>
      <c r="BX4" s="524"/>
      <c r="BY4" s="524"/>
      <c r="BZ4" s="524"/>
      <c r="CA4" s="524"/>
      <c r="CB4" s="524"/>
      <c r="CC4" s="524"/>
      <c r="CD4" s="524"/>
      <c r="CE4" s="524"/>
      <c r="CF4" s="524"/>
      <c r="CG4" s="524"/>
      <c r="CH4" s="524"/>
      <c r="CI4" s="524"/>
      <c r="CJ4" s="524"/>
      <c r="CK4" s="524"/>
      <c r="CL4" s="524"/>
      <c r="CM4" s="524"/>
      <c r="CN4" s="524"/>
      <c r="CO4" s="524"/>
      <c r="CP4" s="524"/>
      <c r="CQ4" s="524"/>
      <c r="CR4" s="524"/>
      <c r="CS4" s="524"/>
      <c r="CT4" s="524"/>
      <c r="CU4" s="524"/>
      <c r="CV4" s="524"/>
      <c r="CW4" s="524"/>
      <c r="CX4" s="524"/>
      <c r="CY4" s="524"/>
      <c r="CZ4" s="524"/>
      <c r="DA4" s="524"/>
      <c r="DB4" s="524"/>
      <c r="DC4" s="524"/>
      <c r="DD4" s="524"/>
      <c r="DE4" s="524"/>
      <c r="DF4" s="524"/>
      <c r="DG4" s="524"/>
      <c r="DH4" s="524"/>
      <c r="DI4" s="524"/>
      <c r="DJ4" s="524"/>
      <c r="DK4" s="524"/>
      <c r="DL4" s="524"/>
      <c r="DM4" s="524"/>
      <c r="DN4" s="524"/>
      <c r="DO4" s="524"/>
      <c r="DP4" s="524"/>
      <c r="DQ4" s="524"/>
      <c r="DR4" s="524"/>
      <c r="DS4" s="524"/>
      <c r="DT4" s="524"/>
      <c r="DU4" s="524"/>
      <c r="DV4" s="524"/>
      <c r="DW4" s="524"/>
      <c r="DX4" s="524"/>
      <c r="DY4" s="524"/>
      <c r="DZ4" s="524"/>
      <c r="EA4" s="524"/>
      <c r="EB4" s="524"/>
      <c r="EC4" s="524"/>
      <c r="ED4" s="524"/>
      <c r="EE4" s="524"/>
      <c r="EF4" s="524"/>
      <c r="EG4" s="524"/>
      <c r="EH4" s="524"/>
      <c r="EI4" s="524"/>
      <c r="EJ4" s="524"/>
      <c r="EK4" s="524"/>
      <c r="EL4" s="524"/>
      <c r="EM4" s="524"/>
      <c r="EN4" s="524"/>
      <c r="EO4" s="524"/>
      <c r="EP4" s="524"/>
      <c r="EQ4" s="524"/>
      <c r="ER4" s="524"/>
      <c r="ES4" s="524"/>
      <c r="ET4" s="524"/>
      <c r="EU4" s="524"/>
      <c r="EV4" s="524"/>
      <c r="EW4" s="524"/>
      <c r="EX4" s="524"/>
      <c r="EY4" s="524"/>
      <c r="EZ4" s="524"/>
      <c r="FA4" s="524"/>
      <c r="FB4" s="524"/>
      <c r="FC4" s="524"/>
      <c r="FD4" s="524"/>
      <c r="FE4" s="524"/>
      <c r="FF4" s="524"/>
      <c r="FG4" s="524"/>
      <c r="FH4" s="524"/>
      <c r="FI4" s="524"/>
      <c r="FJ4" s="524"/>
      <c r="FK4" s="524"/>
      <c r="FL4" s="524"/>
      <c r="FM4" s="524"/>
      <c r="FN4" s="524"/>
      <c r="FO4" s="524"/>
      <c r="FP4" s="524"/>
      <c r="FQ4" s="524"/>
      <c r="FR4" s="524"/>
      <c r="FS4" s="524"/>
      <c r="FT4" s="524"/>
      <c r="FU4" s="524"/>
      <c r="FV4" s="524"/>
      <c r="FW4" s="524"/>
      <c r="FX4" s="524"/>
      <c r="FY4" s="524"/>
      <c r="FZ4" s="524"/>
      <c r="GA4" s="524"/>
      <c r="GB4" s="524"/>
      <c r="GC4" s="524"/>
      <c r="GD4" s="524"/>
      <c r="GE4" s="524"/>
      <c r="GF4" s="524"/>
      <c r="GG4" s="524"/>
      <c r="GH4" s="524"/>
      <c r="GI4" s="524"/>
      <c r="GJ4" s="524"/>
      <c r="GK4" s="524"/>
      <c r="GL4" s="524"/>
      <c r="GM4" s="524"/>
      <c r="GN4" s="524"/>
      <c r="GO4" s="524"/>
      <c r="GP4" s="524"/>
      <c r="GQ4" s="524"/>
      <c r="GR4" s="524"/>
      <c r="GS4" s="524"/>
      <c r="GT4" s="524"/>
      <c r="GU4" s="524"/>
      <c r="GV4" s="524"/>
      <c r="GW4" s="524"/>
      <c r="GX4" s="524"/>
      <c r="GY4" s="524"/>
      <c r="GZ4" s="524"/>
      <c r="HA4" s="524"/>
      <c r="HB4" s="524"/>
      <c r="HC4" s="524"/>
      <c r="HD4" s="524"/>
      <c r="HE4" s="524"/>
      <c r="HF4" s="524"/>
      <c r="HG4" s="524"/>
      <c r="HH4" s="524"/>
      <c r="HI4" s="524"/>
      <c r="HJ4" s="524"/>
      <c r="HK4" s="524"/>
      <c r="HL4" s="524"/>
      <c r="HM4" s="524"/>
      <c r="HN4" s="524"/>
      <c r="HO4" s="524"/>
      <c r="HP4" s="524"/>
      <c r="HQ4" s="524"/>
      <c r="HR4" s="524"/>
      <c r="HS4" s="524"/>
      <c r="HT4" s="524"/>
      <c r="HU4" s="524"/>
      <c r="HV4" s="524"/>
      <c r="HW4" s="524"/>
      <c r="HX4" s="524"/>
      <c r="HY4" s="524"/>
      <c r="HZ4" s="524"/>
      <c r="IA4" s="524"/>
      <c r="IB4" s="524"/>
      <c r="IC4" s="524"/>
      <c r="ID4" s="524"/>
      <c r="IE4" s="524"/>
      <c r="IF4" s="524"/>
      <c r="IG4" s="524"/>
      <c r="IH4" s="524"/>
      <c r="II4" s="524"/>
      <c r="IJ4" s="524"/>
      <c r="IK4" s="524"/>
      <c r="IL4" s="524"/>
      <c r="IM4" s="524"/>
      <c r="IN4" s="524"/>
      <c r="IO4" s="524"/>
      <c r="IP4" s="524"/>
      <c r="IQ4" s="524"/>
      <c r="IR4" s="524"/>
    </row>
    <row r="5" spans="1:252" x14ac:dyDescent="0.2">
      <c r="A5" s="499" t="s">
        <v>14</v>
      </c>
      <c r="B5" s="499"/>
      <c r="C5" s="499"/>
      <c r="D5" s="499"/>
      <c r="E5" s="499"/>
      <c r="F5" s="499"/>
      <c r="G5" s="499"/>
      <c r="H5" s="499"/>
      <c r="I5" s="499"/>
      <c r="J5" s="499"/>
      <c r="K5" s="499"/>
      <c r="L5" s="499"/>
      <c r="M5" s="499"/>
      <c r="N5" s="499"/>
      <c r="O5" s="499"/>
      <c r="P5" s="499"/>
      <c r="Q5" s="499"/>
      <c r="R5" s="524"/>
      <c r="S5" s="524"/>
      <c r="T5" s="524"/>
      <c r="U5" s="524"/>
      <c r="V5" s="524"/>
      <c r="W5" s="524"/>
      <c r="X5" s="524"/>
      <c r="Y5" s="524"/>
      <c r="Z5" s="524"/>
      <c r="AA5" s="524"/>
      <c r="AB5" s="524"/>
      <c r="AC5" s="524"/>
      <c r="AD5" s="524"/>
      <c r="AE5" s="524"/>
      <c r="AF5" s="524"/>
      <c r="AG5" s="524"/>
      <c r="AH5" s="524"/>
      <c r="AI5" s="524"/>
      <c r="AJ5" s="524"/>
      <c r="AK5" s="524"/>
      <c r="AL5" s="524"/>
      <c r="AM5" s="524"/>
      <c r="AN5" s="524"/>
      <c r="AO5" s="524"/>
      <c r="AP5" s="524"/>
      <c r="AQ5" s="524"/>
      <c r="AR5" s="524"/>
      <c r="AS5" s="524"/>
      <c r="AT5" s="524"/>
      <c r="AU5" s="524"/>
      <c r="AV5" s="524"/>
      <c r="AW5" s="524"/>
      <c r="AX5" s="524"/>
      <c r="AY5" s="524"/>
      <c r="AZ5" s="524"/>
      <c r="BA5" s="524"/>
      <c r="BB5" s="524"/>
      <c r="BC5" s="524"/>
      <c r="BD5" s="524"/>
      <c r="BE5" s="524"/>
      <c r="BF5" s="524"/>
      <c r="BG5" s="524"/>
      <c r="BH5" s="524"/>
      <c r="BI5" s="524"/>
      <c r="BJ5" s="524"/>
      <c r="BK5" s="524"/>
      <c r="BL5" s="524"/>
      <c r="BM5" s="524"/>
      <c r="BN5" s="524"/>
      <c r="BO5" s="524"/>
      <c r="BP5" s="524"/>
      <c r="BQ5" s="524"/>
      <c r="BR5" s="524"/>
      <c r="BS5" s="524"/>
      <c r="BT5" s="524"/>
      <c r="BU5" s="524"/>
      <c r="BV5" s="524"/>
      <c r="BW5" s="524"/>
      <c r="BX5" s="524"/>
      <c r="BY5" s="524"/>
      <c r="BZ5" s="524"/>
      <c r="CA5" s="524"/>
      <c r="CB5" s="524"/>
      <c r="CC5" s="524"/>
      <c r="CD5" s="524"/>
      <c r="CE5" s="524"/>
      <c r="CF5" s="524"/>
      <c r="CG5" s="524"/>
      <c r="CH5" s="524"/>
      <c r="CI5" s="524"/>
      <c r="CJ5" s="524"/>
      <c r="CK5" s="524"/>
      <c r="CL5" s="524"/>
      <c r="CM5" s="524"/>
      <c r="CN5" s="524"/>
      <c r="CO5" s="524"/>
      <c r="CP5" s="524"/>
      <c r="CQ5" s="524"/>
      <c r="CR5" s="524"/>
      <c r="CS5" s="524"/>
      <c r="CT5" s="524"/>
      <c r="CU5" s="524"/>
      <c r="CV5" s="524"/>
      <c r="CW5" s="524"/>
      <c r="CX5" s="524"/>
      <c r="CY5" s="524"/>
      <c r="CZ5" s="524"/>
      <c r="DA5" s="524"/>
      <c r="DB5" s="524"/>
      <c r="DC5" s="524"/>
      <c r="DD5" s="524"/>
      <c r="DE5" s="524"/>
      <c r="DF5" s="524"/>
      <c r="DG5" s="524"/>
      <c r="DH5" s="524"/>
      <c r="DI5" s="524"/>
      <c r="DJ5" s="524"/>
      <c r="DK5" s="524"/>
      <c r="DL5" s="524"/>
      <c r="DM5" s="524"/>
      <c r="DN5" s="524"/>
      <c r="DO5" s="524"/>
      <c r="DP5" s="524"/>
      <c r="DQ5" s="524"/>
      <c r="DR5" s="524"/>
      <c r="DS5" s="524"/>
      <c r="DT5" s="524"/>
      <c r="DU5" s="524"/>
      <c r="DV5" s="524"/>
      <c r="DW5" s="524"/>
      <c r="DX5" s="524"/>
      <c r="DY5" s="524"/>
      <c r="DZ5" s="524"/>
      <c r="EA5" s="524"/>
      <c r="EB5" s="524"/>
      <c r="EC5" s="524"/>
      <c r="ED5" s="524"/>
      <c r="EE5" s="524"/>
      <c r="EF5" s="524"/>
      <c r="EG5" s="524"/>
      <c r="EH5" s="524"/>
      <c r="EI5" s="524"/>
      <c r="EJ5" s="524"/>
      <c r="EK5" s="524"/>
      <c r="EL5" s="524"/>
      <c r="EM5" s="524"/>
      <c r="EN5" s="524"/>
      <c r="EO5" s="524"/>
      <c r="EP5" s="524"/>
      <c r="EQ5" s="524"/>
      <c r="ER5" s="524"/>
      <c r="ES5" s="524"/>
      <c r="ET5" s="524"/>
      <c r="EU5" s="524"/>
      <c r="EV5" s="524"/>
      <c r="EW5" s="524"/>
      <c r="EX5" s="524"/>
      <c r="EY5" s="524"/>
      <c r="EZ5" s="524"/>
      <c r="FA5" s="524"/>
      <c r="FB5" s="524"/>
      <c r="FC5" s="524"/>
      <c r="FD5" s="524"/>
      <c r="FE5" s="524"/>
      <c r="FF5" s="524"/>
      <c r="FG5" s="524"/>
      <c r="FH5" s="524"/>
      <c r="FI5" s="524"/>
      <c r="FJ5" s="524"/>
      <c r="FK5" s="524"/>
      <c r="FL5" s="524"/>
      <c r="FM5" s="524"/>
      <c r="FN5" s="524"/>
      <c r="FO5" s="524"/>
      <c r="FP5" s="524"/>
      <c r="FQ5" s="524"/>
      <c r="FR5" s="524"/>
      <c r="FS5" s="524"/>
      <c r="FT5" s="524"/>
      <c r="FU5" s="524"/>
      <c r="FV5" s="524"/>
      <c r="FW5" s="524"/>
      <c r="FX5" s="524"/>
      <c r="FY5" s="524"/>
      <c r="FZ5" s="524"/>
      <c r="GA5" s="524"/>
      <c r="GB5" s="524"/>
      <c r="GC5" s="524"/>
      <c r="GD5" s="524"/>
      <c r="GE5" s="524"/>
      <c r="GF5" s="524"/>
      <c r="GG5" s="524"/>
      <c r="GH5" s="524"/>
      <c r="GI5" s="524"/>
      <c r="GJ5" s="524"/>
      <c r="GK5" s="524"/>
      <c r="GL5" s="524"/>
      <c r="GM5" s="524"/>
      <c r="GN5" s="524"/>
      <c r="GO5" s="524"/>
      <c r="GP5" s="524"/>
      <c r="GQ5" s="524"/>
      <c r="GR5" s="524"/>
      <c r="GS5" s="524"/>
      <c r="GT5" s="524"/>
      <c r="GU5" s="524"/>
      <c r="GV5" s="524"/>
      <c r="GW5" s="524"/>
      <c r="GX5" s="524"/>
      <c r="GY5" s="524"/>
      <c r="GZ5" s="524"/>
      <c r="HA5" s="524"/>
      <c r="HB5" s="524"/>
      <c r="HC5" s="524"/>
      <c r="HD5" s="524"/>
      <c r="HE5" s="524"/>
      <c r="HF5" s="524"/>
      <c r="HG5" s="524"/>
      <c r="HH5" s="524"/>
      <c r="HI5" s="524"/>
      <c r="HJ5" s="524"/>
      <c r="HK5" s="524"/>
      <c r="HL5" s="524"/>
      <c r="HM5" s="524"/>
      <c r="HN5" s="524"/>
      <c r="HO5" s="524"/>
      <c r="HP5" s="524"/>
      <c r="HQ5" s="524"/>
      <c r="HR5" s="524"/>
      <c r="HS5" s="524"/>
      <c r="HT5" s="524"/>
      <c r="HU5" s="524"/>
      <c r="HV5" s="524"/>
      <c r="HW5" s="524"/>
      <c r="HX5" s="524"/>
      <c r="HY5" s="524"/>
      <c r="HZ5" s="524"/>
      <c r="IA5" s="524"/>
      <c r="IB5" s="524"/>
      <c r="IC5" s="524"/>
      <c r="ID5" s="524"/>
      <c r="IE5" s="524"/>
      <c r="IF5" s="524"/>
      <c r="IG5" s="524"/>
      <c r="IH5" s="524"/>
      <c r="II5" s="524"/>
      <c r="IJ5" s="524"/>
      <c r="IK5" s="524"/>
      <c r="IL5" s="524"/>
      <c r="IM5" s="524"/>
      <c r="IN5" s="524"/>
      <c r="IO5" s="524"/>
      <c r="IP5" s="524"/>
      <c r="IQ5" s="524"/>
      <c r="IR5" s="524"/>
    </row>
    <row r="6" spans="1:252" ht="21" x14ac:dyDescent="0.2">
      <c r="A6" s="525" t="s">
        <v>17</v>
      </c>
      <c r="B6" s="525"/>
      <c r="C6" s="525"/>
      <c r="D6" s="525"/>
      <c r="E6" s="525"/>
      <c r="F6" s="525"/>
      <c r="G6" s="525"/>
      <c r="H6" s="525"/>
      <c r="I6" s="525"/>
      <c r="J6" s="525"/>
      <c r="K6" s="525"/>
      <c r="L6" s="525"/>
      <c r="M6" s="525"/>
      <c r="N6" s="525"/>
      <c r="O6" s="525"/>
      <c r="P6" s="525"/>
      <c r="Q6" s="525"/>
      <c r="R6" s="524"/>
      <c r="S6" s="524"/>
      <c r="T6" s="524"/>
      <c r="U6" s="524"/>
      <c r="V6" s="524"/>
      <c r="W6" s="524"/>
      <c r="X6" s="524"/>
      <c r="Y6" s="524"/>
      <c r="Z6" s="524"/>
      <c r="AA6" s="524"/>
      <c r="AB6" s="524"/>
      <c r="AC6" s="524"/>
      <c r="AD6" s="524"/>
      <c r="AE6" s="524"/>
      <c r="AF6" s="524"/>
      <c r="AG6" s="524"/>
      <c r="AH6" s="524"/>
      <c r="AI6" s="524"/>
      <c r="AJ6" s="524"/>
      <c r="AK6" s="524"/>
      <c r="AL6" s="524"/>
      <c r="AM6" s="524"/>
      <c r="AN6" s="524"/>
      <c r="AO6" s="524"/>
      <c r="AP6" s="524"/>
      <c r="AQ6" s="524"/>
      <c r="AR6" s="524"/>
      <c r="AS6" s="524"/>
      <c r="AT6" s="524"/>
      <c r="AU6" s="524"/>
      <c r="AV6" s="524"/>
      <c r="AW6" s="524"/>
      <c r="AX6" s="524"/>
      <c r="AY6" s="524"/>
      <c r="AZ6" s="524"/>
      <c r="BA6" s="524"/>
      <c r="BB6" s="524"/>
      <c r="BC6" s="524"/>
      <c r="BD6" s="524"/>
      <c r="BE6" s="524"/>
      <c r="BF6" s="524"/>
      <c r="BG6" s="524"/>
      <c r="BH6" s="524"/>
      <c r="BI6" s="524"/>
      <c r="BJ6" s="524"/>
      <c r="BK6" s="524"/>
      <c r="BL6" s="524"/>
      <c r="BM6" s="524"/>
      <c r="BN6" s="524"/>
      <c r="BO6" s="524"/>
      <c r="BP6" s="524"/>
      <c r="BQ6" s="524"/>
      <c r="BR6" s="524"/>
      <c r="BS6" s="524"/>
      <c r="BT6" s="524"/>
      <c r="BU6" s="524"/>
      <c r="BV6" s="524"/>
      <c r="BW6" s="524"/>
      <c r="BX6" s="524"/>
      <c r="BY6" s="524"/>
      <c r="BZ6" s="524"/>
      <c r="CA6" s="524"/>
      <c r="CB6" s="524"/>
      <c r="CC6" s="524"/>
      <c r="CD6" s="524"/>
      <c r="CE6" s="524"/>
      <c r="CF6" s="524"/>
      <c r="CG6" s="524"/>
      <c r="CH6" s="524"/>
      <c r="CI6" s="524"/>
      <c r="CJ6" s="524"/>
      <c r="CK6" s="524"/>
      <c r="CL6" s="524"/>
      <c r="CM6" s="524"/>
      <c r="CN6" s="524"/>
      <c r="CO6" s="524"/>
      <c r="CP6" s="524"/>
      <c r="CQ6" s="524"/>
      <c r="CR6" s="524"/>
      <c r="CS6" s="524"/>
      <c r="CT6" s="524"/>
      <c r="CU6" s="524"/>
      <c r="CV6" s="524"/>
      <c r="CW6" s="524"/>
      <c r="CX6" s="524"/>
      <c r="CY6" s="524"/>
      <c r="CZ6" s="524"/>
      <c r="DA6" s="524"/>
      <c r="DB6" s="524"/>
      <c r="DC6" s="524"/>
      <c r="DD6" s="524"/>
      <c r="DE6" s="524"/>
      <c r="DF6" s="524"/>
      <c r="DG6" s="524"/>
      <c r="DH6" s="524"/>
      <c r="DI6" s="524"/>
      <c r="DJ6" s="524"/>
      <c r="DK6" s="524"/>
      <c r="DL6" s="524"/>
      <c r="DM6" s="524"/>
      <c r="DN6" s="524"/>
      <c r="DO6" s="524"/>
      <c r="DP6" s="524"/>
      <c r="DQ6" s="524"/>
      <c r="DR6" s="524"/>
      <c r="DS6" s="524"/>
      <c r="DT6" s="524"/>
      <c r="DU6" s="524"/>
      <c r="DV6" s="524"/>
      <c r="DW6" s="524"/>
      <c r="DX6" s="524"/>
      <c r="DY6" s="524"/>
      <c r="DZ6" s="524"/>
      <c r="EA6" s="524"/>
      <c r="EB6" s="524"/>
      <c r="EC6" s="524"/>
      <c r="ED6" s="524"/>
      <c r="EE6" s="524"/>
      <c r="EF6" s="524"/>
      <c r="EG6" s="524"/>
      <c r="EH6" s="524"/>
      <c r="EI6" s="524"/>
      <c r="EJ6" s="524"/>
      <c r="EK6" s="524"/>
      <c r="EL6" s="524"/>
      <c r="EM6" s="524"/>
      <c r="EN6" s="524"/>
      <c r="EO6" s="524"/>
      <c r="EP6" s="524"/>
      <c r="EQ6" s="524"/>
      <c r="ER6" s="524"/>
      <c r="ES6" s="524"/>
      <c r="ET6" s="524"/>
      <c r="EU6" s="524"/>
      <c r="EV6" s="524"/>
      <c r="EW6" s="524"/>
      <c r="EX6" s="524"/>
      <c r="EY6" s="524"/>
      <c r="EZ6" s="524"/>
      <c r="FA6" s="524"/>
      <c r="FB6" s="524"/>
      <c r="FC6" s="524"/>
      <c r="FD6" s="524"/>
      <c r="FE6" s="524"/>
      <c r="FF6" s="524"/>
      <c r="FG6" s="524"/>
      <c r="FH6" s="524"/>
      <c r="FI6" s="524"/>
      <c r="FJ6" s="524"/>
      <c r="FK6" s="524"/>
      <c r="FL6" s="524"/>
      <c r="FM6" s="524"/>
      <c r="FN6" s="524"/>
      <c r="FO6" s="524"/>
      <c r="FP6" s="524"/>
      <c r="FQ6" s="524"/>
      <c r="FR6" s="524"/>
      <c r="FS6" s="524"/>
      <c r="FT6" s="524"/>
      <c r="FU6" s="524"/>
      <c r="FV6" s="524"/>
      <c r="FW6" s="524"/>
      <c r="FX6" s="524"/>
      <c r="FY6" s="524"/>
      <c r="FZ6" s="524"/>
      <c r="GA6" s="524"/>
      <c r="GB6" s="524"/>
      <c r="GC6" s="524"/>
      <c r="GD6" s="524"/>
      <c r="GE6" s="524"/>
      <c r="GF6" s="524"/>
      <c r="GG6" s="524"/>
      <c r="GH6" s="524"/>
      <c r="GI6" s="524"/>
      <c r="GJ6" s="524"/>
      <c r="GK6" s="524"/>
      <c r="GL6" s="524"/>
      <c r="GM6" s="524"/>
      <c r="GN6" s="524"/>
      <c r="GO6" s="524"/>
      <c r="GP6" s="524"/>
      <c r="GQ6" s="524"/>
      <c r="GR6" s="524"/>
      <c r="GS6" s="524"/>
      <c r="GT6" s="524"/>
      <c r="GU6" s="524"/>
      <c r="GV6" s="524"/>
      <c r="GW6" s="524"/>
      <c r="GX6" s="524"/>
      <c r="GY6" s="524"/>
      <c r="GZ6" s="524"/>
      <c r="HA6" s="524"/>
      <c r="HB6" s="524"/>
      <c r="HC6" s="524"/>
      <c r="HD6" s="524"/>
      <c r="HE6" s="524"/>
      <c r="HF6" s="524"/>
      <c r="HG6" s="524"/>
      <c r="HH6" s="524"/>
      <c r="HI6" s="524"/>
      <c r="HJ6" s="524"/>
      <c r="HK6" s="524"/>
      <c r="HL6" s="524"/>
      <c r="HM6" s="524"/>
      <c r="HN6" s="524"/>
      <c r="HO6" s="524"/>
      <c r="HP6" s="524"/>
      <c r="HQ6" s="524"/>
      <c r="HR6" s="524"/>
      <c r="HS6" s="524"/>
      <c r="HT6" s="524"/>
      <c r="HU6" s="524"/>
      <c r="HV6" s="524"/>
      <c r="HW6" s="524"/>
      <c r="HX6" s="524"/>
      <c r="HY6" s="524"/>
      <c r="HZ6" s="524"/>
      <c r="IA6" s="524"/>
      <c r="IB6" s="524"/>
      <c r="IC6" s="524"/>
      <c r="ID6" s="524"/>
      <c r="IE6" s="524"/>
      <c r="IF6" s="524"/>
      <c r="IG6" s="524"/>
      <c r="IH6" s="524"/>
      <c r="II6" s="524"/>
      <c r="IJ6" s="524"/>
      <c r="IK6" s="524"/>
      <c r="IL6" s="524"/>
      <c r="IM6" s="524"/>
      <c r="IN6" s="524"/>
      <c r="IO6" s="524"/>
      <c r="IP6" s="524"/>
      <c r="IQ6" s="524"/>
      <c r="IR6" s="524"/>
    </row>
    <row r="7" spans="1:252" ht="51" x14ac:dyDescent="0.2">
      <c r="A7" s="501" t="s">
        <v>0</v>
      </c>
      <c r="B7" s="502" t="s">
        <v>10</v>
      </c>
      <c r="C7" s="595"/>
      <c r="D7" s="503"/>
      <c r="E7" s="503"/>
      <c r="F7" s="503"/>
      <c r="G7" s="504"/>
      <c r="H7" s="502" t="s">
        <v>322</v>
      </c>
      <c r="I7" s="503"/>
      <c r="J7" s="503"/>
      <c r="K7" s="503"/>
      <c r="L7" s="503"/>
      <c r="M7" s="503"/>
      <c r="N7" s="502" t="s">
        <v>324</v>
      </c>
      <c r="O7" s="503"/>
      <c r="P7" s="503"/>
      <c r="Q7" s="504"/>
      <c r="R7" s="524"/>
      <c r="S7" s="524"/>
      <c r="T7" s="524"/>
      <c r="U7" s="524"/>
      <c r="V7" s="524"/>
      <c r="W7" s="524"/>
      <c r="X7" s="524"/>
      <c r="Y7" s="524"/>
      <c r="Z7" s="524"/>
      <c r="AA7" s="524"/>
      <c r="AB7" s="524"/>
      <c r="AC7" s="524"/>
      <c r="AD7" s="524"/>
      <c r="AE7" s="524"/>
      <c r="AF7" s="524"/>
      <c r="AG7" s="524"/>
      <c r="AH7" s="524"/>
      <c r="AI7" s="524"/>
      <c r="AJ7" s="524"/>
      <c r="AK7" s="524"/>
      <c r="AL7" s="524"/>
      <c r="AM7" s="524"/>
      <c r="AN7" s="524"/>
      <c r="AO7" s="524"/>
      <c r="AP7" s="524"/>
      <c r="AQ7" s="524"/>
      <c r="AR7" s="524"/>
      <c r="AS7" s="524"/>
      <c r="AT7" s="524"/>
      <c r="AU7" s="524"/>
      <c r="AV7" s="524"/>
      <c r="AW7" s="524"/>
      <c r="AX7" s="524"/>
      <c r="AY7" s="524"/>
      <c r="AZ7" s="524"/>
      <c r="BA7" s="524"/>
      <c r="BB7" s="524"/>
      <c r="BC7" s="524"/>
      <c r="BD7" s="524"/>
      <c r="BE7" s="524"/>
      <c r="BF7" s="524"/>
      <c r="BG7" s="524"/>
      <c r="BH7" s="524"/>
      <c r="BI7" s="524"/>
      <c r="BJ7" s="524"/>
      <c r="BK7" s="524"/>
      <c r="BL7" s="524"/>
      <c r="BM7" s="524"/>
      <c r="BN7" s="524"/>
      <c r="BO7" s="524"/>
      <c r="BP7" s="524"/>
      <c r="BQ7" s="524"/>
      <c r="BR7" s="524"/>
      <c r="BS7" s="524"/>
      <c r="BT7" s="524"/>
      <c r="BU7" s="524"/>
      <c r="BV7" s="524"/>
      <c r="BW7" s="524"/>
      <c r="BX7" s="524"/>
      <c r="BY7" s="524"/>
      <c r="BZ7" s="524"/>
      <c r="CA7" s="524"/>
      <c r="CB7" s="524"/>
      <c r="CC7" s="524"/>
      <c r="CD7" s="524"/>
      <c r="CE7" s="524"/>
      <c r="CF7" s="524"/>
      <c r="CG7" s="524"/>
      <c r="CH7" s="524"/>
      <c r="CI7" s="524"/>
      <c r="CJ7" s="524"/>
      <c r="CK7" s="524"/>
      <c r="CL7" s="524"/>
      <c r="CM7" s="524"/>
      <c r="CN7" s="524"/>
      <c r="CO7" s="524"/>
      <c r="CP7" s="524"/>
      <c r="CQ7" s="524"/>
      <c r="CR7" s="524"/>
      <c r="CS7" s="524"/>
      <c r="CT7" s="524"/>
      <c r="CU7" s="524"/>
      <c r="CV7" s="524"/>
      <c r="CW7" s="524"/>
      <c r="CX7" s="524"/>
      <c r="CY7" s="524"/>
      <c r="CZ7" s="524"/>
      <c r="DA7" s="524"/>
      <c r="DB7" s="524"/>
      <c r="DC7" s="524"/>
      <c r="DD7" s="524"/>
      <c r="DE7" s="524"/>
      <c r="DF7" s="524"/>
      <c r="DG7" s="524"/>
      <c r="DH7" s="524"/>
      <c r="DI7" s="524"/>
      <c r="DJ7" s="524"/>
      <c r="DK7" s="524"/>
      <c r="DL7" s="524"/>
      <c r="DM7" s="524"/>
      <c r="DN7" s="524"/>
      <c r="DO7" s="524"/>
      <c r="DP7" s="524"/>
      <c r="DQ7" s="524"/>
      <c r="DR7" s="524"/>
      <c r="DS7" s="524"/>
      <c r="DT7" s="524"/>
      <c r="DU7" s="524"/>
      <c r="DV7" s="524"/>
      <c r="DW7" s="524"/>
      <c r="DX7" s="524"/>
      <c r="DY7" s="524"/>
      <c r="DZ7" s="524"/>
      <c r="EA7" s="524"/>
      <c r="EB7" s="524"/>
      <c r="EC7" s="524"/>
      <c r="ED7" s="524"/>
      <c r="EE7" s="524"/>
      <c r="EF7" s="524"/>
      <c r="EG7" s="524"/>
      <c r="EH7" s="524"/>
      <c r="EI7" s="524"/>
      <c r="EJ7" s="524"/>
      <c r="EK7" s="524"/>
      <c r="EL7" s="524"/>
      <c r="EM7" s="524"/>
      <c r="EN7" s="524"/>
      <c r="EO7" s="524"/>
      <c r="EP7" s="524"/>
      <c r="EQ7" s="524"/>
      <c r="ER7" s="524"/>
      <c r="ES7" s="524"/>
      <c r="ET7" s="524"/>
      <c r="EU7" s="524"/>
      <c r="EV7" s="524"/>
      <c r="EW7" s="524"/>
      <c r="EX7" s="524"/>
      <c r="EY7" s="524"/>
      <c r="EZ7" s="524"/>
      <c r="FA7" s="524"/>
      <c r="FB7" s="524"/>
      <c r="FC7" s="524"/>
      <c r="FD7" s="524"/>
      <c r="FE7" s="524"/>
      <c r="FF7" s="524"/>
      <c r="FG7" s="524"/>
      <c r="FH7" s="524"/>
      <c r="FI7" s="524"/>
      <c r="FJ7" s="524"/>
      <c r="FK7" s="524"/>
      <c r="FL7" s="524"/>
      <c r="FM7" s="524"/>
      <c r="FN7" s="524"/>
      <c r="FO7" s="524"/>
      <c r="FP7" s="524"/>
      <c r="FQ7" s="524"/>
      <c r="FR7" s="524"/>
      <c r="FS7" s="524"/>
      <c r="FT7" s="524"/>
      <c r="FU7" s="524"/>
      <c r="FV7" s="524"/>
      <c r="FW7" s="524"/>
      <c r="FX7" s="524"/>
      <c r="FY7" s="524"/>
      <c r="FZ7" s="524"/>
      <c r="GA7" s="524"/>
      <c r="GB7" s="524"/>
      <c r="GC7" s="524"/>
      <c r="GD7" s="524"/>
      <c r="GE7" s="524"/>
      <c r="GF7" s="524"/>
      <c r="GG7" s="524"/>
      <c r="GH7" s="524"/>
      <c r="GI7" s="524"/>
      <c r="GJ7" s="524"/>
      <c r="GK7" s="524"/>
      <c r="GL7" s="524"/>
      <c r="GM7" s="524"/>
      <c r="GN7" s="524"/>
      <c r="GO7" s="524"/>
      <c r="GP7" s="524"/>
      <c r="GQ7" s="524"/>
      <c r="GR7" s="524"/>
      <c r="GS7" s="524"/>
      <c r="GT7" s="524"/>
      <c r="GU7" s="524"/>
      <c r="GV7" s="524"/>
      <c r="GW7" s="524"/>
      <c r="GX7" s="524"/>
      <c r="GY7" s="524"/>
      <c r="GZ7" s="524"/>
      <c r="HA7" s="524"/>
      <c r="HB7" s="524"/>
      <c r="HC7" s="524"/>
      <c r="HD7" s="524"/>
      <c r="HE7" s="524"/>
      <c r="HF7" s="524"/>
      <c r="HG7" s="524"/>
      <c r="HH7" s="524"/>
      <c r="HI7" s="524"/>
      <c r="HJ7" s="524"/>
      <c r="HK7" s="524"/>
      <c r="HL7" s="524"/>
      <c r="HM7" s="524"/>
      <c r="HN7" s="524"/>
      <c r="HO7" s="524"/>
      <c r="HP7" s="524"/>
      <c r="HQ7" s="524"/>
      <c r="HR7" s="524"/>
      <c r="HS7" s="524"/>
      <c r="HT7" s="524"/>
      <c r="HU7" s="524"/>
      <c r="HV7" s="524"/>
      <c r="HW7" s="524"/>
      <c r="HX7" s="524"/>
      <c r="HY7" s="524"/>
      <c r="HZ7" s="524"/>
      <c r="IA7" s="524"/>
      <c r="IB7" s="524"/>
      <c r="IC7" s="524"/>
      <c r="ID7" s="524"/>
      <c r="IE7" s="524"/>
      <c r="IF7" s="524"/>
      <c r="IG7" s="524"/>
      <c r="IH7" s="524"/>
      <c r="II7" s="524"/>
      <c r="IJ7" s="524"/>
      <c r="IK7" s="524"/>
      <c r="IL7" s="524"/>
      <c r="IM7" s="524"/>
      <c r="IN7" s="524"/>
      <c r="IO7" s="524"/>
      <c r="IP7" s="524"/>
      <c r="IQ7" s="524"/>
      <c r="IR7" s="524"/>
    </row>
    <row r="8" spans="1:252" ht="204" x14ac:dyDescent="0.2">
      <c r="A8" s="505"/>
      <c r="B8" s="506" t="s">
        <v>4</v>
      </c>
      <c r="C8" s="506" t="s">
        <v>1</v>
      </c>
      <c r="D8" s="506" t="s">
        <v>3</v>
      </c>
      <c r="E8" s="506" t="s">
        <v>2</v>
      </c>
      <c r="F8" s="506" t="s">
        <v>6</v>
      </c>
      <c r="G8" s="506" t="s">
        <v>5</v>
      </c>
      <c r="H8" s="506" t="s">
        <v>7</v>
      </c>
      <c r="I8" s="507" t="s">
        <v>8</v>
      </c>
      <c r="J8" s="507" t="s">
        <v>9</v>
      </c>
      <c r="K8" s="508" t="s">
        <v>11</v>
      </c>
      <c r="L8" s="508" t="s">
        <v>12</v>
      </c>
      <c r="M8" s="508" t="s">
        <v>13</v>
      </c>
      <c r="N8" s="507" t="s">
        <v>9</v>
      </c>
      <c r="O8" s="508" t="s">
        <v>11</v>
      </c>
      <c r="P8" s="508" t="s">
        <v>12</v>
      </c>
      <c r="Q8" s="509" t="s">
        <v>13</v>
      </c>
      <c r="R8" s="524"/>
      <c r="S8" s="524"/>
      <c r="T8" s="524"/>
      <c r="U8" s="524"/>
      <c r="V8" s="524"/>
      <c r="W8" s="524"/>
      <c r="X8" s="524"/>
      <c r="Y8" s="524"/>
      <c r="Z8" s="524"/>
      <c r="AA8" s="524"/>
      <c r="AB8" s="524"/>
      <c r="AC8" s="524"/>
      <c r="AD8" s="524"/>
      <c r="AE8" s="524"/>
      <c r="AF8" s="524"/>
      <c r="AG8" s="524"/>
      <c r="AH8" s="524"/>
      <c r="AI8" s="524"/>
      <c r="AJ8" s="524"/>
      <c r="AK8" s="524"/>
      <c r="AL8" s="524"/>
      <c r="AM8" s="524"/>
      <c r="AN8" s="524"/>
      <c r="AO8" s="524"/>
      <c r="AP8" s="524"/>
      <c r="AQ8" s="524"/>
      <c r="AR8" s="524"/>
      <c r="AS8" s="524"/>
      <c r="AT8" s="524"/>
      <c r="AU8" s="524"/>
      <c r="AV8" s="524"/>
      <c r="AW8" s="524"/>
      <c r="AX8" s="524"/>
      <c r="AY8" s="524"/>
      <c r="AZ8" s="524"/>
      <c r="BA8" s="524"/>
      <c r="BB8" s="524"/>
      <c r="BC8" s="524"/>
      <c r="BD8" s="524"/>
      <c r="BE8" s="524"/>
      <c r="BF8" s="524"/>
      <c r="BG8" s="524"/>
      <c r="BH8" s="524"/>
      <c r="BI8" s="524"/>
      <c r="BJ8" s="524"/>
      <c r="BK8" s="524"/>
      <c r="BL8" s="524"/>
      <c r="BM8" s="524"/>
      <c r="BN8" s="524"/>
      <c r="BO8" s="524"/>
      <c r="BP8" s="524"/>
      <c r="BQ8" s="524"/>
      <c r="BR8" s="524"/>
      <c r="BS8" s="524"/>
      <c r="BT8" s="524"/>
      <c r="BU8" s="524"/>
      <c r="BV8" s="524"/>
      <c r="BW8" s="524"/>
      <c r="BX8" s="524"/>
      <c r="BY8" s="524"/>
      <c r="BZ8" s="524"/>
      <c r="CA8" s="524"/>
      <c r="CB8" s="524"/>
      <c r="CC8" s="524"/>
      <c r="CD8" s="524"/>
      <c r="CE8" s="524"/>
      <c r="CF8" s="524"/>
      <c r="CG8" s="524"/>
      <c r="CH8" s="524"/>
      <c r="CI8" s="524"/>
      <c r="CJ8" s="524"/>
      <c r="CK8" s="524"/>
      <c r="CL8" s="524"/>
      <c r="CM8" s="524"/>
      <c r="CN8" s="524"/>
      <c r="CO8" s="524"/>
      <c r="CP8" s="524"/>
      <c r="CQ8" s="524"/>
      <c r="CR8" s="524"/>
      <c r="CS8" s="524"/>
      <c r="CT8" s="524"/>
      <c r="CU8" s="524"/>
      <c r="CV8" s="524"/>
      <c r="CW8" s="524"/>
      <c r="CX8" s="524"/>
      <c r="CY8" s="524"/>
      <c r="CZ8" s="524"/>
      <c r="DA8" s="524"/>
      <c r="DB8" s="524"/>
      <c r="DC8" s="524"/>
      <c r="DD8" s="524"/>
      <c r="DE8" s="524"/>
      <c r="DF8" s="524"/>
      <c r="DG8" s="524"/>
      <c r="DH8" s="524"/>
      <c r="DI8" s="524"/>
      <c r="DJ8" s="524"/>
      <c r="DK8" s="524"/>
      <c r="DL8" s="524"/>
      <c r="DM8" s="524"/>
      <c r="DN8" s="524"/>
      <c r="DO8" s="524"/>
      <c r="DP8" s="524"/>
      <c r="DQ8" s="524"/>
      <c r="DR8" s="524"/>
      <c r="DS8" s="524"/>
      <c r="DT8" s="524"/>
      <c r="DU8" s="524"/>
      <c r="DV8" s="524"/>
      <c r="DW8" s="524"/>
      <c r="DX8" s="524"/>
      <c r="DY8" s="524"/>
      <c r="DZ8" s="524"/>
      <c r="EA8" s="524"/>
      <c r="EB8" s="524"/>
      <c r="EC8" s="524"/>
      <c r="ED8" s="524"/>
      <c r="EE8" s="524"/>
      <c r="EF8" s="524"/>
      <c r="EG8" s="524"/>
      <c r="EH8" s="524"/>
      <c r="EI8" s="524"/>
      <c r="EJ8" s="524"/>
      <c r="EK8" s="524"/>
      <c r="EL8" s="524"/>
      <c r="EM8" s="524"/>
      <c r="EN8" s="524"/>
      <c r="EO8" s="524"/>
      <c r="EP8" s="524"/>
      <c r="EQ8" s="524"/>
      <c r="ER8" s="524"/>
      <c r="ES8" s="524"/>
      <c r="ET8" s="524"/>
      <c r="EU8" s="524"/>
      <c r="EV8" s="524"/>
      <c r="EW8" s="524"/>
      <c r="EX8" s="524"/>
      <c r="EY8" s="524"/>
      <c r="EZ8" s="524"/>
      <c r="FA8" s="524"/>
      <c r="FB8" s="524"/>
      <c r="FC8" s="524"/>
      <c r="FD8" s="524"/>
      <c r="FE8" s="524"/>
      <c r="FF8" s="524"/>
      <c r="FG8" s="524"/>
      <c r="FH8" s="524"/>
      <c r="FI8" s="524"/>
      <c r="FJ8" s="524"/>
      <c r="FK8" s="524"/>
      <c r="FL8" s="524"/>
      <c r="FM8" s="524"/>
      <c r="FN8" s="524"/>
      <c r="FO8" s="524"/>
      <c r="FP8" s="524"/>
      <c r="FQ8" s="524"/>
      <c r="FR8" s="524"/>
      <c r="FS8" s="524"/>
      <c r="FT8" s="524"/>
      <c r="FU8" s="524"/>
      <c r="FV8" s="524"/>
      <c r="FW8" s="524"/>
      <c r="FX8" s="524"/>
      <c r="FY8" s="524"/>
      <c r="FZ8" s="524"/>
      <c r="GA8" s="524"/>
      <c r="GB8" s="524"/>
      <c r="GC8" s="524"/>
      <c r="GD8" s="524"/>
      <c r="GE8" s="524"/>
      <c r="GF8" s="524"/>
      <c r="GG8" s="524"/>
      <c r="GH8" s="524"/>
      <c r="GI8" s="524"/>
      <c r="GJ8" s="524"/>
      <c r="GK8" s="524"/>
      <c r="GL8" s="524"/>
      <c r="GM8" s="524"/>
      <c r="GN8" s="524"/>
      <c r="GO8" s="524"/>
      <c r="GP8" s="524"/>
      <c r="GQ8" s="524"/>
      <c r="GR8" s="524"/>
      <c r="GS8" s="524"/>
      <c r="GT8" s="524"/>
      <c r="GU8" s="524"/>
      <c r="GV8" s="524"/>
      <c r="GW8" s="524"/>
      <c r="GX8" s="524"/>
      <c r="GY8" s="524"/>
      <c r="GZ8" s="524"/>
      <c r="HA8" s="524"/>
      <c r="HB8" s="524"/>
      <c r="HC8" s="524"/>
      <c r="HD8" s="524"/>
      <c r="HE8" s="524"/>
      <c r="HF8" s="524"/>
      <c r="HG8" s="524"/>
      <c r="HH8" s="524"/>
      <c r="HI8" s="524"/>
      <c r="HJ8" s="524"/>
      <c r="HK8" s="524"/>
      <c r="HL8" s="524"/>
      <c r="HM8" s="524"/>
      <c r="HN8" s="524"/>
      <c r="HO8" s="524"/>
      <c r="HP8" s="524"/>
      <c r="HQ8" s="524"/>
      <c r="HR8" s="524"/>
      <c r="HS8" s="524"/>
      <c r="HT8" s="524"/>
      <c r="HU8" s="524"/>
      <c r="HV8" s="524"/>
      <c r="HW8" s="524"/>
      <c r="HX8" s="524"/>
      <c r="HY8" s="524"/>
      <c r="HZ8" s="524"/>
      <c r="IA8" s="524"/>
      <c r="IB8" s="524"/>
      <c r="IC8" s="524"/>
      <c r="ID8" s="524"/>
      <c r="IE8" s="524"/>
      <c r="IF8" s="524"/>
      <c r="IG8" s="524"/>
      <c r="IH8" s="524"/>
      <c r="II8" s="524"/>
      <c r="IJ8" s="524"/>
      <c r="IK8" s="524"/>
      <c r="IL8" s="524"/>
      <c r="IM8" s="524"/>
      <c r="IN8" s="524"/>
      <c r="IO8" s="524"/>
      <c r="IP8" s="524"/>
      <c r="IQ8" s="524"/>
      <c r="IR8" s="524"/>
    </row>
    <row r="9" spans="1:252" ht="15.75" customHeight="1" x14ac:dyDescent="0.2">
      <c r="A9" s="529">
        <v>1</v>
      </c>
      <c r="B9" s="529" t="s">
        <v>159</v>
      </c>
      <c r="C9" s="516" t="s">
        <v>62</v>
      </c>
      <c r="D9" s="529" t="s">
        <v>63</v>
      </c>
      <c r="E9" s="529" t="s">
        <v>121</v>
      </c>
      <c r="F9" s="529" t="s">
        <v>160</v>
      </c>
      <c r="G9" s="510" t="s">
        <v>670</v>
      </c>
      <c r="H9" s="529">
        <v>3</v>
      </c>
      <c r="I9" s="529">
        <v>3</v>
      </c>
      <c r="J9" s="529">
        <v>3</v>
      </c>
      <c r="K9" s="529">
        <v>1493.3</v>
      </c>
      <c r="L9" s="529">
        <v>1493.3</v>
      </c>
      <c r="M9" s="529">
        <v>0</v>
      </c>
      <c r="N9" s="529">
        <v>9</v>
      </c>
      <c r="O9" s="529">
        <v>26421.62</v>
      </c>
      <c r="P9" s="529">
        <v>26421.62</v>
      </c>
      <c r="Q9" s="529">
        <v>0</v>
      </c>
    </row>
    <row r="10" spans="1:252" ht="15.75" customHeight="1" x14ac:dyDescent="0.2">
      <c r="A10" s="529">
        <v>2</v>
      </c>
      <c r="B10" s="529" t="s">
        <v>95</v>
      </c>
      <c r="C10" s="516" t="s">
        <v>62</v>
      </c>
      <c r="D10" s="529" t="s">
        <v>63</v>
      </c>
      <c r="E10" s="529" t="s">
        <v>74</v>
      </c>
      <c r="F10" s="529" t="s">
        <v>161</v>
      </c>
      <c r="G10" s="510" t="s">
        <v>670</v>
      </c>
      <c r="H10" s="529">
        <v>54</v>
      </c>
      <c r="I10" s="529">
        <v>49</v>
      </c>
      <c r="J10" s="529">
        <v>66</v>
      </c>
      <c r="K10" s="529">
        <v>77731.58</v>
      </c>
      <c r="L10" s="529">
        <v>75145.89</v>
      </c>
      <c r="M10" s="529">
        <v>2585.69</v>
      </c>
      <c r="N10" s="529">
        <v>31</v>
      </c>
      <c r="O10" s="529">
        <v>98356.77</v>
      </c>
      <c r="P10" s="529">
        <v>93401.69</v>
      </c>
      <c r="Q10" s="529">
        <v>4955.08</v>
      </c>
    </row>
    <row r="11" spans="1:252" ht="15.75" customHeight="1" x14ac:dyDescent="0.2">
      <c r="A11" s="529">
        <v>3</v>
      </c>
      <c r="B11" s="529" t="s">
        <v>684</v>
      </c>
      <c r="C11" s="516" t="s">
        <v>64</v>
      </c>
      <c r="D11" s="529" t="s">
        <v>486</v>
      </c>
      <c r="E11" s="529" t="s">
        <v>174</v>
      </c>
      <c r="F11" s="529" t="s">
        <v>685</v>
      </c>
      <c r="G11" s="510" t="s">
        <v>670</v>
      </c>
      <c r="H11" s="529">
        <v>9</v>
      </c>
      <c r="I11" s="529">
        <v>4</v>
      </c>
      <c r="J11" s="529">
        <v>4</v>
      </c>
      <c r="K11" s="529">
        <v>0</v>
      </c>
      <c r="L11" s="529">
        <v>0</v>
      </c>
      <c r="M11" s="529">
        <v>0</v>
      </c>
      <c r="N11" s="529">
        <v>0</v>
      </c>
      <c r="O11" s="529">
        <v>0</v>
      </c>
      <c r="P11" s="529">
        <v>0</v>
      </c>
      <c r="Q11" s="529">
        <v>0</v>
      </c>
    </row>
    <row r="12" spans="1:252" ht="15.75" customHeight="1" x14ac:dyDescent="0.2">
      <c r="A12" s="529">
        <v>4</v>
      </c>
      <c r="B12" s="529" t="s">
        <v>541</v>
      </c>
      <c r="C12" s="516" t="s">
        <v>62</v>
      </c>
      <c r="D12" s="529"/>
      <c r="E12" s="529" t="s">
        <v>177</v>
      </c>
      <c r="F12" s="529" t="s">
        <v>542</v>
      </c>
      <c r="G12" s="510" t="s">
        <v>670</v>
      </c>
      <c r="H12" s="529">
        <v>30</v>
      </c>
      <c r="I12" s="529">
        <v>24</v>
      </c>
      <c r="J12" s="529">
        <v>34</v>
      </c>
      <c r="K12" s="529">
        <v>16190.58</v>
      </c>
      <c r="L12" s="529">
        <v>16190.58</v>
      </c>
      <c r="M12" s="529">
        <v>0</v>
      </c>
      <c r="N12" s="529">
        <v>0</v>
      </c>
      <c r="O12" s="529">
        <v>0</v>
      </c>
      <c r="P12" s="529">
        <v>0</v>
      </c>
      <c r="Q12" s="529">
        <v>0</v>
      </c>
    </row>
    <row r="13" spans="1:252" ht="15.75" customHeight="1" x14ac:dyDescent="0.2">
      <c r="A13" s="529">
        <v>5</v>
      </c>
      <c r="B13" s="529" t="s">
        <v>628</v>
      </c>
      <c r="C13" s="516" t="s">
        <v>62</v>
      </c>
      <c r="D13" s="529"/>
      <c r="E13" s="529" t="s">
        <v>174</v>
      </c>
      <c r="F13" s="529" t="s">
        <v>653</v>
      </c>
      <c r="G13" s="510" t="s">
        <v>670</v>
      </c>
      <c r="H13" s="529">
        <v>10</v>
      </c>
      <c r="I13" s="529">
        <v>9</v>
      </c>
      <c r="J13" s="529">
        <v>10</v>
      </c>
      <c r="K13" s="529">
        <v>0</v>
      </c>
      <c r="L13" s="529">
        <v>0</v>
      </c>
      <c r="M13" s="529">
        <v>0</v>
      </c>
      <c r="N13" s="529">
        <v>0</v>
      </c>
      <c r="O13" s="529">
        <v>0</v>
      </c>
      <c r="P13" s="529">
        <v>0</v>
      </c>
      <c r="Q13" s="529">
        <v>0</v>
      </c>
    </row>
    <row r="14" spans="1:252" ht="15.75" customHeight="1" x14ac:dyDescent="0.2">
      <c r="A14" s="529">
        <v>6</v>
      </c>
      <c r="B14" s="529" t="s">
        <v>18</v>
      </c>
      <c r="C14" s="516" t="s">
        <v>62</v>
      </c>
      <c r="D14" s="529" t="s">
        <v>63</v>
      </c>
      <c r="E14" s="529" t="s">
        <v>70</v>
      </c>
      <c r="F14" s="529" t="s">
        <v>565</v>
      </c>
      <c r="G14" s="510" t="s">
        <v>670</v>
      </c>
      <c r="H14" s="529">
        <v>6</v>
      </c>
      <c r="I14" s="529">
        <v>1</v>
      </c>
      <c r="J14" s="529">
        <v>1</v>
      </c>
      <c r="K14" s="529">
        <v>3936.79</v>
      </c>
      <c r="L14" s="529">
        <v>3936.79</v>
      </c>
      <c r="M14" s="529">
        <v>0</v>
      </c>
      <c r="N14" s="529">
        <v>2</v>
      </c>
      <c r="O14" s="529">
        <v>3205.88</v>
      </c>
      <c r="P14" s="529">
        <v>3205.88</v>
      </c>
      <c r="Q14" s="529">
        <v>0</v>
      </c>
    </row>
    <row r="15" spans="1:252" ht="15.75" customHeight="1" x14ac:dyDescent="0.2">
      <c r="A15" s="529">
        <v>7</v>
      </c>
      <c r="B15" s="529" t="s">
        <v>19</v>
      </c>
      <c r="C15" s="516" t="s">
        <v>62</v>
      </c>
      <c r="D15" s="529" t="s">
        <v>63</v>
      </c>
      <c r="E15" s="529" t="s">
        <v>71</v>
      </c>
      <c r="F15" s="529" t="s">
        <v>162</v>
      </c>
      <c r="G15" s="510" t="s">
        <v>670</v>
      </c>
      <c r="H15" s="529">
        <v>123</v>
      </c>
      <c r="I15" s="529">
        <v>107</v>
      </c>
      <c r="J15" s="529">
        <v>141</v>
      </c>
      <c r="K15" s="529">
        <v>139338.70000000001</v>
      </c>
      <c r="L15" s="529">
        <v>127395.25</v>
      </c>
      <c r="M15" s="529">
        <v>11943.45</v>
      </c>
      <c r="N15" s="529">
        <v>32</v>
      </c>
      <c r="O15" s="529">
        <v>69551</v>
      </c>
      <c r="P15" s="529">
        <v>63610.01</v>
      </c>
      <c r="Q15" s="529">
        <v>5940.99</v>
      </c>
    </row>
    <row r="16" spans="1:252" ht="15.75" customHeight="1" x14ac:dyDescent="0.2">
      <c r="A16" s="529">
        <v>8</v>
      </c>
      <c r="B16" s="529" t="s">
        <v>672</v>
      </c>
      <c r="C16" s="516" t="s">
        <v>62</v>
      </c>
      <c r="D16" s="529"/>
      <c r="E16" s="529" t="s">
        <v>158</v>
      </c>
      <c r="F16" s="529" t="s">
        <v>673</v>
      </c>
      <c r="G16" s="510" t="s">
        <v>670</v>
      </c>
      <c r="H16" s="529">
        <v>0</v>
      </c>
      <c r="I16" s="529">
        <v>0</v>
      </c>
      <c r="J16" s="529">
        <v>0</v>
      </c>
      <c r="K16" s="529">
        <v>0</v>
      </c>
      <c r="L16" s="529">
        <v>0</v>
      </c>
      <c r="M16" s="529">
        <v>0</v>
      </c>
      <c r="N16" s="529">
        <v>1</v>
      </c>
      <c r="O16" s="529">
        <v>5462.2</v>
      </c>
      <c r="P16" s="529">
        <v>5462.2</v>
      </c>
      <c r="Q16" s="529">
        <v>0</v>
      </c>
    </row>
    <row r="17" spans="1:17" ht="15.75" customHeight="1" x14ac:dyDescent="0.2">
      <c r="A17" s="529">
        <v>9</v>
      </c>
      <c r="B17" s="529" t="s">
        <v>20</v>
      </c>
      <c r="C17" s="516" t="s">
        <v>62</v>
      </c>
      <c r="D17" s="529" t="s">
        <v>63</v>
      </c>
      <c r="E17" s="529" t="s">
        <v>72</v>
      </c>
      <c r="F17" s="529" t="s">
        <v>163</v>
      </c>
      <c r="G17" s="510" t="s">
        <v>670</v>
      </c>
      <c r="H17" s="529">
        <v>0</v>
      </c>
      <c r="I17" s="529">
        <v>0</v>
      </c>
      <c r="J17" s="529">
        <v>0</v>
      </c>
      <c r="K17" s="529">
        <v>0</v>
      </c>
      <c r="L17" s="529">
        <v>0</v>
      </c>
      <c r="M17" s="529">
        <v>0</v>
      </c>
      <c r="N17" s="529">
        <v>0</v>
      </c>
      <c r="O17" s="529">
        <v>6138.73</v>
      </c>
      <c r="P17" s="529">
        <v>6138.73</v>
      </c>
      <c r="Q17" s="529">
        <v>0</v>
      </c>
    </row>
    <row r="18" spans="1:17" ht="15.75" customHeight="1" x14ac:dyDescent="0.2">
      <c r="A18" s="529">
        <v>10</v>
      </c>
      <c r="B18" s="529" t="s">
        <v>100</v>
      </c>
      <c r="C18" s="516" t="s">
        <v>62</v>
      </c>
      <c r="D18" s="529" t="s">
        <v>63</v>
      </c>
      <c r="E18" s="529" t="s">
        <v>101</v>
      </c>
      <c r="F18" s="529" t="s">
        <v>164</v>
      </c>
      <c r="G18" s="510" t="s">
        <v>670</v>
      </c>
      <c r="H18" s="529">
        <v>18</v>
      </c>
      <c r="I18" s="529">
        <v>14</v>
      </c>
      <c r="J18" s="529">
        <v>20</v>
      </c>
      <c r="K18" s="529">
        <v>28244.77</v>
      </c>
      <c r="L18" s="529">
        <v>28244.77</v>
      </c>
      <c r="M18" s="529">
        <v>0</v>
      </c>
      <c r="N18" s="529">
        <v>13</v>
      </c>
      <c r="O18" s="529">
        <v>40292.959999999999</v>
      </c>
      <c r="P18" s="529">
        <v>40292.959999999999</v>
      </c>
      <c r="Q18" s="529">
        <v>0</v>
      </c>
    </row>
    <row r="19" spans="1:17" ht="15.75" customHeight="1" x14ac:dyDescent="0.2">
      <c r="A19" s="529">
        <v>11</v>
      </c>
      <c r="B19" s="529" t="s">
        <v>86</v>
      </c>
      <c r="C19" s="516" t="s">
        <v>62</v>
      </c>
      <c r="D19" s="529" t="s">
        <v>63</v>
      </c>
      <c r="E19" s="529" t="s">
        <v>74</v>
      </c>
      <c r="F19" s="529" t="s">
        <v>165</v>
      </c>
      <c r="G19" s="510" t="s">
        <v>670</v>
      </c>
      <c r="H19" s="529">
        <v>53</v>
      </c>
      <c r="I19" s="529">
        <v>33</v>
      </c>
      <c r="J19" s="529">
        <v>36</v>
      </c>
      <c r="K19" s="529">
        <v>26897.93</v>
      </c>
      <c r="L19" s="529">
        <v>26897.93</v>
      </c>
      <c r="M19" s="529">
        <v>0</v>
      </c>
      <c r="N19" s="529">
        <v>23</v>
      </c>
      <c r="O19" s="529">
        <v>58714.67</v>
      </c>
      <c r="P19" s="529">
        <v>58714.67</v>
      </c>
      <c r="Q19" s="529">
        <v>0</v>
      </c>
    </row>
    <row r="20" spans="1:17" ht="15.75" customHeight="1" x14ac:dyDescent="0.2">
      <c r="A20" s="529">
        <v>12</v>
      </c>
      <c r="B20" s="529" t="s">
        <v>166</v>
      </c>
      <c r="C20" s="516" t="s">
        <v>62</v>
      </c>
      <c r="D20" s="529"/>
      <c r="E20" s="529" t="s">
        <v>63</v>
      </c>
      <c r="F20" s="529" t="s">
        <v>167</v>
      </c>
      <c r="G20" s="510" t="s">
        <v>670</v>
      </c>
      <c r="H20" s="529">
        <v>21</v>
      </c>
      <c r="I20" s="529">
        <v>16</v>
      </c>
      <c r="J20" s="529">
        <v>17</v>
      </c>
      <c r="K20" s="529">
        <v>12377.17</v>
      </c>
      <c r="L20" s="529">
        <v>12377.17</v>
      </c>
      <c r="M20" s="529">
        <v>0</v>
      </c>
      <c r="N20" s="529">
        <v>0</v>
      </c>
      <c r="O20" s="529">
        <v>0</v>
      </c>
      <c r="P20" s="529">
        <v>0</v>
      </c>
      <c r="Q20" s="529">
        <v>0</v>
      </c>
    </row>
    <row r="21" spans="1:17" ht="15.75" customHeight="1" x14ac:dyDescent="0.2">
      <c r="A21" s="529">
        <v>13</v>
      </c>
      <c r="B21" s="529" t="s">
        <v>168</v>
      </c>
      <c r="C21" s="516" t="s">
        <v>62</v>
      </c>
      <c r="D21" s="529"/>
      <c r="E21" s="529" t="s">
        <v>63</v>
      </c>
      <c r="F21" s="529" t="s">
        <v>169</v>
      </c>
      <c r="G21" s="510" t="s">
        <v>670</v>
      </c>
      <c r="H21" s="529">
        <v>49</v>
      </c>
      <c r="I21" s="529">
        <v>44</v>
      </c>
      <c r="J21" s="529">
        <v>54</v>
      </c>
      <c r="K21" s="529">
        <v>35849.160000000003</v>
      </c>
      <c r="L21" s="529">
        <v>35849.160000000003</v>
      </c>
      <c r="M21" s="529">
        <v>0</v>
      </c>
      <c r="N21" s="529">
        <v>0</v>
      </c>
      <c r="O21" s="529">
        <v>0</v>
      </c>
      <c r="P21" s="529">
        <v>0</v>
      </c>
      <c r="Q21" s="529">
        <v>0</v>
      </c>
    </row>
    <row r="22" spans="1:17" ht="15.75" customHeight="1" x14ac:dyDescent="0.2">
      <c r="A22" s="529">
        <v>14</v>
      </c>
      <c r="B22" s="529" t="s">
        <v>21</v>
      </c>
      <c r="C22" s="516" t="s">
        <v>62</v>
      </c>
      <c r="D22" s="529" t="s">
        <v>63</v>
      </c>
      <c r="E22" s="529" t="s">
        <v>73</v>
      </c>
      <c r="F22" s="529" t="s">
        <v>170</v>
      </c>
      <c r="G22" s="510" t="s">
        <v>670</v>
      </c>
      <c r="H22" s="529">
        <v>56</v>
      </c>
      <c r="I22" s="529">
        <v>51</v>
      </c>
      <c r="J22" s="529">
        <v>60</v>
      </c>
      <c r="K22" s="529">
        <v>63779.16</v>
      </c>
      <c r="L22" s="529">
        <v>63779.16</v>
      </c>
      <c r="M22" s="529">
        <v>0</v>
      </c>
      <c r="N22" s="529">
        <v>42</v>
      </c>
      <c r="O22" s="529">
        <v>148889.4</v>
      </c>
      <c r="P22" s="529">
        <v>148889.4</v>
      </c>
      <c r="Q22" s="529">
        <v>0</v>
      </c>
    </row>
    <row r="23" spans="1:17" ht="15.75" customHeight="1" x14ac:dyDescent="0.2">
      <c r="A23" s="529">
        <v>15</v>
      </c>
      <c r="B23" s="529" t="s">
        <v>22</v>
      </c>
      <c r="C23" s="516" t="s">
        <v>62</v>
      </c>
      <c r="D23" s="529" t="s">
        <v>63</v>
      </c>
      <c r="E23" s="529" t="s">
        <v>74</v>
      </c>
      <c r="F23" s="529" t="s">
        <v>171</v>
      </c>
      <c r="G23" s="510" t="s">
        <v>670</v>
      </c>
      <c r="H23" s="529">
        <v>47</v>
      </c>
      <c r="I23" s="529">
        <v>39</v>
      </c>
      <c r="J23" s="529">
        <v>54</v>
      </c>
      <c r="K23" s="529">
        <v>53100.33</v>
      </c>
      <c r="L23" s="529">
        <v>53100.33</v>
      </c>
      <c r="M23" s="529">
        <v>0</v>
      </c>
      <c r="N23" s="529">
        <v>45</v>
      </c>
      <c r="O23" s="529">
        <v>101080.14</v>
      </c>
      <c r="P23" s="529">
        <v>101080.14</v>
      </c>
      <c r="Q23" s="529">
        <v>0</v>
      </c>
    </row>
    <row r="24" spans="1:17" ht="15.75" customHeight="1" x14ac:dyDescent="0.2">
      <c r="A24" s="529">
        <v>16</v>
      </c>
      <c r="B24" s="529" t="s">
        <v>24</v>
      </c>
      <c r="C24" s="516" t="s">
        <v>62</v>
      </c>
      <c r="D24" s="529" t="s">
        <v>63</v>
      </c>
      <c r="E24" s="529" t="s">
        <v>74</v>
      </c>
      <c r="F24" s="529" t="s">
        <v>172</v>
      </c>
      <c r="G24" s="510" t="s">
        <v>670</v>
      </c>
      <c r="H24" s="529">
        <v>63</v>
      </c>
      <c r="I24" s="529">
        <v>55</v>
      </c>
      <c r="J24" s="529">
        <v>70</v>
      </c>
      <c r="K24" s="529">
        <v>43142.82</v>
      </c>
      <c r="L24" s="529">
        <v>43142.82</v>
      </c>
      <c r="M24" s="529">
        <v>0</v>
      </c>
      <c r="N24" s="529">
        <v>32</v>
      </c>
      <c r="O24" s="529">
        <v>91426.1</v>
      </c>
      <c r="P24" s="529">
        <v>91426.1</v>
      </c>
      <c r="Q24" s="529">
        <v>0</v>
      </c>
    </row>
    <row r="25" spans="1:17" ht="15.75" customHeight="1" x14ac:dyDescent="0.2">
      <c r="A25" s="529">
        <v>17</v>
      </c>
      <c r="B25" s="529" t="s">
        <v>102</v>
      </c>
      <c r="C25" s="516" t="s">
        <v>67</v>
      </c>
      <c r="D25" s="529" t="s">
        <v>594</v>
      </c>
      <c r="E25" s="529" t="s">
        <v>74</v>
      </c>
      <c r="F25" s="529" t="s">
        <v>477</v>
      </c>
      <c r="G25" s="510" t="s">
        <v>670</v>
      </c>
      <c r="H25" s="529">
        <v>5</v>
      </c>
      <c r="I25" s="529">
        <v>1</v>
      </c>
      <c r="J25" s="529">
        <v>1</v>
      </c>
      <c r="K25" s="529">
        <v>528.6</v>
      </c>
      <c r="L25" s="529">
        <v>528.6</v>
      </c>
      <c r="M25" s="529">
        <v>0</v>
      </c>
      <c r="N25" s="529">
        <v>4</v>
      </c>
      <c r="O25" s="529">
        <v>9770.18</v>
      </c>
      <c r="P25" s="529">
        <v>9770.18</v>
      </c>
      <c r="Q25" s="529">
        <v>0</v>
      </c>
    </row>
    <row r="26" spans="1:17" ht="15.75" customHeight="1" x14ac:dyDescent="0.2">
      <c r="A26" s="529">
        <v>18</v>
      </c>
      <c r="B26" s="529" t="s">
        <v>173</v>
      </c>
      <c r="C26" s="516" t="s">
        <v>67</v>
      </c>
      <c r="D26" s="529" t="s">
        <v>478</v>
      </c>
      <c r="E26" s="529" t="s">
        <v>174</v>
      </c>
      <c r="F26" s="529" t="s">
        <v>175</v>
      </c>
      <c r="G26" s="510" t="s">
        <v>670</v>
      </c>
      <c r="H26" s="529">
        <v>32</v>
      </c>
      <c r="I26" s="529">
        <v>24</v>
      </c>
      <c r="J26" s="529">
        <v>28</v>
      </c>
      <c r="K26" s="529">
        <v>19933.77</v>
      </c>
      <c r="L26" s="529">
        <v>19933.77</v>
      </c>
      <c r="M26" s="529">
        <v>0</v>
      </c>
      <c r="N26" s="529">
        <v>0</v>
      </c>
      <c r="O26" s="529">
        <v>0</v>
      </c>
      <c r="P26" s="529">
        <v>0</v>
      </c>
      <c r="Q26" s="529">
        <v>0</v>
      </c>
    </row>
    <row r="27" spans="1:17" ht="15.75" customHeight="1" x14ac:dyDescent="0.2">
      <c r="A27" s="529">
        <v>19</v>
      </c>
      <c r="B27" s="529" t="s">
        <v>25</v>
      </c>
      <c r="C27" s="516" t="s">
        <v>62</v>
      </c>
      <c r="D27" s="529" t="s">
        <v>63</v>
      </c>
      <c r="E27" s="529" t="s">
        <v>76</v>
      </c>
      <c r="F27" s="529" t="s">
        <v>584</v>
      </c>
      <c r="G27" s="510" t="s">
        <v>670</v>
      </c>
      <c r="H27" s="529">
        <v>65</v>
      </c>
      <c r="I27" s="529">
        <v>0</v>
      </c>
      <c r="J27" s="529">
        <v>0</v>
      </c>
      <c r="K27" s="529">
        <v>0</v>
      </c>
      <c r="L27" s="529">
        <v>0</v>
      </c>
      <c r="M27" s="529">
        <v>0</v>
      </c>
      <c r="N27" s="529">
        <v>0</v>
      </c>
      <c r="O27" s="529">
        <v>0</v>
      </c>
      <c r="P27" s="529">
        <v>0</v>
      </c>
      <c r="Q27" s="529">
        <v>0</v>
      </c>
    </row>
    <row r="28" spans="1:17" ht="15.75" customHeight="1" x14ac:dyDescent="0.2">
      <c r="A28" s="529">
        <v>20</v>
      </c>
      <c r="B28" s="529" t="s">
        <v>600</v>
      </c>
      <c r="C28" s="516" t="s">
        <v>62</v>
      </c>
      <c r="D28" s="529" t="s">
        <v>63</v>
      </c>
      <c r="E28" s="529" t="s">
        <v>75</v>
      </c>
      <c r="F28" s="529" t="s">
        <v>103</v>
      </c>
      <c r="G28" s="510" t="s">
        <v>670</v>
      </c>
      <c r="H28" s="529">
        <v>0</v>
      </c>
      <c r="I28" s="529">
        <v>0</v>
      </c>
      <c r="J28" s="529">
        <v>0</v>
      </c>
      <c r="K28" s="529">
        <v>0</v>
      </c>
      <c r="L28" s="529">
        <v>0</v>
      </c>
      <c r="M28" s="529">
        <v>0</v>
      </c>
      <c r="N28" s="529">
        <v>19</v>
      </c>
      <c r="O28" s="529">
        <v>62481.86</v>
      </c>
      <c r="P28" s="529">
        <v>62481.86</v>
      </c>
      <c r="Q28" s="529">
        <v>0</v>
      </c>
    </row>
    <row r="29" spans="1:17" ht="15.75" customHeight="1" x14ac:dyDescent="0.2">
      <c r="A29" s="529">
        <v>21</v>
      </c>
      <c r="B29" s="529" t="s">
        <v>479</v>
      </c>
      <c r="C29" s="516" t="s">
        <v>67</v>
      </c>
      <c r="D29" s="529" t="s">
        <v>480</v>
      </c>
      <c r="E29" s="529" t="s">
        <v>271</v>
      </c>
      <c r="F29" s="529" t="s">
        <v>481</v>
      </c>
      <c r="G29" s="510" t="s">
        <v>670</v>
      </c>
      <c r="H29" s="529">
        <v>16</v>
      </c>
      <c r="I29" s="529">
        <v>12</v>
      </c>
      <c r="J29" s="529">
        <v>12</v>
      </c>
      <c r="K29" s="529">
        <v>3449.4</v>
      </c>
      <c r="L29" s="529">
        <v>3449.4</v>
      </c>
      <c r="M29" s="529">
        <v>0</v>
      </c>
      <c r="N29" s="529">
        <v>0</v>
      </c>
      <c r="O29" s="529">
        <v>0</v>
      </c>
      <c r="P29" s="529">
        <v>0</v>
      </c>
      <c r="Q29" s="529">
        <v>0</v>
      </c>
    </row>
    <row r="30" spans="1:17" ht="15.75" customHeight="1" x14ac:dyDescent="0.2">
      <c r="A30" s="529">
        <v>22</v>
      </c>
      <c r="B30" s="529" t="s">
        <v>176</v>
      </c>
      <c r="C30" s="516" t="s">
        <v>62</v>
      </c>
      <c r="D30" s="529"/>
      <c r="E30" s="529" t="s">
        <v>177</v>
      </c>
      <c r="F30" s="529" t="s">
        <v>178</v>
      </c>
      <c r="G30" s="510" t="s">
        <v>670</v>
      </c>
      <c r="H30" s="529">
        <v>21</v>
      </c>
      <c r="I30" s="529">
        <v>15</v>
      </c>
      <c r="J30" s="529">
        <v>16</v>
      </c>
      <c r="K30" s="529">
        <v>14354.65</v>
      </c>
      <c r="L30" s="529">
        <v>14354.65</v>
      </c>
      <c r="M30" s="529">
        <v>0</v>
      </c>
      <c r="N30" s="529">
        <v>0</v>
      </c>
      <c r="O30" s="529">
        <v>0</v>
      </c>
      <c r="P30" s="529">
        <v>0</v>
      </c>
      <c r="Q30" s="529">
        <v>0</v>
      </c>
    </row>
    <row r="31" spans="1:17" ht="15.75" customHeight="1" x14ac:dyDescent="0.2">
      <c r="A31" s="529">
        <v>23</v>
      </c>
      <c r="B31" s="529" t="s">
        <v>152</v>
      </c>
      <c r="C31" s="516" t="s">
        <v>62</v>
      </c>
      <c r="D31" s="529" t="s">
        <v>63</v>
      </c>
      <c r="E31" s="529" t="s">
        <v>63</v>
      </c>
      <c r="F31" s="529" t="s">
        <v>179</v>
      </c>
      <c r="G31" s="510" t="s">
        <v>670</v>
      </c>
      <c r="H31" s="529">
        <v>31</v>
      </c>
      <c r="I31" s="529">
        <v>19</v>
      </c>
      <c r="J31" s="529">
        <v>22</v>
      </c>
      <c r="K31" s="529">
        <v>38119.06</v>
      </c>
      <c r="L31" s="529">
        <v>38119.06</v>
      </c>
      <c r="M31" s="529">
        <v>0</v>
      </c>
      <c r="N31" s="529">
        <v>17</v>
      </c>
      <c r="O31" s="529">
        <v>10875.99</v>
      </c>
      <c r="P31" s="529">
        <v>10875.99</v>
      </c>
      <c r="Q31" s="529">
        <v>0</v>
      </c>
    </row>
    <row r="32" spans="1:17" ht="15.75" customHeight="1" x14ac:dyDescent="0.2">
      <c r="A32" s="529">
        <v>24</v>
      </c>
      <c r="B32" s="529" t="s">
        <v>88</v>
      </c>
      <c r="C32" s="516" t="s">
        <v>62</v>
      </c>
      <c r="D32" s="529" t="s">
        <v>63</v>
      </c>
      <c r="E32" s="529" t="s">
        <v>74</v>
      </c>
      <c r="F32" s="529" t="s">
        <v>180</v>
      </c>
      <c r="G32" s="510" t="s">
        <v>670</v>
      </c>
      <c r="H32" s="529">
        <v>9</v>
      </c>
      <c r="I32" s="529">
        <v>6</v>
      </c>
      <c r="J32" s="529">
        <v>6</v>
      </c>
      <c r="K32" s="529">
        <v>7768.25</v>
      </c>
      <c r="L32" s="529">
        <v>7768.25</v>
      </c>
      <c r="M32" s="529">
        <v>0</v>
      </c>
      <c r="N32" s="529">
        <v>3</v>
      </c>
      <c r="O32" s="529">
        <v>22884.99</v>
      </c>
      <c r="P32" s="529">
        <v>22884.99</v>
      </c>
      <c r="Q32" s="529">
        <v>0</v>
      </c>
    </row>
    <row r="33" spans="1:17" ht="15.75" customHeight="1" x14ac:dyDescent="0.2">
      <c r="A33" s="529">
        <v>25</v>
      </c>
      <c r="B33" s="529" t="s">
        <v>26</v>
      </c>
      <c r="C33" s="516" t="s">
        <v>62</v>
      </c>
      <c r="D33" s="529" t="s">
        <v>63</v>
      </c>
      <c r="E33" s="529" t="s">
        <v>74</v>
      </c>
      <c r="F33" s="529" t="s">
        <v>181</v>
      </c>
      <c r="G33" s="510" t="s">
        <v>670</v>
      </c>
      <c r="H33" s="529">
        <v>31</v>
      </c>
      <c r="I33" s="529">
        <v>28</v>
      </c>
      <c r="J33" s="529">
        <v>38</v>
      </c>
      <c r="K33" s="529">
        <v>65045.440000000002</v>
      </c>
      <c r="L33" s="529">
        <v>65045.440000000002</v>
      </c>
      <c r="M33" s="529">
        <v>0</v>
      </c>
      <c r="N33" s="529">
        <v>20</v>
      </c>
      <c r="O33" s="529">
        <v>27881.98</v>
      </c>
      <c r="P33" s="529">
        <v>27881.98</v>
      </c>
      <c r="Q33" s="529">
        <v>0</v>
      </c>
    </row>
    <row r="34" spans="1:17" ht="15.75" customHeight="1" x14ac:dyDescent="0.2">
      <c r="A34" s="529">
        <v>26</v>
      </c>
      <c r="B34" s="529" t="s">
        <v>182</v>
      </c>
      <c r="C34" s="516" t="s">
        <v>62</v>
      </c>
      <c r="D34" s="529" t="s">
        <v>63</v>
      </c>
      <c r="E34" s="529" t="s">
        <v>174</v>
      </c>
      <c r="F34" s="529" t="s">
        <v>183</v>
      </c>
      <c r="G34" s="510" t="s">
        <v>670</v>
      </c>
      <c r="H34" s="529">
        <v>43</v>
      </c>
      <c r="I34" s="529">
        <v>23</v>
      </c>
      <c r="J34" s="529">
        <v>28</v>
      </c>
      <c r="K34" s="529">
        <v>23283.040000000001</v>
      </c>
      <c r="L34" s="529">
        <v>23283.040000000001</v>
      </c>
      <c r="M34" s="529">
        <v>0</v>
      </c>
      <c r="N34" s="529">
        <v>0</v>
      </c>
      <c r="O34" s="529">
        <v>0</v>
      </c>
      <c r="P34" s="529">
        <v>0</v>
      </c>
      <c r="Q34" s="529">
        <v>0</v>
      </c>
    </row>
    <row r="35" spans="1:17" ht="15.75" customHeight="1" x14ac:dyDescent="0.2">
      <c r="A35" s="529">
        <v>27</v>
      </c>
      <c r="B35" s="529" t="s">
        <v>601</v>
      </c>
      <c r="C35" s="516" t="s">
        <v>62</v>
      </c>
      <c r="D35" s="529" t="s">
        <v>63</v>
      </c>
      <c r="E35" s="529" t="s">
        <v>366</v>
      </c>
      <c r="F35" s="529" t="s">
        <v>602</v>
      </c>
      <c r="G35" s="510" t="s">
        <v>670</v>
      </c>
      <c r="H35" s="529">
        <v>5</v>
      </c>
      <c r="I35" s="529">
        <v>0</v>
      </c>
      <c r="J35" s="529">
        <v>0</v>
      </c>
      <c r="K35" s="529">
        <v>0</v>
      </c>
      <c r="L35" s="529">
        <v>0</v>
      </c>
      <c r="M35" s="529">
        <v>0</v>
      </c>
      <c r="N35" s="529">
        <v>0</v>
      </c>
      <c r="O35" s="529">
        <v>0</v>
      </c>
      <c r="P35" s="529">
        <v>0</v>
      </c>
      <c r="Q35" s="529">
        <v>0</v>
      </c>
    </row>
    <row r="36" spans="1:17" ht="15.75" customHeight="1" x14ac:dyDescent="0.2">
      <c r="A36" s="529">
        <v>28</v>
      </c>
      <c r="B36" s="529" t="s">
        <v>137</v>
      </c>
      <c r="C36" s="516" t="s">
        <v>62</v>
      </c>
      <c r="D36" s="529" t="s">
        <v>63</v>
      </c>
      <c r="E36" s="529" t="s">
        <v>78</v>
      </c>
      <c r="F36" s="529" t="s">
        <v>184</v>
      </c>
      <c r="G36" s="510" t="s">
        <v>670</v>
      </c>
      <c r="H36" s="529">
        <v>11</v>
      </c>
      <c r="I36" s="529">
        <v>6</v>
      </c>
      <c r="J36" s="529">
        <v>6</v>
      </c>
      <c r="K36" s="529">
        <v>8691.83</v>
      </c>
      <c r="L36" s="529">
        <v>8691.83</v>
      </c>
      <c r="M36" s="529">
        <v>0</v>
      </c>
      <c r="N36" s="529">
        <v>5</v>
      </c>
      <c r="O36" s="529">
        <v>9148.83</v>
      </c>
      <c r="P36" s="529">
        <v>9148.83</v>
      </c>
      <c r="Q36" s="529">
        <v>0</v>
      </c>
    </row>
    <row r="37" spans="1:17" ht="15.75" customHeight="1" x14ac:dyDescent="0.2">
      <c r="A37" s="529">
        <v>29</v>
      </c>
      <c r="B37" s="529" t="s">
        <v>335</v>
      </c>
      <c r="C37" s="516" t="s">
        <v>62</v>
      </c>
      <c r="D37" s="529" t="s">
        <v>63</v>
      </c>
      <c r="E37" s="529" t="s">
        <v>74</v>
      </c>
      <c r="F37" s="529" t="s">
        <v>748</v>
      </c>
      <c r="G37" s="510" t="s">
        <v>670</v>
      </c>
      <c r="H37" s="529">
        <v>5</v>
      </c>
      <c r="I37" s="529">
        <v>0</v>
      </c>
      <c r="J37" s="529">
        <v>0</v>
      </c>
      <c r="K37" s="529">
        <v>0</v>
      </c>
      <c r="L37" s="529">
        <v>0</v>
      </c>
      <c r="M37" s="529">
        <v>0</v>
      </c>
      <c r="N37" s="529">
        <v>0</v>
      </c>
      <c r="O37" s="529">
        <v>0</v>
      </c>
      <c r="P37" s="529">
        <v>0</v>
      </c>
      <c r="Q37" s="529">
        <v>0</v>
      </c>
    </row>
    <row r="38" spans="1:17" ht="15.75" customHeight="1" x14ac:dyDescent="0.2">
      <c r="A38" s="529">
        <v>30</v>
      </c>
      <c r="B38" s="529" t="s">
        <v>185</v>
      </c>
      <c r="C38" s="516" t="s">
        <v>62</v>
      </c>
      <c r="D38" s="529" t="s">
        <v>63</v>
      </c>
      <c r="E38" s="529" t="s">
        <v>186</v>
      </c>
      <c r="F38" s="529" t="s">
        <v>463</v>
      </c>
      <c r="G38" s="510" t="s">
        <v>670</v>
      </c>
      <c r="H38" s="529">
        <v>15</v>
      </c>
      <c r="I38" s="529">
        <v>12</v>
      </c>
      <c r="J38" s="529">
        <v>14</v>
      </c>
      <c r="K38" s="529">
        <v>2746.17</v>
      </c>
      <c r="L38" s="529">
        <v>2746.17</v>
      </c>
      <c r="M38" s="529">
        <v>0</v>
      </c>
      <c r="N38" s="529">
        <v>0</v>
      </c>
      <c r="O38" s="529">
        <v>0</v>
      </c>
      <c r="P38" s="529">
        <v>0</v>
      </c>
      <c r="Q38" s="529">
        <v>0</v>
      </c>
    </row>
    <row r="39" spans="1:17" ht="15.75" customHeight="1" x14ac:dyDescent="0.2">
      <c r="A39" s="529">
        <v>31</v>
      </c>
      <c r="B39" s="529" t="s">
        <v>27</v>
      </c>
      <c r="C39" s="516" t="s">
        <v>62</v>
      </c>
      <c r="D39" s="529" t="s">
        <v>63</v>
      </c>
      <c r="E39" s="529" t="s">
        <v>74</v>
      </c>
      <c r="F39" s="529" t="s">
        <v>187</v>
      </c>
      <c r="G39" s="510" t="s">
        <v>670</v>
      </c>
      <c r="H39" s="529">
        <v>19</v>
      </c>
      <c r="I39" s="529">
        <v>13</v>
      </c>
      <c r="J39" s="529">
        <v>14</v>
      </c>
      <c r="K39" s="529">
        <v>13050.84</v>
      </c>
      <c r="L39" s="529">
        <v>13050.84</v>
      </c>
      <c r="M39" s="529">
        <v>0</v>
      </c>
      <c r="N39" s="529">
        <v>7</v>
      </c>
      <c r="O39" s="529">
        <v>35186.089999999997</v>
      </c>
      <c r="P39" s="529">
        <v>35186.089999999997</v>
      </c>
      <c r="Q39" s="529">
        <v>0</v>
      </c>
    </row>
    <row r="40" spans="1:17" ht="15.75" customHeight="1" x14ac:dyDescent="0.2">
      <c r="A40" s="529">
        <v>32</v>
      </c>
      <c r="B40" s="529" t="s">
        <v>654</v>
      </c>
      <c r="C40" s="516" t="s">
        <v>67</v>
      </c>
      <c r="D40" s="529" t="s">
        <v>680</v>
      </c>
      <c r="E40" s="529" t="s">
        <v>655</v>
      </c>
      <c r="F40" s="529" t="s">
        <v>656</v>
      </c>
      <c r="G40" s="510" t="s">
        <v>670</v>
      </c>
      <c r="H40" s="529">
        <v>7</v>
      </c>
      <c r="I40" s="529">
        <v>2</v>
      </c>
      <c r="J40" s="529">
        <v>2</v>
      </c>
      <c r="K40" s="529">
        <v>0</v>
      </c>
      <c r="L40" s="529">
        <v>0</v>
      </c>
      <c r="M40" s="529">
        <v>0</v>
      </c>
      <c r="N40" s="529">
        <v>0</v>
      </c>
      <c r="O40" s="529">
        <v>0</v>
      </c>
      <c r="P40" s="529">
        <v>0</v>
      </c>
      <c r="Q40" s="529">
        <v>0</v>
      </c>
    </row>
    <row r="41" spans="1:17" ht="15.75" customHeight="1" x14ac:dyDescent="0.2">
      <c r="A41" s="529">
        <v>33</v>
      </c>
      <c r="B41" s="529" t="s">
        <v>482</v>
      </c>
      <c r="C41" s="516" t="s">
        <v>64</v>
      </c>
      <c r="D41" s="529" t="s">
        <v>483</v>
      </c>
      <c r="E41" s="529" t="s">
        <v>313</v>
      </c>
      <c r="F41" s="529" t="s">
        <v>484</v>
      </c>
      <c r="G41" s="510" t="s">
        <v>670</v>
      </c>
      <c r="H41" s="529">
        <v>12</v>
      </c>
      <c r="I41" s="529">
        <v>2</v>
      </c>
      <c r="J41" s="529">
        <v>2</v>
      </c>
      <c r="K41" s="529">
        <v>0</v>
      </c>
      <c r="L41" s="529">
        <v>0</v>
      </c>
      <c r="M41" s="529">
        <v>0</v>
      </c>
      <c r="N41" s="529">
        <v>0</v>
      </c>
      <c r="O41" s="529">
        <v>0</v>
      </c>
      <c r="P41" s="529">
        <v>0</v>
      </c>
      <c r="Q41" s="529">
        <v>0</v>
      </c>
    </row>
    <row r="42" spans="1:17" ht="15.75" customHeight="1" x14ac:dyDescent="0.2">
      <c r="A42" s="529">
        <v>34</v>
      </c>
      <c r="B42" s="529" t="s">
        <v>104</v>
      </c>
      <c r="C42" s="516" t="s">
        <v>62</v>
      </c>
      <c r="D42" s="529" t="s">
        <v>63</v>
      </c>
      <c r="E42" s="529" t="s">
        <v>105</v>
      </c>
      <c r="F42" s="529" t="s">
        <v>188</v>
      </c>
      <c r="G42" s="510" t="s">
        <v>670</v>
      </c>
      <c r="H42" s="529">
        <v>9</v>
      </c>
      <c r="I42" s="529">
        <v>7</v>
      </c>
      <c r="J42" s="529">
        <v>9</v>
      </c>
      <c r="K42" s="529">
        <v>19587.169999999998</v>
      </c>
      <c r="L42" s="529">
        <v>19587.169999999998</v>
      </c>
      <c r="M42" s="529">
        <v>0</v>
      </c>
      <c r="N42" s="529">
        <v>26</v>
      </c>
      <c r="O42" s="529">
        <v>55727.91</v>
      </c>
      <c r="P42" s="529">
        <v>55727.91</v>
      </c>
      <c r="Q42" s="529">
        <v>0</v>
      </c>
    </row>
    <row r="43" spans="1:17" ht="15.75" customHeight="1" x14ac:dyDescent="0.2">
      <c r="A43" s="529">
        <v>35</v>
      </c>
      <c r="B43" s="529" t="s">
        <v>517</v>
      </c>
      <c r="C43" s="516" t="s">
        <v>62</v>
      </c>
      <c r="D43" s="529" t="s">
        <v>63</v>
      </c>
      <c r="E43" s="529" t="s">
        <v>239</v>
      </c>
      <c r="F43" s="529" t="s">
        <v>567</v>
      </c>
      <c r="G43" s="510" t="s">
        <v>670</v>
      </c>
      <c r="H43" s="529">
        <v>23</v>
      </c>
      <c r="I43" s="529">
        <v>18</v>
      </c>
      <c r="J43" s="529">
        <v>19</v>
      </c>
      <c r="K43" s="529">
        <v>8593.74</v>
      </c>
      <c r="L43" s="529">
        <v>8593.74</v>
      </c>
      <c r="M43" s="529">
        <v>0</v>
      </c>
      <c r="N43" s="529">
        <v>0</v>
      </c>
      <c r="O43" s="529">
        <v>0</v>
      </c>
      <c r="P43" s="529">
        <v>0</v>
      </c>
      <c r="Q43" s="529">
        <v>0</v>
      </c>
    </row>
    <row r="44" spans="1:17" ht="15.75" customHeight="1" x14ac:dyDescent="0.2">
      <c r="A44" s="529">
        <v>36</v>
      </c>
      <c r="B44" s="529" t="s">
        <v>28</v>
      </c>
      <c r="C44" s="516" t="s">
        <v>62</v>
      </c>
      <c r="D44" s="529" t="s">
        <v>63</v>
      </c>
      <c r="E44" s="529" t="s">
        <v>74</v>
      </c>
      <c r="F44" s="529" t="s">
        <v>189</v>
      </c>
      <c r="G44" s="510" t="s">
        <v>670</v>
      </c>
      <c r="H44" s="529">
        <v>14</v>
      </c>
      <c r="I44" s="529">
        <v>10</v>
      </c>
      <c r="J44" s="529">
        <v>11</v>
      </c>
      <c r="K44" s="529">
        <v>13276.34</v>
      </c>
      <c r="L44" s="529">
        <v>13276.34</v>
      </c>
      <c r="M44" s="529">
        <v>0</v>
      </c>
      <c r="N44" s="529">
        <v>8</v>
      </c>
      <c r="O44" s="529">
        <v>18393.25</v>
      </c>
      <c r="P44" s="529">
        <v>18393.25</v>
      </c>
      <c r="Q44" s="529">
        <v>0</v>
      </c>
    </row>
    <row r="45" spans="1:17" ht="15.75" customHeight="1" x14ac:dyDescent="0.2">
      <c r="A45" s="529">
        <v>37</v>
      </c>
      <c r="B45" s="529" t="s">
        <v>190</v>
      </c>
      <c r="C45" s="516" t="s">
        <v>62</v>
      </c>
      <c r="D45" s="529" t="s">
        <v>63</v>
      </c>
      <c r="E45" s="529" t="s">
        <v>63</v>
      </c>
      <c r="F45" s="529" t="s">
        <v>191</v>
      </c>
      <c r="G45" s="510" t="s">
        <v>670</v>
      </c>
      <c r="H45" s="529">
        <v>20</v>
      </c>
      <c r="I45" s="529">
        <v>17</v>
      </c>
      <c r="J45" s="529">
        <v>17</v>
      </c>
      <c r="K45" s="529">
        <v>15430.42</v>
      </c>
      <c r="L45" s="529">
        <v>15430.42</v>
      </c>
      <c r="M45" s="529">
        <v>0</v>
      </c>
      <c r="N45" s="529">
        <v>0</v>
      </c>
      <c r="O45" s="529">
        <v>0</v>
      </c>
      <c r="P45" s="529">
        <v>0</v>
      </c>
      <c r="Q45" s="529">
        <v>0</v>
      </c>
    </row>
    <row r="46" spans="1:17" ht="15.75" customHeight="1" x14ac:dyDescent="0.2">
      <c r="A46" s="529">
        <v>38</v>
      </c>
      <c r="B46" s="529" t="s">
        <v>89</v>
      </c>
      <c r="C46" s="516" t="s">
        <v>62</v>
      </c>
      <c r="D46" s="529" t="s">
        <v>63</v>
      </c>
      <c r="E46" s="529" t="s">
        <v>74</v>
      </c>
      <c r="F46" s="529" t="s">
        <v>195</v>
      </c>
      <c r="G46" s="510" t="s">
        <v>670</v>
      </c>
      <c r="H46" s="529">
        <v>42</v>
      </c>
      <c r="I46" s="529">
        <v>37</v>
      </c>
      <c r="J46" s="529">
        <v>40</v>
      </c>
      <c r="K46" s="529">
        <v>34420.629999999997</v>
      </c>
      <c r="L46" s="529">
        <v>34420.629999999997</v>
      </c>
      <c r="M46" s="529">
        <v>0</v>
      </c>
      <c r="N46" s="529">
        <v>7</v>
      </c>
      <c r="O46" s="529">
        <v>39298.120000000003</v>
      </c>
      <c r="P46" s="529">
        <v>39298.120000000003</v>
      </c>
      <c r="Q46" s="529">
        <v>0</v>
      </c>
    </row>
    <row r="47" spans="1:17" ht="15.75" customHeight="1" x14ac:dyDescent="0.2">
      <c r="A47" s="529">
        <v>39</v>
      </c>
      <c r="B47" s="529" t="s">
        <v>196</v>
      </c>
      <c r="C47" s="516" t="s">
        <v>62</v>
      </c>
      <c r="D47" s="529" t="s">
        <v>63</v>
      </c>
      <c r="E47" s="529" t="s">
        <v>197</v>
      </c>
      <c r="F47" s="529" t="s">
        <v>198</v>
      </c>
      <c r="G47" s="510" t="s">
        <v>670</v>
      </c>
      <c r="H47" s="529">
        <v>28</v>
      </c>
      <c r="I47" s="529">
        <v>18</v>
      </c>
      <c r="J47" s="529">
        <v>19</v>
      </c>
      <c r="K47" s="529">
        <v>29345.31</v>
      </c>
      <c r="L47" s="529">
        <v>24634.21</v>
      </c>
      <c r="M47" s="529">
        <v>4711.1000000000004</v>
      </c>
      <c r="N47" s="529">
        <v>0</v>
      </c>
      <c r="O47" s="529">
        <v>0</v>
      </c>
      <c r="P47" s="529">
        <v>0</v>
      </c>
      <c r="Q47" s="529">
        <v>0</v>
      </c>
    </row>
    <row r="48" spans="1:17" ht="15.75" customHeight="1" x14ac:dyDescent="0.2">
      <c r="A48" s="529">
        <v>40</v>
      </c>
      <c r="B48" s="529" t="s">
        <v>106</v>
      </c>
      <c r="C48" s="516" t="s">
        <v>62</v>
      </c>
      <c r="D48" s="529" t="s">
        <v>63</v>
      </c>
      <c r="E48" s="529" t="s">
        <v>74</v>
      </c>
      <c r="F48" s="529" t="s">
        <v>199</v>
      </c>
      <c r="G48" s="510" t="s">
        <v>670</v>
      </c>
      <c r="H48" s="529">
        <v>56</v>
      </c>
      <c r="I48" s="529">
        <v>47</v>
      </c>
      <c r="J48" s="529">
        <v>68</v>
      </c>
      <c r="K48" s="529">
        <v>86009.18</v>
      </c>
      <c r="L48" s="529">
        <v>86009.18</v>
      </c>
      <c r="M48" s="529">
        <v>0</v>
      </c>
      <c r="N48" s="529">
        <v>28</v>
      </c>
      <c r="O48" s="529">
        <v>150774.95000000001</v>
      </c>
      <c r="P48" s="529">
        <v>150774.95000000001</v>
      </c>
      <c r="Q48" s="529">
        <v>0</v>
      </c>
    </row>
    <row r="49" spans="1:17" ht="15.75" customHeight="1" x14ac:dyDescent="0.2">
      <c r="A49" s="529">
        <v>41</v>
      </c>
      <c r="B49" s="529" t="s">
        <v>750</v>
      </c>
      <c r="C49" s="516" t="s">
        <v>62</v>
      </c>
      <c r="D49" s="529" t="s">
        <v>63</v>
      </c>
      <c r="E49" s="529" t="s">
        <v>313</v>
      </c>
      <c r="F49" s="529" t="s">
        <v>751</v>
      </c>
      <c r="G49" s="510" t="s">
        <v>670</v>
      </c>
      <c r="H49" s="529">
        <v>1</v>
      </c>
      <c r="I49" s="529">
        <v>0</v>
      </c>
      <c r="J49" s="529">
        <v>0</v>
      </c>
      <c r="K49" s="529">
        <v>0</v>
      </c>
      <c r="L49" s="529">
        <v>0</v>
      </c>
      <c r="M49" s="529">
        <v>0</v>
      </c>
      <c r="N49" s="529">
        <v>0</v>
      </c>
      <c r="O49" s="529">
        <v>0</v>
      </c>
      <c r="P49" s="529">
        <v>0</v>
      </c>
      <c r="Q49" s="529">
        <v>0</v>
      </c>
    </row>
    <row r="50" spans="1:17" ht="15.75" customHeight="1" x14ac:dyDescent="0.2">
      <c r="A50" s="529">
        <v>42</v>
      </c>
      <c r="B50" s="529" t="s">
        <v>107</v>
      </c>
      <c r="C50" s="516" t="s">
        <v>62</v>
      </c>
      <c r="D50" s="529" t="s">
        <v>63</v>
      </c>
      <c r="E50" s="529" t="s">
        <v>74</v>
      </c>
      <c r="F50" s="529" t="s">
        <v>752</v>
      </c>
      <c r="G50" s="510" t="s">
        <v>670</v>
      </c>
      <c r="H50" s="529">
        <v>10</v>
      </c>
      <c r="I50" s="529">
        <v>2</v>
      </c>
      <c r="J50" s="529">
        <v>2</v>
      </c>
      <c r="K50" s="529">
        <v>0</v>
      </c>
      <c r="L50" s="529">
        <v>0</v>
      </c>
      <c r="M50" s="529">
        <v>0</v>
      </c>
      <c r="N50" s="529">
        <v>3</v>
      </c>
      <c r="O50" s="529">
        <v>0</v>
      </c>
      <c r="P50" s="529">
        <v>0</v>
      </c>
      <c r="Q50" s="529">
        <v>0</v>
      </c>
    </row>
    <row r="51" spans="1:17" ht="15.75" customHeight="1" x14ac:dyDescent="0.2">
      <c r="A51" s="529">
        <v>43</v>
      </c>
      <c r="B51" s="529" t="s">
        <v>29</v>
      </c>
      <c r="C51" s="516" t="s">
        <v>62</v>
      </c>
      <c r="D51" s="529" t="s">
        <v>63</v>
      </c>
      <c r="E51" s="529" t="s">
        <v>74</v>
      </c>
      <c r="F51" s="529" t="s">
        <v>200</v>
      </c>
      <c r="G51" s="510" t="s">
        <v>670</v>
      </c>
      <c r="H51" s="529">
        <v>34</v>
      </c>
      <c r="I51" s="529">
        <v>30</v>
      </c>
      <c r="J51" s="529">
        <v>44</v>
      </c>
      <c r="K51" s="529">
        <v>40540.85</v>
      </c>
      <c r="L51" s="529">
        <v>40540.85</v>
      </c>
      <c r="M51" s="529">
        <v>0</v>
      </c>
      <c r="N51" s="529">
        <v>21</v>
      </c>
      <c r="O51" s="529">
        <v>29336.76</v>
      </c>
      <c r="P51" s="529">
        <v>29336.76</v>
      </c>
      <c r="Q51" s="529">
        <v>0</v>
      </c>
    </row>
    <row r="52" spans="1:17" ht="15.75" customHeight="1" x14ac:dyDescent="0.2">
      <c r="A52" s="529">
        <v>44</v>
      </c>
      <c r="B52" s="529" t="s">
        <v>201</v>
      </c>
      <c r="C52" s="516" t="s">
        <v>67</v>
      </c>
      <c r="D52" s="529" t="s">
        <v>485</v>
      </c>
      <c r="E52" s="529" t="s">
        <v>74</v>
      </c>
      <c r="F52" s="529" t="s">
        <v>202</v>
      </c>
      <c r="G52" s="510" t="s">
        <v>670</v>
      </c>
      <c r="H52" s="529">
        <v>32</v>
      </c>
      <c r="I52" s="529">
        <v>26</v>
      </c>
      <c r="J52" s="529">
        <v>29</v>
      </c>
      <c r="K52" s="529">
        <v>42330.61</v>
      </c>
      <c r="L52" s="529">
        <v>42330.61</v>
      </c>
      <c r="M52" s="529">
        <v>0</v>
      </c>
      <c r="N52" s="529">
        <v>1</v>
      </c>
      <c r="O52" s="529">
        <v>1717.95</v>
      </c>
      <c r="P52" s="529">
        <v>1717.95</v>
      </c>
      <c r="Q52" s="529">
        <v>0</v>
      </c>
    </row>
    <row r="53" spans="1:17" ht="15.75" customHeight="1" x14ac:dyDescent="0.2">
      <c r="A53" s="529">
        <v>45</v>
      </c>
      <c r="B53" s="529" t="s">
        <v>30</v>
      </c>
      <c r="C53" s="516" t="s">
        <v>62</v>
      </c>
      <c r="D53" s="529" t="s">
        <v>63</v>
      </c>
      <c r="E53" s="529" t="s">
        <v>203</v>
      </c>
      <c r="F53" s="529" t="s">
        <v>204</v>
      </c>
      <c r="G53" s="510" t="s">
        <v>670</v>
      </c>
      <c r="H53" s="529">
        <v>28</v>
      </c>
      <c r="I53" s="529">
        <v>20</v>
      </c>
      <c r="J53" s="529">
        <v>28</v>
      </c>
      <c r="K53" s="529">
        <v>65292.95</v>
      </c>
      <c r="L53" s="529">
        <v>65292.95</v>
      </c>
      <c r="M53" s="529">
        <v>0</v>
      </c>
      <c r="N53" s="529">
        <v>20</v>
      </c>
      <c r="O53" s="529">
        <v>85051.08</v>
      </c>
      <c r="P53" s="529">
        <v>85051.08</v>
      </c>
      <c r="Q53" s="529">
        <v>0</v>
      </c>
    </row>
    <row r="54" spans="1:17" ht="15.75" customHeight="1" x14ac:dyDescent="0.2">
      <c r="A54" s="529">
        <v>46</v>
      </c>
      <c r="B54" s="529" t="s">
        <v>90</v>
      </c>
      <c r="C54" s="516" t="s">
        <v>62</v>
      </c>
      <c r="D54" s="529" t="s">
        <v>63</v>
      </c>
      <c r="E54" s="529" t="s">
        <v>205</v>
      </c>
      <c r="F54" s="529" t="s">
        <v>464</v>
      </c>
      <c r="G54" s="510" t="s">
        <v>670</v>
      </c>
      <c r="H54" s="529">
        <v>29</v>
      </c>
      <c r="I54" s="529">
        <v>18</v>
      </c>
      <c r="J54" s="529">
        <v>25</v>
      </c>
      <c r="K54" s="529">
        <v>36149.81</v>
      </c>
      <c r="L54" s="529">
        <v>36149.81</v>
      </c>
      <c r="M54" s="529">
        <v>0</v>
      </c>
      <c r="N54" s="529">
        <v>18</v>
      </c>
      <c r="O54" s="529">
        <v>23475.1</v>
      </c>
      <c r="P54" s="529">
        <v>23475.1</v>
      </c>
      <c r="Q54" s="529">
        <v>0</v>
      </c>
    </row>
    <row r="55" spans="1:17" ht="15.75" customHeight="1" x14ac:dyDescent="0.2">
      <c r="A55" s="529">
        <v>47</v>
      </c>
      <c r="B55" s="529" t="s">
        <v>31</v>
      </c>
      <c r="C55" s="516" t="s">
        <v>62</v>
      </c>
      <c r="D55" s="529" t="s">
        <v>63</v>
      </c>
      <c r="E55" s="529" t="s">
        <v>74</v>
      </c>
      <c r="F55" s="529" t="s">
        <v>206</v>
      </c>
      <c r="G55" s="510" t="s">
        <v>670</v>
      </c>
      <c r="H55" s="529">
        <v>65</v>
      </c>
      <c r="I55" s="529">
        <v>57</v>
      </c>
      <c r="J55" s="529">
        <v>68</v>
      </c>
      <c r="K55" s="529">
        <v>112192.49</v>
      </c>
      <c r="L55" s="529">
        <v>112192.49</v>
      </c>
      <c r="M55" s="529">
        <v>0</v>
      </c>
      <c r="N55" s="529">
        <v>23</v>
      </c>
      <c r="O55" s="529">
        <v>88399.12</v>
      </c>
      <c r="P55" s="529">
        <v>88399.12</v>
      </c>
      <c r="Q55" s="529">
        <v>0</v>
      </c>
    </row>
    <row r="56" spans="1:17" ht="15.75" customHeight="1" x14ac:dyDescent="0.2">
      <c r="A56" s="529">
        <v>48</v>
      </c>
      <c r="B56" s="529" t="s">
        <v>631</v>
      </c>
      <c r="C56" s="516" t="s">
        <v>62</v>
      </c>
      <c r="D56" s="529" t="s">
        <v>63</v>
      </c>
      <c r="E56" s="529" t="s">
        <v>63</v>
      </c>
      <c r="F56" s="529" t="s">
        <v>732</v>
      </c>
      <c r="G56" s="510" t="s">
        <v>670</v>
      </c>
      <c r="H56" s="529">
        <v>14</v>
      </c>
      <c r="I56" s="529">
        <v>5</v>
      </c>
      <c r="J56" s="529">
        <v>5</v>
      </c>
      <c r="K56" s="529">
        <v>589.12</v>
      </c>
      <c r="L56" s="529">
        <v>589.12</v>
      </c>
      <c r="M56" s="529">
        <v>0</v>
      </c>
      <c r="N56" s="529">
        <v>0</v>
      </c>
      <c r="O56" s="529">
        <v>0</v>
      </c>
      <c r="P56" s="529">
        <v>0</v>
      </c>
      <c r="Q56" s="529">
        <v>0</v>
      </c>
    </row>
    <row r="57" spans="1:17" ht="15.75" customHeight="1" x14ac:dyDescent="0.2">
      <c r="A57" s="529">
        <v>49</v>
      </c>
      <c r="B57" s="529" t="s">
        <v>605</v>
      </c>
      <c r="C57" s="516" t="s">
        <v>62</v>
      </c>
      <c r="D57" s="529" t="s">
        <v>63</v>
      </c>
      <c r="E57" s="529" t="s">
        <v>108</v>
      </c>
      <c r="F57" s="529" t="s">
        <v>606</v>
      </c>
      <c r="G57" s="510" t="s">
        <v>670</v>
      </c>
      <c r="H57" s="529">
        <v>5</v>
      </c>
      <c r="I57" s="529">
        <v>2</v>
      </c>
      <c r="J57" s="529">
        <v>2</v>
      </c>
      <c r="K57" s="529">
        <v>0</v>
      </c>
      <c r="L57" s="529">
        <v>0</v>
      </c>
      <c r="M57" s="529">
        <v>0</v>
      </c>
      <c r="N57" s="529">
        <v>0</v>
      </c>
      <c r="O57" s="529">
        <v>1200.69</v>
      </c>
      <c r="P57" s="529">
        <v>1200.69</v>
      </c>
      <c r="Q57" s="529">
        <v>0</v>
      </c>
    </row>
    <row r="58" spans="1:17" ht="15.75" customHeight="1" x14ac:dyDescent="0.2">
      <c r="A58" s="529">
        <v>50</v>
      </c>
      <c r="B58" s="529" t="s">
        <v>32</v>
      </c>
      <c r="C58" s="516" t="s">
        <v>62</v>
      </c>
      <c r="D58" s="529" t="s">
        <v>63</v>
      </c>
      <c r="E58" s="529" t="s">
        <v>74</v>
      </c>
      <c r="F58" s="529" t="s">
        <v>207</v>
      </c>
      <c r="G58" s="510" t="s">
        <v>670</v>
      </c>
      <c r="H58" s="529">
        <v>56</v>
      </c>
      <c r="I58" s="529">
        <v>47</v>
      </c>
      <c r="J58" s="529">
        <v>52</v>
      </c>
      <c r="K58" s="529">
        <v>34934.46</v>
      </c>
      <c r="L58" s="529">
        <v>34934.46</v>
      </c>
      <c r="M58" s="529">
        <v>0</v>
      </c>
      <c r="N58" s="529">
        <v>40</v>
      </c>
      <c r="O58" s="529">
        <v>99653.31</v>
      </c>
      <c r="P58" s="529">
        <v>99653.31</v>
      </c>
      <c r="Q58" s="529">
        <v>0</v>
      </c>
    </row>
    <row r="59" spans="1:17" ht="15.75" customHeight="1" x14ac:dyDescent="0.2">
      <c r="A59" s="529">
        <v>51</v>
      </c>
      <c r="B59" s="529" t="s">
        <v>91</v>
      </c>
      <c r="C59" s="516" t="s">
        <v>62</v>
      </c>
      <c r="D59" s="529" t="s">
        <v>63</v>
      </c>
      <c r="E59" s="529" t="s">
        <v>63</v>
      </c>
      <c r="F59" s="529" t="s">
        <v>208</v>
      </c>
      <c r="G59" s="510" t="s">
        <v>670</v>
      </c>
      <c r="H59" s="529">
        <v>23</v>
      </c>
      <c r="I59" s="529">
        <v>13</v>
      </c>
      <c r="J59" s="529">
        <v>13</v>
      </c>
      <c r="K59" s="529">
        <v>7911.39</v>
      </c>
      <c r="L59" s="529">
        <v>7911.39</v>
      </c>
      <c r="M59" s="529">
        <v>0</v>
      </c>
      <c r="N59" s="529">
        <v>2</v>
      </c>
      <c r="O59" s="529">
        <v>17381.23</v>
      </c>
      <c r="P59" s="529">
        <v>17381.23</v>
      </c>
      <c r="Q59" s="529">
        <v>0</v>
      </c>
    </row>
    <row r="60" spans="1:17" ht="15.75" customHeight="1" x14ac:dyDescent="0.2">
      <c r="A60" s="529">
        <v>52</v>
      </c>
      <c r="B60" s="529" t="s">
        <v>33</v>
      </c>
      <c r="C60" s="516" t="s">
        <v>62</v>
      </c>
      <c r="D60" s="529" t="s">
        <v>63</v>
      </c>
      <c r="E60" s="529" t="s">
        <v>74</v>
      </c>
      <c r="F60" s="529" t="s">
        <v>209</v>
      </c>
      <c r="G60" s="510" t="s">
        <v>670</v>
      </c>
      <c r="H60" s="529">
        <v>43</v>
      </c>
      <c r="I60" s="529">
        <v>35</v>
      </c>
      <c r="J60" s="529">
        <v>50</v>
      </c>
      <c r="K60" s="529">
        <v>75311.38</v>
      </c>
      <c r="L60" s="529">
        <v>75311.38</v>
      </c>
      <c r="M60" s="529">
        <v>0</v>
      </c>
      <c r="N60" s="529">
        <v>42</v>
      </c>
      <c r="O60" s="529">
        <v>115656.4</v>
      </c>
      <c r="P60" s="529">
        <v>115656.4</v>
      </c>
      <c r="Q60" s="529">
        <v>0</v>
      </c>
    </row>
    <row r="61" spans="1:17" ht="15.75" customHeight="1" x14ac:dyDescent="0.2">
      <c r="A61" s="529">
        <v>53</v>
      </c>
      <c r="B61" s="529" t="s">
        <v>153</v>
      </c>
      <c r="C61" s="516" t="s">
        <v>62</v>
      </c>
      <c r="D61" s="529" t="s">
        <v>63</v>
      </c>
      <c r="E61" s="529" t="s">
        <v>74</v>
      </c>
      <c r="F61" s="529" t="s">
        <v>210</v>
      </c>
      <c r="G61" s="510" t="s">
        <v>670</v>
      </c>
      <c r="H61" s="529">
        <v>0</v>
      </c>
      <c r="I61" s="529">
        <v>0</v>
      </c>
      <c r="J61" s="529">
        <v>0</v>
      </c>
      <c r="K61" s="529">
        <v>0</v>
      </c>
      <c r="L61" s="529">
        <v>0</v>
      </c>
      <c r="M61" s="529">
        <v>0</v>
      </c>
      <c r="N61" s="529">
        <v>3</v>
      </c>
      <c r="O61" s="529">
        <v>35991.79</v>
      </c>
      <c r="P61" s="529">
        <v>35991.79</v>
      </c>
      <c r="Q61" s="529">
        <v>0</v>
      </c>
    </row>
    <row r="62" spans="1:17" ht="15.75" customHeight="1" x14ac:dyDescent="0.2">
      <c r="A62" s="529">
        <v>54</v>
      </c>
      <c r="B62" s="529" t="s">
        <v>34</v>
      </c>
      <c r="C62" s="516" t="s">
        <v>62</v>
      </c>
      <c r="D62" s="529" t="s">
        <v>63</v>
      </c>
      <c r="E62" s="529" t="s">
        <v>74</v>
      </c>
      <c r="F62" s="529" t="s">
        <v>211</v>
      </c>
      <c r="G62" s="510" t="s">
        <v>670</v>
      </c>
      <c r="H62" s="529">
        <v>24</v>
      </c>
      <c r="I62" s="529">
        <v>19</v>
      </c>
      <c r="J62" s="529">
        <v>22</v>
      </c>
      <c r="K62" s="529">
        <v>7566.68</v>
      </c>
      <c r="L62" s="529">
        <v>7566.68</v>
      </c>
      <c r="M62" s="529">
        <v>0</v>
      </c>
      <c r="N62" s="529">
        <v>26</v>
      </c>
      <c r="O62" s="529">
        <v>106055.76</v>
      </c>
      <c r="P62" s="529">
        <v>106055.76</v>
      </c>
      <c r="Q62" s="529">
        <v>0</v>
      </c>
    </row>
    <row r="63" spans="1:17" ht="15.75" customHeight="1" x14ac:dyDescent="0.2">
      <c r="A63" s="529">
        <v>55</v>
      </c>
      <c r="B63" s="529" t="s">
        <v>154</v>
      </c>
      <c r="C63" s="516" t="s">
        <v>62</v>
      </c>
      <c r="D63" s="529" t="s">
        <v>63</v>
      </c>
      <c r="E63" s="529" t="s">
        <v>72</v>
      </c>
      <c r="F63" s="529" t="s">
        <v>212</v>
      </c>
      <c r="G63" s="510" t="s">
        <v>670</v>
      </c>
      <c r="H63" s="529">
        <v>6</v>
      </c>
      <c r="I63" s="529">
        <v>2</v>
      </c>
      <c r="J63" s="529">
        <v>2</v>
      </c>
      <c r="K63" s="529">
        <v>2172.77</v>
      </c>
      <c r="L63" s="529">
        <v>2172.77</v>
      </c>
      <c r="M63" s="529">
        <v>0</v>
      </c>
      <c r="N63" s="529">
        <v>2</v>
      </c>
      <c r="O63" s="529">
        <v>10016.969999999999</v>
      </c>
      <c r="P63" s="529">
        <v>10016.969999999999</v>
      </c>
      <c r="Q63" s="529">
        <v>0</v>
      </c>
    </row>
    <row r="64" spans="1:17" ht="15.75" customHeight="1" x14ac:dyDescent="0.2">
      <c r="A64" s="529">
        <v>56</v>
      </c>
      <c r="B64" s="529" t="s">
        <v>109</v>
      </c>
      <c r="C64" s="516" t="s">
        <v>62</v>
      </c>
      <c r="D64" s="529" t="s">
        <v>63</v>
      </c>
      <c r="E64" s="529" t="s">
        <v>74</v>
      </c>
      <c r="F64" s="529" t="s">
        <v>213</v>
      </c>
      <c r="G64" s="510" t="s">
        <v>670</v>
      </c>
      <c r="H64" s="529">
        <v>0</v>
      </c>
      <c r="I64" s="529">
        <v>0</v>
      </c>
      <c r="J64" s="529">
        <v>0</v>
      </c>
      <c r="K64" s="529">
        <v>0</v>
      </c>
      <c r="L64" s="529">
        <v>0</v>
      </c>
      <c r="M64" s="529">
        <v>0</v>
      </c>
      <c r="N64" s="529">
        <v>2</v>
      </c>
      <c r="O64" s="529">
        <v>3812.68</v>
      </c>
      <c r="P64" s="529">
        <v>3812.68</v>
      </c>
      <c r="Q64" s="529">
        <v>0</v>
      </c>
    </row>
    <row r="65" spans="1:17" ht="15.75" customHeight="1" x14ac:dyDescent="0.2">
      <c r="A65" s="529">
        <v>57</v>
      </c>
      <c r="B65" s="529" t="s">
        <v>110</v>
      </c>
      <c r="C65" s="516" t="s">
        <v>62</v>
      </c>
      <c r="D65" s="529" t="s">
        <v>63</v>
      </c>
      <c r="E65" s="529" t="s">
        <v>74</v>
      </c>
      <c r="F65" s="529" t="s">
        <v>214</v>
      </c>
      <c r="G65" s="510" t="s">
        <v>670</v>
      </c>
      <c r="H65" s="529">
        <v>0</v>
      </c>
      <c r="I65" s="529">
        <v>0</v>
      </c>
      <c r="J65" s="529">
        <v>0</v>
      </c>
      <c r="K65" s="529">
        <v>0</v>
      </c>
      <c r="L65" s="529">
        <v>0</v>
      </c>
      <c r="M65" s="529">
        <v>0</v>
      </c>
      <c r="N65" s="529">
        <v>0</v>
      </c>
      <c r="O65" s="529">
        <v>12489.14</v>
      </c>
      <c r="P65" s="529">
        <v>12489.14</v>
      </c>
      <c r="Q65" s="529">
        <v>0</v>
      </c>
    </row>
    <row r="66" spans="1:17" ht="15.75" customHeight="1" x14ac:dyDescent="0.2">
      <c r="A66" s="529">
        <v>58</v>
      </c>
      <c r="B66" s="529" t="s">
        <v>92</v>
      </c>
      <c r="C66" s="516" t="s">
        <v>62</v>
      </c>
      <c r="D66" s="529" t="s">
        <v>63</v>
      </c>
      <c r="E66" s="529" t="s">
        <v>74</v>
      </c>
      <c r="F66" s="529" t="s">
        <v>215</v>
      </c>
      <c r="G66" s="510" t="s">
        <v>670</v>
      </c>
      <c r="H66" s="529">
        <v>41</v>
      </c>
      <c r="I66" s="529">
        <v>37</v>
      </c>
      <c r="J66" s="529">
        <v>49</v>
      </c>
      <c r="K66" s="529">
        <v>55173.48</v>
      </c>
      <c r="L66" s="529">
        <v>55173.48</v>
      </c>
      <c r="M66" s="529">
        <v>0</v>
      </c>
      <c r="N66" s="529">
        <v>16</v>
      </c>
      <c r="O66" s="529">
        <v>47264.21</v>
      </c>
      <c r="P66" s="529">
        <v>47264.21</v>
      </c>
      <c r="Q66" s="529">
        <v>0</v>
      </c>
    </row>
    <row r="67" spans="1:17" ht="15.75" customHeight="1" x14ac:dyDescent="0.2">
      <c r="A67" s="529">
        <v>59</v>
      </c>
      <c r="B67" s="529" t="s">
        <v>216</v>
      </c>
      <c r="C67" s="516" t="s">
        <v>67</v>
      </c>
      <c r="D67" s="529" t="s">
        <v>436</v>
      </c>
      <c r="E67" s="529" t="s">
        <v>217</v>
      </c>
      <c r="F67" s="529" t="s">
        <v>218</v>
      </c>
      <c r="G67" s="510" t="s">
        <v>670</v>
      </c>
      <c r="H67" s="529">
        <v>17</v>
      </c>
      <c r="I67" s="529">
        <v>12</v>
      </c>
      <c r="J67" s="529">
        <v>12</v>
      </c>
      <c r="K67" s="529">
        <v>8808.74</v>
      </c>
      <c r="L67" s="529">
        <v>8808.74</v>
      </c>
      <c r="M67" s="529">
        <v>0</v>
      </c>
      <c r="N67" s="529">
        <v>0</v>
      </c>
      <c r="O67" s="529">
        <v>0</v>
      </c>
      <c r="P67" s="529">
        <v>0</v>
      </c>
      <c r="Q67" s="529">
        <v>0</v>
      </c>
    </row>
    <row r="68" spans="1:17" ht="15.75" customHeight="1" x14ac:dyDescent="0.2">
      <c r="A68" s="529">
        <v>60</v>
      </c>
      <c r="B68" s="529" t="s">
        <v>35</v>
      </c>
      <c r="C68" s="516" t="s">
        <v>62</v>
      </c>
      <c r="D68" s="529" t="s">
        <v>63</v>
      </c>
      <c r="E68" s="529" t="s">
        <v>219</v>
      </c>
      <c r="F68" s="529" t="s">
        <v>220</v>
      </c>
      <c r="G68" s="510" t="s">
        <v>670</v>
      </c>
      <c r="H68" s="529">
        <v>60</v>
      </c>
      <c r="I68" s="529">
        <v>56</v>
      </c>
      <c r="J68" s="529">
        <v>63</v>
      </c>
      <c r="K68" s="529">
        <v>82511.28</v>
      </c>
      <c r="L68" s="529">
        <v>82511.28</v>
      </c>
      <c r="M68" s="529">
        <v>0</v>
      </c>
      <c r="N68" s="529">
        <v>34</v>
      </c>
      <c r="O68" s="529">
        <v>88743.22</v>
      </c>
      <c r="P68" s="529">
        <v>88743.22</v>
      </c>
      <c r="Q68" s="529">
        <v>0</v>
      </c>
    </row>
    <row r="69" spans="1:17" ht="15.75" customHeight="1" x14ac:dyDescent="0.2">
      <c r="A69" s="529">
        <v>61</v>
      </c>
      <c r="B69" s="529" t="s">
        <v>114</v>
      </c>
      <c r="C69" s="516" t="s">
        <v>62</v>
      </c>
      <c r="D69" s="529" t="s">
        <v>63</v>
      </c>
      <c r="E69" s="529" t="s">
        <v>115</v>
      </c>
      <c r="F69" s="529" t="s">
        <v>221</v>
      </c>
      <c r="G69" s="510" t="s">
        <v>670</v>
      </c>
      <c r="H69" s="529">
        <v>18</v>
      </c>
      <c r="I69" s="529">
        <v>11</v>
      </c>
      <c r="J69" s="529">
        <v>11</v>
      </c>
      <c r="K69" s="529">
        <v>21498.44</v>
      </c>
      <c r="L69" s="529">
        <v>16638.2</v>
      </c>
      <c r="M69" s="529">
        <v>4860.24</v>
      </c>
      <c r="N69" s="529">
        <v>1</v>
      </c>
      <c r="O69" s="529">
        <v>1108.48</v>
      </c>
      <c r="P69" s="529">
        <v>1108.48</v>
      </c>
      <c r="Q69" s="529">
        <v>0</v>
      </c>
    </row>
    <row r="70" spans="1:17" ht="15.75" customHeight="1" x14ac:dyDescent="0.2">
      <c r="A70" s="529">
        <v>62</v>
      </c>
      <c r="B70" s="529" t="s">
        <v>222</v>
      </c>
      <c r="C70" s="516" t="s">
        <v>64</v>
      </c>
      <c r="D70" s="529" t="s">
        <v>486</v>
      </c>
      <c r="E70" s="529" t="s">
        <v>223</v>
      </c>
      <c r="F70" s="529" t="s">
        <v>224</v>
      </c>
      <c r="G70" s="510" t="s">
        <v>670</v>
      </c>
      <c r="H70" s="529">
        <v>24</v>
      </c>
      <c r="I70" s="529">
        <v>20</v>
      </c>
      <c r="J70" s="529">
        <v>25</v>
      </c>
      <c r="K70" s="529">
        <v>31179.34</v>
      </c>
      <c r="L70" s="529">
        <v>31179.34</v>
      </c>
      <c r="M70" s="529">
        <v>0</v>
      </c>
      <c r="N70" s="529">
        <v>0</v>
      </c>
      <c r="O70" s="529">
        <v>0</v>
      </c>
      <c r="P70" s="529">
        <v>0</v>
      </c>
      <c r="Q70" s="529">
        <v>0</v>
      </c>
    </row>
    <row r="71" spans="1:17" ht="15.75" customHeight="1" x14ac:dyDescent="0.2">
      <c r="A71" s="529">
        <v>63</v>
      </c>
      <c r="B71" s="529" t="s">
        <v>93</v>
      </c>
      <c r="C71" s="516" t="s">
        <v>62</v>
      </c>
      <c r="D71" s="529" t="s">
        <v>63</v>
      </c>
      <c r="E71" s="529" t="s">
        <v>74</v>
      </c>
      <c r="F71" s="529" t="s">
        <v>225</v>
      </c>
      <c r="G71" s="510" t="s">
        <v>670</v>
      </c>
      <c r="H71" s="529">
        <v>14</v>
      </c>
      <c r="I71" s="529">
        <v>6</v>
      </c>
      <c r="J71" s="529">
        <v>7</v>
      </c>
      <c r="K71" s="529">
        <v>11798.3</v>
      </c>
      <c r="L71" s="529">
        <v>11798.3</v>
      </c>
      <c r="M71" s="529">
        <v>0</v>
      </c>
      <c r="N71" s="529">
        <v>7</v>
      </c>
      <c r="O71" s="529">
        <v>10672.71</v>
      </c>
      <c r="P71" s="529">
        <v>10672.71</v>
      </c>
      <c r="Q71" s="529">
        <v>0</v>
      </c>
    </row>
    <row r="72" spans="1:17" ht="15.75" customHeight="1" x14ac:dyDescent="0.2">
      <c r="A72" s="529">
        <v>64</v>
      </c>
      <c r="B72" s="529" t="s">
        <v>226</v>
      </c>
      <c r="C72" s="516" t="s">
        <v>62</v>
      </c>
      <c r="D72" s="529" t="s">
        <v>63</v>
      </c>
      <c r="E72" s="529" t="s">
        <v>174</v>
      </c>
      <c r="F72" s="529" t="s">
        <v>227</v>
      </c>
      <c r="G72" s="510" t="s">
        <v>670</v>
      </c>
      <c r="H72" s="529">
        <v>43</v>
      </c>
      <c r="I72" s="529">
        <v>17</v>
      </c>
      <c r="J72" s="529">
        <v>20</v>
      </c>
      <c r="K72" s="529">
        <v>59599.24</v>
      </c>
      <c r="L72" s="529">
        <v>59599.24</v>
      </c>
      <c r="M72" s="529">
        <v>0</v>
      </c>
      <c r="N72" s="529">
        <v>0</v>
      </c>
      <c r="O72" s="529">
        <v>0</v>
      </c>
      <c r="P72" s="529">
        <v>0</v>
      </c>
      <c r="Q72" s="529">
        <v>0</v>
      </c>
    </row>
    <row r="73" spans="1:17" ht="15.75" customHeight="1" x14ac:dyDescent="0.2">
      <c r="A73" s="529">
        <v>65</v>
      </c>
      <c r="B73" s="529" t="s">
        <v>228</v>
      </c>
      <c r="C73" s="516" t="s">
        <v>62</v>
      </c>
      <c r="D73" s="529" t="s">
        <v>63</v>
      </c>
      <c r="E73" s="529" t="s">
        <v>229</v>
      </c>
      <c r="F73" s="529" t="s">
        <v>230</v>
      </c>
      <c r="G73" s="510" t="s">
        <v>670</v>
      </c>
      <c r="H73" s="529">
        <v>51</v>
      </c>
      <c r="I73" s="529">
        <v>30</v>
      </c>
      <c r="J73" s="529">
        <v>38</v>
      </c>
      <c r="K73" s="529">
        <v>34002.400000000001</v>
      </c>
      <c r="L73" s="529">
        <v>34002.400000000001</v>
      </c>
      <c r="M73" s="529">
        <v>0</v>
      </c>
      <c r="N73" s="529">
        <v>0</v>
      </c>
      <c r="O73" s="529">
        <v>0</v>
      </c>
      <c r="P73" s="529">
        <v>0</v>
      </c>
      <c r="Q73" s="529">
        <v>0</v>
      </c>
    </row>
    <row r="74" spans="1:17" ht="15.75" customHeight="1" x14ac:dyDescent="0.2">
      <c r="A74" s="529">
        <v>66</v>
      </c>
      <c r="B74" s="529" t="s">
        <v>116</v>
      </c>
      <c r="C74" s="516" t="s">
        <v>62</v>
      </c>
      <c r="D74" s="529" t="s">
        <v>63</v>
      </c>
      <c r="E74" s="529" t="s">
        <v>74</v>
      </c>
      <c r="F74" s="529" t="s">
        <v>231</v>
      </c>
      <c r="G74" s="510" t="s">
        <v>670</v>
      </c>
      <c r="H74" s="529">
        <v>39</v>
      </c>
      <c r="I74" s="529">
        <v>30</v>
      </c>
      <c r="J74" s="529">
        <v>36</v>
      </c>
      <c r="K74" s="529">
        <v>42164.54</v>
      </c>
      <c r="L74" s="529">
        <v>42164.54</v>
      </c>
      <c r="M74" s="529">
        <v>0</v>
      </c>
      <c r="N74" s="529">
        <v>3</v>
      </c>
      <c r="O74" s="529">
        <v>5058.49</v>
      </c>
      <c r="P74" s="529">
        <v>5058.49</v>
      </c>
      <c r="Q74" s="529">
        <v>0</v>
      </c>
    </row>
    <row r="75" spans="1:17" ht="15.75" customHeight="1" x14ac:dyDescent="0.2">
      <c r="A75" s="529">
        <v>67</v>
      </c>
      <c r="B75" s="529" t="s">
        <v>232</v>
      </c>
      <c r="C75" s="516" t="s">
        <v>62</v>
      </c>
      <c r="D75" s="529" t="s">
        <v>63</v>
      </c>
      <c r="E75" s="529" t="s">
        <v>174</v>
      </c>
      <c r="F75" s="529" t="s">
        <v>233</v>
      </c>
      <c r="G75" s="510" t="s">
        <v>670</v>
      </c>
      <c r="H75" s="529">
        <v>18</v>
      </c>
      <c r="I75" s="529">
        <v>14</v>
      </c>
      <c r="J75" s="529">
        <v>17</v>
      </c>
      <c r="K75" s="529">
        <v>9716.0300000000007</v>
      </c>
      <c r="L75" s="529">
        <v>9716.0300000000007</v>
      </c>
      <c r="M75" s="529">
        <v>0</v>
      </c>
      <c r="N75" s="529">
        <v>0</v>
      </c>
      <c r="O75" s="529">
        <v>0</v>
      </c>
      <c r="P75" s="529">
        <v>0</v>
      </c>
      <c r="Q75" s="529">
        <v>0</v>
      </c>
    </row>
    <row r="76" spans="1:17" ht="15.75" customHeight="1" x14ac:dyDescent="0.2">
      <c r="A76" s="529">
        <v>68</v>
      </c>
      <c r="B76" s="529" t="s">
        <v>487</v>
      </c>
      <c r="C76" s="516" t="s">
        <v>62</v>
      </c>
      <c r="D76" s="529" t="s">
        <v>63</v>
      </c>
      <c r="E76" s="529" t="s">
        <v>282</v>
      </c>
      <c r="F76" s="529" t="s">
        <v>488</v>
      </c>
      <c r="G76" s="510" t="s">
        <v>670</v>
      </c>
      <c r="H76" s="529">
        <v>10</v>
      </c>
      <c r="I76" s="529">
        <v>3</v>
      </c>
      <c r="J76" s="529">
        <v>3</v>
      </c>
      <c r="K76" s="529">
        <v>1999.87</v>
      </c>
      <c r="L76" s="529">
        <v>1999.87</v>
      </c>
      <c r="M76" s="529">
        <v>0</v>
      </c>
      <c r="N76" s="529">
        <v>0</v>
      </c>
      <c r="O76" s="529">
        <v>0</v>
      </c>
      <c r="P76" s="529">
        <v>0</v>
      </c>
      <c r="Q76" s="529">
        <v>0</v>
      </c>
    </row>
    <row r="77" spans="1:17" ht="15.75" customHeight="1" x14ac:dyDescent="0.2">
      <c r="A77" s="529">
        <v>69</v>
      </c>
      <c r="B77" s="529" t="s">
        <v>357</v>
      </c>
      <c r="C77" s="516" t="s">
        <v>64</v>
      </c>
      <c r="D77" s="529" t="s">
        <v>585</v>
      </c>
      <c r="E77" s="529" t="s">
        <v>74</v>
      </c>
      <c r="F77" s="529" t="s">
        <v>586</v>
      </c>
      <c r="G77" s="510" t="s">
        <v>670</v>
      </c>
      <c r="H77" s="529">
        <v>6</v>
      </c>
      <c r="I77" s="529">
        <v>0</v>
      </c>
      <c r="J77" s="529">
        <v>0</v>
      </c>
      <c r="K77" s="529">
        <v>0</v>
      </c>
      <c r="L77" s="529">
        <v>0</v>
      </c>
      <c r="M77" s="529">
        <v>0</v>
      </c>
      <c r="N77" s="529">
        <v>1</v>
      </c>
      <c r="O77" s="529">
        <v>6753.85</v>
      </c>
      <c r="P77" s="529">
        <v>6753.85</v>
      </c>
      <c r="Q77" s="529">
        <v>0</v>
      </c>
    </row>
    <row r="78" spans="1:17" ht="15.75" customHeight="1" x14ac:dyDescent="0.2">
      <c r="A78" s="529">
        <v>70</v>
      </c>
      <c r="B78" s="529" t="s">
        <v>36</v>
      </c>
      <c r="C78" s="516" t="s">
        <v>62</v>
      </c>
      <c r="D78" s="529" t="s">
        <v>63</v>
      </c>
      <c r="E78" s="529" t="s">
        <v>74</v>
      </c>
      <c r="F78" s="529" t="s">
        <v>465</v>
      </c>
      <c r="G78" s="510" t="s">
        <v>670</v>
      </c>
      <c r="H78" s="529">
        <v>8</v>
      </c>
      <c r="I78" s="529">
        <v>4</v>
      </c>
      <c r="J78" s="529">
        <v>4</v>
      </c>
      <c r="K78" s="529">
        <v>352.4</v>
      </c>
      <c r="L78" s="529">
        <v>352.4</v>
      </c>
      <c r="M78" s="529">
        <v>0</v>
      </c>
      <c r="N78" s="529">
        <v>7</v>
      </c>
      <c r="O78" s="529">
        <v>20309.48</v>
      </c>
      <c r="P78" s="529">
        <v>20309.48</v>
      </c>
      <c r="Q78" s="529">
        <v>0</v>
      </c>
    </row>
    <row r="79" spans="1:17" ht="15.75" customHeight="1" x14ac:dyDescent="0.2">
      <c r="A79" s="529">
        <v>71</v>
      </c>
      <c r="B79" s="529" t="s">
        <v>658</v>
      </c>
      <c r="C79" s="516" t="s">
        <v>62</v>
      </c>
      <c r="D79" s="529" t="s">
        <v>63</v>
      </c>
      <c r="E79" s="529" t="s">
        <v>223</v>
      </c>
      <c r="F79" s="529" t="s">
        <v>659</v>
      </c>
      <c r="G79" s="510" t="s">
        <v>670</v>
      </c>
      <c r="H79" s="529">
        <v>13</v>
      </c>
      <c r="I79" s="529">
        <v>0</v>
      </c>
      <c r="J79" s="529">
        <v>0</v>
      </c>
      <c r="K79" s="529">
        <v>0</v>
      </c>
      <c r="L79" s="529">
        <v>0</v>
      </c>
      <c r="M79" s="529">
        <v>0</v>
      </c>
      <c r="N79" s="529">
        <v>0</v>
      </c>
      <c r="O79" s="529">
        <v>0</v>
      </c>
      <c r="P79" s="529">
        <v>0</v>
      </c>
      <c r="Q79" s="529">
        <v>0</v>
      </c>
    </row>
    <row r="80" spans="1:17" ht="15.75" customHeight="1" x14ac:dyDescent="0.2">
      <c r="A80" s="529">
        <v>72</v>
      </c>
      <c r="B80" s="529" t="s">
        <v>37</v>
      </c>
      <c r="C80" s="516" t="s">
        <v>62</v>
      </c>
      <c r="D80" s="529" t="s">
        <v>63</v>
      </c>
      <c r="E80" s="529" t="s">
        <v>70</v>
      </c>
      <c r="F80" s="529" t="s">
        <v>234</v>
      </c>
      <c r="G80" s="510" t="s">
        <v>670</v>
      </c>
      <c r="H80" s="529">
        <v>17</v>
      </c>
      <c r="I80" s="529">
        <v>10</v>
      </c>
      <c r="J80" s="529">
        <v>11</v>
      </c>
      <c r="K80" s="529">
        <v>11914.75</v>
      </c>
      <c r="L80" s="529">
        <v>11914.75</v>
      </c>
      <c r="M80" s="529">
        <v>0</v>
      </c>
      <c r="N80" s="529">
        <v>3</v>
      </c>
      <c r="O80" s="529">
        <v>19390.900000000001</v>
      </c>
      <c r="P80" s="529">
        <v>19390.900000000001</v>
      </c>
      <c r="Q80" s="529">
        <v>0</v>
      </c>
    </row>
    <row r="81" spans="1:17" ht="15.75" customHeight="1" x14ac:dyDescent="0.2">
      <c r="A81" s="529">
        <v>73</v>
      </c>
      <c r="B81" s="529" t="s">
        <v>235</v>
      </c>
      <c r="C81" s="516" t="s">
        <v>62</v>
      </c>
      <c r="D81" s="529" t="s">
        <v>63</v>
      </c>
      <c r="E81" s="529" t="s">
        <v>236</v>
      </c>
      <c r="F81" s="529" t="s">
        <v>237</v>
      </c>
      <c r="G81" s="510" t="s">
        <v>670</v>
      </c>
      <c r="H81" s="529">
        <v>16</v>
      </c>
      <c r="I81" s="529">
        <v>13</v>
      </c>
      <c r="J81" s="529">
        <v>20</v>
      </c>
      <c r="K81" s="529">
        <v>23840.49</v>
      </c>
      <c r="L81" s="529">
        <v>23840.49</v>
      </c>
      <c r="M81" s="529">
        <v>0</v>
      </c>
      <c r="N81" s="529">
        <v>0</v>
      </c>
      <c r="O81" s="529">
        <v>0</v>
      </c>
      <c r="P81" s="529">
        <v>0</v>
      </c>
      <c r="Q81" s="529">
        <v>0</v>
      </c>
    </row>
    <row r="82" spans="1:17" ht="15.75" customHeight="1" x14ac:dyDescent="0.2">
      <c r="A82" s="529">
        <v>74</v>
      </c>
      <c r="B82" s="529" t="s">
        <v>238</v>
      </c>
      <c r="C82" s="516" t="s">
        <v>62</v>
      </c>
      <c r="D82" s="529" t="s">
        <v>63</v>
      </c>
      <c r="E82" s="529" t="s">
        <v>239</v>
      </c>
      <c r="F82" s="529" t="s">
        <v>240</v>
      </c>
      <c r="G82" s="510" t="s">
        <v>670</v>
      </c>
      <c r="H82" s="529">
        <v>16</v>
      </c>
      <c r="I82" s="529">
        <v>11</v>
      </c>
      <c r="J82" s="529">
        <v>13</v>
      </c>
      <c r="K82" s="529">
        <v>9410.77</v>
      </c>
      <c r="L82" s="529">
        <v>9410.77</v>
      </c>
      <c r="M82" s="529">
        <v>0</v>
      </c>
      <c r="N82" s="529">
        <v>0</v>
      </c>
      <c r="O82" s="529">
        <v>0</v>
      </c>
      <c r="P82" s="529">
        <v>0</v>
      </c>
      <c r="Q82" s="529">
        <v>0</v>
      </c>
    </row>
    <row r="83" spans="1:17" ht="15.75" customHeight="1" x14ac:dyDescent="0.2">
      <c r="A83" s="529">
        <v>75</v>
      </c>
      <c r="B83" s="529" t="s">
        <v>587</v>
      </c>
      <c r="C83" s="516" t="s">
        <v>62</v>
      </c>
      <c r="D83" s="529" t="s">
        <v>63</v>
      </c>
      <c r="E83" s="529" t="s">
        <v>63</v>
      </c>
      <c r="F83" s="529" t="s">
        <v>609</v>
      </c>
      <c r="G83" s="510" t="s">
        <v>670</v>
      </c>
      <c r="H83" s="529">
        <v>0</v>
      </c>
      <c r="I83" s="529">
        <v>0</v>
      </c>
      <c r="J83" s="529">
        <v>0</v>
      </c>
      <c r="K83" s="529">
        <v>0</v>
      </c>
      <c r="L83" s="529">
        <v>0</v>
      </c>
      <c r="M83" s="529">
        <v>0</v>
      </c>
      <c r="N83" s="529">
        <v>2</v>
      </c>
      <c r="O83" s="529">
        <v>3658.79</v>
      </c>
      <c r="P83" s="529">
        <v>3658.79</v>
      </c>
      <c r="Q83" s="529">
        <v>0</v>
      </c>
    </row>
    <row r="84" spans="1:17" ht="15.75" customHeight="1" x14ac:dyDescent="0.2">
      <c r="A84" s="529">
        <v>76</v>
      </c>
      <c r="B84" s="529" t="s">
        <v>241</v>
      </c>
      <c r="C84" s="516" t="s">
        <v>62</v>
      </c>
      <c r="D84" s="529" t="s">
        <v>63</v>
      </c>
      <c r="E84" s="529" t="s">
        <v>242</v>
      </c>
      <c r="F84" s="529" t="s">
        <v>243</v>
      </c>
      <c r="G84" s="510" t="s">
        <v>670</v>
      </c>
      <c r="H84" s="529">
        <v>9</v>
      </c>
      <c r="I84" s="529">
        <v>9</v>
      </c>
      <c r="J84" s="529">
        <v>14</v>
      </c>
      <c r="K84" s="529">
        <v>26884.58</v>
      </c>
      <c r="L84" s="529">
        <v>26884.58</v>
      </c>
      <c r="M84" s="529">
        <v>0</v>
      </c>
      <c r="N84" s="529">
        <v>0</v>
      </c>
      <c r="O84" s="529">
        <v>0</v>
      </c>
      <c r="P84" s="529">
        <v>0</v>
      </c>
      <c r="Q84" s="529">
        <v>0</v>
      </c>
    </row>
    <row r="85" spans="1:17" ht="15.75" customHeight="1" x14ac:dyDescent="0.2">
      <c r="A85" s="529">
        <v>77</v>
      </c>
      <c r="B85" s="529" t="s">
        <v>38</v>
      </c>
      <c r="C85" s="516" t="s">
        <v>62</v>
      </c>
      <c r="D85" s="529" t="s">
        <v>63</v>
      </c>
      <c r="E85" s="529" t="s">
        <v>244</v>
      </c>
      <c r="F85" s="529" t="s">
        <v>245</v>
      </c>
      <c r="G85" s="510" t="s">
        <v>670</v>
      </c>
      <c r="H85" s="529">
        <v>118</v>
      </c>
      <c r="I85" s="529">
        <v>103</v>
      </c>
      <c r="J85" s="529">
        <v>161</v>
      </c>
      <c r="K85" s="529">
        <v>177826.79</v>
      </c>
      <c r="L85" s="529">
        <v>177826.79</v>
      </c>
      <c r="M85" s="529">
        <v>0</v>
      </c>
      <c r="N85" s="529">
        <v>96</v>
      </c>
      <c r="O85" s="529">
        <v>272452.59000000003</v>
      </c>
      <c r="P85" s="529">
        <v>272452.59000000003</v>
      </c>
      <c r="Q85" s="529">
        <v>0</v>
      </c>
    </row>
    <row r="86" spans="1:17" ht="15.75" customHeight="1" x14ac:dyDescent="0.2">
      <c r="A86" s="529">
        <v>78</v>
      </c>
      <c r="B86" s="529" t="s">
        <v>246</v>
      </c>
      <c r="C86" s="516" t="s">
        <v>62</v>
      </c>
      <c r="D86" s="529" t="s">
        <v>63</v>
      </c>
      <c r="E86" s="529" t="s">
        <v>247</v>
      </c>
      <c r="F86" s="529" t="s">
        <v>248</v>
      </c>
      <c r="G86" s="510" t="s">
        <v>670</v>
      </c>
      <c r="H86" s="529">
        <v>53</v>
      </c>
      <c r="I86" s="529">
        <v>37</v>
      </c>
      <c r="J86" s="529">
        <v>46</v>
      </c>
      <c r="K86" s="529">
        <v>26416.06</v>
      </c>
      <c r="L86" s="529">
        <v>26416.06</v>
      </c>
      <c r="M86" s="529">
        <v>0</v>
      </c>
      <c r="N86" s="529">
        <v>0</v>
      </c>
      <c r="O86" s="529">
        <v>0</v>
      </c>
      <c r="P86" s="529">
        <v>0</v>
      </c>
      <c r="Q86" s="529">
        <v>0</v>
      </c>
    </row>
    <row r="87" spans="1:17" ht="15.75" customHeight="1" x14ac:dyDescent="0.2">
      <c r="A87" s="529">
        <v>79</v>
      </c>
      <c r="B87" s="529" t="s">
        <v>39</v>
      </c>
      <c r="C87" s="516" t="s">
        <v>62</v>
      </c>
      <c r="D87" s="529" t="s">
        <v>63</v>
      </c>
      <c r="E87" s="529" t="s">
        <v>77</v>
      </c>
      <c r="F87" s="529" t="s">
        <v>466</v>
      </c>
      <c r="G87" s="510" t="s">
        <v>670</v>
      </c>
      <c r="H87" s="529">
        <v>131</v>
      </c>
      <c r="I87" s="529">
        <v>109</v>
      </c>
      <c r="J87" s="529">
        <v>116</v>
      </c>
      <c r="K87" s="529">
        <v>62619.199999999997</v>
      </c>
      <c r="L87" s="529">
        <v>62619.199999999997</v>
      </c>
      <c r="M87" s="529">
        <v>0</v>
      </c>
      <c r="N87" s="529">
        <v>11</v>
      </c>
      <c r="O87" s="529">
        <v>18898.939999999999</v>
      </c>
      <c r="P87" s="529">
        <v>18898.939999999999</v>
      </c>
      <c r="Q87" s="529">
        <v>0</v>
      </c>
    </row>
    <row r="88" spans="1:17" ht="15.75" customHeight="1" x14ac:dyDescent="0.2">
      <c r="A88" s="529">
        <v>80</v>
      </c>
      <c r="B88" s="529" t="s">
        <v>40</v>
      </c>
      <c r="C88" s="516" t="s">
        <v>62</v>
      </c>
      <c r="D88" s="529" t="s">
        <v>63</v>
      </c>
      <c r="E88" s="529" t="s">
        <v>249</v>
      </c>
      <c r="F88" s="529" t="s">
        <v>250</v>
      </c>
      <c r="G88" s="510" t="s">
        <v>670</v>
      </c>
      <c r="H88" s="529">
        <v>34</v>
      </c>
      <c r="I88" s="529">
        <v>31</v>
      </c>
      <c r="J88" s="529">
        <v>51</v>
      </c>
      <c r="K88" s="529">
        <v>77676.240000000005</v>
      </c>
      <c r="L88" s="529">
        <v>77676.240000000005</v>
      </c>
      <c r="M88" s="529">
        <v>0</v>
      </c>
      <c r="N88" s="529">
        <v>19</v>
      </c>
      <c r="O88" s="529">
        <v>51901.91</v>
      </c>
      <c r="P88" s="529">
        <v>51901.91</v>
      </c>
      <c r="Q88" s="529">
        <v>0</v>
      </c>
    </row>
    <row r="89" spans="1:17" ht="15.75" customHeight="1" x14ac:dyDescent="0.2">
      <c r="A89" s="529">
        <v>81</v>
      </c>
      <c r="B89" s="529" t="s">
        <v>660</v>
      </c>
      <c r="C89" s="516" t="s">
        <v>67</v>
      </c>
      <c r="D89" s="529" t="s">
        <v>661</v>
      </c>
      <c r="E89" s="529" t="s">
        <v>313</v>
      </c>
      <c r="F89" s="529" t="s">
        <v>662</v>
      </c>
      <c r="G89" s="510" t="s">
        <v>670</v>
      </c>
      <c r="H89" s="529">
        <v>7</v>
      </c>
      <c r="I89" s="529">
        <v>4</v>
      </c>
      <c r="J89" s="529">
        <v>4</v>
      </c>
      <c r="K89" s="529">
        <v>0</v>
      </c>
      <c r="L89" s="529">
        <v>0</v>
      </c>
      <c r="M89" s="529">
        <v>0</v>
      </c>
      <c r="N89" s="529">
        <v>0</v>
      </c>
      <c r="O89" s="529">
        <v>0</v>
      </c>
      <c r="P89" s="529">
        <v>0</v>
      </c>
      <c r="Q89" s="529">
        <v>0</v>
      </c>
    </row>
    <row r="90" spans="1:17" ht="15.75" customHeight="1" x14ac:dyDescent="0.2">
      <c r="A90" s="529">
        <v>82</v>
      </c>
      <c r="B90" s="529" t="s">
        <v>251</v>
      </c>
      <c r="C90" s="516" t="s">
        <v>62</v>
      </c>
      <c r="D90" s="529"/>
      <c r="E90" s="529" t="s">
        <v>177</v>
      </c>
      <c r="F90" s="529" t="s">
        <v>252</v>
      </c>
      <c r="G90" s="510" t="s">
        <v>670</v>
      </c>
      <c r="H90" s="529">
        <v>68</v>
      </c>
      <c r="I90" s="529">
        <v>51</v>
      </c>
      <c r="J90" s="529">
        <v>76</v>
      </c>
      <c r="K90" s="529">
        <v>85263.69</v>
      </c>
      <c r="L90" s="529">
        <v>77010.77</v>
      </c>
      <c r="M90" s="529">
        <v>8252.92</v>
      </c>
      <c r="N90" s="529">
        <v>0</v>
      </c>
      <c r="O90" s="529">
        <v>0</v>
      </c>
      <c r="P90" s="529">
        <v>0</v>
      </c>
      <c r="Q90" s="529">
        <v>0</v>
      </c>
    </row>
    <row r="91" spans="1:17" ht="15.75" customHeight="1" x14ac:dyDescent="0.2">
      <c r="A91" s="529">
        <v>83</v>
      </c>
      <c r="B91" s="529" t="s">
        <v>117</v>
      </c>
      <c r="C91" s="516" t="s">
        <v>62</v>
      </c>
      <c r="D91" s="529" t="s">
        <v>63</v>
      </c>
      <c r="E91" s="529" t="s">
        <v>74</v>
      </c>
      <c r="F91" s="529" t="s">
        <v>520</v>
      </c>
      <c r="G91" s="510" t="s">
        <v>670</v>
      </c>
      <c r="H91" s="529">
        <v>7</v>
      </c>
      <c r="I91" s="529">
        <v>2</v>
      </c>
      <c r="J91" s="529">
        <v>2</v>
      </c>
      <c r="K91" s="529">
        <v>3618.99</v>
      </c>
      <c r="L91" s="529">
        <v>3618.99</v>
      </c>
      <c r="M91" s="529">
        <v>0</v>
      </c>
      <c r="N91" s="529">
        <v>3</v>
      </c>
      <c r="O91" s="529">
        <v>9677.56</v>
      </c>
      <c r="P91" s="529">
        <v>9677.56</v>
      </c>
      <c r="Q91" s="529">
        <v>0</v>
      </c>
    </row>
    <row r="92" spans="1:17" ht="15.75" customHeight="1" x14ac:dyDescent="0.2">
      <c r="A92" s="529">
        <v>84</v>
      </c>
      <c r="B92" s="529" t="s">
        <v>41</v>
      </c>
      <c r="C92" s="516" t="s">
        <v>64</v>
      </c>
      <c r="D92" s="529" t="s">
        <v>65</v>
      </c>
      <c r="E92" s="529" t="s">
        <v>72</v>
      </c>
      <c r="F92" s="529" t="s">
        <v>253</v>
      </c>
      <c r="G92" s="510" t="s">
        <v>670</v>
      </c>
      <c r="H92" s="529">
        <v>2</v>
      </c>
      <c r="I92" s="529">
        <v>2</v>
      </c>
      <c r="J92" s="529">
        <v>2</v>
      </c>
      <c r="K92" s="529">
        <v>1575.23</v>
      </c>
      <c r="L92" s="529">
        <v>1575.23</v>
      </c>
      <c r="M92" s="529">
        <v>0</v>
      </c>
      <c r="N92" s="529">
        <v>12</v>
      </c>
      <c r="O92" s="529">
        <v>33315.620000000003</v>
      </c>
      <c r="P92" s="529">
        <v>33315.620000000003</v>
      </c>
      <c r="Q92" s="529">
        <v>0</v>
      </c>
    </row>
    <row r="93" spans="1:17" ht="15.75" customHeight="1" x14ac:dyDescent="0.2">
      <c r="A93" s="529">
        <v>85</v>
      </c>
      <c r="B93" s="529" t="s">
        <v>118</v>
      </c>
      <c r="C93" s="516" t="s">
        <v>62</v>
      </c>
      <c r="D93" s="529" t="s">
        <v>63</v>
      </c>
      <c r="E93" s="529" t="s">
        <v>63</v>
      </c>
      <c r="F93" s="529" t="s">
        <v>467</v>
      </c>
      <c r="G93" s="510" t="s">
        <v>670</v>
      </c>
      <c r="H93" s="529">
        <v>7</v>
      </c>
      <c r="I93" s="529">
        <v>2</v>
      </c>
      <c r="J93" s="529">
        <v>2</v>
      </c>
      <c r="K93" s="529">
        <v>939.94</v>
      </c>
      <c r="L93" s="529">
        <v>939.94</v>
      </c>
      <c r="M93" s="529">
        <v>0</v>
      </c>
      <c r="N93" s="529">
        <v>2</v>
      </c>
      <c r="O93" s="529">
        <v>23833.22</v>
      </c>
      <c r="P93" s="529">
        <v>23833.22</v>
      </c>
      <c r="Q93" s="529">
        <v>0</v>
      </c>
    </row>
    <row r="94" spans="1:17" ht="15.75" customHeight="1" x14ac:dyDescent="0.2">
      <c r="A94" s="529">
        <v>86</v>
      </c>
      <c r="B94" s="529" t="s">
        <v>548</v>
      </c>
      <c r="C94" s="516" t="s">
        <v>62</v>
      </c>
      <c r="D94" s="529" t="s">
        <v>63</v>
      </c>
      <c r="E94" s="529" t="s">
        <v>549</v>
      </c>
      <c r="F94" s="529" t="s">
        <v>550</v>
      </c>
      <c r="G94" s="510" t="s">
        <v>670</v>
      </c>
      <c r="H94" s="529">
        <v>7</v>
      </c>
      <c r="I94" s="529">
        <v>4</v>
      </c>
      <c r="J94" s="529">
        <v>4</v>
      </c>
      <c r="K94" s="529">
        <v>0</v>
      </c>
      <c r="L94" s="529">
        <v>0</v>
      </c>
      <c r="M94" s="529">
        <v>0</v>
      </c>
      <c r="N94" s="529">
        <v>0</v>
      </c>
      <c r="O94" s="529">
        <v>0</v>
      </c>
      <c r="P94" s="529">
        <v>0</v>
      </c>
      <c r="Q94" s="529">
        <v>0</v>
      </c>
    </row>
    <row r="95" spans="1:17" ht="15.75" customHeight="1" x14ac:dyDescent="0.2">
      <c r="A95" s="529">
        <v>87</v>
      </c>
      <c r="B95" s="529" t="s">
        <v>254</v>
      </c>
      <c r="C95" s="516" t="s">
        <v>62</v>
      </c>
      <c r="D95" s="529" t="s">
        <v>63</v>
      </c>
      <c r="E95" s="529" t="s">
        <v>239</v>
      </c>
      <c r="F95" s="529" t="s">
        <v>255</v>
      </c>
      <c r="G95" s="510" t="s">
        <v>670</v>
      </c>
      <c r="H95" s="529">
        <v>11</v>
      </c>
      <c r="I95" s="529">
        <v>9</v>
      </c>
      <c r="J95" s="529">
        <v>12</v>
      </c>
      <c r="K95" s="529">
        <v>11766.59</v>
      </c>
      <c r="L95" s="529">
        <v>11766.59</v>
      </c>
      <c r="M95" s="529">
        <v>0</v>
      </c>
      <c r="N95" s="529">
        <v>0</v>
      </c>
      <c r="O95" s="529">
        <v>0</v>
      </c>
      <c r="P95" s="529">
        <v>0</v>
      </c>
      <c r="Q95" s="529">
        <v>0</v>
      </c>
    </row>
    <row r="96" spans="1:17" ht="15.75" customHeight="1" x14ac:dyDescent="0.2">
      <c r="A96" s="529">
        <v>88</v>
      </c>
      <c r="B96" s="529" t="s">
        <v>256</v>
      </c>
      <c r="C96" s="516" t="s">
        <v>62</v>
      </c>
      <c r="D96" s="529" t="s">
        <v>63</v>
      </c>
      <c r="E96" s="529" t="s">
        <v>158</v>
      </c>
      <c r="F96" s="529" t="s">
        <v>257</v>
      </c>
      <c r="G96" s="510" t="s">
        <v>670</v>
      </c>
      <c r="H96" s="529">
        <v>19</v>
      </c>
      <c r="I96" s="529">
        <v>10</v>
      </c>
      <c r="J96" s="529">
        <v>10</v>
      </c>
      <c r="K96" s="529">
        <v>7885.09</v>
      </c>
      <c r="L96" s="529">
        <v>7885.09</v>
      </c>
      <c r="M96" s="529">
        <v>0</v>
      </c>
      <c r="N96" s="529">
        <v>0</v>
      </c>
      <c r="O96" s="529">
        <v>0</v>
      </c>
      <c r="P96" s="529">
        <v>0</v>
      </c>
      <c r="Q96" s="529">
        <v>0</v>
      </c>
    </row>
    <row r="97" spans="1:17" ht="15.75" customHeight="1" x14ac:dyDescent="0.2">
      <c r="A97" s="529">
        <v>89</v>
      </c>
      <c r="B97" s="529" t="s">
        <v>643</v>
      </c>
      <c r="C97" s="516" t="s">
        <v>62</v>
      </c>
      <c r="D97" s="529" t="s">
        <v>63</v>
      </c>
      <c r="E97" s="529" t="s">
        <v>313</v>
      </c>
      <c r="F97" s="529" t="s">
        <v>663</v>
      </c>
      <c r="G97" s="510" t="s">
        <v>670</v>
      </c>
      <c r="H97" s="529">
        <v>11</v>
      </c>
      <c r="I97" s="529">
        <v>6</v>
      </c>
      <c r="J97" s="529">
        <v>7</v>
      </c>
      <c r="K97" s="529">
        <v>1723.18</v>
      </c>
      <c r="L97" s="529">
        <v>1723.18</v>
      </c>
      <c r="M97" s="529">
        <v>0</v>
      </c>
      <c r="N97" s="529">
        <v>0</v>
      </c>
      <c r="O97" s="529">
        <v>0</v>
      </c>
      <c r="P97" s="529">
        <v>0</v>
      </c>
      <c r="Q97" s="529">
        <v>0</v>
      </c>
    </row>
    <row r="98" spans="1:17" ht="15.75" customHeight="1" x14ac:dyDescent="0.2">
      <c r="A98" s="529">
        <v>90</v>
      </c>
      <c r="B98" s="529" t="s">
        <v>258</v>
      </c>
      <c r="C98" s="516" t="s">
        <v>62</v>
      </c>
      <c r="D98" s="529" t="s">
        <v>63</v>
      </c>
      <c r="E98" s="529" t="s">
        <v>239</v>
      </c>
      <c r="F98" s="529" t="s">
        <v>259</v>
      </c>
      <c r="G98" s="510" t="s">
        <v>670</v>
      </c>
      <c r="H98" s="529">
        <v>40</v>
      </c>
      <c r="I98" s="529">
        <v>30</v>
      </c>
      <c r="J98" s="529">
        <v>35</v>
      </c>
      <c r="K98" s="529">
        <v>42977.760000000002</v>
      </c>
      <c r="L98" s="529">
        <v>42977.760000000002</v>
      </c>
      <c r="M98" s="529">
        <v>0</v>
      </c>
      <c r="N98" s="529">
        <v>0</v>
      </c>
      <c r="O98" s="529">
        <v>0</v>
      </c>
      <c r="P98" s="529">
        <v>0</v>
      </c>
      <c r="Q98" s="529">
        <v>0</v>
      </c>
    </row>
    <row r="99" spans="1:17" ht="15.75" customHeight="1" x14ac:dyDescent="0.2">
      <c r="A99" s="529">
        <v>91</v>
      </c>
      <c r="B99" s="529" t="s">
        <v>42</v>
      </c>
      <c r="C99" s="516" t="s">
        <v>62</v>
      </c>
      <c r="D99" s="529" t="s">
        <v>63</v>
      </c>
      <c r="E99" s="529" t="s">
        <v>78</v>
      </c>
      <c r="F99" s="529" t="s">
        <v>260</v>
      </c>
      <c r="G99" s="510" t="s">
        <v>670</v>
      </c>
      <c r="H99" s="529">
        <v>53</v>
      </c>
      <c r="I99" s="529">
        <v>42</v>
      </c>
      <c r="J99" s="529">
        <v>52</v>
      </c>
      <c r="K99" s="529">
        <v>105749.62</v>
      </c>
      <c r="L99" s="529">
        <v>102029.77</v>
      </c>
      <c r="M99" s="529">
        <v>3719.85</v>
      </c>
      <c r="N99" s="529">
        <v>38</v>
      </c>
      <c r="O99" s="529">
        <v>157669.39000000001</v>
      </c>
      <c r="P99" s="529">
        <v>157669.39000000001</v>
      </c>
      <c r="Q99" s="529">
        <v>0</v>
      </c>
    </row>
    <row r="100" spans="1:17" ht="15.75" customHeight="1" x14ac:dyDescent="0.2">
      <c r="A100" s="529">
        <v>92</v>
      </c>
      <c r="B100" s="529" t="s">
        <v>43</v>
      </c>
      <c r="C100" s="516" t="s">
        <v>62</v>
      </c>
      <c r="D100" s="529" t="s">
        <v>63</v>
      </c>
      <c r="E100" s="529" t="s">
        <v>72</v>
      </c>
      <c r="F100" s="529" t="s">
        <v>261</v>
      </c>
      <c r="G100" s="510" t="s">
        <v>670</v>
      </c>
      <c r="H100" s="529">
        <v>32</v>
      </c>
      <c r="I100" s="529">
        <v>23</v>
      </c>
      <c r="J100" s="529">
        <v>30</v>
      </c>
      <c r="K100" s="529">
        <v>43931.31</v>
      </c>
      <c r="L100" s="529">
        <v>43931.31</v>
      </c>
      <c r="M100" s="529">
        <v>0</v>
      </c>
      <c r="N100" s="529">
        <v>53</v>
      </c>
      <c r="O100" s="529">
        <v>199828.54</v>
      </c>
      <c r="P100" s="529">
        <v>199828.54</v>
      </c>
      <c r="Q100" s="529">
        <v>0</v>
      </c>
    </row>
    <row r="101" spans="1:17" ht="15.75" customHeight="1" x14ac:dyDescent="0.2">
      <c r="A101" s="529">
        <v>93</v>
      </c>
      <c r="B101" s="529" t="s">
        <v>44</v>
      </c>
      <c r="C101" s="516" t="s">
        <v>62</v>
      </c>
      <c r="D101" s="529" t="s">
        <v>63</v>
      </c>
      <c r="E101" s="529" t="s">
        <v>74</v>
      </c>
      <c r="F101" s="529" t="s">
        <v>262</v>
      </c>
      <c r="G101" s="510" t="s">
        <v>670</v>
      </c>
      <c r="H101" s="529">
        <v>55</v>
      </c>
      <c r="I101" s="529">
        <v>39</v>
      </c>
      <c r="J101" s="529">
        <v>45</v>
      </c>
      <c r="K101" s="529">
        <v>33316.980000000003</v>
      </c>
      <c r="L101" s="529">
        <v>33316.980000000003</v>
      </c>
      <c r="M101" s="529">
        <v>0</v>
      </c>
      <c r="N101" s="529">
        <v>44</v>
      </c>
      <c r="O101" s="529">
        <v>148820.37</v>
      </c>
      <c r="P101" s="529">
        <v>148820.37</v>
      </c>
      <c r="Q101" s="529">
        <v>0</v>
      </c>
    </row>
    <row r="102" spans="1:17" ht="15.75" customHeight="1" x14ac:dyDescent="0.2">
      <c r="A102" s="529">
        <v>94</v>
      </c>
      <c r="B102" s="529" t="s">
        <v>45</v>
      </c>
      <c r="C102" s="516" t="s">
        <v>62</v>
      </c>
      <c r="D102" s="529" t="s">
        <v>63</v>
      </c>
      <c r="E102" s="529" t="s">
        <v>79</v>
      </c>
      <c r="F102" s="529" t="s">
        <v>263</v>
      </c>
      <c r="G102" s="510" t="s">
        <v>670</v>
      </c>
      <c r="H102" s="529">
        <v>16</v>
      </c>
      <c r="I102" s="529">
        <v>12</v>
      </c>
      <c r="J102" s="529">
        <v>19</v>
      </c>
      <c r="K102" s="529">
        <v>32539.22</v>
      </c>
      <c r="L102" s="529">
        <v>32539.22</v>
      </c>
      <c r="M102" s="529">
        <v>0</v>
      </c>
      <c r="N102" s="529">
        <v>6</v>
      </c>
      <c r="O102" s="529">
        <v>25980.78</v>
      </c>
      <c r="P102" s="529">
        <v>25980.78</v>
      </c>
      <c r="Q102" s="529">
        <v>0</v>
      </c>
    </row>
    <row r="103" spans="1:17" ht="15.75" customHeight="1" x14ac:dyDescent="0.2">
      <c r="A103" s="529">
        <v>95</v>
      </c>
      <c r="B103" s="529" t="s">
        <v>264</v>
      </c>
      <c r="C103" s="516" t="s">
        <v>62</v>
      </c>
      <c r="D103" s="529" t="s">
        <v>63</v>
      </c>
      <c r="E103" s="529" t="s">
        <v>74</v>
      </c>
      <c r="F103" s="529" t="s">
        <v>265</v>
      </c>
      <c r="G103" s="510" t="s">
        <v>670</v>
      </c>
      <c r="H103" s="529">
        <v>27</v>
      </c>
      <c r="I103" s="529">
        <v>21</v>
      </c>
      <c r="J103" s="529">
        <v>25</v>
      </c>
      <c r="K103" s="529">
        <v>18935.36</v>
      </c>
      <c r="L103" s="529">
        <v>18935.36</v>
      </c>
      <c r="M103" s="529">
        <v>0</v>
      </c>
      <c r="N103" s="529">
        <v>0</v>
      </c>
      <c r="O103" s="529">
        <v>0</v>
      </c>
      <c r="P103" s="529">
        <v>0</v>
      </c>
      <c r="Q103" s="529">
        <v>0</v>
      </c>
    </row>
    <row r="104" spans="1:17" ht="15.75" customHeight="1" x14ac:dyDescent="0.2">
      <c r="A104" s="529">
        <v>96</v>
      </c>
      <c r="B104" s="529" t="s">
        <v>119</v>
      </c>
      <c r="C104" s="516" t="s">
        <v>62</v>
      </c>
      <c r="D104" s="529" t="s">
        <v>63</v>
      </c>
      <c r="E104" s="529" t="s">
        <v>108</v>
      </c>
      <c r="F104" s="529" t="s">
        <v>266</v>
      </c>
      <c r="G104" s="510" t="s">
        <v>670</v>
      </c>
      <c r="H104" s="529">
        <v>22</v>
      </c>
      <c r="I104" s="529">
        <v>17</v>
      </c>
      <c r="J104" s="529">
        <v>20</v>
      </c>
      <c r="K104" s="529">
        <v>20121.990000000002</v>
      </c>
      <c r="L104" s="529">
        <v>20121.990000000002</v>
      </c>
      <c r="M104" s="529">
        <v>0</v>
      </c>
      <c r="N104" s="529">
        <v>6</v>
      </c>
      <c r="O104" s="529">
        <v>1881.62</v>
      </c>
      <c r="P104" s="529">
        <v>1881.62</v>
      </c>
      <c r="Q104" s="529">
        <v>0</v>
      </c>
    </row>
    <row r="105" spans="1:17" ht="15.75" customHeight="1" x14ac:dyDescent="0.2">
      <c r="A105" s="529">
        <v>97</v>
      </c>
      <c r="B105" s="529" t="s">
        <v>46</v>
      </c>
      <c r="C105" s="516" t="s">
        <v>62</v>
      </c>
      <c r="D105" s="529" t="s">
        <v>63</v>
      </c>
      <c r="E105" s="529" t="s">
        <v>267</v>
      </c>
      <c r="F105" s="529" t="s">
        <v>268</v>
      </c>
      <c r="G105" s="510" t="s">
        <v>670</v>
      </c>
      <c r="H105" s="529">
        <v>29</v>
      </c>
      <c r="I105" s="529">
        <v>21</v>
      </c>
      <c r="J105" s="529">
        <v>33</v>
      </c>
      <c r="K105" s="529">
        <v>60965.35</v>
      </c>
      <c r="L105" s="529">
        <v>60965.35</v>
      </c>
      <c r="M105" s="529">
        <v>0</v>
      </c>
      <c r="N105" s="529">
        <v>28</v>
      </c>
      <c r="O105" s="529">
        <v>125896.58</v>
      </c>
      <c r="P105" s="529">
        <v>125896.58</v>
      </c>
      <c r="Q105" s="529">
        <v>0</v>
      </c>
    </row>
    <row r="106" spans="1:17" ht="15.75" customHeight="1" x14ac:dyDescent="0.2">
      <c r="A106" s="529">
        <v>98</v>
      </c>
      <c r="B106" s="529" t="s">
        <v>47</v>
      </c>
      <c r="C106" s="516" t="s">
        <v>62</v>
      </c>
      <c r="D106" s="529" t="s">
        <v>63</v>
      </c>
      <c r="E106" s="529" t="s">
        <v>80</v>
      </c>
      <c r="F106" s="529" t="s">
        <v>269</v>
      </c>
      <c r="G106" s="510" t="s">
        <v>670</v>
      </c>
      <c r="H106" s="529">
        <v>99</v>
      </c>
      <c r="I106" s="529">
        <v>81</v>
      </c>
      <c r="J106" s="529">
        <v>127</v>
      </c>
      <c r="K106" s="529">
        <v>235508.95</v>
      </c>
      <c r="L106" s="529">
        <v>201196.12</v>
      </c>
      <c r="M106" s="529">
        <v>34312.83</v>
      </c>
      <c r="N106" s="529">
        <v>128</v>
      </c>
      <c r="O106" s="529">
        <v>480608.94</v>
      </c>
      <c r="P106" s="529">
        <v>377678.74</v>
      </c>
      <c r="Q106" s="529">
        <v>102930.2</v>
      </c>
    </row>
    <row r="107" spans="1:17" ht="15.75" customHeight="1" x14ac:dyDescent="0.2">
      <c r="A107" s="529">
        <v>99</v>
      </c>
      <c r="B107" s="529" t="s">
        <v>270</v>
      </c>
      <c r="C107" s="516" t="s">
        <v>62</v>
      </c>
      <c r="D107" s="529" t="s">
        <v>63</v>
      </c>
      <c r="E107" s="529" t="s">
        <v>271</v>
      </c>
      <c r="F107" s="529" t="s">
        <v>272</v>
      </c>
      <c r="G107" s="510" t="s">
        <v>670</v>
      </c>
      <c r="H107" s="529">
        <v>18</v>
      </c>
      <c r="I107" s="529">
        <v>11</v>
      </c>
      <c r="J107" s="529">
        <v>17</v>
      </c>
      <c r="K107" s="529">
        <v>23603.22</v>
      </c>
      <c r="L107" s="529">
        <v>23603.22</v>
      </c>
      <c r="M107" s="529">
        <v>0</v>
      </c>
      <c r="N107" s="529">
        <v>0</v>
      </c>
      <c r="O107" s="529">
        <v>0</v>
      </c>
      <c r="P107" s="529">
        <v>0</v>
      </c>
      <c r="Q107" s="529">
        <v>0</v>
      </c>
    </row>
    <row r="108" spans="1:17" ht="15.75" customHeight="1" x14ac:dyDescent="0.2">
      <c r="A108" s="529">
        <v>100</v>
      </c>
      <c r="B108" s="529" t="s">
        <v>621</v>
      </c>
      <c r="C108" s="516" t="s">
        <v>62</v>
      </c>
      <c r="D108" s="529" t="s">
        <v>63</v>
      </c>
      <c r="E108" s="529" t="s">
        <v>239</v>
      </c>
      <c r="F108" s="529" t="s">
        <v>664</v>
      </c>
      <c r="G108" s="510" t="s">
        <v>670</v>
      </c>
      <c r="H108" s="529">
        <v>16</v>
      </c>
      <c r="I108" s="529">
        <v>11</v>
      </c>
      <c r="J108" s="529">
        <v>11</v>
      </c>
      <c r="K108" s="529">
        <v>0</v>
      </c>
      <c r="L108" s="529">
        <v>0</v>
      </c>
      <c r="M108" s="529">
        <v>0</v>
      </c>
      <c r="N108" s="529">
        <v>0</v>
      </c>
      <c r="O108" s="529">
        <v>0</v>
      </c>
      <c r="P108" s="529">
        <v>0</v>
      </c>
      <c r="Q108" s="529">
        <v>0</v>
      </c>
    </row>
    <row r="109" spans="1:17" ht="15.75" customHeight="1" x14ac:dyDescent="0.2">
      <c r="A109" s="529">
        <v>101</v>
      </c>
      <c r="B109" s="529" t="s">
        <v>723</v>
      </c>
      <c r="C109" s="516" t="s">
        <v>62</v>
      </c>
      <c r="D109" s="529" t="s">
        <v>63</v>
      </c>
      <c r="E109" s="529" t="s">
        <v>242</v>
      </c>
      <c r="F109" s="529" t="s">
        <v>775</v>
      </c>
      <c r="G109" s="510" t="s">
        <v>670</v>
      </c>
      <c r="H109" s="529">
        <v>4</v>
      </c>
      <c r="I109" s="529">
        <v>0</v>
      </c>
      <c r="J109" s="529">
        <v>0</v>
      </c>
      <c r="K109" s="529">
        <v>0</v>
      </c>
      <c r="L109" s="529">
        <v>0</v>
      </c>
      <c r="M109" s="529">
        <v>0</v>
      </c>
      <c r="N109" s="529">
        <v>0</v>
      </c>
      <c r="O109" s="529">
        <v>0</v>
      </c>
      <c r="P109" s="529">
        <v>0</v>
      </c>
      <c r="Q109" s="529">
        <v>0</v>
      </c>
    </row>
    <row r="110" spans="1:17" ht="15.75" customHeight="1" x14ac:dyDescent="0.2">
      <c r="A110" s="529">
        <v>102</v>
      </c>
      <c r="B110" s="529" t="s">
        <v>273</v>
      </c>
      <c r="C110" s="516" t="s">
        <v>62</v>
      </c>
      <c r="D110" s="529" t="s">
        <v>63</v>
      </c>
      <c r="E110" s="529" t="s">
        <v>186</v>
      </c>
      <c r="F110" s="529" t="s">
        <v>511</v>
      </c>
      <c r="G110" s="510" t="s">
        <v>670</v>
      </c>
      <c r="H110" s="529">
        <v>11</v>
      </c>
      <c r="I110" s="529">
        <v>0</v>
      </c>
      <c r="J110" s="529">
        <v>0</v>
      </c>
      <c r="K110" s="529">
        <v>0</v>
      </c>
      <c r="L110" s="529">
        <v>0</v>
      </c>
      <c r="M110" s="529">
        <v>0</v>
      </c>
      <c r="N110" s="529">
        <v>0</v>
      </c>
      <c r="O110" s="529">
        <v>0</v>
      </c>
      <c r="P110" s="529">
        <v>0</v>
      </c>
      <c r="Q110" s="529">
        <v>0</v>
      </c>
    </row>
    <row r="111" spans="1:17" ht="15.75" customHeight="1" x14ac:dyDescent="0.2">
      <c r="A111" s="529">
        <v>103</v>
      </c>
      <c r="B111" s="529" t="s">
        <v>490</v>
      </c>
      <c r="C111" s="516" t="s">
        <v>62</v>
      </c>
      <c r="D111" s="529" t="s">
        <v>63</v>
      </c>
      <c r="E111" s="529" t="s">
        <v>491</v>
      </c>
      <c r="F111" s="529" t="s">
        <v>492</v>
      </c>
      <c r="G111" s="510" t="s">
        <v>670</v>
      </c>
      <c r="H111" s="529">
        <v>18</v>
      </c>
      <c r="I111" s="529">
        <v>10</v>
      </c>
      <c r="J111" s="529">
        <v>12</v>
      </c>
      <c r="K111" s="529">
        <v>10195.18</v>
      </c>
      <c r="L111" s="529">
        <v>10195.18</v>
      </c>
      <c r="M111" s="529">
        <v>0</v>
      </c>
      <c r="N111" s="529">
        <v>0</v>
      </c>
      <c r="O111" s="529">
        <v>0</v>
      </c>
      <c r="P111" s="529">
        <v>0</v>
      </c>
      <c r="Q111" s="529">
        <v>0</v>
      </c>
    </row>
    <row r="112" spans="1:17" ht="15.75" customHeight="1" x14ac:dyDescent="0.2">
      <c r="A112" s="529">
        <v>104</v>
      </c>
      <c r="B112" s="529" t="s">
        <v>94</v>
      </c>
      <c r="C112" s="516" t="s">
        <v>62</v>
      </c>
      <c r="D112" s="529" t="s">
        <v>63</v>
      </c>
      <c r="E112" s="529" t="s">
        <v>74</v>
      </c>
      <c r="F112" s="529" t="s">
        <v>274</v>
      </c>
      <c r="G112" s="510" t="s">
        <v>670</v>
      </c>
      <c r="H112" s="529">
        <v>22</v>
      </c>
      <c r="I112" s="529">
        <v>7</v>
      </c>
      <c r="J112" s="529">
        <v>7</v>
      </c>
      <c r="K112" s="529">
        <v>9135.6200000000008</v>
      </c>
      <c r="L112" s="529">
        <v>9135.6200000000008</v>
      </c>
      <c r="M112" s="529">
        <v>0</v>
      </c>
      <c r="N112" s="529">
        <v>7</v>
      </c>
      <c r="O112" s="529">
        <v>9361.67</v>
      </c>
      <c r="P112" s="529">
        <v>9361.67</v>
      </c>
      <c r="Q112" s="529">
        <v>0</v>
      </c>
    </row>
    <row r="113" spans="1:17" ht="15.75" customHeight="1" x14ac:dyDescent="0.2">
      <c r="A113" s="529">
        <v>105</v>
      </c>
      <c r="B113" s="529" t="s">
        <v>120</v>
      </c>
      <c r="C113" s="516" t="s">
        <v>67</v>
      </c>
      <c r="D113" s="529" t="s">
        <v>493</v>
      </c>
      <c r="E113" s="529" t="s">
        <v>121</v>
      </c>
      <c r="F113" s="529" t="s">
        <v>468</v>
      </c>
      <c r="G113" s="510" t="s">
        <v>670</v>
      </c>
      <c r="H113" s="529">
        <v>16</v>
      </c>
      <c r="I113" s="529">
        <v>12</v>
      </c>
      <c r="J113" s="529">
        <v>14</v>
      </c>
      <c r="K113" s="529">
        <v>11996.24</v>
      </c>
      <c r="L113" s="529">
        <v>11996.24</v>
      </c>
      <c r="M113" s="529">
        <v>0</v>
      </c>
      <c r="N113" s="529">
        <v>0</v>
      </c>
      <c r="O113" s="529">
        <v>0</v>
      </c>
      <c r="P113" s="529">
        <v>0</v>
      </c>
      <c r="Q113" s="529">
        <v>0</v>
      </c>
    </row>
    <row r="114" spans="1:17" ht="15.75" customHeight="1" x14ac:dyDescent="0.2">
      <c r="A114" s="529">
        <v>106</v>
      </c>
      <c r="B114" s="529" t="s">
        <v>407</v>
      </c>
      <c r="C114" s="516" t="s">
        <v>62</v>
      </c>
      <c r="D114" s="529"/>
      <c r="E114" s="529" t="s">
        <v>186</v>
      </c>
      <c r="F114" s="529" t="s">
        <v>512</v>
      </c>
      <c r="G114" s="510" t="s">
        <v>670</v>
      </c>
      <c r="H114" s="529">
        <v>10</v>
      </c>
      <c r="I114" s="529">
        <v>5</v>
      </c>
      <c r="J114" s="529">
        <v>6</v>
      </c>
      <c r="K114" s="529">
        <v>4577.1000000000004</v>
      </c>
      <c r="L114" s="529">
        <v>4577.1000000000004</v>
      </c>
      <c r="M114" s="529">
        <v>0</v>
      </c>
      <c r="N114" s="529">
        <v>0</v>
      </c>
      <c r="O114" s="529">
        <v>0</v>
      </c>
      <c r="P114" s="529">
        <v>0</v>
      </c>
      <c r="Q114" s="529">
        <v>0</v>
      </c>
    </row>
    <row r="115" spans="1:17" ht="15.75" customHeight="1" x14ac:dyDescent="0.2">
      <c r="A115" s="529">
        <v>107</v>
      </c>
      <c r="B115" s="529" t="s">
        <v>754</v>
      </c>
      <c r="C115" s="516" t="s">
        <v>62</v>
      </c>
      <c r="D115" s="529" t="s">
        <v>63</v>
      </c>
      <c r="E115" s="529" t="s">
        <v>121</v>
      </c>
      <c r="F115" s="529" t="s">
        <v>755</v>
      </c>
      <c r="G115" s="510" t="s">
        <v>670</v>
      </c>
      <c r="H115" s="529">
        <v>2</v>
      </c>
      <c r="I115" s="529">
        <v>0</v>
      </c>
      <c r="J115" s="529">
        <v>0</v>
      </c>
      <c r="K115" s="529">
        <v>0</v>
      </c>
      <c r="L115" s="529">
        <v>0</v>
      </c>
      <c r="M115" s="529">
        <v>0</v>
      </c>
      <c r="N115" s="529">
        <v>0</v>
      </c>
      <c r="O115" s="529">
        <v>0</v>
      </c>
      <c r="P115" s="529">
        <v>0</v>
      </c>
      <c r="Q115" s="529">
        <v>0</v>
      </c>
    </row>
    <row r="116" spans="1:17" ht="15.75" customHeight="1" x14ac:dyDescent="0.2">
      <c r="A116" s="529">
        <v>108</v>
      </c>
      <c r="B116" s="529" t="s">
        <v>122</v>
      </c>
      <c r="C116" s="516" t="s">
        <v>62</v>
      </c>
      <c r="D116" s="529" t="s">
        <v>63</v>
      </c>
      <c r="E116" s="529" t="s">
        <v>275</v>
      </c>
      <c r="F116" s="529" t="s">
        <v>276</v>
      </c>
      <c r="G116" s="510" t="s">
        <v>670</v>
      </c>
      <c r="H116" s="529">
        <v>15</v>
      </c>
      <c r="I116" s="529">
        <v>15</v>
      </c>
      <c r="J116" s="529">
        <v>23</v>
      </c>
      <c r="K116" s="529">
        <v>18022.7</v>
      </c>
      <c r="L116" s="529">
        <v>18022.7</v>
      </c>
      <c r="M116" s="529">
        <v>0</v>
      </c>
      <c r="N116" s="529">
        <v>5</v>
      </c>
      <c r="O116" s="529">
        <v>9159.1299999999992</v>
      </c>
      <c r="P116" s="529">
        <v>9159.1299999999992</v>
      </c>
      <c r="Q116" s="529">
        <v>0</v>
      </c>
    </row>
    <row r="117" spans="1:17" ht="15.75" customHeight="1" x14ac:dyDescent="0.2">
      <c r="A117" s="529">
        <v>109</v>
      </c>
      <c r="B117" s="529" t="s">
        <v>133</v>
      </c>
      <c r="C117" s="516" t="s">
        <v>67</v>
      </c>
      <c r="D117" s="529" t="s">
        <v>494</v>
      </c>
      <c r="E117" s="529" t="s">
        <v>74</v>
      </c>
      <c r="F117" s="529" t="s">
        <v>577</v>
      </c>
      <c r="G117" s="510" t="s">
        <v>670</v>
      </c>
      <c r="H117" s="529">
        <v>14</v>
      </c>
      <c r="I117" s="529">
        <v>10</v>
      </c>
      <c r="J117" s="529">
        <v>14</v>
      </c>
      <c r="K117" s="529">
        <v>24017.200000000001</v>
      </c>
      <c r="L117" s="529">
        <v>24017.200000000001</v>
      </c>
      <c r="M117" s="529">
        <v>0</v>
      </c>
      <c r="N117" s="529">
        <v>0</v>
      </c>
      <c r="O117" s="529">
        <v>0</v>
      </c>
      <c r="P117" s="529">
        <v>0</v>
      </c>
      <c r="Q117" s="529">
        <v>0</v>
      </c>
    </row>
    <row r="118" spans="1:17" ht="15.75" customHeight="1" x14ac:dyDescent="0.2">
      <c r="A118" s="529">
        <v>110</v>
      </c>
      <c r="B118" s="529" t="s">
        <v>96</v>
      </c>
      <c r="C118" s="516" t="s">
        <v>62</v>
      </c>
      <c r="D118" s="529" t="s">
        <v>63</v>
      </c>
      <c r="E118" s="529" t="s">
        <v>98</v>
      </c>
      <c r="F118" s="529" t="s">
        <v>277</v>
      </c>
      <c r="G118" s="510" t="s">
        <v>670</v>
      </c>
      <c r="H118" s="529">
        <v>42</v>
      </c>
      <c r="I118" s="529">
        <v>10</v>
      </c>
      <c r="J118" s="529">
        <v>12</v>
      </c>
      <c r="K118" s="529">
        <v>22080.639999999999</v>
      </c>
      <c r="L118" s="529">
        <v>22080.639999999999</v>
      </c>
      <c r="M118" s="529">
        <v>0</v>
      </c>
      <c r="N118" s="529">
        <v>11</v>
      </c>
      <c r="O118" s="529">
        <v>47171.47</v>
      </c>
      <c r="P118" s="529">
        <v>47171.47</v>
      </c>
      <c r="Q118" s="529">
        <v>0</v>
      </c>
    </row>
    <row r="119" spans="1:17" ht="15.75" customHeight="1" x14ac:dyDescent="0.2">
      <c r="A119" s="529">
        <v>111</v>
      </c>
      <c r="B119" s="529" t="s">
        <v>48</v>
      </c>
      <c r="C119" s="516" t="s">
        <v>62</v>
      </c>
      <c r="D119" s="529" t="s">
        <v>63</v>
      </c>
      <c r="E119" s="529" t="s">
        <v>81</v>
      </c>
      <c r="F119" s="529" t="s">
        <v>278</v>
      </c>
      <c r="G119" s="510" t="s">
        <v>670</v>
      </c>
      <c r="H119" s="529">
        <v>61</v>
      </c>
      <c r="I119" s="529">
        <v>47</v>
      </c>
      <c r="J119" s="529">
        <v>74</v>
      </c>
      <c r="K119" s="529">
        <v>87897.82</v>
      </c>
      <c r="L119" s="529">
        <v>87897.82</v>
      </c>
      <c r="M119" s="529">
        <v>0</v>
      </c>
      <c r="N119" s="529">
        <v>21</v>
      </c>
      <c r="O119" s="529">
        <v>79680.25</v>
      </c>
      <c r="P119" s="529">
        <v>79680.25</v>
      </c>
      <c r="Q119" s="529">
        <v>0</v>
      </c>
    </row>
    <row r="120" spans="1:17" ht="15.75" customHeight="1" x14ac:dyDescent="0.2">
      <c r="A120" s="529">
        <v>112</v>
      </c>
      <c r="B120" s="529" t="s">
        <v>49</v>
      </c>
      <c r="C120" s="516" t="s">
        <v>62</v>
      </c>
      <c r="D120" s="529" t="s">
        <v>63</v>
      </c>
      <c r="E120" s="529" t="s">
        <v>74</v>
      </c>
      <c r="F120" s="529" t="s">
        <v>279</v>
      </c>
      <c r="G120" s="510" t="s">
        <v>670</v>
      </c>
      <c r="H120" s="529">
        <v>29</v>
      </c>
      <c r="I120" s="529">
        <v>23</v>
      </c>
      <c r="J120" s="529">
        <v>28</v>
      </c>
      <c r="K120" s="529">
        <v>44048.7</v>
      </c>
      <c r="L120" s="529">
        <v>44048.7</v>
      </c>
      <c r="M120" s="529">
        <v>0</v>
      </c>
      <c r="N120" s="529">
        <v>7</v>
      </c>
      <c r="O120" s="529">
        <v>40198.959999999999</v>
      </c>
      <c r="P120" s="529">
        <v>40198.959999999999</v>
      </c>
      <c r="Q120" s="529">
        <v>0</v>
      </c>
    </row>
    <row r="121" spans="1:17" ht="15.75" customHeight="1" x14ac:dyDescent="0.2">
      <c r="A121" s="529">
        <v>113</v>
      </c>
      <c r="B121" s="529" t="s">
        <v>50</v>
      </c>
      <c r="C121" s="516" t="s">
        <v>67</v>
      </c>
      <c r="D121" s="529" t="s">
        <v>123</v>
      </c>
      <c r="E121" s="529" t="s">
        <v>82</v>
      </c>
      <c r="F121" s="529" t="s">
        <v>280</v>
      </c>
      <c r="G121" s="510" t="s">
        <v>670</v>
      </c>
      <c r="H121" s="529">
        <v>8</v>
      </c>
      <c r="I121" s="529">
        <v>4</v>
      </c>
      <c r="J121" s="529">
        <v>4</v>
      </c>
      <c r="K121" s="529">
        <v>12811.52</v>
      </c>
      <c r="L121" s="529">
        <v>12811.52</v>
      </c>
      <c r="M121" s="529">
        <v>0</v>
      </c>
      <c r="N121" s="529">
        <v>5</v>
      </c>
      <c r="O121" s="529">
        <v>21689.57</v>
      </c>
      <c r="P121" s="529">
        <v>21689.57</v>
      </c>
      <c r="Q121" s="529">
        <v>0</v>
      </c>
    </row>
    <row r="122" spans="1:17" ht="15.75" customHeight="1" x14ac:dyDescent="0.2">
      <c r="A122" s="529">
        <v>114</v>
      </c>
      <c r="B122" s="529" t="s">
        <v>281</v>
      </c>
      <c r="C122" s="516" t="s">
        <v>62</v>
      </c>
      <c r="D122" s="529"/>
      <c r="E122" s="529" t="s">
        <v>282</v>
      </c>
      <c r="F122" s="529" t="s">
        <v>283</v>
      </c>
      <c r="G122" s="510" t="s">
        <v>670</v>
      </c>
      <c r="H122" s="529">
        <v>28</v>
      </c>
      <c r="I122" s="529">
        <v>5</v>
      </c>
      <c r="J122" s="529">
        <v>5</v>
      </c>
      <c r="K122" s="529">
        <v>2685.29</v>
      </c>
      <c r="L122" s="529">
        <v>2685.29</v>
      </c>
      <c r="M122" s="529">
        <v>0</v>
      </c>
      <c r="N122" s="529">
        <v>0</v>
      </c>
      <c r="O122" s="529">
        <v>0</v>
      </c>
      <c r="P122" s="529">
        <v>0</v>
      </c>
      <c r="Q122" s="529">
        <v>0</v>
      </c>
    </row>
    <row r="123" spans="1:17" ht="15.75" customHeight="1" x14ac:dyDescent="0.2">
      <c r="A123" s="529">
        <v>115</v>
      </c>
      <c r="B123" s="529" t="s">
        <v>124</v>
      </c>
      <c r="C123" s="516" t="s">
        <v>62</v>
      </c>
      <c r="D123" s="529" t="s">
        <v>63</v>
      </c>
      <c r="E123" s="529" t="s">
        <v>63</v>
      </c>
      <c r="F123" s="529" t="s">
        <v>284</v>
      </c>
      <c r="G123" s="510" t="s">
        <v>670</v>
      </c>
      <c r="H123" s="529">
        <v>38</v>
      </c>
      <c r="I123" s="529">
        <v>34</v>
      </c>
      <c r="J123" s="529">
        <v>47</v>
      </c>
      <c r="K123" s="529">
        <v>58265.41</v>
      </c>
      <c r="L123" s="529">
        <v>58265.41</v>
      </c>
      <c r="M123" s="529">
        <v>0</v>
      </c>
      <c r="N123" s="529">
        <v>17</v>
      </c>
      <c r="O123" s="529">
        <v>21019.74</v>
      </c>
      <c r="P123" s="529">
        <v>21019.74</v>
      </c>
      <c r="Q123" s="529">
        <v>0</v>
      </c>
    </row>
    <row r="124" spans="1:17" ht="15.75" customHeight="1" x14ac:dyDescent="0.2">
      <c r="A124" s="529">
        <v>116</v>
      </c>
      <c r="B124" s="529" t="s">
        <v>51</v>
      </c>
      <c r="C124" s="516" t="s">
        <v>62</v>
      </c>
      <c r="D124" s="529" t="s">
        <v>63</v>
      </c>
      <c r="E124" s="529" t="s">
        <v>74</v>
      </c>
      <c r="F124" s="529" t="s">
        <v>285</v>
      </c>
      <c r="G124" s="510" t="s">
        <v>670</v>
      </c>
      <c r="H124" s="529">
        <v>23</v>
      </c>
      <c r="I124" s="529">
        <v>15</v>
      </c>
      <c r="J124" s="529">
        <v>15</v>
      </c>
      <c r="K124" s="529">
        <v>5873.82</v>
      </c>
      <c r="L124" s="529">
        <v>5873.82</v>
      </c>
      <c r="M124" s="529">
        <v>0</v>
      </c>
      <c r="N124" s="529">
        <v>10</v>
      </c>
      <c r="O124" s="529">
        <v>1797.24</v>
      </c>
      <c r="P124" s="529">
        <v>1797.24</v>
      </c>
      <c r="Q124" s="529">
        <v>0</v>
      </c>
    </row>
    <row r="125" spans="1:17" ht="15.75" customHeight="1" x14ac:dyDescent="0.2">
      <c r="A125" s="529">
        <v>117</v>
      </c>
      <c r="B125" s="529" t="s">
        <v>756</v>
      </c>
      <c r="C125" s="516" t="s">
        <v>62</v>
      </c>
      <c r="D125" s="529" t="s">
        <v>63</v>
      </c>
      <c r="E125" s="529" t="s">
        <v>74</v>
      </c>
      <c r="F125" s="529" t="s">
        <v>666</v>
      </c>
      <c r="G125" s="510" t="s">
        <v>670</v>
      </c>
      <c r="H125" s="529">
        <v>0</v>
      </c>
      <c r="I125" s="529">
        <v>0</v>
      </c>
      <c r="J125" s="529">
        <v>0</v>
      </c>
      <c r="K125" s="529">
        <v>0</v>
      </c>
      <c r="L125" s="529">
        <v>0</v>
      </c>
      <c r="M125" s="529">
        <v>0</v>
      </c>
      <c r="N125" s="529">
        <v>1</v>
      </c>
      <c r="O125" s="529">
        <v>1516.12</v>
      </c>
      <c r="P125" s="529">
        <v>1516.12</v>
      </c>
      <c r="Q125" s="529">
        <v>0</v>
      </c>
    </row>
    <row r="126" spans="1:17" ht="15.75" customHeight="1" x14ac:dyDescent="0.2">
      <c r="A126" s="529">
        <v>118</v>
      </c>
      <c r="B126" s="529" t="s">
        <v>286</v>
      </c>
      <c r="C126" s="516" t="s">
        <v>62</v>
      </c>
      <c r="D126" s="529" t="s">
        <v>63</v>
      </c>
      <c r="E126" s="529" t="s">
        <v>174</v>
      </c>
      <c r="F126" s="529" t="s">
        <v>287</v>
      </c>
      <c r="G126" s="510" t="s">
        <v>670</v>
      </c>
      <c r="H126" s="529">
        <v>21</v>
      </c>
      <c r="I126" s="529">
        <v>17</v>
      </c>
      <c r="J126" s="529">
        <v>21</v>
      </c>
      <c r="K126" s="529">
        <v>16457.87</v>
      </c>
      <c r="L126" s="529">
        <v>16457.87</v>
      </c>
      <c r="M126" s="529">
        <v>0</v>
      </c>
      <c r="N126" s="529">
        <v>0</v>
      </c>
      <c r="O126" s="529">
        <v>0</v>
      </c>
      <c r="P126" s="529">
        <v>0</v>
      </c>
      <c r="Q126" s="529">
        <v>0</v>
      </c>
    </row>
    <row r="127" spans="1:17" ht="15.75" customHeight="1" x14ac:dyDescent="0.2">
      <c r="A127" s="529">
        <v>119</v>
      </c>
      <c r="B127" s="529" t="s">
        <v>469</v>
      </c>
      <c r="C127" s="516" t="s">
        <v>62</v>
      </c>
      <c r="D127" s="529" t="s">
        <v>63</v>
      </c>
      <c r="E127" s="529" t="s">
        <v>74</v>
      </c>
      <c r="F127" s="529" t="s">
        <v>470</v>
      </c>
      <c r="G127" s="510" t="s">
        <v>670</v>
      </c>
      <c r="H127" s="529">
        <v>2</v>
      </c>
      <c r="I127" s="529">
        <v>0</v>
      </c>
      <c r="J127" s="529">
        <v>0</v>
      </c>
      <c r="K127" s="529">
        <v>0</v>
      </c>
      <c r="L127" s="529">
        <v>0</v>
      </c>
      <c r="M127" s="529">
        <v>0</v>
      </c>
      <c r="N127" s="529">
        <v>0</v>
      </c>
      <c r="O127" s="529">
        <v>0</v>
      </c>
      <c r="P127" s="529">
        <v>0</v>
      </c>
      <c r="Q127" s="529">
        <v>0</v>
      </c>
    </row>
    <row r="128" spans="1:17" ht="15.75" customHeight="1" x14ac:dyDescent="0.2">
      <c r="A128" s="529">
        <v>120</v>
      </c>
      <c r="B128" s="529" t="s">
        <v>151</v>
      </c>
      <c r="C128" s="516" t="s">
        <v>62</v>
      </c>
      <c r="D128" s="529" t="s">
        <v>63</v>
      </c>
      <c r="E128" s="529" t="s">
        <v>74</v>
      </c>
      <c r="F128" s="529" t="s">
        <v>288</v>
      </c>
      <c r="G128" s="510" t="s">
        <v>670</v>
      </c>
      <c r="H128" s="529">
        <v>10</v>
      </c>
      <c r="I128" s="529">
        <v>8</v>
      </c>
      <c r="J128" s="529">
        <v>10</v>
      </c>
      <c r="K128" s="529">
        <v>15560.06</v>
      </c>
      <c r="L128" s="529">
        <v>15560.06</v>
      </c>
      <c r="M128" s="529">
        <v>0</v>
      </c>
      <c r="N128" s="529">
        <v>7</v>
      </c>
      <c r="O128" s="529">
        <v>14253.5</v>
      </c>
      <c r="P128" s="529">
        <v>14253.5</v>
      </c>
      <c r="Q128" s="529">
        <v>0</v>
      </c>
    </row>
    <row r="129" spans="1:17" ht="15.75" customHeight="1" x14ac:dyDescent="0.2">
      <c r="A129" s="529">
        <v>121</v>
      </c>
      <c r="B129" s="529" t="s">
        <v>155</v>
      </c>
      <c r="C129" s="516" t="s">
        <v>62</v>
      </c>
      <c r="D129" s="529" t="s">
        <v>63</v>
      </c>
      <c r="E129" s="529" t="s">
        <v>74</v>
      </c>
      <c r="F129" s="529" t="s">
        <v>289</v>
      </c>
      <c r="G129" s="510" t="s">
        <v>670</v>
      </c>
      <c r="H129" s="529">
        <v>18</v>
      </c>
      <c r="I129" s="529">
        <v>10</v>
      </c>
      <c r="J129" s="529">
        <v>16</v>
      </c>
      <c r="K129" s="529">
        <v>40408.04</v>
      </c>
      <c r="L129" s="529">
        <v>40408.04</v>
      </c>
      <c r="M129" s="529">
        <v>0</v>
      </c>
      <c r="N129" s="529">
        <v>4</v>
      </c>
      <c r="O129" s="529">
        <v>36500.199999999997</v>
      </c>
      <c r="P129" s="529">
        <v>36500.199999999997</v>
      </c>
      <c r="Q129" s="529">
        <v>0</v>
      </c>
    </row>
    <row r="130" spans="1:17" ht="15.75" customHeight="1" x14ac:dyDescent="0.2">
      <c r="A130" s="529">
        <v>122</v>
      </c>
      <c r="B130" s="529" t="s">
        <v>290</v>
      </c>
      <c r="C130" s="516" t="s">
        <v>62</v>
      </c>
      <c r="D130" s="529" t="s">
        <v>63</v>
      </c>
      <c r="E130" s="529" t="s">
        <v>291</v>
      </c>
      <c r="F130" s="529" t="s">
        <v>292</v>
      </c>
      <c r="G130" s="510" t="s">
        <v>670</v>
      </c>
      <c r="H130" s="529">
        <v>41</v>
      </c>
      <c r="I130" s="529">
        <v>29</v>
      </c>
      <c r="J130" s="529">
        <v>41</v>
      </c>
      <c r="K130" s="529">
        <v>34384.86</v>
      </c>
      <c r="L130" s="529">
        <v>34384.86</v>
      </c>
      <c r="M130" s="529">
        <v>0</v>
      </c>
      <c r="N130" s="529">
        <v>0</v>
      </c>
      <c r="O130" s="529">
        <v>0</v>
      </c>
      <c r="P130" s="529">
        <v>0</v>
      </c>
      <c r="Q130" s="529">
        <v>0</v>
      </c>
    </row>
    <row r="131" spans="1:17" ht="15.75" customHeight="1" x14ac:dyDescent="0.2">
      <c r="A131" s="529">
        <v>123</v>
      </c>
      <c r="B131" s="529" t="s">
        <v>495</v>
      </c>
      <c r="C131" s="516" t="s">
        <v>62</v>
      </c>
      <c r="D131" s="529" t="s">
        <v>63</v>
      </c>
      <c r="E131" s="529" t="s">
        <v>313</v>
      </c>
      <c r="F131" s="529" t="s">
        <v>496</v>
      </c>
      <c r="G131" s="510" t="s">
        <v>670</v>
      </c>
      <c r="H131" s="529">
        <v>31</v>
      </c>
      <c r="I131" s="529">
        <v>7</v>
      </c>
      <c r="J131" s="529">
        <v>7</v>
      </c>
      <c r="K131" s="529">
        <v>9234.7099999999991</v>
      </c>
      <c r="L131" s="529">
        <v>9234.7099999999991</v>
      </c>
      <c r="M131" s="529">
        <v>0</v>
      </c>
      <c r="N131" s="529">
        <v>0</v>
      </c>
      <c r="O131" s="529">
        <v>0</v>
      </c>
      <c r="P131" s="529">
        <v>0</v>
      </c>
      <c r="Q131" s="529">
        <v>0</v>
      </c>
    </row>
    <row r="132" spans="1:17" ht="15.75" customHeight="1" x14ac:dyDescent="0.2">
      <c r="A132" s="529">
        <v>124</v>
      </c>
      <c r="B132" s="529" t="s">
        <v>134</v>
      </c>
      <c r="C132" s="516" t="s">
        <v>62</v>
      </c>
      <c r="D132" s="529" t="s">
        <v>63</v>
      </c>
      <c r="E132" s="529" t="s">
        <v>74</v>
      </c>
      <c r="F132" s="529" t="s">
        <v>293</v>
      </c>
      <c r="G132" s="510" t="s">
        <v>670</v>
      </c>
      <c r="H132" s="529">
        <v>11</v>
      </c>
      <c r="I132" s="529">
        <v>6</v>
      </c>
      <c r="J132" s="529">
        <v>7</v>
      </c>
      <c r="K132" s="529">
        <v>10480.76</v>
      </c>
      <c r="L132" s="529">
        <v>10480.76</v>
      </c>
      <c r="M132" s="529">
        <v>0</v>
      </c>
      <c r="N132" s="529">
        <v>2</v>
      </c>
      <c r="O132" s="529">
        <v>10990.78</v>
      </c>
      <c r="P132" s="529">
        <v>10990.78</v>
      </c>
      <c r="Q132" s="529">
        <v>0</v>
      </c>
    </row>
    <row r="133" spans="1:17" ht="15.75" customHeight="1" x14ac:dyDescent="0.2">
      <c r="A133" s="529">
        <v>125</v>
      </c>
      <c r="B133" s="529" t="s">
        <v>127</v>
      </c>
      <c r="C133" s="516" t="s">
        <v>62</v>
      </c>
      <c r="D133" s="529" t="s">
        <v>63</v>
      </c>
      <c r="E133" s="529" t="s">
        <v>74</v>
      </c>
      <c r="F133" s="529" t="s">
        <v>294</v>
      </c>
      <c r="G133" s="510" t="s">
        <v>670</v>
      </c>
      <c r="H133" s="529">
        <v>10</v>
      </c>
      <c r="I133" s="529">
        <v>6</v>
      </c>
      <c r="J133" s="529">
        <v>7</v>
      </c>
      <c r="K133" s="529">
        <v>5794.74</v>
      </c>
      <c r="L133" s="529">
        <v>5794.74</v>
      </c>
      <c r="M133" s="529">
        <v>0</v>
      </c>
      <c r="N133" s="529">
        <v>2</v>
      </c>
      <c r="O133" s="529">
        <v>3267.6</v>
      </c>
      <c r="P133" s="529">
        <v>3267.6</v>
      </c>
      <c r="Q133" s="529">
        <v>0</v>
      </c>
    </row>
    <row r="134" spans="1:17" ht="15.75" customHeight="1" x14ac:dyDescent="0.2">
      <c r="A134" s="529">
        <v>126</v>
      </c>
      <c r="B134" s="529" t="s">
        <v>55</v>
      </c>
      <c r="C134" s="516" t="s">
        <v>64</v>
      </c>
      <c r="D134" s="529" t="s">
        <v>66</v>
      </c>
      <c r="E134" s="529" t="s">
        <v>80</v>
      </c>
      <c r="F134" s="529" t="s">
        <v>295</v>
      </c>
      <c r="G134" s="510" t="s">
        <v>670</v>
      </c>
      <c r="H134" s="529">
        <v>11</v>
      </c>
      <c r="I134" s="529">
        <v>8</v>
      </c>
      <c r="J134" s="529">
        <v>8</v>
      </c>
      <c r="K134" s="529">
        <v>1989.43</v>
      </c>
      <c r="L134" s="529">
        <v>1989.43</v>
      </c>
      <c r="M134" s="529">
        <v>0</v>
      </c>
      <c r="N134" s="529">
        <v>4</v>
      </c>
      <c r="O134" s="529">
        <v>17287.61</v>
      </c>
      <c r="P134" s="529">
        <v>17287.61</v>
      </c>
      <c r="Q134" s="529">
        <v>0</v>
      </c>
    </row>
    <row r="135" spans="1:17" ht="15.75" customHeight="1" x14ac:dyDescent="0.2">
      <c r="A135" s="529">
        <v>127</v>
      </c>
      <c r="B135" s="529" t="s">
        <v>135</v>
      </c>
      <c r="C135" s="516" t="s">
        <v>62</v>
      </c>
      <c r="D135" s="529" t="s">
        <v>63</v>
      </c>
      <c r="E135" s="529" t="s">
        <v>63</v>
      </c>
      <c r="F135" s="529" t="s">
        <v>296</v>
      </c>
      <c r="G135" s="510" t="s">
        <v>670</v>
      </c>
      <c r="H135" s="529">
        <v>8</v>
      </c>
      <c r="I135" s="529">
        <v>3</v>
      </c>
      <c r="J135" s="529">
        <v>3</v>
      </c>
      <c r="K135" s="529">
        <v>1786.07</v>
      </c>
      <c r="L135" s="529">
        <v>1786.07</v>
      </c>
      <c r="M135" s="529">
        <v>0</v>
      </c>
      <c r="N135" s="529">
        <v>10</v>
      </c>
      <c r="O135" s="529">
        <v>18103.34</v>
      </c>
      <c r="P135" s="529">
        <v>18103.34</v>
      </c>
      <c r="Q135" s="529">
        <v>0</v>
      </c>
    </row>
    <row r="136" spans="1:17" ht="15.75" customHeight="1" x14ac:dyDescent="0.2">
      <c r="A136" s="529">
        <v>128</v>
      </c>
      <c r="B136" s="529" t="s">
        <v>128</v>
      </c>
      <c r="C136" s="516" t="s">
        <v>62</v>
      </c>
      <c r="D136" s="529" t="s">
        <v>63</v>
      </c>
      <c r="E136" s="529" t="s">
        <v>74</v>
      </c>
      <c r="F136" s="529" t="s">
        <v>297</v>
      </c>
      <c r="G136" s="510" t="s">
        <v>670</v>
      </c>
      <c r="H136" s="529">
        <v>2</v>
      </c>
      <c r="I136" s="529">
        <v>2</v>
      </c>
      <c r="J136" s="529">
        <v>2</v>
      </c>
      <c r="K136" s="529">
        <v>1303.8499999999999</v>
      </c>
      <c r="L136" s="529">
        <v>1303.8499999999999</v>
      </c>
      <c r="M136" s="529">
        <v>0</v>
      </c>
      <c r="N136" s="529">
        <v>1</v>
      </c>
      <c r="O136" s="529">
        <v>264.3</v>
      </c>
      <c r="P136" s="529">
        <v>264.3</v>
      </c>
      <c r="Q136" s="529">
        <v>0</v>
      </c>
    </row>
    <row r="137" spans="1:17" ht="15.75" customHeight="1" x14ac:dyDescent="0.2">
      <c r="A137" s="529">
        <v>129</v>
      </c>
      <c r="B137" s="529" t="s">
        <v>508</v>
      </c>
      <c r="C137" s="516" t="s">
        <v>64</v>
      </c>
      <c r="D137" s="529" t="s">
        <v>551</v>
      </c>
      <c r="E137" s="529" t="s">
        <v>313</v>
      </c>
      <c r="F137" s="529" t="s">
        <v>552</v>
      </c>
      <c r="G137" s="510" t="s">
        <v>670</v>
      </c>
      <c r="H137" s="529">
        <v>33</v>
      </c>
      <c r="I137" s="529">
        <v>24</v>
      </c>
      <c r="J137" s="529">
        <v>27</v>
      </c>
      <c r="K137" s="529">
        <v>11219.42</v>
      </c>
      <c r="L137" s="529">
        <v>11219.42</v>
      </c>
      <c r="M137" s="529">
        <v>0</v>
      </c>
      <c r="N137" s="529">
        <v>0</v>
      </c>
      <c r="O137" s="529">
        <v>0</v>
      </c>
      <c r="P137" s="529">
        <v>0</v>
      </c>
      <c r="Q137" s="529">
        <v>0</v>
      </c>
    </row>
    <row r="138" spans="1:17" ht="15.75" customHeight="1" x14ac:dyDescent="0.2">
      <c r="A138" s="529">
        <v>130</v>
      </c>
      <c r="B138" s="529" t="s">
        <v>497</v>
      </c>
      <c r="C138" s="516" t="s">
        <v>62</v>
      </c>
      <c r="D138" s="529"/>
      <c r="E138" s="529" t="s">
        <v>313</v>
      </c>
      <c r="F138" s="529" t="s">
        <v>498</v>
      </c>
      <c r="G138" s="510" t="s">
        <v>670</v>
      </c>
      <c r="H138" s="529">
        <v>71</v>
      </c>
      <c r="I138" s="529">
        <v>44</v>
      </c>
      <c r="J138" s="529">
        <v>46</v>
      </c>
      <c r="K138" s="529">
        <v>29545.75</v>
      </c>
      <c r="L138" s="529">
        <v>29545.75</v>
      </c>
      <c r="M138" s="529">
        <v>0</v>
      </c>
      <c r="N138" s="529">
        <v>0</v>
      </c>
      <c r="O138" s="529">
        <v>0</v>
      </c>
      <c r="P138" s="529">
        <v>0</v>
      </c>
      <c r="Q138" s="529">
        <v>0</v>
      </c>
    </row>
    <row r="139" spans="1:17" ht="15.75" customHeight="1" x14ac:dyDescent="0.2">
      <c r="A139" s="529">
        <v>131</v>
      </c>
      <c r="B139" s="529" t="s">
        <v>646</v>
      </c>
      <c r="C139" s="516" t="s">
        <v>62</v>
      </c>
      <c r="D139" s="529" t="s">
        <v>63</v>
      </c>
      <c r="E139" s="529" t="s">
        <v>74</v>
      </c>
      <c r="F139" s="529" t="s">
        <v>757</v>
      </c>
      <c r="G139" s="510" t="s">
        <v>670</v>
      </c>
      <c r="H139" s="529">
        <v>4</v>
      </c>
      <c r="I139" s="529">
        <v>0</v>
      </c>
      <c r="J139" s="529">
        <v>0</v>
      </c>
      <c r="K139" s="529">
        <v>0</v>
      </c>
      <c r="L139" s="529">
        <v>0</v>
      </c>
      <c r="M139" s="529">
        <v>0</v>
      </c>
      <c r="N139" s="529">
        <v>0</v>
      </c>
      <c r="O139" s="529">
        <v>0</v>
      </c>
      <c r="P139" s="529">
        <v>0</v>
      </c>
      <c r="Q139" s="529">
        <v>0</v>
      </c>
    </row>
    <row r="140" spans="1:17" ht="15.75" customHeight="1" x14ac:dyDescent="0.2">
      <c r="A140" s="529">
        <v>132</v>
      </c>
      <c r="B140" s="529" t="s">
        <v>56</v>
      </c>
      <c r="C140" s="516" t="s">
        <v>62</v>
      </c>
      <c r="D140" s="529" t="s">
        <v>63</v>
      </c>
      <c r="E140" s="529" t="s">
        <v>83</v>
      </c>
      <c r="F140" s="529" t="s">
        <v>298</v>
      </c>
      <c r="G140" s="510" t="s">
        <v>670</v>
      </c>
      <c r="H140" s="529">
        <v>109</v>
      </c>
      <c r="I140" s="529">
        <v>95</v>
      </c>
      <c r="J140" s="529">
        <v>141</v>
      </c>
      <c r="K140" s="529">
        <v>141659.84</v>
      </c>
      <c r="L140" s="529">
        <v>132938.70000000001</v>
      </c>
      <c r="M140" s="529">
        <v>8721.14</v>
      </c>
      <c r="N140" s="529">
        <v>35</v>
      </c>
      <c r="O140" s="529">
        <v>96660.36</v>
      </c>
      <c r="P140" s="529">
        <v>96660.36</v>
      </c>
      <c r="Q140" s="529">
        <v>0</v>
      </c>
    </row>
    <row r="141" spans="1:17" ht="15.75" customHeight="1" x14ac:dyDescent="0.2">
      <c r="A141" s="529">
        <v>133</v>
      </c>
      <c r="B141" s="529" t="s">
        <v>638</v>
      </c>
      <c r="C141" s="516" t="s">
        <v>67</v>
      </c>
      <c r="D141" s="529" t="s">
        <v>639</v>
      </c>
      <c r="E141" s="529" t="s">
        <v>640</v>
      </c>
      <c r="F141" s="529" t="s">
        <v>641</v>
      </c>
      <c r="G141" s="510" t="s">
        <v>670</v>
      </c>
      <c r="H141" s="529">
        <v>10</v>
      </c>
      <c r="I141" s="529">
        <v>1</v>
      </c>
      <c r="J141" s="529">
        <v>1</v>
      </c>
      <c r="K141" s="529">
        <v>0</v>
      </c>
      <c r="L141" s="529">
        <v>0</v>
      </c>
      <c r="M141" s="529">
        <v>0</v>
      </c>
      <c r="N141" s="529">
        <v>0</v>
      </c>
      <c r="O141" s="529">
        <v>0</v>
      </c>
      <c r="P141" s="529">
        <v>0</v>
      </c>
      <c r="Q141" s="529">
        <v>0</v>
      </c>
    </row>
    <row r="142" spans="1:17" ht="15.75" customHeight="1" x14ac:dyDescent="0.2">
      <c r="A142" s="529">
        <v>134</v>
      </c>
      <c r="B142" s="529" t="s">
        <v>299</v>
      </c>
      <c r="C142" s="516" t="s">
        <v>62</v>
      </c>
      <c r="D142" s="529"/>
      <c r="E142" s="529" t="s">
        <v>174</v>
      </c>
      <c r="F142" s="529" t="s">
        <v>300</v>
      </c>
      <c r="G142" s="510" t="s">
        <v>670</v>
      </c>
      <c r="H142" s="529">
        <v>25</v>
      </c>
      <c r="I142" s="529">
        <v>22</v>
      </c>
      <c r="J142" s="529">
        <v>27</v>
      </c>
      <c r="K142" s="529">
        <v>18541.13</v>
      </c>
      <c r="L142" s="529">
        <v>18541.13</v>
      </c>
      <c r="M142" s="529">
        <v>0</v>
      </c>
      <c r="N142" s="529">
        <v>0</v>
      </c>
      <c r="O142" s="529">
        <v>0</v>
      </c>
      <c r="P142" s="529">
        <v>0</v>
      </c>
      <c r="Q142" s="529">
        <v>0</v>
      </c>
    </row>
    <row r="143" spans="1:17" ht="15.75" customHeight="1" x14ac:dyDescent="0.2">
      <c r="A143" s="529">
        <v>135</v>
      </c>
      <c r="B143" s="529" t="s">
        <v>156</v>
      </c>
      <c r="C143" s="516" t="s">
        <v>67</v>
      </c>
      <c r="D143" s="529" t="s">
        <v>499</v>
      </c>
      <c r="E143" s="529" t="s">
        <v>74</v>
      </c>
      <c r="F143" s="529" t="s">
        <v>301</v>
      </c>
      <c r="G143" s="510" t="s">
        <v>670</v>
      </c>
      <c r="H143" s="529">
        <v>42</v>
      </c>
      <c r="I143" s="529">
        <v>35</v>
      </c>
      <c r="J143" s="529">
        <v>43</v>
      </c>
      <c r="K143" s="529">
        <v>37665.79</v>
      </c>
      <c r="L143" s="529">
        <v>37665.79</v>
      </c>
      <c r="M143" s="529">
        <v>0</v>
      </c>
      <c r="N143" s="529">
        <v>41</v>
      </c>
      <c r="O143" s="529">
        <v>66837.119999999995</v>
      </c>
      <c r="P143" s="529">
        <v>66837.119999999995</v>
      </c>
      <c r="Q143" s="529">
        <v>0</v>
      </c>
    </row>
    <row r="144" spans="1:17" ht="15.75" customHeight="1" x14ac:dyDescent="0.2">
      <c r="A144" s="529">
        <v>136</v>
      </c>
      <c r="B144" s="529" t="s">
        <v>302</v>
      </c>
      <c r="C144" s="516" t="s">
        <v>62</v>
      </c>
      <c r="D144" s="529"/>
      <c r="E144" s="529" t="s">
        <v>63</v>
      </c>
      <c r="F144" s="529" t="s">
        <v>303</v>
      </c>
      <c r="G144" s="510" t="s">
        <v>670</v>
      </c>
      <c r="H144" s="529">
        <v>22</v>
      </c>
      <c r="I144" s="529">
        <v>19</v>
      </c>
      <c r="J144" s="529">
        <v>23</v>
      </c>
      <c r="K144" s="529">
        <v>9697.18</v>
      </c>
      <c r="L144" s="529">
        <v>9697.18</v>
      </c>
      <c r="M144" s="529">
        <v>0</v>
      </c>
      <c r="N144" s="529">
        <v>0</v>
      </c>
      <c r="O144" s="529">
        <v>0</v>
      </c>
      <c r="P144" s="529">
        <v>0</v>
      </c>
      <c r="Q144" s="529">
        <v>0</v>
      </c>
    </row>
    <row r="145" spans="1:17" ht="15.75" customHeight="1" x14ac:dyDescent="0.2">
      <c r="A145" s="529">
        <v>137</v>
      </c>
      <c r="B145" s="529" t="s">
        <v>140</v>
      </c>
      <c r="C145" s="516" t="s">
        <v>62</v>
      </c>
      <c r="D145" s="529" t="s">
        <v>63</v>
      </c>
      <c r="E145" s="529" t="s">
        <v>74</v>
      </c>
      <c r="F145" s="529" t="s">
        <v>304</v>
      </c>
      <c r="G145" s="510" t="s">
        <v>670</v>
      </c>
      <c r="H145" s="529">
        <v>70</v>
      </c>
      <c r="I145" s="529">
        <v>59</v>
      </c>
      <c r="J145" s="529">
        <v>64</v>
      </c>
      <c r="K145" s="529">
        <v>49113.38</v>
      </c>
      <c r="L145" s="529">
        <v>49113.38</v>
      </c>
      <c r="M145" s="529">
        <v>0</v>
      </c>
      <c r="N145" s="529">
        <v>20</v>
      </c>
      <c r="O145" s="529">
        <v>43411.7</v>
      </c>
      <c r="P145" s="529">
        <v>43411.7</v>
      </c>
      <c r="Q145" s="529">
        <v>0</v>
      </c>
    </row>
    <row r="146" spans="1:17" ht="15.75" customHeight="1" x14ac:dyDescent="0.2">
      <c r="A146" s="529">
        <v>138</v>
      </c>
      <c r="B146" s="529" t="s">
        <v>305</v>
      </c>
      <c r="C146" s="516" t="s">
        <v>62</v>
      </c>
      <c r="D146" s="529" t="s">
        <v>63</v>
      </c>
      <c r="E146" s="529" t="s">
        <v>186</v>
      </c>
      <c r="F146" s="529" t="s">
        <v>513</v>
      </c>
      <c r="G146" s="510" t="s">
        <v>670</v>
      </c>
      <c r="H146" s="529">
        <v>17</v>
      </c>
      <c r="I146" s="529">
        <v>12</v>
      </c>
      <c r="J146" s="529">
        <v>13</v>
      </c>
      <c r="K146" s="529">
        <v>6542.9</v>
      </c>
      <c r="L146" s="529">
        <v>6542.9</v>
      </c>
      <c r="M146" s="529">
        <v>0</v>
      </c>
      <c r="N146" s="529">
        <v>0</v>
      </c>
      <c r="O146" s="529">
        <v>0</v>
      </c>
      <c r="P146" s="529">
        <v>0</v>
      </c>
      <c r="Q146" s="529">
        <v>0</v>
      </c>
    </row>
    <row r="147" spans="1:17" ht="15.75" customHeight="1" x14ac:dyDescent="0.2">
      <c r="A147" s="529">
        <v>139</v>
      </c>
      <c r="B147" s="529" t="s">
        <v>702</v>
      </c>
      <c r="C147" s="516" t="s">
        <v>62</v>
      </c>
      <c r="D147" s="529" t="s">
        <v>63</v>
      </c>
      <c r="E147" s="529" t="s">
        <v>239</v>
      </c>
      <c r="F147" s="529" t="s">
        <v>733</v>
      </c>
      <c r="G147" s="510" t="s">
        <v>670</v>
      </c>
      <c r="H147" s="529">
        <v>7</v>
      </c>
      <c r="I147" s="529">
        <v>1</v>
      </c>
      <c r="J147" s="529">
        <v>1</v>
      </c>
      <c r="K147" s="529">
        <v>649.87</v>
      </c>
      <c r="L147" s="529">
        <v>649.87</v>
      </c>
      <c r="M147" s="529">
        <v>0</v>
      </c>
      <c r="N147" s="529">
        <v>0</v>
      </c>
      <c r="O147" s="529">
        <v>0</v>
      </c>
      <c r="P147" s="529">
        <v>0</v>
      </c>
      <c r="Q147" s="529">
        <v>0</v>
      </c>
    </row>
    <row r="148" spans="1:17" ht="15.75" customHeight="1" x14ac:dyDescent="0.2">
      <c r="A148" s="529">
        <v>140</v>
      </c>
      <c r="B148" s="529" t="s">
        <v>471</v>
      </c>
      <c r="C148" s="516" t="s">
        <v>64</v>
      </c>
      <c r="D148" s="529" t="s">
        <v>65</v>
      </c>
      <c r="E148" s="529" t="s">
        <v>74</v>
      </c>
      <c r="F148" s="529" t="s">
        <v>472</v>
      </c>
      <c r="G148" s="510" t="s">
        <v>670</v>
      </c>
      <c r="H148" s="529">
        <v>0</v>
      </c>
      <c r="I148" s="529">
        <v>0</v>
      </c>
      <c r="J148" s="529">
        <v>0</v>
      </c>
      <c r="K148" s="529">
        <v>0</v>
      </c>
      <c r="L148" s="529">
        <v>0</v>
      </c>
      <c r="M148" s="529">
        <v>0</v>
      </c>
      <c r="N148" s="529">
        <v>1</v>
      </c>
      <c r="O148" s="529">
        <v>0</v>
      </c>
      <c r="P148" s="529">
        <v>0</v>
      </c>
      <c r="Q148" s="529">
        <v>0</v>
      </c>
    </row>
    <row r="149" spans="1:17" ht="15.75" customHeight="1" x14ac:dyDescent="0.2">
      <c r="A149" s="529">
        <v>141</v>
      </c>
      <c r="B149" s="529" t="s">
        <v>57</v>
      </c>
      <c r="C149" s="516" t="s">
        <v>62</v>
      </c>
      <c r="D149" s="529" t="s">
        <v>63</v>
      </c>
      <c r="E149" s="529" t="s">
        <v>244</v>
      </c>
      <c r="F149" s="529" t="s">
        <v>306</v>
      </c>
      <c r="G149" s="510" t="s">
        <v>670</v>
      </c>
      <c r="H149" s="529">
        <v>41</v>
      </c>
      <c r="I149" s="529">
        <v>20</v>
      </c>
      <c r="J149" s="529">
        <v>23</v>
      </c>
      <c r="K149" s="529">
        <v>28660.53</v>
      </c>
      <c r="L149" s="529">
        <v>28660.53</v>
      </c>
      <c r="M149" s="529">
        <v>0</v>
      </c>
      <c r="N149" s="529">
        <v>22</v>
      </c>
      <c r="O149" s="529">
        <v>99963.18</v>
      </c>
      <c r="P149" s="529">
        <v>92362.92</v>
      </c>
      <c r="Q149" s="529">
        <v>7600.26</v>
      </c>
    </row>
    <row r="150" spans="1:17" ht="15.75" customHeight="1" x14ac:dyDescent="0.2">
      <c r="A150" s="529">
        <v>142</v>
      </c>
      <c r="B150" s="529" t="s">
        <v>648</v>
      </c>
      <c r="C150" s="516" t="s">
        <v>62</v>
      </c>
      <c r="D150" s="529" t="s">
        <v>63</v>
      </c>
      <c r="E150" s="529" t="s">
        <v>313</v>
      </c>
      <c r="F150" s="529" t="s">
        <v>650</v>
      </c>
      <c r="G150" s="510" t="s">
        <v>670</v>
      </c>
      <c r="H150" s="529">
        <v>14</v>
      </c>
      <c r="I150" s="529">
        <v>8</v>
      </c>
      <c r="J150" s="529">
        <v>9</v>
      </c>
      <c r="K150" s="529">
        <v>4135.99</v>
      </c>
      <c r="L150" s="529">
        <v>4135.99</v>
      </c>
      <c r="M150" s="529">
        <v>0</v>
      </c>
      <c r="N150" s="529">
        <v>0</v>
      </c>
      <c r="O150" s="529">
        <v>0</v>
      </c>
      <c r="P150" s="529">
        <v>0</v>
      </c>
      <c r="Q150" s="529">
        <v>0</v>
      </c>
    </row>
    <row r="151" spans="1:17" ht="15.75" customHeight="1" x14ac:dyDescent="0.2">
      <c r="A151" s="529">
        <v>143</v>
      </c>
      <c r="B151" s="529" t="s">
        <v>473</v>
      </c>
      <c r="C151" s="516" t="s">
        <v>62</v>
      </c>
      <c r="D151" s="529" t="s">
        <v>63</v>
      </c>
      <c r="E151" s="529" t="s">
        <v>63</v>
      </c>
      <c r="F151" s="529" t="s">
        <v>500</v>
      </c>
      <c r="G151" s="510" t="s">
        <v>670</v>
      </c>
      <c r="H151" s="529">
        <v>21</v>
      </c>
      <c r="I151" s="529">
        <v>12</v>
      </c>
      <c r="J151" s="529">
        <v>14</v>
      </c>
      <c r="K151" s="529">
        <v>9948.68</v>
      </c>
      <c r="L151" s="529">
        <v>9948.68</v>
      </c>
      <c r="M151" s="529">
        <v>0</v>
      </c>
      <c r="N151" s="529">
        <v>4</v>
      </c>
      <c r="O151" s="529">
        <v>22242.99</v>
      </c>
      <c r="P151" s="529">
        <v>22242.99</v>
      </c>
      <c r="Q151" s="529">
        <v>0</v>
      </c>
    </row>
    <row r="152" spans="1:17" ht="15.75" customHeight="1" x14ac:dyDescent="0.2">
      <c r="A152" s="529">
        <v>144</v>
      </c>
      <c r="B152" s="529" t="s">
        <v>129</v>
      </c>
      <c r="C152" s="516" t="s">
        <v>62</v>
      </c>
      <c r="D152" s="529" t="s">
        <v>63</v>
      </c>
      <c r="E152" s="529" t="s">
        <v>74</v>
      </c>
      <c r="F152" s="529" t="s">
        <v>307</v>
      </c>
      <c r="G152" s="510" t="s">
        <v>670</v>
      </c>
      <c r="H152" s="529">
        <v>0</v>
      </c>
      <c r="I152" s="529">
        <v>0</v>
      </c>
      <c r="J152" s="529">
        <v>0</v>
      </c>
      <c r="K152" s="529">
        <v>0</v>
      </c>
      <c r="L152" s="529">
        <v>0</v>
      </c>
      <c r="M152" s="529">
        <v>0</v>
      </c>
      <c r="N152" s="529">
        <v>2</v>
      </c>
      <c r="O152" s="529">
        <v>12997.88</v>
      </c>
      <c r="P152" s="529">
        <v>12997.88</v>
      </c>
      <c r="Q152" s="529">
        <v>0</v>
      </c>
    </row>
    <row r="153" spans="1:17" ht="15.75" customHeight="1" x14ac:dyDescent="0.2">
      <c r="A153" s="529">
        <v>145</v>
      </c>
      <c r="B153" s="529" t="s">
        <v>58</v>
      </c>
      <c r="C153" s="516" t="s">
        <v>62</v>
      </c>
      <c r="D153" s="529" t="s">
        <v>63</v>
      </c>
      <c r="E153" s="529" t="s">
        <v>84</v>
      </c>
      <c r="F153" s="529" t="s">
        <v>308</v>
      </c>
      <c r="G153" s="510" t="s">
        <v>670</v>
      </c>
      <c r="H153" s="529">
        <v>252</v>
      </c>
      <c r="I153" s="529">
        <v>239</v>
      </c>
      <c r="J153" s="529">
        <v>272</v>
      </c>
      <c r="K153" s="529">
        <v>247950.68</v>
      </c>
      <c r="L153" s="529">
        <v>233975.56</v>
      </c>
      <c r="M153" s="529">
        <v>13975.12</v>
      </c>
      <c r="N153" s="529">
        <v>66</v>
      </c>
      <c r="O153" s="529">
        <v>216301.07</v>
      </c>
      <c r="P153" s="529">
        <v>216301.07</v>
      </c>
      <c r="Q153" s="529">
        <v>0</v>
      </c>
    </row>
    <row r="154" spans="1:17" ht="15.75" customHeight="1" x14ac:dyDescent="0.2">
      <c r="A154" s="529">
        <v>146</v>
      </c>
      <c r="B154" s="529" t="s">
        <v>59</v>
      </c>
      <c r="C154" s="516" t="s">
        <v>64</v>
      </c>
      <c r="D154" s="529" t="s">
        <v>66</v>
      </c>
      <c r="E154" s="529" t="s">
        <v>80</v>
      </c>
      <c r="F154" s="529" t="s">
        <v>309</v>
      </c>
      <c r="G154" s="510" t="s">
        <v>670</v>
      </c>
      <c r="H154" s="529">
        <v>44</v>
      </c>
      <c r="I154" s="529">
        <v>35</v>
      </c>
      <c r="J154" s="529">
        <v>55</v>
      </c>
      <c r="K154" s="529">
        <v>109498.5</v>
      </c>
      <c r="L154" s="529">
        <v>100074.76</v>
      </c>
      <c r="M154" s="529">
        <v>9423.74</v>
      </c>
      <c r="N154" s="529">
        <v>33</v>
      </c>
      <c r="O154" s="529">
        <v>108860.27</v>
      </c>
      <c r="P154" s="529">
        <v>108860.27</v>
      </c>
      <c r="Q154" s="529">
        <v>0</v>
      </c>
    </row>
    <row r="155" spans="1:17" ht="15.75" customHeight="1" x14ac:dyDescent="0.2">
      <c r="A155" s="529">
        <v>147</v>
      </c>
      <c r="B155" s="529" t="s">
        <v>130</v>
      </c>
      <c r="C155" s="516" t="s">
        <v>62</v>
      </c>
      <c r="D155" s="529" t="s">
        <v>63</v>
      </c>
      <c r="E155" s="529" t="s">
        <v>74</v>
      </c>
      <c r="F155" s="529" t="s">
        <v>553</v>
      </c>
      <c r="G155" s="510" t="s">
        <v>670</v>
      </c>
      <c r="H155" s="529">
        <v>7</v>
      </c>
      <c r="I155" s="529">
        <v>2</v>
      </c>
      <c r="J155" s="529">
        <v>2</v>
      </c>
      <c r="K155" s="529">
        <v>1772.34</v>
      </c>
      <c r="L155" s="529">
        <v>1772.34</v>
      </c>
      <c r="M155" s="529">
        <v>0</v>
      </c>
      <c r="N155" s="529">
        <v>4</v>
      </c>
      <c r="O155" s="529">
        <v>20018.759999999998</v>
      </c>
      <c r="P155" s="529">
        <v>20018.759999999998</v>
      </c>
      <c r="Q155" s="529">
        <v>0</v>
      </c>
    </row>
    <row r="156" spans="1:17" ht="15.75" customHeight="1" x14ac:dyDescent="0.2">
      <c r="A156" s="529">
        <v>148</v>
      </c>
      <c r="B156" s="529" t="s">
        <v>97</v>
      </c>
      <c r="C156" s="516" t="s">
        <v>62</v>
      </c>
      <c r="D156" s="529" t="s">
        <v>63</v>
      </c>
      <c r="E156" s="529" t="s">
        <v>74</v>
      </c>
      <c r="F156" s="529" t="s">
        <v>310</v>
      </c>
      <c r="G156" s="510" t="s">
        <v>670</v>
      </c>
      <c r="H156" s="529">
        <v>7</v>
      </c>
      <c r="I156" s="529">
        <v>4</v>
      </c>
      <c r="J156" s="529">
        <v>4</v>
      </c>
      <c r="K156" s="529">
        <v>5524.96</v>
      </c>
      <c r="L156" s="529">
        <v>5524.96</v>
      </c>
      <c r="M156" s="529">
        <v>0</v>
      </c>
      <c r="N156" s="529">
        <v>1</v>
      </c>
      <c r="O156" s="529">
        <v>3782.14</v>
      </c>
      <c r="P156" s="529">
        <v>3782.14</v>
      </c>
      <c r="Q156" s="529">
        <v>0</v>
      </c>
    </row>
    <row r="157" spans="1:17" ht="15.75" customHeight="1" x14ac:dyDescent="0.2">
      <c r="A157" s="529">
        <v>149</v>
      </c>
      <c r="B157" s="529" t="s">
        <v>667</v>
      </c>
      <c r="C157" s="516" t="s">
        <v>62</v>
      </c>
      <c r="D157" s="529" t="s">
        <v>63</v>
      </c>
      <c r="E157" s="529" t="s">
        <v>174</v>
      </c>
      <c r="F157" s="529" t="s">
        <v>668</v>
      </c>
      <c r="G157" s="510" t="s">
        <v>670</v>
      </c>
      <c r="H157" s="529">
        <v>8</v>
      </c>
      <c r="I157" s="529">
        <v>4</v>
      </c>
      <c r="J157" s="529">
        <v>4</v>
      </c>
      <c r="K157" s="529">
        <v>0</v>
      </c>
      <c r="L157" s="529">
        <v>0</v>
      </c>
      <c r="M157" s="529">
        <v>0</v>
      </c>
      <c r="N157" s="529">
        <v>0</v>
      </c>
      <c r="O157" s="529">
        <v>0</v>
      </c>
      <c r="P157" s="529">
        <v>0</v>
      </c>
      <c r="Q157" s="529">
        <v>0</v>
      </c>
    </row>
    <row r="158" spans="1:17" ht="15.75" customHeight="1" x14ac:dyDescent="0.2">
      <c r="A158" s="529">
        <v>150</v>
      </c>
      <c r="B158" s="529" t="s">
        <v>514</v>
      </c>
      <c r="C158" s="516" t="s">
        <v>62</v>
      </c>
      <c r="D158" s="529" t="s">
        <v>63</v>
      </c>
      <c r="E158" s="529" t="s">
        <v>223</v>
      </c>
      <c r="F158" s="529" t="s">
        <v>515</v>
      </c>
      <c r="G158" s="510" t="s">
        <v>670</v>
      </c>
      <c r="H158" s="529">
        <v>24</v>
      </c>
      <c r="I158" s="529">
        <v>17</v>
      </c>
      <c r="J158" s="529">
        <v>24</v>
      </c>
      <c r="K158" s="529">
        <v>25840.53</v>
      </c>
      <c r="L158" s="529">
        <v>25840.53</v>
      </c>
      <c r="M158" s="529"/>
      <c r="N158" s="529">
        <v>0</v>
      </c>
      <c r="O158" s="529">
        <v>0</v>
      </c>
      <c r="P158" s="529">
        <v>0</v>
      </c>
      <c r="Q158" s="529">
        <v>0</v>
      </c>
    </row>
    <row r="159" spans="1:17" ht="15.75" customHeight="1" x14ac:dyDescent="0.2">
      <c r="A159" s="529">
        <v>151</v>
      </c>
      <c r="B159" s="529" t="s">
        <v>132</v>
      </c>
      <c r="C159" s="516" t="s">
        <v>62</v>
      </c>
      <c r="D159" s="529" t="s">
        <v>63</v>
      </c>
      <c r="E159" s="529" t="s">
        <v>74</v>
      </c>
      <c r="F159" s="529" t="s">
        <v>311</v>
      </c>
      <c r="G159" s="510" t="s">
        <v>670</v>
      </c>
      <c r="H159" s="529">
        <v>21</v>
      </c>
      <c r="I159" s="529">
        <v>7</v>
      </c>
      <c r="J159" s="529">
        <v>8</v>
      </c>
      <c r="K159" s="529">
        <v>7071.18</v>
      </c>
      <c r="L159" s="529">
        <v>7071.18</v>
      </c>
      <c r="M159" s="529">
        <v>0</v>
      </c>
      <c r="N159" s="529">
        <v>11</v>
      </c>
      <c r="O159" s="529">
        <v>7200.72</v>
      </c>
      <c r="P159" s="529">
        <v>7200.72</v>
      </c>
      <c r="Q159" s="529">
        <v>0</v>
      </c>
    </row>
    <row r="160" spans="1:17" ht="15.75" customHeight="1" x14ac:dyDescent="0.2">
      <c r="A160" s="529">
        <v>152</v>
      </c>
      <c r="B160" s="529" t="s">
        <v>312</v>
      </c>
      <c r="C160" s="516" t="s">
        <v>62</v>
      </c>
      <c r="D160" s="529" t="s">
        <v>63</v>
      </c>
      <c r="E160" s="529" t="s">
        <v>313</v>
      </c>
      <c r="F160" s="529" t="s">
        <v>314</v>
      </c>
      <c r="G160" s="510" t="s">
        <v>670</v>
      </c>
      <c r="H160" s="529">
        <v>67</v>
      </c>
      <c r="I160" s="529">
        <v>1</v>
      </c>
      <c r="J160" s="529">
        <v>1</v>
      </c>
      <c r="K160" s="529">
        <v>0</v>
      </c>
      <c r="L160" s="529">
        <v>0</v>
      </c>
      <c r="M160" s="529">
        <v>0</v>
      </c>
      <c r="N160" s="529">
        <v>0</v>
      </c>
      <c r="O160" s="529">
        <v>0</v>
      </c>
      <c r="P160" s="529">
        <v>0</v>
      </c>
      <c r="Q160" s="529">
        <v>0</v>
      </c>
    </row>
    <row r="161" spans="1:17" ht="15.75" customHeight="1" x14ac:dyDescent="0.2">
      <c r="A161" s="529">
        <v>153</v>
      </c>
      <c r="B161" s="529" t="s">
        <v>505</v>
      </c>
      <c r="C161" s="516" t="s">
        <v>62</v>
      </c>
      <c r="D161" s="529" t="s">
        <v>63</v>
      </c>
      <c r="E161" s="529" t="s">
        <v>759</v>
      </c>
      <c r="F161" s="529" t="s">
        <v>704</v>
      </c>
      <c r="G161" s="510" t="s">
        <v>670</v>
      </c>
      <c r="H161" s="529">
        <v>8</v>
      </c>
      <c r="I161" s="529">
        <v>3</v>
      </c>
      <c r="J161" s="529">
        <v>3</v>
      </c>
      <c r="K161" s="529">
        <v>0</v>
      </c>
      <c r="L161" s="529">
        <v>0</v>
      </c>
      <c r="M161" s="529">
        <v>0</v>
      </c>
      <c r="N161" s="529">
        <v>0</v>
      </c>
      <c r="O161" s="529">
        <v>0</v>
      </c>
      <c r="P161" s="529">
        <v>0</v>
      </c>
      <c r="Q161" s="529">
        <v>0</v>
      </c>
    </row>
    <row r="162" spans="1:17" ht="15.75" customHeight="1" x14ac:dyDescent="0.2">
      <c r="A162" s="529">
        <v>154</v>
      </c>
      <c r="B162" s="529" t="s">
        <v>315</v>
      </c>
      <c r="C162" s="516" t="s">
        <v>62</v>
      </c>
      <c r="D162" s="529" t="s">
        <v>63</v>
      </c>
      <c r="E162" s="529" t="s">
        <v>74</v>
      </c>
      <c r="F162" s="529" t="s">
        <v>316</v>
      </c>
      <c r="G162" s="510" t="s">
        <v>670</v>
      </c>
      <c r="H162" s="529">
        <v>19</v>
      </c>
      <c r="I162" s="529">
        <v>11</v>
      </c>
      <c r="J162" s="529">
        <v>13</v>
      </c>
      <c r="K162" s="529">
        <v>11020.91</v>
      </c>
      <c r="L162" s="529">
        <v>11020.91</v>
      </c>
      <c r="M162" s="529">
        <v>0</v>
      </c>
      <c r="N162" s="529">
        <v>6</v>
      </c>
      <c r="O162" s="529">
        <v>3889.02</v>
      </c>
      <c r="P162" s="529">
        <v>3889.02</v>
      </c>
      <c r="Q162" s="529">
        <v>0</v>
      </c>
    </row>
    <row r="163" spans="1:17" ht="15.75" customHeight="1" x14ac:dyDescent="0.2">
      <c r="A163" s="529">
        <v>155</v>
      </c>
      <c r="B163" s="529" t="s">
        <v>317</v>
      </c>
      <c r="C163" s="516" t="s">
        <v>62</v>
      </c>
      <c r="D163" s="529" t="s">
        <v>63</v>
      </c>
      <c r="E163" s="529" t="s">
        <v>158</v>
      </c>
      <c r="F163" s="529" t="s">
        <v>474</v>
      </c>
      <c r="G163" s="510" t="s">
        <v>670</v>
      </c>
      <c r="H163" s="529">
        <v>13</v>
      </c>
      <c r="I163" s="529">
        <v>11</v>
      </c>
      <c r="J163" s="529">
        <v>12</v>
      </c>
      <c r="K163" s="529">
        <v>4210.97</v>
      </c>
      <c r="L163" s="529">
        <v>4210.97</v>
      </c>
      <c r="M163" s="529">
        <v>0</v>
      </c>
      <c r="N163" s="529">
        <v>0</v>
      </c>
      <c r="O163" s="529">
        <v>0</v>
      </c>
      <c r="P163" s="529">
        <v>0</v>
      </c>
      <c r="Q163" s="529">
        <v>0</v>
      </c>
    </row>
    <row r="164" spans="1:17" ht="15.75" customHeight="1" x14ac:dyDescent="0.2">
      <c r="A164" s="529">
        <v>156</v>
      </c>
      <c r="B164" s="529" t="s">
        <v>318</v>
      </c>
      <c r="C164" s="516" t="s">
        <v>62</v>
      </c>
      <c r="D164" s="529" t="s">
        <v>63</v>
      </c>
      <c r="E164" s="529" t="s">
        <v>174</v>
      </c>
      <c r="F164" s="529" t="s">
        <v>319</v>
      </c>
      <c r="G164" s="510" t="s">
        <v>670</v>
      </c>
      <c r="H164" s="529">
        <v>35</v>
      </c>
      <c r="I164" s="529">
        <v>29</v>
      </c>
      <c r="J164" s="529">
        <v>35</v>
      </c>
      <c r="K164" s="529">
        <v>24890.68</v>
      </c>
      <c r="L164" s="529">
        <v>24890.68</v>
      </c>
      <c r="M164" s="529">
        <v>0</v>
      </c>
      <c r="N164" s="529">
        <v>0</v>
      </c>
      <c r="O164" s="529">
        <v>0</v>
      </c>
      <c r="P164" s="529">
        <v>0</v>
      </c>
      <c r="Q164" s="529">
        <v>0</v>
      </c>
    </row>
    <row r="165" spans="1:17" ht="15.75" customHeight="1" x14ac:dyDescent="0.2">
      <c r="A165" s="529">
        <v>157</v>
      </c>
      <c r="B165" s="529" t="s">
        <v>60</v>
      </c>
      <c r="C165" s="516" t="s">
        <v>67</v>
      </c>
      <c r="D165" s="529" t="s">
        <v>68</v>
      </c>
      <c r="E165" s="529" t="s">
        <v>74</v>
      </c>
      <c r="F165" s="529" t="s">
        <v>320</v>
      </c>
      <c r="G165" s="510" t="s">
        <v>670</v>
      </c>
      <c r="H165" s="529">
        <v>78</v>
      </c>
      <c r="I165" s="529">
        <v>63</v>
      </c>
      <c r="J165" s="529">
        <v>92</v>
      </c>
      <c r="K165" s="529">
        <v>159674.60999999999</v>
      </c>
      <c r="L165" s="529">
        <v>159674.60999999999</v>
      </c>
      <c r="M165" s="529">
        <v>0</v>
      </c>
      <c r="N165" s="529">
        <v>44</v>
      </c>
      <c r="O165" s="529">
        <v>113566.75</v>
      </c>
      <c r="P165" s="529">
        <v>113566.75</v>
      </c>
      <c r="Q165" s="529">
        <v>0</v>
      </c>
    </row>
    <row r="166" spans="1:17" ht="15.75" customHeight="1" x14ac:dyDescent="0.2">
      <c r="A166" s="529">
        <v>158</v>
      </c>
      <c r="B166" s="529" t="s">
        <v>61</v>
      </c>
      <c r="C166" s="516" t="s">
        <v>67</v>
      </c>
      <c r="D166" s="529" t="s">
        <v>69</v>
      </c>
      <c r="E166" s="529" t="s">
        <v>74</v>
      </c>
      <c r="F166" s="529" t="s">
        <v>321</v>
      </c>
      <c r="G166" s="510" t="s">
        <v>670</v>
      </c>
      <c r="H166" s="529">
        <v>11</v>
      </c>
      <c r="I166" s="529">
        <v>5</v>
      </c>
      <c r="J166" s="529">
        <v>6</v>
      </c>
      <c r="K166" s="529">
        <v>12993.1</v>
      </c>
      <c r="L166" s="529">
        <v>12993.1</v>
      </c>
      <c r="M166" s="529">
        <v>0</v>
      </c>
      <c r="N166" s="529">
        <v>7</v>
      </c>
      <c r="O166" s="529">
        <v>7602.26</v>
      </c>
      <c r="P166" s="529">
        <v>7602.26</v>
      </c>
      <c r="Q166" s="529">
        <v>0</v>
      </c>
    </row>
    <row r="167" spans="1:17" ht="15.75" customHeight="1" x14ac:dyDescent="0.2">
      <c r="A167" s="526">
        <v>159</v>
      </c>
      <c r="B167" s="532" t="s">
        <v>21</v>
      </c>
      <c r="C167" s="533" t="s">
        <v>62</v>
      </c>
      <c r="D167" s="534"/>
      <c r="E167" s="532" t="s">
        <v>674</v>
      </c>
      <c r="F167" s="532" t="s">
        <v>734</v>
      </c>
      <c r="G167" s="532" t="s">
        <v>735</v>
      </c>
      <c r="H167" s="625">
        <v>1</v>
      </c>
      <c r="I167" s="625">
        <v>0</v>
      </c>
      <c r="J167" s="625">
        <v>0</v>
      </c>
      <c r="K167" s="626">
        <v>0</v>
      </c>
      <c r="L167" s="626">
        <v>0</v>
      </c>
      <c r="M167" s="626">
        <v>0</v>
      </c>
      <c r="N167" s="625">
        <v>3</v>
      </c>
      <c r="O167" s="626">
        <v>18538.8</v>
      </c>
      <c r="P167" s="626">
        <v>18538.8</v>
      </c>
      <c r="Q167" s="626">
        <v>0</v>
      </c>
    </row>
    <row r="168" spans="1:17" ht="15.75" customHeight="1" x14ac:dyDescent="0.2">
      <c r="A168" s="526">
        <v>160</v>
      </c>
      <c r="B168" s="532" t="s">
        <v>147</v>
      </c>
      <c r="C168" s="533" t="s">
        <v>62</v>
      </c>
      <c r="D168" s="534"/>
      <c r="E168" s="486" t="s">
        <v>158</v>
      </c>
      <c r="F168" s="532" t="s">
        <v>736</v>
      </c>
      <c r="G168" s="532" t="s">
        <v>706</v>
      </c>
      <c r="H168" s="625">
        <v>1</v>
      </c>
      <c r="I168" s="625">
        <v>1</v>
      </c>
      <c r="J168" s="625">
        <v>1</v>
      </c>
      <c r="K168" s="626">
        <v>1762</v>
      </c>
      <c r="L168" s="626">
        <v>1762</v>
      </c>
      <c r="M168" s="626">
        <v>0</v>
      </c>
      <c r="N168" s="625">
        <v>4</v>
      </c>
      <c r="O168" s="626">
        <v>13328.7</v>
      </c>
      <c r="P168" s="626">
        <v>12783.87</v>
      </c>
      <c r="Q168" s="626">
        <v>544.87</v>
      </c>
    </row>
    <row r="169" spans="1:17" ht="15.75" customHeight="1" x14ac:dyDescent="0.2">
      <c r="A169" s="526">
        <v>161</v>
      </c>
      <c r="B169" s="532" t="s">
        <v>526</v>
      </c>
      <c r="C169" s="533" t="s">
        <v>62</v>
      </c>
      <c r="D169" s="534"/>
      <c r="E169" s="532" t="s">
        <v>760</v>
      </c>
      <c r="F169" s="532" t="s">
        <v>738</v>
      </c>
      <c r="G169" s="532" t="s">
        <v>706</v>
      </c>
      <c r="H169" s="625">
        <v>0</v>
      </c>
      <c r="I169" s="625">
        <v>0</v>
      </c>
      <c r="J169" s="625">
        <v>0</v>
      </c>
      <c r="K169" s="626">
        <v>0</v>
      </c>
      <c r="L169" s="626">
        <v>0</v>
      </c>
      <c r="M169" s="626">
        <v>0</v>
      </c>
      <c r="N169" s="625">
        <v>0</v>
      </c>
      <c r="O169" s="627">
        <v>0</v>
      </c>
      <c r="P169" s="626">
        <v>0</v>
      </c>
      <c r="Q169" s="626">
        <v>0</v>
      </c>
    </row>
    <row r="170" spans="1:17" ht="15.75" customHeight="1" x14ac:dyDescent="0.2">
      <c r="A170" s="526">
        <v>162</v>
      </c>
      <c r="B170" s="532" t="s">
        <v>305</v>
      </c>
      <c r="C170" s="533" t="s">
        <v>62</v>
      </c>
      <c r="D170" s="534"/>
      <c r="E170" s="532" t="s">
        <v>674</v>
      </c>
      <c r="F170" s="532" t="s">
        <v>739</v>
      </c>
      <c r="G170" s="532" t="s">
        <v>706</v>
      </c>
      <c r="H170" s="625">
        <v>4</v>
      </c>
      <c r="I170" s="625">
        <v>4</v>
      </c>
      <c r="J170" s="625">
        <v>5</v>
      </c>
      <c r="K170" s="626">
        <v>14963.4</v>
      </c>
      <c r="L170" s="626">
        <v>10545.1</v>
      </c>
      <c r="M170" s="626">
        <v>4418.3</v>
      </c>
      <c r="N170" s="625">
        <v>0</v>
      </c>
      <c r="O170" s="626">
        <v>0</v>
      </c>
      <c r="P170" s="626">
        <v>0</v>
      </c>
      <c r="Q170" s="626">
        <v>0</v>
      </c>
    </row>
    <row r="171" spans="1:17" ht="15.75" customHeight="1" x14ac:dyDescent="0.2">
      <c r="A171" s="526">
        <v>163</v>
      </c>
      <c r="B171" s="532" t="s">
        <v>407</v>
      </c>
      <c r="C171" s="533" t="s">
        <v>62</v>
      </c>
      <c r="D171" s="534"/>
      <c r="E171" s="532" t="s">
        <v>674</v>
      </c>
      <c r="F171" s="532" t="s">
        <v>740</v>
      </c>
      <c r="G171" s="532" t="s">
        <v>706</v>
      </c>
      <c r="H171" s="625">
        <v>5</v>
      </c>
      <c r="I171" s="625">
        <v>1</v>
      </c>
      <c r="J171" s="625">
        <v>1</v>
      </c>
      <c r="K171" s="626">
        <v>3866.1</v>
      </c>
      <c r="L171" s="626">
        <v>3866.1</v>
      </c>
      <c r="M171" s="626">
        <v>0</v>
      </c>
      <c r="N171" s="625">
        <v>0</v>
      </c>
      <c r="O171" s="626">
        <v>0</v>
      </c>
      <c r="P171" s="626">
        <v>0</v>
      </c>
      <c r="Q171" s="626">
        <v>0</v>
      </c>
    </row>
    <row r="172" spans="1:17" ht="15.75" customHeight="1" x14ac:dyDescent="0.2">
      <c r="A172" s="526">
        <v>164</v>
      </c>
      <c r="B172" s="532" t="s">
        <v>185</v>
      </c>
      <c r="C172" s="533" t="s">
        <v>62</v>
      </c>
      <c r="D172" s="534"/>
      <c r="E172" s="532" t="s">
        <v>674</v>
      </c>
      <c r="F172" s="532" t="s">
        <v>741</v>
      </c>
      <c r="G172" s="532" t="s">
        <v>706</v>
      </c>
      <c r="H172" s="625">
        <v>4</v>
      </c>
      <c r="I172" s="625">
        <v>4</v>
      </c>
      <c r="J172" s="625">
        <v>5</v>
      </c>
      <c r="K172" s="626">
        <v>18336.240000000002</v>
      </c>
      <c r="L172" s="626">
        <v>18336.240000000002</v>
      </c>
      <c r="M172" s="626">
        <v>0</v>
      </c>
      <c r="N172" s="625">
        <v>0</v>
      </c>
      <c r="O172" s="626">
        <v>0</v>
      </c>
      <c r="P172" s="626">
        <v>0</v>
      </c>
      <c r="Q172" s="626">
        <v>0</v>
      </c>
    </row>
    <row r="173" spans="1:17" ht="15.75" customHeight="1" x14ac:dyDescent="0.2">
      <c r="A173" s="526">
        <v>165</v>
      </c>
      <c r="B173" s="532" t="s">
        <v>534</v>
      </c>
      <c r="C173" s="533" t="s">
        <v>62</v>
      </c>
      <c r="D173" s="534"/>
      <c r="E173" s="532" t="s">
        <v>674</v>
      </c>
      <c r="F173" s="532" t="s">
        <v>774</v>
      </c>
      <c r="G173" s="532" t="s">
        <v>706</v>
      </c>
      <c r="H173" s="625">
        <v>1</v>
      </c>
      <c r="I173" s="625">
        <v>0</v>
      </c>
      <c r="J173" s="625">
        <v>0</v>
      </c>
      <c r="K173" s="626">
        <v>0</v>
      </c>
      <c r="L173" s="626">
        <v>0</v>
      </c>
      <c r="M173" s="626">
        <v>0</v>
      </c>
      <c r="N173" s="625">
        <v>0</v>
      </c>
      <c r="O173" s="626">
        <v>0</v>
      </c>
      <c r="P173" s="626">
        <v>0</v>
      </c>
      <c r="Q173" s="626">
        <v>0</v>
      </c>
    </row>
    <row r="174" spans="1:17" ht="15.75" customHeight="1" x14ac:dyDescent="0.2">
      <c r="A174" s="526">
        <v>166</v>
      </c>
      <c r="B174" s="532" t="s">
        <v>104</v>
      </c>
      <c r="C174" s="533" t="s">
        <v>62</v>
      </c>
      <c r="D174" s="534"/>
      <c r="E174" s="490" t="s">
        <v>730</v>
      </c>
      <c r="F174" s="532" t="s">
        <v>743</v>
      </c>
      <c r="G174" s="532" t="s">
        <v>706</v>
      </c>
      <c r="H174" s="625">
        <v>0</v>
      </c>
      <c r="I174" s="625">
        <v>0</v>
      </c>
      <c r="J174" s="625">
        <v>0</v>
      </c>
      <c r="K174" s="626">
        <v>0</v>
      </c>
      <c r="L174" s="626">
        <v>0</v>
      </c>
      <c r="M174" s="626">
        <v>0</v>
      </c>
      <c r="N174" s="625">
        <v>1</v>
      </c>
      <c r="O174" s="626">
        <v>3187.89</v>
      </c>
      <c r="P174" s="626">
        <v>3187.89</v>
      </c>
      <c r="Q174" s="626">
        <v>0</v>
      </c>
    </row>
    <row r="175" spans="1:17" ht="15.75" customHeight="1" x14ac:dyDescent="0.2">
      <c r="A175" s="526">
        <v>167</v>
      </c>
      <c r="B175" s="532" t="s">
        <v>621</v>
      </c>
      <c r="C175" s="533" t="s">
        <v>62</v>
      </c>
      <c r="D175" s="534"/>
      <c r="E175" s="486" t="s">
        <v>158</v>
      </c>
      <c r="F175" s="532" t="s">
        <v>744</v>
      </c>
      <c r="G175" s="532" t="s">
        <v>706</v>
      </c>
      <c r="H175" s="625">
        <v>0</v>
      </c>
      <c r="I175" s="625">
        <v>0</v>
      </c>
      <c r="J175" s="625">
        <v>0</v>
      </c>
      <c r="K175" s="626">
        <v>0</v>
      </c>
      <c r="L175" s="626">
        <v>0</v>
      </c>
      <c r="M175" s="626">
        <v>0</v>
      </c>
      <c r="N175" s="625">
        <v>0</v>
      </c>
      <c r="O175" s="626">
        <v>0</v>
      </c>
      <c r="P175" s="626">
        <v>0</v>
      </c>
      <c r="Q175" s="626">
        <v>0</v>
      </c>
    </row>
    <row r="176" spans="1:17" ht="15.75" customHeight="1" x14ac:dyDescent="0.2">
      <c r="A176" s="526">
        <v>168</v>
      </c>
      <c r="B176" s="484" t="s">
        <v>47</v>
      </c>
      <c r="C176" s="516" t="s">
        <v>62</v>
      </c>
      <c r="D176" s="484"/>
      <c r="E176" s="486" t="s">
        <v>761</v>
      </c>
      <c r="F176" s="486" t="s">
        <v>448</v>
      </c>
      <c r="G176" s="510" t="s">
        <v>142</v>
      </c>
      <c r="H176" s="484">
        <v>8</v>
      </c>
      <c r="I176" s="484">
        <v>6</v>
      </c>
      <c r="J176" s="484">
        <v>6</v>
      </c>
      <c r="K176" s="482">
        <v>11911.2</v>
      </c>
      <c r="L176" s="482">
        <v>11911.2</v>
      </c>
      <c r="M176" s="482">
        <v>0</v>
      </c>
      <c r="N176" s="484">
        <v>26</v>
      </c>
      <c r="O176" s="482">
        <v>47624.72</v>
      </c>
      <c r="P176" s="482">
        <v>47624.72</v>
      </c>
      <c r="Q176" s="482">
        <v>0</v>
      </c>
    </row>
    <row r="177" spans="1:17" ht="15.75" customHeight="1" x14ac:dyDescent="0.2">
      <c r="A177" s="526">
        <v>169</v>
      </c>
      <c r="B177" s="484" t="s">
        <v>55</v>
      </c>
      <c r="C177" s="516" t="s">
        <v>62</v>
      </c>
      <c r="D177" s="484"/>
      <c r="E177" s="486" t="s">
        <v>762</v>
      </c>
      <c r="F177" s="486" t="s">
        <v>449</v>
      </c>
      <c r="G177" s="510" t="s">
        <v>142</v>
      </c>
      <c r="H177" s="484">
        <v>9</v>
      </c>
      <c r="I177" s="484">
        <v>4</v>
      </c>
      <c r="J177" s="484">
        <v>4</v>
      </c>
      <c r="K177" s="482">
        <v>4284.1000000000004</v>
      </c>
      <c r="L177" s="482">
        <v>4284.1000000000004</v>
      </c>
      <c r="M177" s="482">
        <v>0</v>
      </c>
      <c r="N177" s="484">
        <v>14</v>
      </c>
      <c r="O177" s="482">
        <v>29300.9</v>
      </c>
      <c r="P177" s="482">
        <v>29300.9</v>
      </c>
      <c r="Q177" s="482">
        <v>0</v>
      </c>
    </row>
    <row r="178" spans="1:17" ht="15.75" customHeight="1" x14ac:dyDescent="0.2">
      <c r="A178" s="526">
        <v>170</v>
      </c>
      <c r="B178" s="484" t="s">
        <v>122</v>
      </c>
      <c r="C178" s="516" t="s">
        <v>62</v>
      </c>
      <c r="D178" s="484"/>
      <c r="E178" s="486" t="s">
        <v>763</v>
      </c>
      <c r="F178" s="486" t="s">
        <v>450</v>
      </c>
      <c r="G178" s="510" t="s">
        <v>142</v>
      </c>
      <c r="H178" s="484">
        <v>5</v>
      </c>
      <c r="I178" s="484">
        <v>2</v>
      </c>
      <c r="J178" s="484">
        <v>2</v>
      </c>
      <c r="K178" s="482">
        <v>2301.25</v>
      </c>
      <c r="L178" s="482">
        <v>2301.25</v>
      </c>
      <c r="M178" s="482">
        <v>0</v>
      </c>
      <c r="N178" s="484">
        <v>9</v>
      </c>
      <c r="O178" s="482">
        <v>17988.490000000002</v>
      </c>
      <c r="P178" s="482">
        <v>17856.7</v>
      </c>
      <c r="Q178" s="482">
        <v>131.79</v>
      </c>
    </row>
    <row r="179" spans="1:17" ht="15.75" customHeight="1" x14ac:dyDescent="0.2">
      <c r="A179" s="526">
        <v>171</v>
      </c>
      <c r="B179" s="484" t="s">
        <v>144</v>
      </c>
      <c r="C179" s="516" t="s">
        <v>62</v>
      </c>
      <c r="D179" s="484"/>
      <c r="E179" s="486" t="s">
        <v>761</v>
      </c>
      <c r="F179" s="486" t="s">
        <v>451</v>
      </c>
      <c r="G179" s="510" t="s">
        <v>142</v>
      </c>
      <c r="H179" s="484">
        <v>8</v>
      </c>
      <c r="I179" s="484">
        <v>7</v>
      </c>
      <c r="J179" s="484">
        <v>7</v>
      </c>
      <c r="K179" s="482">
        <v>8121.62</v>
      </c>
      <c r="L179" s="482">
        <v>8121.62</v>
      </c>
      <c r="M179" s="482">
        <v>0</v>
      </c>
      <c r="N179" s="484">
        <v>3</v>
      </c>
      <c r="O179" s="482">
        <v>3595.1</v>
      </c>
      <c r="P179" s="482">
        <v>3595.1</v>
      </c>
      <c r="Q179" s="482">
        <v>0</v>
      </c>
    </row>
    <row r="180" spans="1:17" ht="15.75" customHeight="1" x14ac:dyDescent="0.2">
      <c r="A180" s="526">
        <v>172</v>
      </c>
      <c r="B180" s="484" t="s">
        <v>46</v>
      </c>
      <c r="C180" s="516" t="s">
        <v>62</v>
      </c>
      <c r="D180" s="484"/>
      <c r="E180" s="486" t="s">
        <v>764</v>
      </c>
      <c r="F180" s="486" t="s">
        <v>453</v>
      </c>
      <c r="G180" s="510" t="s">
        <v>142</v>
      </c>
      <c r="H180" s="484">
        <v>0</v>
      </c>
      <c r="I180" s="484">
        <v>0</v>
      </c>
      <c r="J180" s="484">
        <v>0</v>
      </c>
      <c r="K180" s="482">
        <v>0</v>
      </c>
      <c r="L180" s="482">
        <v>0</v>
      </c>
      <c r="M180" s="482">
        <v>0</v>
      </c>
      <c r="N180" s="484">
        <v>0</v>
      </c>
      <c r="O180" s="482">
        <v>0</v>
      </c>
      <c r="P180" s="482">
        <v>0</v>
      </c>
      <c r="Q180" s="482">
        <v>0</v>
      </c>
    </row>
    <row r="181" spans="1:17" ht="15.75" customHeight="1" x14ac:dyDescent="0.2">
      <c r="A181" s="526">
        <v>173</v>
      </c>
      <c r="B181" s="484" t="s">
        <v>133</v>
      </c>
      <c r="C181" s="516" t="s">
        <v>67</v>
      </c>
      <c r="D181" s="484" t="s">
        <v>397</v>
      </c>
      <c r="E181" s="486" t="s">
        <v>74</v>
      </c>
      <c r="F181" s="486" t="s">
        <v>593</v>
      </c>
      <c r="G181" s="510" t="s">
        <v>142</v>
      </c>
      <c r="H181" s="484">
        <v>0</v>
      </c>
      <c r="I181" s="484">
        <v>0</v>
      </c>
      <c r="J181" s="484">
        <v>0</v>
      </c>
      <c r="K181" s="482">
        <v>0</v>
      </c>
      <c r="L181" s="482">
        <v>0</v>
      </c>
      <c r="M181" s="482">
        <v>0</v>
      </c>
      <c r="N181" s="484">
        <v>0</v>
      </c>
      <c r="O181" s="482">
        <v>0</v>
      </c>
      <c r="P181" s="482">
        <v>0</v>
      </c>
      <c r="Q181" s="482">
        <v>0</v>
      </c>
    </row>
    <row r="182" spans="1:17" ht="15.75" customHeight="1" x14ac:dyDescent="0.2">
      <c r="A182" s="526">
        <v>174</v>
      </c>
      <c r="B182" s="484" t="s">
        <v>176</v>
      </c>
      <c r="C182" s="516" t="s">
        <v>62</v>
      </c>
      <c r="D182" s="484"/>
      <c r="E182" s="486" t="s">
        <v>765</v>
      </c>
      <c r="F182" s="486" t="s">
        <v>455</v>
      </c>
      <c r="G182" s="510" t="s">
        <v>142</v>
      </c>
      <c r="H182" s="484">
        <v>12</v>
      </c>
      <c r="I182" s="484">
        <v>10</v>
      </c>
      <c r="J182" s="484">
        <v>10</v>
      </c>
      <c r="K182" s="482">
        <v>11360.06</v>
      </c>
      <c r="L182" s="482">
        <v>11360.06</v>
      </c>
      <c r="M182" s="482">
        <v>0</v>
      </c>
      <c r="N182" s="484">
        <v>0</v>
      </c>
      <c r="O182" s="482">
        <v>0</v>
      </c>
      <c r="P182" s="482">
        <v>0</v>
      </c>
      <c r="Q182" s="482">
        <v>0</v>
      </c>
    </row>
    <row r="183" spans="1:17" ht="15.75" customHeight="1" x14ac:dyDescent="0.2">
      <c r="A183" s="526">
        <v>175</v>
      </c>
      <c r="B183" s="484" t="s">
        <v>235</v>
      </c>
      <c r="C183" s="516" t="s">
        <v>62</v>
      </c>
      <c r="D183" s="484"/>
      <c r="E183" s="486" t="s">
        <v>766</v>
      </c>
      <c r="F183" s="486" t="s">
        <v>457</v>
      </c>
      <c r="G183" s="510" t="s">
        <v>142</v>
      </c>
      <c r="H183" s="484">
        <v>4</v>
      </c>
      <c r="I183" s="484">
        <v>3</v>
      </c>
      <c r="J183" s="484">
        <v>3</v>
      </c>
      <c r="K183" s="482">
        <v>2269.65</v>
      </c>
      <c r="L183" s="482">
        <v>2269.65</v>
      </c>
      <c r="M183" s="482">
        <v>0</v>
      </c>
      <c r="N183" s="484">
        <v>0</v>
      </c>
      <c r="O183" s="482">
        <v>0</v>
      </c>
      <c r="P183" s="482">
        <v>0</v>
      </c>
      <c r="Q183" s="482">
        <v>0</v>
      </c>
    </row>
    <row r="184" spans="1:17" ht="15.75" customHeight="1" x14ac:dyDescent="0.2">
      <c r="A184" s="526">
        <v>176</v>
      </c>
      <c r="B184" s="484" t="s">
        <v>251</v>
      </c>
      <c r="C184" s="516" t="s">
        <v>62</v>
      </c>
      <c r="D184" s="484"/>
      <c r="E184" s="486" t="s">
        <v>761</v>
      </c>
      <c r="F184" s="486" t="s">
        <v>458</v>
      </c>
      <c r="G184" s="510" t="s">
        <v>142</v>
      </c>
      <c r="H184" s="484">
        <v>6</v>
      </c>
      <c r="I184" s="484">
        <v>3</v>
      </c>
      <c r="J184" s="484">
        <v>3</v>
      </c>
      <c r="K184" s="482">
        <v>3434.7</v>
      </c>
      <c r="L184" s="482">
        <v>3434.7</v>
      </c>
      <c r="M184" s="482">
        <v>0</v>
      </c>
      <c r="N184" s="484">
        <v>0</v>
      </c>
      <c r="O184" s="482">
        <v>0</v>
      </c>
      <c r="P184" s="482">
        <v>0</v>
      </c>
      <c r="Q184" s="482">
        <v>0</v>
      </c>
    </row>
    <row r="185" spans="1:17" ht="15.75" customHeight="1" x14ac:dyDescent="0.2">
      <c r="A185" s="526">
        <v>177</v>
      </c>
      <c r="B185" s="484" t="s">
        <v>30</v>
      </c>
      <c r="C185" s="516" t="s">
        <v>62</v>
      </c>
      <c r="D185" s="484"/>
      <c r="E185" s="486" t="s">
        <v>767</v>
      </c>
      <c r="F185" s="486" t="s">
        <v>460</v>
      </c>
      <c r="G185" s="510" t="s">
        <v>142</v>
      </c>
      <c r="H185" s="484">
        <v>1</v>
      </c>
      <c r="I185" s="484">
        <v>0</v>
      </c>
      <c r="J185" s="484">
        <v>0</v>
      </c>
      <c r="K185" s="482">
        <v>0</v>
      </c>
      <c r="L185" s="482">
        <v>0</v>
      </c>
      <c r="M185" s="482">
        <v>0</v>
      </c>
      <c r="N185" s="484">
        <v>0</v>
      </c>
      <c r="O185" s="482">
        <v>0</v>
      </c>
      <c r="P185" s="482">
        <v>0</v>
      </c>
      <c r="Q185" s="482">
        <v>0</v>
      </c>
    </row>
    <row r="186" spans="1:17" ht="15.75" customHeight="1" x14ac:dyDescent="0.2">
      <c r="A186" s="526">
        <v>178</v>
      </c>
      <c r="B186" s="484" t="s">
        <v>35</v>
      </c>
      <c r="C186" s="516" t="s">
        <v>62</v>
      </c>
      <c r="D186" s="484"/>
      <c r="E186" s="486" t="s">
        <v>768</v>
      </c>
      <c r="F186" s="486" t="s">
        <v>462</v>
      </c>
      <c r="G186" s="510" t="s">
        <v>142</v>
      </c>
      <c r="H186" s="484">
        <v>1</v>
      </c>
      <c r="I186" s="484">
        <v>0</v>
      </c>
      <c r="J186" s="484">
        <v>0</v>
      </c>
      <c r="K186" s="482">
        <v>0</v>
      </c>
      <c r="L186" s="482">
        <v>0</v>
      </c>
      <c r="M186" s="482">
        <v>0</v>
      </c>
      <c r="N186" s="484">
        <v>0</v>
      </c>
      <c r="O186" s="482">
        <v>0</v>
      </c>
      <c r="P186" s="482">
        <v>0</v>
      </c>
      <c r="Q186" s="482">
        <v>0</v>
      </c>
    </row>
    <row r="187" spans="1:17" ht="15.75" customHeight="1" x14ac:dyDescent="0.2">
      <c r="A187" s="526">
        <v>179</v>
      </c>
      <c r="B187" s="484" t="s">
        <v>769</v>
      </c>
      <c r="C187" s="516" t="s">
        <v>62</v>
      </c>
      <c r="D187" s="484"/>
      <c r="E187" s="486" t="s">
        <v>779</v>
      </c>
      <c r="F187" s="486" t="s">
        <v>771</v>
      </c>
      <c r="G187" s="510" t="s">
        <v>142</v>
      </c>
      <c r="H187" s="484">
        <v>1</v>
      </c>
      <c r="I187" s="484">
        <v>0</v>
      </c>
      <c r="J187" s="484">
        <v>0</v>
      </c>
      <c r="K187" s="482">
        <v>0</v>
      </c>
      <c r="L187" s="482">
        <v>0</v>
      </c>
      <c r="M187" s="482">
        <v>0</v>
      </c>
      <c r="N187" s="484">
        <v>0</v>
      </c>
      <c r="O187" s="482">
        <v>0</v>
      </c>
      <c r="P187" s="482">
        <v>0</v>
      </c>
      <c r="Q187" s="482">
        <v>0</v>
      </c>
    </row>
    <row r="188" spans="1:17" ht="15.75" customHeight="1" x14ac:dyDescent="0.2">
      <c r="A188" s="526">
        <v>180</v>
      </c>
      <c r="B188" s="556" t="s">
        <v>134</v>
      </c>
      <c r="C188" s="557" t="s">
        <v>62</v>
      </c>
      <c r="D188" s="558"/>
      <c r="E188" s="486" t="s">
        <v>158</v>
      </c>
      <c r="F188" s="556" t="s">
        <v>408</v>
      </c>
      <c r="G188" s="556" t="s">
        <v>409</v>
      </c>
      <c r="H188" s="550">
        <v>28</v>
      </c>
      <c r="I188" s="550">
        <v>11</v>
      </c>
      <c r="J188" s="550">
        <v>11</v>
      </c>
      <c r="K188" s="551">
        <v>11668.56</v>
      </c>
      <c r="L188" s="551">
        <v>11668.56</v>
      </c>
      <c r="M188" s="482">
        <v>0</v>
      </c>
      <c r="N188" s="550">
        <v>10</v>
      </c>
      <c r="O188" s="551">
        <v>24976.5</v>
      </c>
      <c r="P188" s="551">
        <v>24976.5</v>
      </c>
      <c r="Q188" s="482">
        <v>0</v>
      </c>
    </row>
    <row r="189" spans="1:17" ht="15.75" customHeight="1" x14ac:dyDescent="0.2">
      <c r="A189" s="526">
        <v>181</v>
      </c>
      <c r="B189" s="556" t="s">
        <v>335</v>
      </c>
      <c r="C189" s="557" t="s">
        <v>62</v>
      </c>
      <c r="D189" s="558"/>
      <c r="E189" s="486" t="s">
        <v>158</v>
      </c>
      <c r="F189" s="556" t="s">
        <v>410</v>
      </c>
      <c r="G189" s="556" t="s">
        <v>409</v>
      </c>
      <c r="H189" s="550">
        <v>18</v>
      </c>
      <c r="I189" s="550">
        <v>4</v>
      </c>
      <c r="J189" s="550">
        <v>4</v>
      </c>
      <c r="K189" s="551">
        <v>10075.39</v>
      </c>
      <c r="L189" s="551">
        <v>10075.39</v>
      </c>
      <c r="M189" s="482">
        <v>0</v>
      </c>
      <c r="N189" s="550">
        <v>13</v>
      </c>
      <c r="O189" s="551">
        <v>20140.7</v>
      </c>
      <c r="P189" s="551">
        <v>20140.7</v>
      </c>
      <c r="Q189" s="482">
        <v>0</v>
      </c>
    </row>
    <row r="190" spans="1:17" ht="15.75" customHeight="1" x14ac:dyDescent="0.2">
      <c r="A190" s="526">
        <v>182</v>
      </c>
      <c r="B190" s="556" t="s">
        <v>46</v>
      </c>
      <c r="C190" s="557" t="s">
        <v>62</v>
      </c>
      <c r="D190" s="558"/>
      <c r="E190" s="486" t="s">
        <v>678</v>
      </c>
      <c r="F190" s="556" t="s">
        <v>411</v>
      </c>
      <c r="G190" s="556" t="s">
        <v>409</v>
      </c>
      <c r="H190" s="550">
        <v>41</v>
      </c>
      <c r="I190" s="550">
        <v>25</v>
      </c>
      <c r="J190" s="550">
        <v>25</v>
      </c>
      <c r="K190" s="551">
        <v>43817.5</v>
      </c>
      <c r="L190" s="551">
        <v>43817.5</v>
      </c>
      <c r="M190" s="482">
        <v>0</v>
      </c>
      <c r="N190" s="550">
        <v>22</v>
      </c>
      <c r="O190" s="551">
        <v>36901.160000000003</v>
      </c>
      <c r="P190" s="551">
        <v>36901.160000000003</v>
      </c>
      <c r="Q190" s="482">
        <v>0</v>
      </c>
    </row>
    <row r="191" spans="1:17" ht="15.75" customHeight="1" x14ac:dyDescent="0.2">
      <c r="A191" s="526">
        <v>183</v>
      </c>
      <c r="B191" s="556" t="s">
        <v>36</v>
      </c>
      <c r="C191" s="557" t="s">
        <v>62</v>
      </c>
      <c r="D191" s="558"/>
      <c r="E191" s="486" t="s">
        <v>158</v>
      </c>
      <c r="F191" s="556" t="s">
        <v>412</v>
      </c>
      <c r="G191" s="556" t="s">
        <v>409</v>
      </c>
      <c r="H191" s="550">
        <v>29</v>
      </c>
      <c r="I191" s="550">
        <v>20</v>
      </c>
      <c r="J191" s="550">
        <v>20</v>
      </c>
      <c r="K191" s="551">
        <v>36461.949999999997</v>
      </c>
      <c r="L191" s="551">
        <v>36461.949999999997</v>
      </c>
      <c r="M191" s="482">
        <v>0</v>
      </c>
      <c r="N191" s="550">
        <v>25</v>
      </c>
      <c r="O191" s="551">
        <v>70762.62</v>
      </c>
      <c r="P191" s="551">
        <v>70762.62</v>
      </c>
      <c r="Q191" s="482">
        <v>0</v>
      </c>
    </row>
    <row r="192" spans="1:17" ht="15.75" customHeight="1" x14ac:dyDescent="0.2">
      <c r="A192" s="526">
        <v>184</v>
      </c>
      <c r="B192" s="556" t="s">
        <v>27</v>
      </c>
      <c r="C192" s="557" t="s">
        <v>62</v>
      </c>
      <c r="D192" s="558"/>
      <c r="E192" s="486" t="s">
        <v>158</v>
      </c>
      <c r="F192" s="556" t="s">
        <v>413</v>
      </c>
      <c r="G192" s="556" t="s">
        <v>409</v>
      </c>
      <c r="H192" s="550">
        <v>12</v>
      </c>
      <c r="I192" s="550">
        <v>9</v>
      </c>
      <c r="J192" s="550">
        <v>9</v>
      </c>
      <c r="K192" s="551">
        <v>15819.14</v>
      </c>
      <c r="L192" s="551">
        <v>15169.37</v>
      </c>
      <c r="M192" s="482">
        <v>649.77</v>
      </c>
      <c r="N192" s="550">
        <v>10</v>
      </c>
      <c r="O192" s="551">
        <v>19563.2</v>
      </c>
      <c r="P192" s="551">
        <v>19563.2</v>
      </c>
      <c r="Q192" s="482">
        <v>0</v>
      </c>
    </row>
    <row r="193" spans="1:17" ht="15.75" customHeight="1" x14ac:dyDescent="0.2">
      <c r="A193" s="526">
        <v>185</v>
      </c>
      <c r="B193" s="556" t="s">
        <v>28</v>
      </c>
      <c r="C193" s="557" t="s">
        <v>62</v>
      </c>
      <c r="D193" s="558"/>
      <c r="E193" s="486" t="s">
        <v>158</v>
      </c>
      <c r="F193" s="556" t="s">
        <v>414</v>
      </c>
      <c r="G193" s="556" t="s">
        <v>409</v>
      </c>
      <c r="H193" s="550">
        <v>31</v>
      </c>
      <c r="I193" s="550">
        <v>21</v>
      </c>
      <c r="J193" s="550">
        <v>21</v>
      </c>
      <c r="K193" s="551">
        <v>31030.02</v>
      </c>
      <c r="L193" s="551">
        <v>31030.02</v>
      </c>
      <c r="M193" s="482">
        <v>0</v>
      </c>
      <c r="N193" s="550">
        <v>16</v>
      </c>
      <c r="O193" s="551">
        <v>26212.25</v>
      </c>
      <c r="P193" s="551">
        <v>26212.25</v>
      </c>
      <c r="Q193" s="482">
        <v>0</v>
      </c>
    </row>
    <row r="194" spans="1:17" ht="15.75" customHeight="1" x14ac:dyDescent="0.2">
      <c r="A194" s="526">
        <v>186</v>
      </c>
      <c r="B194" s="532" t="s">
        <v>246</v>
      </c>
      <c r="C194" s="533" t="s">
        <v>62</v>
      </c>
      <c r="D194" s="534"/>
      <c r="E194" s="486" t="s">
        <v>158</v>
      </c>
      <c r="F194" s="532" t="s">
        <v>415</v>
      </c>
      <c r="G194" s="556" t="s">
        <v>409</v>
      </c>
      <c r="H194" s="550">
        <v>27</v>
      </c>
      <c r="I194" s="550">
        <v>7</v>
      </c>
      <c r="J194" s="550">
        <v>7</v>
      </c>
      <c r="K194" s="551">
        <v>7611.84</v>
      </c>
      <c r="L194" s="551">
        <v>7611.84</v>
      </c>
      <c r="M194" s="482">
        <v>0</v>
      </c>
      <c r="N194" s="550">
        <v>0</v>
      </c>
      <c r="O194" s="551">
        <v>0</v>
      </c>
      <c r="P194" s="551">
        <v>0</v>
      </c>
      <c r="Q194" s="482">
        <v>0</v>
      </c>
    </row>
    <row r="195" spans="1:17" ht="15.75" customHeight="1" x14ac:dyDescent="0.2">
      <c r="A195" s="526">
        <v>187</v>
      </c>
      <c r="B195" s="556" t="s">
        <v>330</v>
      </c>
      <c r="C195" s="533" t="s">
        <v>62</v>
      </c>
      <c r="D195" s="534"/>
      <c r="E195" s="486" t="s">
        <v>158</v>
      </c>
      <c r="F195" s="532" t="s">
        <v>416</v>
      </c>
      <c r="G195" s="556" t="s">
        <v>409</v>
      </c>
      <c r="H195" s="550">
        <v>10</v>
      </c>
      <c r="I195" s="550">
        <v>2</v>
      </c>
      <c r="J195" s="550">
        <v>2</v>
      </c>
      <c r="K195" s="551">
        <v>4050.2</v>
      </c>
      <c r="L195" s="551">
        <v>4050.2</v>
      </c>
      <c r="M195" s="482">
        <v>0</v>
      </c>
      <c r="N195" s="550">
        <v>0</v>
      </c>
      <c r="O195" s="551">
        <v>0</v>
      </c>
      <c r="P195" s="551">
        <v>0</v>
      </c>
      <c r="Q195" s="482">
        <v>0</v>
      </c>
    </row>
    <row r="196" spans="1:17" ht="15.75" customHeight="1" x14ac:dyDescent="0.2">
      <c r="A196" s="526">
        <v>188</v>
      </c>
      <c r="B196" s="556" t="s">
        <v>402</v>
      </c>
      <c r="C196" s="533" t="s">
        <v>62</v>
      </c>
      <c r="D196" s="534"/>
      <c r="E196" s="486" t="s">
        <v>158</v>
      </c>
      <c r="F196" s="532" t="s">
        <v>417</v>
      </c>
      <c r="G196" s="556" t="s">
        <v>409</v>
      </c>
      <c r="H196" s="550">
        <v>23</v>
      </c>
      <c r="I196" s="550">
        <v>14</v>
      </c>
      <c r="J196" s="550">
        <v>14</v>
      </c>
      <c r="K196" s="551">
        <v>28917.64</v>
      </c>
      <c r="L196" s="551">
        <v>28917.64</v>
      </c>
      <c r="M196" s="482">
        <v>0</v>
      </c>
      <c r="N196" s="550">
        <v>0</v>
      </c>
      <c r="O196" s="551">
        <v>0</v>
      </c>
      <c r="P196" s="551">
        <v>0</v>
      </c>
      <c r="Q196" s="482">
        <v>0</v>
      </c>
    </row>
    <row r="197" spans="1:17" ht="15.75" customHeight="1" x14ac:dyDescent="0.2">
      <c r="A197" s="526">
        <v>189</v>
      </c>
      <c r="B197" s="556" t="s">
        <v>154</v>
      </c>
      <c r="C197" s="533" t="s">
        <v>62</v>
      </c>
      <c r="D197" s="534"/>
      <c r="E197" s="556" t="s">
        <v>158</v>
      </c>
      <c r="F197" s="532" t="s">
        <v>418</v>
      </c>
      <c r="G197" s="556" t="s">
        <v>409</v>
      </c>
      <c r="H197" s="550">
        <v>11</v>
      </c>
      <c r="I197" s="550">
        <v>3</v>
      </c>
      <c r="J197" s="550">
        <v>3</v>
      </c>
      <c r="K197" s="551">
        <v>4422.95</v>
      </c>
      <c r="L197" s="551">
        <v>4422.95</v>
      </c>
      <c r="M197" s="482">
        <v>0</v>
      </c>
      <c r="N197" s="550">
        <v>9</v>
      </c>
      <c r="O197" s="551">
        <v>14857.9</v>
      </c>
      <c r="P197" s="551">
        <v>14857.9</v>
      </c>
      <c r="Q197" s="482">
        <v>0</v>
      </c>
    </row>
    <row r="198" spans="1:17" ht="15.75" customHeight="1" x14ac:dyDescent="0.2">
      <c r="A198" s="526">
        <v>190</v>
      </c>
      <c r="B198" s="556" t="s">
        <v>153</v>
      </c>
      <c r="C198" s="533" t="s">
        <v>62</v>
      </c>
      <c r="D198" s="534"/>
      <c r="E198" s="486" t="s">
        <v>158</v>
      </c>
      <c r="F198" s="532" t="s">
        <v>419</v>
      </c>
      <c r="G198" s="556" t="s">
        <v>409</v>
      </c>
      <c r="H198" s="550">
        <v>4</v>
      </c>
      <c r="I198" s="550">
        <v>1</v>
      </c>
      <c r="J198" s="550">
        <v>1</v>
      </c>
      <c r="K198" s="551">
        <v>1635.8</v>
      </c>
      <c r="L198" s="551">
        <v>1635.8</v>
      </c>
      <c r="M198" s="482">
        <v>0</v>
      </c>
      <c r="N198" s="550">
        <v>18</v>
      </c>
      <c r="O198" s="551">
        <v>63052.81</v>
      </c>
      <c r="P198" s="551">
        <v>63052.81</v>
      </c>
      <c r="Q198" s="482">
        <v>0</v>
      </c>
    </row>
    <row r="199" spans="1:17" ht="15.75" customHeight="1" x14ac:dyDescent="0.2">
      <c r="A199" s="526">
        <v>191</v>
      </c>
      <c r="B199" s="556" t="s">
        <v>89</v>
      </c>
      <c r="C199" s="533" t="s">
        <v>62</v>
      </c>
      <c r="D199" s="534"/>
      <c r="E199" s="486" t="s">
        <v>158</v>
      </c>
      <c r="F199" s="532" t="s">
        <v>420</v>
      </c>
      <c r="G199" s="556" t="s">
        <v>409</v>
      </c>
      <c r="H199" s="550">
        <v>14</v>
      </c>
      <c r="I199" s="550">
        <v>7</v>
      </c>
      <c r="J199" s="550">
        <v>7</v>
      </c>
      <c r="K199" s="551">
        <v>11093.25</v>
      </c>
      <c r="L199" s="551">
        <v>11093.25</v>
      </c>
      <c r="M199" s="482">
        <v>0</v>
      </c>
      <c r="N199" s="550">
        <v>4</v>
      </c>
      <c r="O199" s="551">
        <v>12828.6</v>
      </c>
      <c r="P199" s="551">
        <v>12828.6</v>
      </c>
      <c r="Q199" s="482">
        <v>0</v>
      </c>
    </row>
    <row r="200" spans="1:17" ht="15.75" customHeight="1" x14ac:dyDescent="0.2">
      <c r="A200" s="526">
        <v>192</v>
      </c>
      <c r="B200" s="556" t="s">
        <v>379</v>
      </c>
      <c r="C200" s="533" t="s">
        <v>62</v>
      </c>
      <c r="D200" s="534"/>
      <c r="E200" s="486" t="s">
        <v>158</v>
      </c>
      <c r="F200" s="532" t="s">
        <v>421</v>
      </c>
      <c r="G200" s="556" t="s">
        <v>409</v>
      </c>
      <c r="H200" s="550">
        <v>10</v>
      </c>
      <c r="I200" s="550">
        <v>6</v>
      </c>
      <c r="J200" s="550">
        <v>6</v>
      </c>
      <c r="K200" s="551">
        <v>7132.7</v>
      </c>
      <c r="L200" s="551">
        <v>7132.7</v>
      </c>
      <c r="M200" s="482">
        <v>0</v>
      </c>
      <c r="N200" s="550">
        <v>0</v>
      </c>
      <c r="O200" s="551">
        <v>0</v>
      </c>
      <c r="P200" s="551">
        <v>0</v>
      </c>
      <c r="Q200" s="482">
        <v>0</v>
      </c>
    </row>
    <row r="201" spans="1:17" ht="15.75" customHeight="1" x14ac:dyDescent="0.2">
      <c r="A201" s="526">
        <v>193</v>
      </c>
      <c r="B201" s="556" t="s">
        <v>264</v>
      </c>
      <c r="C201" s="533" t="s">
        <v>62</v>
      </c>
      <c r="D201" s="534"/>
      <c r="E201" s="486" t="s">
        <v>158</v>
      </c>
      <c r="F201" s="532" t="s">
        <v>422</v>
      </c>
      <c r="G201" s="556" t="s">
        <v>409</v>
      </c>
      <c r="H201" s="550">
        <v>3</v>
      </c>
      <c r="I201" s="550">
        <v>0</v>
      </c>
      <c r="J201" s="550">
        <v>0</v>
      </c>
      <c r="K201" s="551">
        <v>0</v>
      </c>
      <c r="L201" s="551">
        <v>0</v>
      </c>
      <c r="M201" s="482">
        <v>0</v>
      </c>
      <c r="N201" s="550">
        <v>0</v>
      </c>
      <c r="O201" s="551">
        <v>0</v>
      </c>
      <c r="P201" s="551">
        <v>0</v>
      </c>
      <c r="Q201" s="482">
        <v>0</v>
      </c>
    </row>
    <row r="202" spans="1:17" ht="15.75" customHeight="1" x14ac:dyDescent="0.2">
      <c r="A202" s="526">
        <v>194</v>
      </c>
      <c r="B202" s="556" t="s">
        <v>475</v>
      </c>
      <c r="C202" s="533" t="s">
        <v>67</v>
      </c>
      <c r="D202" s="558" t="s">
        <v>123</v>
      </c>
      <c r="E202" s="556" t="s">
        <v>158</v>
      </c>
      <c r="F202" s="532" t="s">
        <v>423</v>
      </c>
      <c r="G202" s="556" t="s">
        <v>409</v>
      </c>
      <c r="H202" s="550">
        <v>3</v>
      </c>
      <c r="I202" s="550">
        <v>0</v>
      </c>
      <c r="J202" s="550">
        <v>0</v>
      </c>
      <c r="K202" s="551">
        <v>0</v>
      </c>
      <c r="L202" s="551">
        <v>0</v>
      </c>
      <c r="M202" s="482">
        <v>0</v>
      </c>
      <c r="N202" s="550">
        <v>0</v>
      </c>
      <c r="O202" s="551">
        <v>0</v>
      </c>
      <c r="P202" s="551">
        <v>0</v>
      </c>
      <c r="Q202" s="482">
        <v>0</v>
      </c>
    </row>
    <row r="203" spans="1:17" ht="15.75" customHeight="1" x14ac:dyDescent="0.2">
      <c r="A203" s="526">
        <v>195</v>
      </c>
      <c r="B203" s="556" t="s">
        <v>137</v>
      </c>
      <c r="C203" s="533" t="s">
        <v>62</v>
      </c>
      <c r="D203" s="534"/>
      <c r="E203" s="556" t="s">
        <v>158</v>
      </c>
      <c r="F203" s="532" t="s">
        <v>424</v>
      </c>
      <c r="G203" s="556" t="s">
        <v>409</v>
      </c>
      <c r="H203" s="550">
        <v>6</v>
      </c>
      <c r="I203" s="550">
        <v>2</v>
      </c>
      <c r="J203" s="550">
        <v>2</v>
      </c>
      <c r="K203" s="551">
        <v>2243.8200000000002</v>
      </c>
      <c r="L203" s="551">
        <v>2243.8200000000002</v>
      </c>
      <c r="M203" s="482">
        <v>0</v>
      </c>
      <c r="N203" s="550">
        <v>1</v>
      </c>
      <c r="O203" s="551">
        <v>2393.3000000000002</v>
      </c>
      <c r="P203" s="551">
        <v>2393.3000000000002</v>
      </c>
      <c r="Q203" s="482">
        <v>0</v>
      </c>
    </row>
    <row r="204" spans="1:17" ht="15.75" customHeight="1" x14ac:dyDescent="0.2">
      <c r="A204" s="526">
        <v>196</v>
      </c>
      <c r="B204" s="556" t="s">
        <v>173</v>
      </c>
      <c r="C204" s="533" t="s">
        <v>67</v>
      </c>
      <c r="D204" s="484" t="s">
        <v>478</v>
      </c>
      <c r="E204" s="486" t="s">
        <v>158</v>
      </c>
      <c r="F204" s="532" t="s">
        <v>426</v>
      </c>
      <c r="G204" s="556" t="s">
        <v>409</v>
      </c>
      <c r="H204" s="550">
        <v>14</v>
      </c>
      <c r="I204" s="550">
        <v>8</v>
      </c>
      <c r="J204" s="550">
        <v>8</v>
      </c>
      <c r="K204" s="551">
        <v>13701.62</v>
      </c>
      <c r="L204" s="551">
        <v>13701.62</v>
      </c>
      <c r="M204" s="482">
        <v>0</v>
      </c>
      <c r="N204" s="550">
        <v>0</v>
      </c>
      <c r="O204" s="551">
        <v>0</v>
      </c>
      <c r="P204" s="551">
        <v>0</v>
      </c>
      <c r="Q204" s="482">
        <v>0</v>
      </c>
    </row>
    <row r="205" spans="1:17" ht="15.75" customHeight="1" x14ac:dyDescent="0.2">
      <c r="A205" s="526">
        <v>197</v>
      </c>
      <c r="B205" s="556" t="s">
        <v>135</v>
      </c>
      <c r="C205" s="533" t="s">
        <v>62</v>
      </c>
      <c r="D205" s="534"/>
      <c r="E205" s="486" t="s">
        <v>158</v>
      </c>
      <c r="F205" s="532" t="s">
        <v>427</v>
      </c>
      <c r="G205" s="556" t="s">
        <v>409</v>
      </c>
      <c r="H205" s="550">
        <v>7</v>
      </c>
      <c r="I205" s="550">
        <v>3</v>
      </c>
      <c r="J205" s="550">
        <v>3</v>
      </c>
      <c r="K205" s="551">
        <v>3524.92</v>
      </c>
      <c r="L205" s="551">
        <v>2396.3200000000002</v>
      </c>
      <c r="M205" s="482">
        <v>1128.5999999999999</v>
      </c>
      <c r="N205" s="550">
        <v>13</v>
      </c>
      <c r="O205" s="551">
        <v>29153.119999999999</v>
      </c>
      <c r="P205" s="551">
        <v>21917.97</v>
      </c>
      <c r="Q205" s="482">
        <v>7235.15</v>
      </c>
    </row>
    <row r="206" spans="1:17" ht="15.75" customHeight="1" x14ac:dyDescent="0.2">
      <c r="A206" s="526">
        <v>198</v>
      </c>
      <c r="B206" s="556" t="s">
        <v>148</v>
      </c>
      <c r="C206" s="533" t="s">
        <v>62</v>
      </c>
      <c r="D206" s="534"/>
      <c r="E206" s="556" t="s">
        <v>719</v>
      </c>
      <c r="F206" s="532" t="s">
        <v>375</v>
      </c>
      <c r="G206" s="556" t="s">
        <v>409</v>
      </c>
      <c r="H206" s="550">
        <v>26</v>
      </c>
      <c r="I206" s="550">
        <v>20</v>
      </c>
      <c r="J206" s="550">
        <v>20</v>
      </c>
      <c r="K206" s="551">
        <v>58526.37</v>
      </c>
      <c r="L206" s="551">
        <v>58526.37</v>
      </c>
      <c r="M206" s="482">
        <v>0</v>
      </c>
      <c r="N206" s="550">
        <v>30</v>
      </c>
      <c r="O206" s="551">
        <v>92970.89</v>
      </c>
      <c r="P206" s="551">
        <v>92970.89</v>
      </c>
      <c r="Q206" s="482">
        <v>0</v>
      </c>
    </row>
    <row r="207" spans="1:17" ht="15.75" customHeight="1" x14ac:dyDescent="0.2">
      <c r="A207" s="526">
        <v>199</v>
      </c>
      <c r="B207" s="556" t="s">
        <v>147</v>
      </c>
      <c r="C207" s="533" t="s">
        <v>62</v>
      </c>
      <c r="D207" s="534"/>
      <c r="E207" s="486" t="s">
        <v>158</v>
      </c>
      <c r="F207" s="532" t="s">
        <v>331</v>
      </c>
      <c r="G207" s="556" t="s">
        <v>409</v>
      </c>
      <c r="H207" s="550">
        <v>10</v>
      </c>
      <c r="I207" s="550">
        <v>3</v>
      </c>
      <c r="J207" s="550">
        <v>3</v>
      </c>
      <c r="K207" s="551">
        <v>6204.1</v>
      </c>
      <c r="L207" s="551">
        <v>4915.3999999999996</v>
      </c>
      <c r="M207" s="482">
        <v>1288.7</v>
      </c>
      <c r="N207" s="550">
        <v>10</v>
      </c>
      <c r="O207" s="551">
        <v>22395.4</v>
      </c>
      <c r="P207" s="551">
        <v>22395.4</v>
      </c>
      <c r="Q207" s="482">
        <v>0</v>
      </c>
    </row>
    <row r="208" spans="1:17" ht="15.75" customHeight="1" x14ac:dyDescent="0.2">
      <c r="A208" s="526">
        <v>200</v>
      </c>
      <c r="B208" s="556" t="s">
        <v>124</v>
      </c>
      <c r="C208" s="533" t="s">
        <v>62</v>
      </c>
      <c r="D208" s="534"/>
      <c r="E208" s="556" t="s">
        <v>720</v>
      </c>
      <c r="F208" s="532" t="s">
        <v>329</v>
      </c>
      <c r="G208" s="556" t="s">
        <v>409</v>
      </c>
      <c r="H208" s="550">
        <v>17</v>
      </c>
      <c r="I208" s="550">
        <v>11</v>
      </c>
      <c r="J208" s="550">
        <v>11</v>
      </c>
      <c r="K208" s="551">
        <v>14887.37</v>
      </c>
      <c r="L208" s="551">
        <v>14887.37</v>
      </c>
      <c r="M208" s="482">
        <v>0</v>
      </c>
      <c r="N208" s="550">
        <v>26</v>
      </c>
      <c r="O208" s="551">
        <v>35829.449999999997</v>
      </c>
      <c r="P208" s="551">
        <v>35829.449999999997</v>
      </c>
      <c r="Q208" s="482">
        <v>0</v>
      </c>
    </row>
    <row r="209" spans="1:17" ht="15.75" customHeight="1" x14ac:dyDescent="0.2">
      <c r="A209" s="526">
        <v>201</v>
      </c>
      <c r="B209" s="556" t="s">
        <v>168</v>
      </c>
      <c r="C209" s="533" t="s">
        <v>62</v>
      </c>
      <c r="D209" s="534"/>
      <c r="E209" s="532" t="s">
        <v>371</v>
      </c>
      <c r="F209" s="532" t="s">
        <v>353</v>
      </c>
      <c r="G209" s="556" t="s">
        <v>409</v>
      </c>
      <c r="H209" s="550">
        <v>11</v>
      </c>
      <c r="I209" s="550">
        <v>1</v>
      </c>
      <c r="J209" s="550">
        <v>1</v>
      </c>
      <c r="K209" s="551">
        <v>1409.6</v>
      </c>
      <c r="L209" s="551">
        <v>1409.6</v>
      </c>
      <c r="M209" s="482">
        <v>0</v>
      </c>
      <c r="N209" s="550">
        <v>0</v>
      </c>
      <c r="O209" s="551">
        <v>0</v>
      </c>
      <c r="P209" s="551">
        <v>0</v>
      </c>
      <c r="Q209" s="482">
        <v>0</v>
      </c>
    </row>
    <row r="210" spans="1:17" ht="15.75" customHeight="1" x14ac:dyDescent="0.2">
      <c r="A210" s="526">
        <v>202</v>
      </c>
      <c r="B210" s="556" t="s">
        <v>429</v>
      </c>
      <c r="C210" s="533" t="s">
        <v>62</v>
      </c>
      <c r="D210" s="534"/>
      <c r="E210" s="486" t="s">
        <v>158</v>
      </c>
      <c r="F210" s="532" t="s">
        <v>430</v>
      </c>
      <c r="G210" s="556" t="s">
        <v>409</v>
      </c>
      <c r="H210" s="550">
        <v>10</v>
      </c>
      <c r="I210" s="550">
        <v>3</v>
      </c>
      <c r="J210" s="550">
        <v>3</v>
      </c>
      <c r="K210" s="551">
        <v>5178.84</v>
      </c>
      <c r="L210" s="551">
        <v>5178.84</v>
      </c>
      <c r="M210" s="482">
        <v>0</v>
      </c>
      <c r="N210" s="550">
        <v>7</v>
      </c>
      <c r="O210" s="551">
        <v>6995.76</v>
      </c>
      <c r="P210" s="551">
        <v>6995.76</v>
      </c>
      <c r="Q210" s="482">
        <v>0</v>
      </c>
    </row>
    <row r="211" spans="1:17" ht="15.75" customHeight="1" x14ac:dyDescent="0.2">
      <c r="A211" s="526">
        <v>203</v>
      </c>
      <c r="B211" s="556" t="s">
        <v>130</v>
      </c>
      <c r="C211" s="533" t="s">
        <v>62</v>
      </c>
      <c r="D211" s="534"/>
      <c r="E211" s="486" t="s">
        <v>158</v>
      </c>
      <c r="F211" s="532" t="s">
        <v>431</v>
      </c>
      <c r="G211" s="556" t="s">
        <v>409</v>
      </c>
      <c r="H211" s="550">
        <v>7</v>
      </c>
      <c r="I211" s="550">
        <v>4</v>
      </c>
      <c r="J211" s="550">
        <v>4</v>
      </c>
      <c r="K211" s="551">
        <v>5204.2</v>
      </c>
      <c r="L211" s="551">
        <v>5204.2</v>
      </c>
      <c r="M211" s="482">
        <v>0</v>
      </c>
      <c r="N211" s="550">
        <v>5</v>
      </c>
      <c r="O211" s="551">
        <v>10391.459999999999</v>
      </c>
      <c r="P211" s="551">
        <v>10391.459999999999</v>
      </c>
      <c r="Q211" s="482">
        <v>0</v>
      </c>
    </row>
    <row r="212" spans="1:17" ht="15.75" customHeight="1" x14ac:dyDescent="0.2">
      <c r="A212" s="526">
        <v>204</v>
      </c>
      <c r="B212" s="556" t="s">
        <v>32</v>
      </c>
      <c r="C212" s="533" t="s">
        <v>62</v>
      </c>
      <c r="D212" s="534"/>
      <c r="E212" s="486" t="s">
        <v>158</v>
      </c>
      <c r="F212" s="532" t="s">
        <v>432</v>
      </c>
      <c r="G212" s="556" t="s">
        <v>409</v>
      </c>
      <c r="H212" s="550">
        <v>15</v>
      </c>
      <c r="I212" s="550">
        <v>10</v>
      </c>
      <c r="J212" s="550">
        <v>10</v>
      </c>
      <c r="K212" s="551">
        <v>16181.42</v>
      </c>
      <c r="L212" s="551">
        <v>16181.42</v>
      </c>
      <c r="M212" s="482">
        <v>0</v>
      </c>
      <c r="N212" s="550">
        <v>9</v>
      </c>
      <c r="O212" s="551">
        <v>18778.12</v>
      </c>
      <c r="P212" s="551">
        <v>18778.12</v>
      </c>
      <c r="Q212" s="482">
        <v>0</v>
      </c>
    </row>
    <row r="213" spans="1:17" ht="15.75" customHeight="1" x14ac:dyDescent="0.2">
      <c r="A213" s="526">
        <v>205</v>
      </c>
      <c r="B213" s="556" t="s">
        <v>343</v>
      </c>
      <c r="C213" s="533" t="s">
        <v>62</v>
      </c>
      <c r="D213" s="534"/>
      <c r="E213" s="486" t="s">
        <v>158</v>
      </c>
      <c r="F213" s="532" t="s">
        <v>433</v>
      </c>
      <c r="G213" s="556" t="s">
        <v>409</v>
      </c>
      <c r="H213" s="550">
        <v>16</v>
      </c>
      <c r="I213" s="550">
        <v>12</v>
      </c>
      <c r="J213" s="550">
        <v>12</v>
      </c>
      <c r="K213" s="551">
        <v>20615</v>
      </c>
      <c r="L213" s="551">
        <v>18037.599999999999</v>
      </c>
      <c r="M213" s="482">
        <v>2577.4</v>
      </c>
      <c r="N213" s="550">
        <v>0</v>
      </c>
      <c r="O213" s="551">
        <v>0</v>
      </c>
      <c r="P213" s="551">
        <v>0</v>
      </c>
      <c r="Q213" s="482">
        <v>0</v>
      </c>
    </row>
    <row r="214" spans="1:17" ht="15.75" customHeight="1" x14ac:dyDescent="0.2">
      <c r="A214" s="526">
        <v>206</v>
      </c>
      <c r="B214" s="556" t="s">
        <v>290</v>
      </c>
      <c r="C214" s="533" t="s">
        <v>62</v>
      </c>
      <c r="D214" s="534"/>
      <c r="E214" s="532" t="s">
        <v>371</v>
      </c>
      <c r="F214" s="532" t="s">
        <v>434</v>
      </c>
      <c r="G214" s="556" t="s">
        <v>409</v>
      </c>
      <c r="H214" s="550">
        <v>6</v>
      </c>
      <c r="I214" s="550">
        <v>1</v>
      </c>
      <c r="J214" s="550">
        <v>1</v>
      </c>
      <c r="K214" s="551">
        <v>1585.8</v>
      </c>
      <c r="L214" s="551">
        <v>1585.8</v>
      </c>
      <c r="M214" s="482">
        <v>0</v>
      </c>
      <c r="N214" s="550">
        <v>0</v>
      </c>
      <c r="O214" s="551">
        <v>0</v>
      </c>
      <c r="P214" s="551">
        <v>0</v>
      </c>
      <c r="Q214" s="482">
        <v>0</v>
      </c>
    </row>
    <row r="215" spans="1:17" ht="15.75" customHeight="1" x14ac:dyDescent="0.2">
      <c r="A215" s="526">
        <v>207</v>
      </c>
      <c r="B215" s="556" t="s">
        <v>315</v>
      </c>
      <c r="C215" s="533" t="s">
        <v>62</v>
      </c>
      <c r="D215" s="534"/>
      <c r="E215" s="486" t="s">
        <v>158</v>
      </c>
      <c r="F215" s="532" t="s">
        <v>435</v>
      </c>
      <c r="G215" s="556" t="s">
        <v>409</v>
      </c>
      <c r="H215" s="550">
        <v>20</v>
      </c>
      <c r="I215" s="550">
        <v>6</v>
      </c>
      <c r="J215" s="550">
        <v>6</v>
      </c>
      <c r="K215" s="551">
        <v>13025.5</v>
      </c>
      <c r="L215" s="551">
        <v>4741</v>
      </c>
      <c r="M215" s="482">
        <v>8284.5</v>
      </c>
      <c r="N215" s="550">
        <v>6</v>
      </c>
      <c r="O215" s="551">
        <v>14019.72</v>
      </c>
      <c r="P215" s="551">
        <v>7208.02</v>
      </c>
      <c r="Q215" s="482">
        <v>6811.7</v>
      </c>
    </row>
    <row r="216" spans="1:17" ht="15.75" customHeight="1" x14ac:dyDescent="0.2">
      <c r="A216" s="526">
        <v>208</v>
      </c>
      <c r="B216" s="556" t="s">
        <v>216</v>
      </c>
      <c r="C216" s="533" t="s">
        <v>67</v>
      </c>
      <c r="D216" s="534" t="s">
        <v>436</v>
      </c>
      <c r="E216" s="486" t="s">
        <v>158</v>
      </c>
      <c r="F216" s="532" t="s">
        <v>437</v>
      </c>
      <c r="G216" s="556" t="s">
        <v>409</v>
      </c>
      <c r="H216" s="550">
        <v>20</v>
      </c>
      <c r="I216" s="550">
        <v>7</v>
      </c>
      <c r="J216" s="550">
        <v>7</v>
      </c>
      <c r="K216" s="551">
        <v>13299.66</v>
      </c>
      <c r="L216" s="551">
        <v>13299.66</v>
      </c>
      <c r="M216" s="482">
        <v>0</v>
      </c>
      <c r="N216" s="550">
        <v>0</v>
      </c>
      <c r="O216" s="551">
        <v>0</v>
      </c>
      <c r="P216" s="551">
        <v>0</v>
      </c>
      <c r="Q216" s="482">
        <v>0</v>
      </c>
    </row>
    <row r="217" spans="1:17" ht="15.75" customHeight="1" x14ac:dyDescent="0.2">
      <c r="A217" s="526">
        <v>209</v>
      </c>
      <c r="B217" s="556" t="s">
        <v>438</v>
      </c>
      <c r="C217" s="533" t="s">
        <v>62</v>
      </c>
      <c r="D217" s="534"/>
      <c r="E217" s="486" t="s">
        <v>158</v>
      </c>
      <c r="F217" s="532" t="s">
        <v>439</v>
      </c>
      <c r="G217" s="556" t="s">
        <v>409</v>
      </c>
      <c r="H217" s="550">
        <v>9</v>
      </c>
      <c r="I217" s="550">
        <v>1</v>
      </c>
      <c r="J217" s="550">
        <v>1</v>
      </c>
      <c r="K217" s="551">
        <v>3497.9</v>
      </c>
      <c r="L217" s="551">
        <v>3497.9</v>
      </c>
      <c r="M217" s="482">
        <v>0</v>
      </c>
      <c r="N217" s="550">
        <v>0</v>
      </c>
      <c r="O217" s="551">
        <v>0</v>
      </c>
      <c r="P217" s="551">
        <v>0</v>
      </c>
      <c r="Q217" s="482">
        <v>0</v>
      </c>
    </row>
    <row r="218" spans="1:17" ht="15.75" customHeight="1" x14ac:dyDescent="0.2">
      <c r="A218" s="526">
        <v>210</v>
      </c>
      <c r="B218" s="556" t="s">
        <v>440</v>
      </c>
      <c r="C218" s="533" t="s">
        <v>62</v>
      </c>
      <c r="D218" s="534"/>
      <c r="E218" s="486" t="s">
        <v>158</v>
      </c>
      <c r="F218" s="532" t="s">
        <v>441</v>
      </c>
      <c r="G218" s="556" t="s">
        <v>409</v>
      </c>
      <c r="H218" s="550">
        <v>7</v>
      </c>
      <c r="I218" s="550">
        <v>3</v>
      </c>
      <c r="J218" s="550">
        <v>3</v>
      </c>
      <c r="K218" s="551">
        <v>3171.6</v>
      </c>
      <c r="L218" s="551">
        <v>3171.6</v>
      </c>
      <c r="M218" s="482">
        <v>0</v>
      </c>
      <c r="N218" s="550">
        <v>0</v>
      </c>
      <c r="O218" s="551">
        <v>0</v>
      </c>
      <c r="P218" s="551">
        <v>0</v>
      </c>
      <c r="Q218" s="482">
        <v>0</v>
      </c>
    </row>
    <row r="219" spans="1:17" ht="15.75" customHeight="1" x14ac:dyDescent="0.2">
      <c r="A219" s="526">
        <v>211</v>
      </c>
      <c r="B219" s="556" t="s">
        <v>222</v>
      </c>
      <c r="C219" s="533" t="s">
        <v>64</v>
      </c>
      <c r="D219" s="484" t="s">
        <v>486</v>
      </c>
      <c r="E219" s="486" t="s">
        <v>158</v>
      </c>
      <c r="F219" s="532" t="s">
        <v>443</v>
      </c>
      <c r="G219" s="556" t="s">
        <v>409</v>
      </c>
      <c r="H219" s="550">
        <v>1</v>
      </c>
      <c r="I219" s="550">
        <v>0</v>
      </c>
      <c r="J219" s="550">
        <v>0</v>
      </c>
      <c r="K219" s="551">
        <v>0</v>
      </c>
      <c r="L219" s="551">
        <v>0</v>
      </c>
      <c r="M219" s="482">
        <v>0</v>
      </c>
      <c r="N219" s="550">
        <v>0</v>
      </c>
      <c r="O219" s="551">
        <v>0</v>
      </c>
      <c r="P219" s="551">
        <v>0</v>
      </c>
      <c r="Q219" s="482">
        <v>0</v>
      </c>
    </row>
    <row r="220" spans="1:17" ht="15.75" customHeight="1" x14ac:dyDescent="0.2">
      <c r="A220" s="526">
        <v>212</v>
      </c>
      <c r="B220" s="556" t="s">
        <v>444</v>
      </c>
      <c r="C220" s="533" t="s">
        <v>62</v>
      </c>
      <c r="D220" s="534"/>
      <c r="E220" s="486" t="s">
        <v>158</v>
      </c>
      <c r="F220" s="532" t="s">
        <v>445</v>
      </c>
      <c r="G220" s="556" t="s">
        <v>409</v>
      </c>
      <c r="H220" s="550">
        <v>5</v>
      </c>
      <c r="I220" s="550">
        <v>5</v>
      </c>
      <c r="J220" s="550">
        <v>5</v>
      </c>
      <c r="K220" s="551">
        <v>3802.9</v>
      </c>
      <c r="L220" s="551">
        <v>3802.9</v>
      </c>
      <c r="M220" s="482">
        <v>0</v>
      </c>
      <c r="N220" s="550">
        <v>0</v>
      </c>
      <c r="O220" s="551">
        <v>0</v>
      </c>
      <c r="P220" s="551">
        <v>0</v>
      </c>
      <c r="Q220" s="482">
        <v>0</v>
      </c>
    </row>
    <row r="221" spans="1:17" ht="15.75" customHeight="1" x14ac:dyDescent="0.2">
      <c r="A221" s="526">
        <v>213</v>
      </c>
      <c r="B221" s="556" t="s">
        <v>129</v>
      </c>
      <c r="C221" s="533" t="s">
        <v>62</v>
      </c>
      <c r="D221" s="534"/>
      <c r="E221" s="486" t="s">
        <v>158</v>
      </c>
      <c r="F221" s="532" t="s">
        <v>446</v>
      </c>
      <c r="G221" s="556" t="s">
        <v>409</v>
      </c>
      <c r="H221" s="550">
        <v>12</v>
      </c>
      <c r="I221" s="550">
        <v>6</v>
      </c>
      <c r="J221" s="550">
        <v>6</v>
      </c>
      <c r="K221" s="551">
        <v>8100.41</v>
      </c>
      <c r="L221" s="551">
        <v>6080.63</v>
      </c>
      <c r="M221" s="482">
        <v>2019.78</v>
      </c>
      <c r="N221" s="550">
        <v>12</v>
      </c>
      <c r="O221" s="551">
        <v>25243.58</v>
      </c>
      <c r="P221" s="551">
        <v>25243.58</v>
      </c>
      <c r="Q221" s="482">
        <v>0</v>
      </c>
    </row>
    <row r="222" spans="1:17" ht="15.75" customHeight="1" x14ac:dyDescent="0.2">
      <c r="A222" s="526">
        <v>214</v>
      </c>
      <c r="B222" s="532" t="s">
        <v>104</v>
      </c>
      <c r="C222" s="533" t="s">
        <v>62</v>
      </c>
      <c r="D222" s="534"/>
      <c r="E222" s="490" t="s">
        <v>730</v>
      </c>
      <c r="F222" s="532" t="s">
        <v>447</v>
      </c>
      <c r="G222" s="556" t="s">
        <v>409</v>
      </c>
      <c r="H222" s="550">
        <v>0</v>
      </c>
      <c r="I222" s="550">
        <v>0</v>
      </c>
      <c r="J222" s="550">
        <v>0</v>
      </c>
      <c r="K222" s="551">
        <v>0</v>
      </c>
      <c r="L222" s="551">
        <v>0</v>
      </c>
      <c r="M222" s="482">
        <v>0</v>
      </c>
      <c r="N222" s="550">
        <v>7</v>
      </c>
      <c r="O222" s="551">
        <v>5726.5</v>
      </c>
      <c r="P222" s="551">
        <v>5726.5</v>
      </c>
      <c r="Q222" s="482">
        <v>0</v>
      </c>
    </row>
    <row r="223" spans="1:17" ht="15.75" customHeight="1" x14ac:dyDescent="0.2">
      <c r="A223" s="526">
        <v>215</v>
      </c>
      <c r="B223" s="532" t="s">
        <v>156</v>
      </c>
      <c r="C223" s="533" t="s">
        <v>67</v>
      </c>
      <c r="D223" s="534" t="s">
        <v>745</v>
      </c>
      <c r="E223" s="486" t="s">
        <v>158</v>
      </c>
      <c r="F223" s="532" t="s">
        <v>502</v>
      </c>
      <c r="G223" s="556" t="s">
        <v>409</v>
      </c>
      <c r="H223" s="550">
        <v>4</v>
      </c>
      <c r="I223" s="550">
        <v>0</v>
      </c>
      <c r="J223" s="550">
        <v>0</v>
      </c>
      <c r="K223" s="551">
        <v>0</v>
      </c>
      <c r="L223" s="551">
        <v>0</v>
      </c>
      <c r="M223" s="482">
        <v>0</v>
      </c>
      <c r="N223" s="550">
        <v>5</v>
      </c>
      <c r="O223" s="551">
        <v>8865.2999999999993</v>
      </c>
      <c r="P223" s="551">
        <v>8865.2999999999993</v>
      </c>
      <c r="Q223" s="482">
        <v>0</v>
      </c>
    </row>
    <row r="224" spans="1:17" ht="15.75" customHeight="1" x14ac:dyDescent="0.2">
      <c r="A224" s="526">
        <v>216</v>
      </c>
      <c r="B224" s="532" t="s">
        <v>133</v>
      </c>
      <c r="C224" s="533" t="s">
        <v>67</v>
      </c>
      <c r="D224" s="484" t="s">
        <v>494</v>
      </c>
      <c r="E224" s="486" t="s">
        <v>158</v>
      </c>
      <c r="F224" s="532" t="s">
        <v>503</v>
      </c>
      <c r="G224" s="556" t="s">
        <v>409</v>
      </c>
      <c r="H224" s="550">
        <v>12</v>
      </c>
      <c r="I224" s="550">
        <v>5</v>
      </c>
      <c r="J224" s="550">
        <v>5</v>
      </c>
      <c r="K224" s="551">
        <v>13731.4</v>
      </c>
      <c r="L224" s="551">
        <v>13731.4</v>
      </c>
      <c r="M224" s="482">
        <v>0</v>
      </c>
      <c r="N224" s="550">
        <v>18</v>
      </c>
      <c r="O224" s="551">
        <v>45265.08</v>
      </c>
      <c r="P224" s="551">
        <v>45265.08</v>
      </c>
      <c r="Q224" s="482">
        <v>0</v>
      </c>
    </row>
    <row r="225" spans="1:17" ht="15.75" customHeight="1" x14ac:dyDescent="0.2">
      <c r="A225" s="526">
        <v>217</v>
      </c>
      <c r="B225" s="532" t="s">
        <v>114</v>
      </c>
      <c r="C225" s="533" t="s">
        <v>62</v>
      </c>
      <c r="D225" s="534"/>
      <c r="E225" s="486" t="s">
        <v>691</v>
      </c>
      <c r="F225" s="532" t="s">
        <v>504</v>
      </c>
      <c r="G225" s="556" t="s">
        <v>409</v>
      </c>
      <c r="H225" s="550">
        <v>4</v>
      </c>
      <c r="I225" s="550">
        <v>0</v>
      </c>
      <c r="J225" s="550">
        <v>0</v>
      </c>
      <c r="K225" s="551">
        <v>0</v>
      </c>
      <c r="L225" s="551">
        <v>0</v>
      </c>
      <c r="M225" s="482">
        <v>0</v>
      </c>
      <c r="N225" s="550">
        <v>4</v>
      </c>
      <c r="O225" s="551">
        <v>3524</v>
      </c>
      <c r="P225" s="551">
        <v>3524</v>
      </c>
      <c r="Q225" s="482">
        <v>0</v>
      </c>
    </row>
    <row r="226" spans="1:17" ht="15.75" customHeight="1" x14ac:dyDescent="0.2">
      <c r="A226" s="526">
        <v>218</v>
      </c>
      <c r="B226" s="532" t="s">
        <v>505</v>
      </c>
      <c r="C226" s="533" t="s">
        <v>62</v>
      </c>
      <c r="D226" s="534"/>
      <c r="E226" s="486" t="s">
        <v>158</v>
      </c>
      <c r="F226" s="532" t="s">
        <v>506</v>
      </c>
      <c r="G226" s="556" t="s">
        <v>409</v>
      </c>
      <c r="H226" s="550">
        <v>5</v>
      </c>
      <c r="I226" s="550">
        <v>2</v>
      </c>
      <c r="J226" s="550">
        <v>2</v>
      </c>
      <c r="K226" s="551">
        <v>2025.1</v>
      </c>
      <c r="L226" s="551">
        <v>0</v>
      </c>
      <c r="M226" s="482">
        <v>2025.1</v>
      </c>
      <c r="N226" s="550">
        <v>0</v>
      </c>
      <c r="O226" s="551">
        <v>0</v>
      </c>
      <c r="P226" s="551">
        <v>0</v>
      </c>
      <c r="Q226" s="482">
        <v>0</v>
      </c>
    </row>
    <row r="227" spans="1:17" ht="15.75" customHeight="1" x14ac:dyDescent="0.2">
      <c r="A227" s="526">
        <v>219</v>
      </c>
      <c r="B227" s="532" t="s">
        <v>473</v>
      </c>
      <c r="C227" s="533" t="s">
        <v>62</v>
      </c>
      <c r="D227" s="534"/>
      <c r="E227" s="486" t="s">
        <v>158</v>
      </c>
      <c r="F227" s="532" t="s">
        <v>558</v>
      </c>
      <c r="G227" s="556" t="s">
        <v>409</v>
      </c>
      <c r="H227" s="550">
        <v>4</v>
      </c>
      <c r="I227" s="550">
        <v>0</v>
      </c>
      <c r="J227" s="550">
        <v>0</v>
      </c>
      <c r="K227" s="551">
        <v>0</v>
      </c>
      <c r="L227" s="551">
        <v>0</v>
      </c>
      <c r="M227" s="482">
        <v>0</v>
      </c>
      <c r="N227" s="550">
        <v>0</v>
      </c>
      <c r="O227" s="551">
        <v>0</v>
      </c>
      <c r="P227" s="551">
        <v>0</v>
      </c>
      <c r="Q227" s="482">
        <v>0</v>
      </c>
    </row>
    <row r="228" spans="1:17" ht="15.75" customHeight="1" x14ac:dyDescent="0.2">
      <c r="A228" s="526">
        <v>220</v>
      </c>
      <c r="B228" s="532" t="s">
        <v>376</v>
      </c>
      <c r="C228" s="533" t="s">
        <v>62</v>
      </c>
      <c r="D228" s="534"/>
      <c r="E228" s="486" t="s">
        <v>158</v>
      </c>
      <c r="F228" s="532" t="s">
        <v>559</v>
      </c>
      <c r="G228" s="556" t="s">
        <v>409</v>
      </c>
      <c r="H228" s="550">
        <v>3</v>
      </c>
      <c r="I228" s="550">
        <v>0</v>
      </c>
      <c r="J228" s="550">
        <v>0</v>
      </c>
      <c r="K228" s="551">
        <v>0</v>
      </c>
      <c r="L228" s="551">
        <v>0</v>
      </c>
      <c r="M228" s="482">
        <v>0</v>
      </c>
      <c r="N228" s="550">
        <v>0</v>
      </c>
      <c r="O228" s="551">
        <v>0</v>
      </c>
      <c r="P228" s="551">
        <v>0</v>
      </c>
      <c r="Q228" s="482">
        <v>0</v>
      </c>
    </row>
    <row r="229" spans="1:17" ht="15.75" customHeight="1" x14ac:dyDescent="0.2">
      <c r="A229" s="526">
        <v>221</v>
      </c>
      <c r="B229" s="532" t="s">
        <v>119</v>
      </c>
      <c r="C229" s="533" t="s">
        <v>62</v>
      </c>
      <c r="D229" s="534"/>
      <c r="E229" s="486" t="s">
        <v>158</v>
      </c>
      <c r="F229" s="532" t="s">
        <v>560</v>
      </c>
      <c r="G229" s="556" t="s">
        <v>409</v>
      </c>
      <c r="H229" s="550">
        <v>10</v>
      </c>
      <c r="I229" s="550">
        <v>1</v>
      </c>
      <c r="J229" s="550">
        <v>1</v>
      </c>
      <c r="K229" s="551">
        <v>1691.52</v>
      </c>
      <c r="L229" s="551">
        <v>1691.52</v>
      </c>
      <c r="M229" s="482">
        <v>0</v>
      </c>
      <c r="N229" s="550">
        <v>14</v>
      </c>
      <c r="O229" s="551">
        <v>20900.5</v>
      </c>
      <c r="P229" s="551">
        <v>20900.5</v>
      </c>
      <c r="Q229" s="482">
        <v>0</v>
      </c>
    </row>
    <row r="230" spans="1:17" ht="15.75" customHeight="1" x14ac:dyDescent="0.2">
      <c r="A230" s="526">
        <v>222</v>
      </c>
      <c r="B230" s="532" t="s">
        <v>47</v>
      </c>
      <c r="C230" s="533" t="s">
        <v>62</v>
      </c>
      <c r="D230" s="534"/>
      <c r="E230" s="486" t="s">
        <v>677</v>
      </c>
      <c r="F230" s="532" t="s">
        <v>589</v>
      </c>
      <c r="G230" s="556" t="s">
        <v>409</v>
      </c>
      <c r="H230" s="550">
        <v>0</v>
      </c>
      <c r="I230" s="550">
        <v>0</v>
      </c>
      <c r="J230" s="550">
        <v>0</v>
      </c>
      <c r="K230" s="551">
        <v>0</v>
      </c>
      <c r="L230" s="551">
        <v>0</v>
      </c>
      <c r="M230" s="482">
        <v>0</v>
      </c>
      <c r="N230" s="550">
        <v>1</v>
      </c>
      <c r="O230" s="551">
        <v>6554.64</v>
      </c>
      <c r="P230" s="551">
        <v>6554.64</v>
      </c>
      <c r="Q230" s="482">
        <v>0</v>
      </c>
    </row>
    <row r="231" spans="1:17" ht="15.75" customHeight="1" x14ac:dyDescent="0.2">
      <c r="A231" s="526">
        <v>223</v>
      </c>
      <c r="B231" s="532" t="s">
        <v>37</v>
      </c>
      <c r="C231" s="533" t="s">
        <v>62</v>
      </c>
      <c r="D231" s="534"/>
      <c r="E231" s="486" t="s">
        <v>158</v>
      </c>
      <c r="F231" s="532" t="s">
        <v>590</v>
      </c>
      <c r="G231" s="556" t="s">
        <v>409</v>
      </c>
      <c r="H231" s="550">
        <v>6</v>
      </c>
      <c r="I231" s="550">
        <v>0</v>
      </c>
      <c r="J231" s="550">
        <v>0</v>
      </c>
      <c r="K231" s="551">
        <v>0</v>
      </c>
      <c r="L231" s="551">
        <v>0</v>
      </c>
      <c r="M231" s="482">
        <v>0</v>
      </c>
      <c r="N231" s="550">
        <v>0</v>
      </c>
      <c r="O231" s="551">
        <v>0</v>
      </c>
      <c r="P231" s="551">
        <v>0</v>
      </c>
      <c r="Q231" s="482">
        <v>0</v>
      </c>
    </row>
    <row r="232" spans="1:17" ht="15.75" customHeight="1" x14ac:dyDescent="0.2">
      <c r="A232" s="526">
        <v>224</v>
      </c>
      <c r="B232" s="532" t="s">
        <v>97</v>
      </c>
      <c r="C232" s="533" t="s">
        <v>62</v>
      </c>
      <c r="D232" s="534"/>
      <c r="E232" s="486" t="s">
        <v>158</v>
      </c>
      <c r="F232" s="532" t="s">
        <v>591</v>
      </c>
      <c r="G232" s="556" t="s">
        <v>409</v>
      </c>
      <c r="H232" s="550">
        <v>4</v>
      </c>
      <c r="I232" s="550">
        <v>2</v>
      </c>
      <c r="J232" s="550">
        <v>2</v>
      </c>
      <c r="K232" s="551">
        <v>3626.7</v>
      </c>
      <c r="L232" s="551">
        <v>3626.7</v>
      </c>
      <c r="M232" s="482">
        <v>0</v>
      </c>
      <c r="N232" s="550">
        <v>3</v>
      </c>
      <c r="O232" s="551">
        <v>4570.8999999999996</v>
      </c>
      <c r="P232" s="551">
        <v>4570.8999999999996</v>
      </c>
      <c r="Q232" s="482">
        <v>0</v>
      </c>
    </row>
    <row r="233" spans="1:17" ht="15.75" customHeight="1" x14ac:dyDescent="0.2">
      <c r="A233" s="526">
        <v>225</v>
      </c>
      <c r="B233" s="532" t="s">
        <v>613</v>
      </c>
      <c r="C233" s="533" t="s">
        <v>62</v>
      </c>
      <c r="D233" s="534"/>
      <c r="E233" s="486" t="s">
        <v>158</v>
      </c>
      <c r="F233" s="532" t="s">
        <v>614</v>
      </c>
      <c r="G233" s="556" t="s">
        <v>409</v>
      </c>
      <c r="H233" s="550">
        <v>8</v>
      </c>
      <c r="I233" s="550">
        <v>2</v>
      </c>
      <c r="J233" s="550">
        <v>2</v>
      </c>
      <c r="K233" s="551">
        <v>1585.8</v>
      </c>
      <c r="L233" s="551">
        <v>1585.8</v>
      </c>
      <c r="M233" s="482">
        <v>0</v>
      </c>
      <c r="N233" s="550">
        <v>3</v>
      </c>
      <c r="O233" s="551">
        <v>616.70000000000005</v>
      </c>
      <c r="P233" s="551">
        <v>616.70000000000005</v>
      </c>
      <c r="Q233" s="482">
        <v>0</v>
      </c>
    </row>
    <row r="234" spans="1:17" ht="15.75" customHeight="1" x14ac:dyDescent="0.2">
      <c r="A234" s="526">
        <v>226</v>
      </c>
      <c r="B234" s="532" t="s">
        <v>615</v>
      </c>
      <c r="C234" s="533" t="s">
        <v>62</v>
      </c>
      <c r="D234" s="534"/>
      <c r="E234" s="486" t="s">
        <v>158</v>
      </c>
      <c r="F234" s="532" t="s">
        <v>616</v>
      </c>
      <c r="G234" s="556" t="s">
        <v>409</v>
      </c>
      <c r="H234" s="550">
        <v>6</v>
      </c>
      <c r="I234" s="550">
        <v>0</v>
      </c>
      <c r="J234" s="550">
        <v>0</v>
      </c>
      <c r="K234" s="551">
        <v>0</v>
      </c>
      <c r="L234" s="551">
        <v>0</v>
      </c>
      <c r="M234" s="482">
        <v>0</v>
      </c>
      <c r="N234" s="550">
        <v>0</v>
      </c>
      <c r="O234" s="551">
        <v>0</v>
      </c>
      <c r="P234" s="551">
        <v>0</v>
      </c>
      <c r="Q234" s="482">
        <v>0</v>
      </c>
    </row>
    <row r="235" spans="1:17" ht="15.75" customHeight="1" x14ac:dyDescent="0.2">
      <c r="A235" s="526">
        <v>227</v>
      </c>
      <c r="B235" s="532" t="s">
        <v>357</v>
      </c>
      <c r="C235" s="516" t="s">
        <v>64</v>
      </c>
      <c r="D235" s="534" t="s">
        <v>585</v>
      </c>
      <c r="E235" s="486" t="s">
        <v>158</v>
      </c>
      <c r="F235" s="532" t="s">
        <v>618</v>
      </c>
      <c r="G235" s="556" t="s">
        <v>409</v>
      </c>
      <c r="H235" s="550">
        <v>7</v>
      </c>
      <c r="I235" s="550">
        <v>1</v>
      </c>
      <c r="J235" s="550">
        <v>1</v>
      </c>
      <c r="K235" s="551">
        <v>1057.2</v>
      </c>
      <c r="L235" s="551">
        <v>1057.2</v>
      </c>
      <c r="M235" s="482">
        <v>0</v>
      </c>
      <c r="N235" s="550">
        <v>3</v>
      </c>
      <c r="O235" s="551">
        <v>5236.2</v>
      </c>
      <c r="P235" s="551">
        <v>5236.2</v>
      </c>
      <c r="Q235" s="482">
        <v>0</v>
      </c>
    </row>
    <row r="236" spans="1:17" ht="15.75" customHeight="1" x14ac:dyDescent="0.2">
      <c r="A236" s="526">
        <v>228</v>
      </c>
      <c r="B236" s="532" t="s">
        <v>621</v>
      </c>
      <c r="C236" s="533" t="s">
        <v>62</v>
      </c>
      <c r="D236" s="534"/>
      <c r="E236" s="486" t="s">
        <v>158</v>
      </c>
      <c r="F236" s="532" t="s">
        <v>625</v>
      </c>
      <c r="G236" s="556" t="s">
        <v>409</v>
      </c>
      <c r="H236" s="550">
        <v>13</v>
      </c>
      <c r="I236" s="550">
        <v>5</v>
      </c>
      <c r="J236" s="550">
        <v>5</v>
      </c>
      <c r="K236" s="551">
        <v>4878.6499999999996</v>
      </c>
      <c r="L236" s="551">
        <v>4878.6499999999996</v>
      </c>
      <c r="M236" s="482">
        <v>0</v>
      </c>
      <c r="N236" s="550">
        <v>0</v>
      </c>
      <c r="O236" s="551">
        <v>0</v>
      </c>
      <c r="P236" s="551">
        <v>0</v>
      </c>
      <c r="Q236" s="482">
        <v>0</v>
      </c>
    </row>
    <row r="237" spans="1:17" ht="15.75" customHeight="1" x14ac:dyDescent="0.2">
      <c r="A237" s="526">
        <v>229</v>
      </c>
      <c r="B237" s="484" t="s">
        <v>146</v>
      </c>
      <c r="C237" s="516" t="s">
        <v>62</v>
      </c>
      <c r="D237" s="484"/>
      <c r="E237" s="486" t="s">
        <v>74</v>
      </c>
      <c r="F237" s="486" t="s">
        <v>325</v>
      </c>
      <c r="G237" s="510" t="s">
        <v>326</v>
      </c>
      <c r="H237" s="484">
        <v>15</v>
      </c>
      <c r="I237" s="484">
        <v>7</v>
      </c>
      <c r="J237" s="484">
        <v>7</v>
      </c>
      <c r="K237" s="482">
        <v>8953.4</v>
      </c>
      <c r="L237" s="482">
        <v>8953.4</v>
      </c>
      <c r="M237" s="482">
        <v>0</v>
      </c>
      <c r="N237" s="484">
        <v>6</v>
      </c>
      <c r="O237" s="482">
        <v>5374.1</v>
      </c>
      <c r="P237" s="482">
        <v>5374.1</v>
      </c>
      <c r="Q237" s="482">
        <v>0</v>
      </c>
    </row>
    <row r="238" spans="1:17" ht="15.75" customHeight="1" x14ac:dyDescent="0.2">
      <c r="A238" s="526">
        <v>230</v>
      </c>
      <c r="B238" s="484" t="s">
        <v>166</v>
      </c>
      <c r="C238" s="516" t="s">
        <v>62</v>
      </c>
      <c r="D238" s="484"/>
      <c r="E238" s="486" t="s">
        <v>158</v>
      </c>
      <c r="F238" s="486" t="s">
        <v>327</v>
      </c>
      <c r="G238" s="510" t="s">
        <v>326</v>
      </c>
      <c r="H238" s="484">
        <v>5</v>
      </c>
      <c r="I238" s="484">
        <v>4</v>
      </c>
      <c r="J238" s="484">
        <v>4</v>
      </c>
      <c r="K238" s="482">
        <v>7763.45</v>
      </c>
      <c r="L238" s="482">
        <v>7763.45</v>
      </c>
      <c r="M238" s="482">
        <v>0</v>
      </c>
      <c r="N238" s="484">
        <v>0</v>
      </c>
      <c r="O238" s="482">
        <v>0</v>
      </c>
      <c r="P238" s="482">
        <v>0</v>
      </c>
      <c r="Q238" s="482">
        <v>0</v>
      </c>
    </row>
    <row r="239" spans="1:17" ht="15.75" customHeight="1" x14ac:dyDescent="0.2">
      <c r="A239" s="526">
        <v>231</v>
      </c>
      <c r="B239" s="484" t="s">
        <v>173</v>
      </c>
      <c r="C239" s="516" t="s">
        <v>67</v>
      </c>
      <c r="D239" s="484" t="s">
        <v>328</v>
      </c>
      <c r="E239" s="486" t="s">
        <v>158</v>
      </c>
      <c r="F239" s="486" t="s">
        <v>329</v>
      </c>
      <c r="G239" s="510" t="s">
        <v>326</v>
      </c>
      <c r="H239" s="484">
        <v>9</v>
      </c>
      <c r="I239" s="484">
        <v>5</v>
      </c>
      <c r="J239" s="484">
        <v>5</v>
      </c>
      <c r="K239" s="482">
        <v>10645.26</v>
      </c>
      <c r="L239" s="482">
        <v>10645.26</v>
      </c>
      <c r="M239" s="482">
        <v>0</v>
      </c>
      <c r="N239" s="484">
        <v>0</v>
      </c>
      <c r="O239" s="482">
        <v>0</v>
      </c>
      <c r="P239" s="482">
        <v>0</v>
      </c>
      <c r="Q239" s="482">
        <v>0</v>
      </c>
    </row>
    <row r="240" spans="1:17" ht="15.75" customHeight="1" x14ac:dyDescent="0.2">
      <c r="A240" s="526">
        <v>232</v>
      </c>
      <c r="B240" s="484" t="s">
        <v>330</v>
      </c>
      <c r="C240" s="516" t="s">
        <v>62</v>
      </c>
      <c r="D240" s="484"/>
      <c r="E240" s="486" t="s">
        <v>158</v>
      </c>
      <c r="F240" s="486" t="s">
        <v>331</v>
      </c>
      <c r="G240" s="510" t="s">
        <v>326</v>
      </c>
      <c r="H240" s="484">
        <v>16</v>
      </c>
      <c r="I240" s="484">
        <v>10</v>
      </c>
      <c r="J240" s="484">
        <v>10</v>
      </c>
      <c r="K240" s="482">
        <v>12533.9</v>
      </c>
      <c r="L240" s="482">
        <v>12533.9</v>
      </c>
      <c r="M240" s="482">
        <v>0</v>
      </c>
      <c r="N240" s="484">
        <v>0</v>
      </c>
      <c r="O240" s="482">
        <v>0</v>
      </c>
      <c r="P240" s="482">
        <v>0</v>
      </c>
      <c r="Q240" s="482">
        <v>0</v>
      </c>
    </row>
    <row r="241" spans="1:17" ht="15.75" customHeight="1" x14ac:dyDescent="0.2">
      <c r="A241" s="526">
        <v>233</v>
      </c>
      <c r="B241" s="484" t="s">
        <v>147</v>
      </c>
      <c r="C241" s="516" t="s">
        <v>62</v>
      </c>
      <c r="D241" s="484"/>
      <c r="E241" s="486" t="s">
        <v>74</v>
      </c>
      <c r="F241" s="486" t="s">
        <v>332</v>
      </c>
      <c r="G241" s="510" t="s">
        <v>326</v>
      </c>
      <c r="H241" s="484">
        <v>15</v>
      </c>
      <c r="I241" s="484">
        <v>9</v>
      </c>
      <c r="J241" s="484">
        <v>9</v>
      </c>
      <c r="K241" s="482">
        <v>17473.349999999999</v>
      </c>
      <c r="L241" s="482">
        <v>17473.349999999999</v>
      </c>
      <c r="M241" s="482">
        <v>0</v>
      </c>
      <c r="N241" s="484">
        <v>6</v>
      </c>
      <c r="O241" s="482">
        <v>15803.4</v>
      </c>
      <c r="P241" s="482">
        <v>13962.4</v>
      </c>
      <c r="Q241" s="482">
        <v>1841</v>
      </c>
    </row>
    <row r="242" spans="1:17" ht="15.75" customHeight="1" x14ac:dyDescent="0.2">
      <c r="A242" s="526">
        <v>234</v>
      </c>
      <c r="B242" s="484" t="s">
        <v>554</v>
      </c>
      <c r="C242" s="516" t="s">
        <v>67</v>
      </c>
      <c r="D242" s="484" t="s">
        <v>555</v>
      </c>
      <c r="E242" s="486" t="s">
        <v>74</v>
      </c>
      <c r="F242" s="486" t="s">
        <v>556</v>
      </c>
      <c r="G242" s="510" t="s">
        <v>326</v>
      </c>
      <c r="H242" s="484">
        <v>2</v>
      </c>
      <c r="I242" s="484">
        <v>0</v>
      </c>
      <c r="J242" s="484">
        <v>0</v>
      </c>
      <c r="K242" s="482">
        <v>0</v>
      </c>
      <c r="L242" s="482">
        <v>0</v>
      </c>
      <c r="M242" s="482">
        <v>0</v>
      </c>
      <c r="N242" s="484">
        <v>0</v>
      </c>
      <c r="O242" s="482">
        <v>0</v>
      </c>
      <c r="P242" s="482">
        <v>0</v>
      </c>
      <c r="Q242" s="482">
        <v>0</v>
      </c>
    </row>
    <row r="243" spans="1:17" ht="15.75" customHeight="1" x14ac:dyDescent="0.2">
      <c r="A243" s="526">
        <v>235</v>
      </c>
      <c r="B243" s="484" t="s">
        <v>88</v>
      </c>
      <c r="C243" s="516" t="s">
        <v>62</v>
      </c>
      <c r="D243" s="484"/>
      <c r="E243" s="486" t="s">
        <v>74</v>
      </c>
      <c r="F243" s="486" t="s">
        <v>333</v>
      </c>
      <c r="G243" s="510" t="s">
        <v>326</v>
      </c>
      <c r="H243" s="484">
        <v>2</v>
      </c>
      <c r="I243" s="484">
        <v>2</v>
      </c>
      <c r="J243" s="484">
        <v>2</v>
      </c>
      <c r="K243" s="482">
        <v>2290.6</v>
      </c>
      <c r="L243" s="482">
        <v>2290.6</v>
      </c>
      <c r="M243" s="482">
        <v>0</v>
      </c>
      <c r="N243" s="484">
        <v>1</v>
      </c>
      <c r="O243" s="482">
        <v>1145.3</v>
      </c>
      <c r="P243" s="482">
        <v>1145.3</v>
      </c>
      <c r="Q243" s="482">
        <v>0</v>
      </c>
    </row>
    <row r="244" spans="1:17" ht="15.75" customHeight="1" x14ac:dyDescent="0.2">
      <c r="A244" s="526">
        <v>236</v>
      </c>
      <c r="B244" s="484" t="s">
        <v>182</v>
      </c>
      <c r="C244" s="516" t="s">
        <v>62</v>
      </c>
      <c r="D244" s="484"/>
      <c r="E244" s="486" t="s">
        <v>158</v>
      </c>
      <c r="F244" s="486" t="s">
        <v>334</v>
      </c>
      <c r="G244" s="510" t="s">
        <v>326</v>
      </c>
      <c r="H244" s="484">
        <v>5</v>
      </c>
      <c r="I244" s="484">
        <v>1</v>
      </c>
      <c r="J244" s="484">
        <v>1</v>
      </c>
      <c r="K244" s="482">
        <v>1233.4000000000001</v>
      </c>
      <c r="L244" s="482">
        <v>1233.4000000000001</v>
      </c>
      <c r="M244" s="482">
        <v>0</v>
      </c>
      <c r="N244" s="484">
        <v>0</v>
      </c>
      <c r="O244" s="482">
        <v>0</v>
      </c>
      <c r="P244" s="482">
        <v>0</v>
      </c>
      <c r="Q244" s="482">
        <v>0</v>
      </c>
    </row>
    <row r="245" spans="1:17" ht="15.75" customHeight="1" x14ac:dyDescent="0.2">
      <c r="A245" s="526">
        <v>237</v>
      </c>
      <c r="B245" s="484" t="s">
        <v>335</v>
      </c>
      <c r="C245" s="516" t="s">
        <v>62</v>
      </c>
      <c r="D245" s="484"/>
      <c r="E245" s="486" t="s">
        <v>74</v>
      </c>
      <c r="F245" s="486" t="s">
        <v>336</v>
      </c>
      <c r="G245" s="510" t="s">
        <v>326</v>
      </c>
      <c r="H245" s="484">
        <v>15</v>
      </c>
      <c r="I245" s="484">
        <v>8</v>
      </c>
      <c r="J245" s="484">
        <v>8</v>
      </c>
      <c r="K245" s="482">
        <v>12008.05</v>
      </c>
      <c r="L245" s="482">
        <v>12008.05</v>
      </c>
      <c r="M245" s="482">
        <v>0</v>
      </c>
      <c r="N245" s="484">
        <v>9</v>
      </c>
      <c r="O245" s="482">
        <v>10605.75</v>
      </c>
      <c r="P245" s="482">
        <v>10605.75</v>
      </c>
      <c r="Q245" s="482">
        <v>0</v>
      </c>
    </row>
    <row r="246" spans="1:17" ht="15.75" customHeight="1" x14ac:dyDescent="0.2">
      <c r="A246" s="526">
        <v>238</v>
      </c>
      <c r="B246" s="484" t="s">
        <v>27</v>
      </c>
      <c r="C246" s="516" t="s">
        <v>62</v>
      </c>
      <c r="D246" s="484"/>
      <c r="E246" s="486" t="s">
        <v>158</v>
      </c>
      <c r="F246" s="486" t="s">
        <v>337</v>
      </c>
      <c r="G246" s="510" t="s">
        <v>326</v>
      </c>
      <c r="H246" s="484">
        <v>13</v>
      </c>
      <c r="I246" s="484">
        <v>12</v>
      </c>
      <c r="J246" s="484">
        <v>12</v>
      </c>
      <c r="K246" s="482">
        <v>12823.4</v>
      </c>
      <c r="L246" s="482">
        <v>12823.4</v>
      </c>
      <c r="M246" s="482">
        <v>0</v>
      </c>
      <c r="N246" s="484">
        <v>0</v>
      </c>
      <c r="O246" s="482">
        <v>0</v>
      </c>
      <c r="P246" s="482">
        <v>0</v>
      </c>
      <c r="Q246" s="482">
        <v>0</v>
      </c>
    </row>
    <row r="247" spans="1:17" ht="15.75" customHeight="1" x14ac:dyDescent="0.2">
      <c r="A247" s="526">
        <v>239</v>
      </c>
      <c r="B247" s="484" t="s">
        <v>190</v>
      </c>
      <c r="C247" s="516" t="s">
        <v>62</v>
      </c>
      <c r="D247" s="484"/>
      <c r="E247" s="486" t="s">
        <v>675</v>
      </c>
      <c r="F247" s="486" t="s">
        <v>339</v>
      </c>
      <c r="G247" s="510" t="s">
        <v>326</v>
      </c>
      <c r="H247" s="484">
        <v>24</v>
      </c>
      <c r="I247" s="484">
        <v>14</v>
      </c>
      <c r="J247" s="484">
        <v>14</v>
      </c>
      <c r="K247" s="482">
        <v>29770.6</v>
      </c>
      <c r="L247" s="482">
        <v>20433.8</v>
      </c>
      <c r="M247" s="482">
        <v>9336.7999999999993</v>
      </c>
      <c r="N247" s="484">
        <v>0</v>
      </c>
      <c r="O247" s="482">
        <v>0</v>
      </c>
      <c r="P247" s="482">
        <v>0</v>
      </c>
      <c r="Q247" s="482">
        <v>0</v>
      </c>
    </row>
    <row r="248" spans="1:17" ht="15.75" customHeight="1" x14ac:dyDescent="0.2">
      <c r="A248" s="526">
        <v>240</v>
      </c>
      <c r="B248" s="484" t="s">
        <v>89</v>
      </c>
      <c r="C248" s="516" t="s">
        <v>62</v>
      </c>
      <c r="D248" s="484"/>
      <c r="E248" s="486" t="s">
        <v>74</v>
      </c>
      <c r="F248" s="486" t="s">
        <v>340</v>
      </c>
      <c r="G248" s="510" t="s">
        <v>326</v>
      </c>
      <c r="H248" s="484">
        <v>7</v>
      </c>
      <c r="I248" s="484">
        <v>6</v>
      </c>
      <c r="J248" s="484">
        <v>6</v>
      </c>
      <c r="K248" s="482">
        <v>8633.7999999999993</v>
      </c>
      <c r="L248" s="482">
        <v>8633.7999999999993</v>
      </c>
      <c r="M248" s="482">
        <v>0</v>
      </c>
      <c r="N248" s="484">
        <v>4</v>
      </c>
      <c r="O248" s="482">
        <v>9250.5</v>
      </c>
      <c r="P248" s="482">
        <v>9250.5</v>
      </c>
      <c r="Q248" s="482">
        <v>0</v>
      </c>
    </row>
    <row r="249" spans="1:17" ht="15.75" customHeight="1" x14ac:dyDescent="0.2">
      <c r="A249" s="526">
        <v>241</v>
      </c>
      <c r="B249" s="484" t="s">
        <v>196</v>
      </c>
      <c r="C249" s="516" t="s">
        <v>62</v>
      </c>
      <c r="D249" s="484"/>
      <c r="E249" s="486" t="s">
        <v>683</v>
      </c>
      <c r="F249" s="486" t="s">
        <v>342</v>
      </c>
      <c r="G249" s="510" t="s">
        <v>326</v>
      </c>
      <c r="H249" s="484">
        <v>7</v>
      </c>
      <c r="I249" s="484">
        <v>5</v>
      </c>
      <c r="J249" s="484">
        <v>5</v>
      </c>
      <c r="K249" s="482">
        <v>4933.6000000000004</v>
      </c>
      <c r="L249" s="482">
        <v>4933.6000000000004</v>
      </c>
      <c r="M249" s="482">
        <v>0</v>
      </c>
      <c r="N249" s="484">
        <v>0</v>
      </c>
      <c r="O249" s="482">
        <v>0</v>
      </c>
      <c r="P249" s="482">
        <v>0</v>
      </c>
      <c r="Q249" s="482">
        <v>0</v>
      </c>
    </row>
    <row r="250" spans="1:17" ht="15.75" customHeight="1" x14ac:dyDescent="0.2">
      <c r="A250" s="526">
        <v>242</v>
      </c>
      <c r="B250" s="484" t="s">
        <v>631</v>
      </c>
      <c r="C250" s="516" t="s">
        <v>62</v>
      </c>
      <c r="D250" s="484"/>
      <c r="E250" s="486" t="s">
        <v>74</v>
      </c>
      <c r="F250" s="486" t="s">
        <v>642</v>
      </c>
      <c r="G250" s="510" t="s">
        <v>326</v>
      </c>
      <c r="H250" s="484">
        <v>3</v>
      </c>
      <c r="I250" s="484">
        <v>0</v>
      </c>
      <c r="J250" s="484">
        <v>0</v>
      </c>
      <c r="K250" s="482">
        <v>0</v>
      </c>
      <c r="L250" s="482">
        <v>0</v>
      </c>
      <c r="M250" s="482">
        <v>0</v>
      </c>
      <c r="N250" s="484">
        <v>0</v>
      </c>
      <c r="O250" s="482">
        <v>0</v>
      </c>
      <c r="P250" s="482">
        <v>0</v>
      </c>
      <c r="Q250" s="482">
        <v>0</v>
      </c>
    </row>
    <row r="251" spans="1:17" ht="15.75" customHeight="1" x14ac:dyDescent="0.2">
      <c r="A251" s="526">
        <v>243</v>
      </c>
      <c r="B251" s="484" t="s">
        <v>343</v>
      </c>
      <c r="C251" s="516" t="s">
        <v>62</v>
      </c>
      <c r="D251" s="484"/>
      <c r="E251" s="486" t="s">
        <v>74</v>
      </c>
      <c r="F251" s="486" t="s">
        <v>344</v>
      </c>
      <c r="G251" s="510" t="s">
        <v>326</v>
      </c>
      <c r="H251" s="484">
        <v>11</v>
      </c>
      <c r="I251" s="484">
        <v>3</v>
      </c>
      <c r="J251" s="484">
        <v>3</v>
      </c>
      <c r="K251" s="482">
        <v>3019.1</v>
      </c>
      <c r="L251" s="482">
        <v>3019.1</v>
      </c>
      <c r="M251" s="482">
        <v>0</v>
      </c>
      <c r="N251" s="484">
        <v>0</v>
      </c>
      <c r="O251" s="482">
        <v>0</v>
      </c>
      <c r="P251" s="482">
        <v>0</v>
      </c>
      <c r="Q251" s="482">
        <v>0</v>
      </c>
    </row>
    <row r="252" spans="1:17" ht="15.75" customHeight="1" x14ac:dyDescent="0.2">
      <c r="A252" s="526">
        <v>244</v>
      </c>
      <c r="B252" s="484" t="s">
        <v>154</v>
      </c>
      <c r="C252" s="516" t="s">
        <v>62</v>
      </c>
      <c r="D252" s="484"/>
      <c r="E252" s="486" t="s">
        <v>74</v>
      </c>
      <c r="F252" s="486" t="s">
        <v>345</v>
      </c>
      <c r="G252" s="510" t="s">
        <v>326</v>
      </c>
      <c r="H252" s="484">
        <v>7</v>
      </c>
      <c r="I252" s="484">
        <v>7</v>
      </c>
      <c r="J252" s="484">
        <v>7</v>
      </c>
      <c r="K252" s="482">
        <v>9690.15</v>
      </c>
      <c r="L252" s="482">
        <v>9690.15</v>
      </c>
      <c r="M252" s="482">
        <v>0</v>
      </c>
      <c r="N252" s="484">
        <v>7</v>
      </c>
      <c r="O252" s="482">
        <v>9770</v>
      </c>
      <c r="P252" s="482">
        <v>9770</v>
      </c>
      <c r="Q252" s="482">
        <v>0</v>
      </c>
    </row>
    <row r="253" spans="1:17" ht="15.75" customHeight="1" x14ac:dyDescent="0.2">
      <c r="A253" s="526">
        <v>245</v>
      </c>
      <c r="B253" s="484" t="s">
        <v>346</v>
      </c>
      <c r="C253" s="516" t="s">
        <v>62</v>
      </c>
      <c r="D253" s="484"/>
      <c r="E253" s="486" t="s">
        <v>158</v>
      </c>
      <c r="F253" s="486" t="s">
        <v>347</v>
      </c>
      <c r="G253" s="510" t="s">
        <v>326</v>
      </c>
      <c r="H253" s="484">
        <v>4</v>
      </c>
      <c r="I253" s="484">
        <v>0</v>
      </c>
      <c r="J253" s="484">
        <v>0</v>
      </c>
      <c r="K253" s="482">
        <v>0</v>
      </c>
      <c r="L253" s="482">
        <v>0</v>
      </c>
      <c r="M253" s="482">
        <v>0</v>
      </c>
      <c r="N253" s="484">
        <v>0</v>
      </c>
      <c r="O253" s="482">
        <v>0</v>
      </c>
      <c r="P253" s="482">
        <v>0</v>
      </c>
      <c r="Q253" s="482">
        <v>0</v>
      </c>
    </row>
    <row r="254" spans="1:17" ht="15.75" customHeight="1" x14ac:dyDescent="0.2">
      <c r="A254" s="526">
        <v>246</v>
      </c>
      <c r="B254" s="484" t="s">
        <v>348</v>
      </c>
      <c r="C254" s="516" t="s">
        <v>62</v>
      </c>
      <c r="D254" s="484"/>
      <c r="E254" s="486" t="s">
        <v>158</v>
      </c>
      <c r="F254" s="486" t="s">
        <v>349</v>
      </c>
      <c r="G254" s="510" t="s">
        <v>326</v>
      </c>
      <c r="H254" s="484">
        <v>6</v>
      </c>
      <c r="I254" s="484">
        <v>0</v>
      </c>
      <c r="J254" s="484">
        <v>0</v>
      </c>
      <c r="K254" s="482">
        <v>0</v>
      </c>
      <c r="L254" s="482">
        <v>0</v>
      </c>
      <c r="M254" s="482">
        <v>0</v>
      </c>
      <c r="N254" s="484">
        <v>0</v>
      </c>
      <c r="O254" s="482">
        <v>0</v>
      </c>
      <c r="P254" s="482">
        <v>0</v>
      </c>
      <c r="Q254" s="482">
        <v>0</v>
      </c>
    </row>
    <row r="255" spans="1:17" ht="15.75" customHeight="1" x14ac:dyDescent="0.2">
      <c r="A255" s="526">
        <v>247</v>
      </c>
      <c r="B255" s="484" t="s">
        <v>350</v>
      </c>
      <c r="C255" s="516" t="s">
        <v>62</v>
      </c>
      <c r="D255" s="484"/>
      <c r="E255" s="486" t="s">
        <v>74</v>
      </c>
      <c r="F255" s="486" t="s">
        <v>351</v>
      </c>
      <c r="G255" s="510" t="s">
        <v>326</v>
      </c>
      <c r="H255" s="484">
        <v>1</v>
      </c>
      <c r="I255" s="484">
        <v>1</v>
      </c>
      <c r="J255" s="484">
        <v>1</v>
      </c>
      <c r="K255" s="482">
        <v>528.6</v>
      </c>
      <c r="L255" s="482">
        <v>528.6</v>
      </c>
      <c r="M255" s="482">
        <v>0</v>
      </c>
      <c r="N255" s="484">
        <v>4</v>
      </c>
      <c r="O255" s="482">
        <v>5065.75</v>
      </c>
      <c r="P255" s="482">
        <v>5065.75</v>
      </c>
      <c r="Q255" s="482">
        <v>0</v>
      </c>
    </row>
    <row r="256" spans="1:17" ht="15.75" customHeight="1" x14ac:dyDescent="0.2">
      <c r="A256" s="526">
        <v>248</v>
      </c>
      <c r="B256" s="484" t="s">
        <v>222</v>
      </c>
      <c r="C256" s="516" t="s">
        <v>64</v>
      </c>
      <c r="D256" s="484" t="s">
        <v>352</v>
      </c>
      <c r="E256" s="486" t="s">
        <v>158</v>
      </c>
      <c r="F256" s="486" t="s">
        <v>353</v>
      </c>
      <c r="G256" s="510" t="s">
        <v>326</v>
      </c>
      <c r="H256" s="484">
        <v>6</v>
      </c>
      <c r="I256" s="484">
        <v>2</v>
      </c>
      <c r="J256" s="484">
        <v>2</v>
      </c>
      <c r="K256" s="482">
        <v>3524</v>
      </c>
      <c r="L256" s="482">
        <v>3524</v>
      </c>
      <c r="M256" s="482">
        <v>0</v>
      </c>
      <c r="N256" s="484">
        <v>0</v>
      </c>
      <c r="O256" s="482">
        <v>0</v>
      </c>
      <c r="P256" s="482">
        <v>0</v>
      </c>
      <c r="Q256" s="482">
        <v>0</v>
      </c>
    </row>
    <row r="257" spans="1:17" ht="15.75" customHeight="1" x14ac:dyDescent="0.2">
      <c r="A257" s="526">
        <v>249</v>
      </c>
      <c r="B257" s="484" t="s">
        <v>232</v>
      </c>
      <c r="C257" s="516" t="s">
        <v>62</v>
      </c>
      <c r="D257" s="484"/>
      <c r="E257" s="486" t="s">
        <v>74</v>
      </c>
      <c r="F257" s="486" t="s">
        <v>722</v>
      </c>
      <c r="G257" s="510" t="s">
        <v>326</v>
      </c>
      <c r="H257" s="484">
        <v>2</v>
      </c>
      <c r="I257" s="484">
        <v>1</v>
      </c>
      <c r="J257" s="484">
        <v>1</v>
      </c>
      <c r="K257" s="482">
        <v>1012.55</v>
      </c>
      <c r="L257" s="482">
        <v>1012.55</v>
      </c>
      <c r="M257" s="482">
        <v>0</v>
      </c>
      <c r="N257" s="484">
        <v>0</v>
      </c>
      <c r="O257" s="482">
        <v>0</v>
      </c>
      <c r="P257" s="482">
        <v>0</v>
      </c>
      <c r="Q257" s="482">
        <v>0</v>
      </c>
    </row>
    <row r="258" spans="1:17" ht="15.75" customHeight="1" x14ac:dyDescent="0.2">
      <c r="A258" s="526">
        <v>250</v>
      </c>
      <c r="B258" s="484" t="s">
        <v>238</v>
      </c>
      <c r="C258" s="516" t="s">
        <v>62</v>
      </c>
      <c r="D258" s="484"/>
      <c r="E258" s="486" t="s">
        <v>158</v>
      </c>
      <c r="F258" s="486" t="s">
        <v>354</v>
      </c>
      <c r="G258" s="510" t="s">
        <v>326</v>
      </c>
      <c r="H258" s="484">
        <v>9</v>
      </c>
      <c r="I258" s="484">
        <v>7</v>
      </c>
      <c r="J258" s="484">
        <v>7</v>
      </c>
      <c r="K258" s="482">
        <v>9349.25</v>
      </c>
      <c r="L258" s="482">
        <v>8060.55</v>
      </c>
      <c r="M258" s="482">
        <v>1288.7</v>
      </c>
      <c r="N258" s="484">
        <v>0</v>
      </c>
      <c r="O258" s="482">
        <v>0</v>
      </c>
      <c r="P258" s="482">
        <v>0</v>
      </c>
      <c r="Q258" s="482">
        <v>0</v>
      </c>
    </row>
    <row r="259" spans="1:17" ht="15.75" customHeight="1" x14ac:dyDescent="0.2">
      <c r="A259" s="526">
        <v>251</v>
      </c>
      <c r="B259" s="484" t="s">
        <v>355</v>
      </c>
      <c r="C259" s="516" t="s">
        <v>62</v>
      </c>
      <c r="D259" s="484"/>
      <c r="E259" s="486" t="s">
        <v>158</v>
      </c>
      <c r="F259" s="486" t="s">
        <v>356</v>
      </c>
      <c r="G259" s="510" t="s">
        <v>326</v>
      </c>
      <c r="H259" s="484">
        <v>7</v>
      </c>
      <c r="I259" s="484">
        <v>4</v>
      </c>
      <c r="J259" s="484">
        <v>4</v>
      </c>
      <c r="K259" s="482">
        <v>6276.4</v>
      </c>
      <c r="L259" s="482">
        <v>3971.2</v>
      </c>
      <c r="M259" s="482">
        <v>2305.1999999999998</v>
      </c>
      <c r="N259" s="484">
        <v>0</v>
      </c>
      <c r="O259" s="482">
        <v>0</v>
      </c>
      <c r="P259" s="482">
        <v>0</v>
      </c>
      <c r="Q259" s="482">
        <v>0</v>
      </c>
    </row>
    <row r="260" spans="1:17" ht="15.75" customHeight="1" x14ac:dyDescent="0.2">
      <c r="A260" s="526">
        <v>252</v>
      </c>
      <c r="B260" s="484" t="s">
        <v>357</v>
      </c>
      <c r="C260" s="516" t="s">
        <v>64</v>
      </c>
      <c r="D260" s="534" t="s">
        <v>358</v>
      </c>
      <c r="E260" s="486" t="s">
        <v>158</v>
      </c>
      <c r="F260" s="486" t="s">
        <v>507</v>
      </c>
      <c r="G260" s="510" t="s">
        <v>326</v>
      </c>
      <c r="H260" s="484">
        <v>3</v>
      </c>
      <c r="I260" s="484">
        <v>2</v>
      </c>
      <c r="J260" s="484">
        <v>2</v>
      </c>
      <c r="K260" s="482">
        <v>3129.7</v>
      </c>
      <c r="L260" s="482">
        <v>3129.7</v>
      </c>
      <c r="M260" s="482">
        <v>0</v>
      </c>
      <c r="N260" s="484">
        <v>0</v>
      </c>
      <c r="O260" s="482">
        <v>0</v>
      </c>
      <c r="P260" s="482">
        <v>0</v>
      </c>
      <c r="Q260" s="482">
        <v>0</v>
      </c>
    </row>
    <row r="261" spans="1:17" ht="15.75" customHeight="1" x14ac:dyDescent="0.2">
      <c r="A261" s="526">
        <v>253</v>
      </c>
      <c r="B261" s="484" t="s">
        <v>36</v>
      </c>
      <c r="C261" s="516" t="s">
        <v>62</v>
      </c>
      <c r="D261" s="484"/>
      <c r="E261" s="486" t="s">
        <v>74</v>
      </c>
      <c r="F261" s="486" t="s">
        <v>630</v>
      </c>
      <c r="G261" s="510" t="s">
        <v>326</v>
      </c>
      <c r="H261" s="484">
        <v>2</v>
      </c>
      <c r="I261" s="484">
        <v>1</v>
      </c>
      <c r="J261" s="484">
        <v>1</v>
      </c>
      <c r="K261" s="482">
        <v>552.29999999999995</v>
      </c>
      <c r="L261" s="482">
        <v>552.29999999999995</v>
      </c>
      <c r="M261" s="482">
        <v>0</v>
      </c>
      <c r="N261" s="484">
        <v>0</v>
      </c>
      <c r="O261" s="482">
        <v>0</v>
      </c>
      <c r="P261" s="482">
        <v>0</v>
      </c>
      <c r="Q261" s="482">
        <v>0</v>
      </c>
    </row>
    <row r="262" spans="1:17" ht="15.75" customHeight="1" x14ac:dyDescent="0.2">
      <c r="A262" s="526">
        <v>254</v>
      </c>
      <c r="B262" s="484" t="s">
        <v>359</v>
      </c>
      <c r="C262" s="516" t="s">
        <v>62</v>
      </c>
      <c r="D262" s="484"/>
      <c r="E262" s="486" t="s">
        <v>158</v>
      </c>
      <c r="F262" s="486" t="s">
        <v>360</v>
      </c>
      <c r="G262" s="510" t="s">
        <v>326</v>
      </c>
      <c r="H262" s="484">
        <v>5</v>
      </c>
      <c r="I262" s="484">
        <v>5</v>
      </c>
      <c r="J262" s="484">
        <v>5</v>
      </c>
      <c r="K262" s="482">
        <v>4933.6000000000004</v>
      </c>
      <c r="L262" s="482">
        <v>4933.6000000000004</v>
      </c>
      <c r="M262" s="482">
        <v>0</v>
      </c>
      <c r="N262" s="484">
        <v>0</v>
      </c>
      <c r="O262" s="482">
        <v>0</v>
      </c>
      <c r="P262" s="482">
        <v>0</v>
      </c>
      <c r="Q262" s="482">
        <v>0</v>
      </c>
    </row>
    <row r="263" spans="1:17" ht="15.75" customHeight="1" x14ac:dyDescent="0.2">
      <c r="A263" s="526">
        <v>255</v>
      </c>
      <c r="B263" s="484" t="s">
        <v>118</v>
      </c>
      <c r="C263" s="516" t="s">
        <v>62</v>
      </c>
      <c r="D263" s="484"/>
      <c r="E263" s="486" t="s">
        <v>675</v>
      </c>
      <c r="F263" s="486" t="s">
        <v>361</v>
      </c>
      <c r="G263" s="510" t="s">
        <v>326</v>
      </c>
      <c r="H263" s="484">
        <v>1</v>
      </c>
      <c r="I263" s="484">
        <v>1</v>
      </c>
      <c r="J263" s="484">
        <v>1</v>
      </c>
      <c r="K263" s="482">
        <v>1012.55</v>
      </c>
      <c r="L263" s="482">
        <v>1012.55</v>
      </c>
      <c r="M263" s="482">
        <v>0</v>
      </c>
      <c r="N263" s="484">
        <v>0</v>
      </c>
      <c r="O263" s="482">
        <v>0</v>
      </c>
      <c r="P263" s="482">
        <v>0</v>
      </c>
      <c r="Q263" s="482">
        <v>0</v>
      </c>
    </row>
    <row r="264" spans="1:17" ht="15.75" customHeight="1" x14ac:dyDescent="0.2">
      <c r="A264" s="526">
        <v>256</v>
      </c>
      <c r="B264" s="484" t="s">
        <v>246</v>
      </c>
      <c r="C264" s="516" t="s">
        <v>62</v>
      </c>
      <c r="D264" s="484"/>
      <c r="E264" s="486" t="s">
        <v>158</v>
      </c>
      <c r="F264" s="486" t="s">
        <v>362</v>
      </c>
      <c r="G264" s="510" t="s">
        <v>326</v>
      </c>
      <c r="H264" s="484">
        <v>5</v>
      </c>
      <c r="I264" s="484">
        <v>3</v>
      </c>
      <c r="J264" s="484">
        <v>3</v>
      </c>
      <c r="K264" s="482">
        <v>4271.05</v>
      </c>
      <c r="L264" s="482">
        <v>4271.05</v>
      </c>
      <c r="M264" s="482">
        <v>0</v>
      </c>
      <c r="N264" s="484">
        <v>0</v>
      </c>
      <c r="O264" s="482">
        <v>0</v>
      </c>
      <c r="P264" s="482">
        <v>0</v>
      </c>
      <c r="Q264" s="482">
        <v>0</v>
      </c>
    </row>
    <row r="265" spans="1:17" ht="15.75" customHeight="1" x14ac:dyDescent="0.2">
      <c r="A265" s="526">
        <v>257</v>
      </c>
      <c r="B265" s="484" t="s">
        <v>643</v>
      </c>
      <c r="C265" s="516" t="s">
        <v>62</v>
      </c>
      <c r="D265" s="484"/>
      <c r="E265" s="486" t="s">
        <v>74</v>
      </c>
      <c r="F265" s="486" t="s">
        <v>644</v>
      </c>
      <c r="G265" s="510" t="s">
        <v>326</v>
      </c>
      <c r="H265" s="484">
        <v>2</v>
      </c>
      <c r="I265" s="484">
        <v>0</v>
      </c>
      <c r="J265" s="484">
        <v>0</v>
      </c>
      <c r="K265" s="482">
        <v>0</v>
      </c>
      <c r="L265" s="482">
        <v>0</v>
      </c>
      <c r="M265" s="482">
        <v>0</v>
      </c>
      <c r="N265" s="484">
        <v>0</v>
      </c>
      <c r="O265" s="482">
        <v>0</v>
      </c>
      <c r="P265" s="482">
        <v>0</v>
      </c>
      <c r="Q265" s="482">
        <v>0</v>
      </c>
    </row>
    <row r="266" spans="1:17" ht="15.75" customHeight="1" x14ac:dyDescent="0.2">
      <c r="A266" s="526">
        <v>258</v>
      </c>
      <c r="B266" s="484" t="s">
        <v>43</v>
      </c>
      <c r="C266" s="516" t="s">
        <v>62</v>
      </c>
      <c r="D266" s="484"/>
      <c r="E266" s="486" t="s">
        <v>74</v>
      </c>
      <c r="F266" s="486" t="s">
        <v>363</v>
      </c>
      <c r="G266" s="510" t="s">
        <v>326</v>
      </c>
      <c r="H266" s="484">
        <v>4</v>
      </c>
      <c r="I266" s="484">
        <v>3</v>
      </c>
      <c r="J266" s="484">
        <v>3</v>
      </c>
      <c r="K266" s="482">
        <v>4771.74</v>
      </c>
      <c r="L266" s="482">
        <v>660.75</v>
      </c>
      <c r="M266" s="482">
        <v>4110.99</v>
      </c>
      <c r="N266" s="484">
        <v>2</v>
      </c>
      <c r="O266" s="482">
        <v>0</v>
      </c>
      <c r="P266" s="482">
        <v>0</v>
      </c>
      <c r="Q266" s="482">
        <v>0</v>
      </c>
    </row>
    <row r="267" spans="1:17" ht="15.75" customHeight="1" x14ac:dyDescent="0.2">
      <c r="A267" s="526">
        <v>259</v>
      </c>
      <c r="B267" s="484" t="s">
        <v>364</v>
      </c>
      <c r="C267" s="516" t="s">
        <v>62</v>
      </c>
      <c r="D267" s="484"/>
      <c r="E267" s="486" t="s">
        <v>74</v>
      </c>
      <c r="F267" s="486" t="s">
        <v>365</v>
      </c>
      <c r="G267" s="510" t="s">
        <v>326</v>
      </c>
      <c r="H267" s="484">
        <v>8</v>
      </c>
      <c r="I267" s="484">
        <v>3</v>
      </c>
      <c r="J267" s="484">
        <v>3</v>
      </c>
      <c r="K267" s="482">
        <v>7069.3</v>
      </c>
      <c r="L267" s="482">
        <v>7069.3</v>
      </c>
      <c r="M267" s="482">
        <v>0</v>
      </c>
      <c r="N267" s="484">
        <v>3</v>
      </c>
      <c r="O267" s="482">
        <v>9692.9599999999991</v>
      </c>
      <c r="P267" s="482">
        <v>9692.9599999999991</v>
      </c>
      <c r="Q267" s="482">
        <v>0</v>
      </c>
    </row>
    <row r="268" spans="1:17" ht="15.75" customHeight="1" x14ac:dyDescent="0.2">
      <c r="A268" s="526">
        <v>260</v>
      </c>
      <c r="B268" s="484" t="s">
        <v>46</v>
      </c>
      <c r="C268" s="516" t="s">
        <v>62</v>
      </c>
      <c r="D268" s="484"/>
      <c r="E268" s="486" t="s">
        <v>678</v>
      </c>
      <c r="F268" s="486" t="s">
        <v>367</v>
      </c>
      <c r="G268" s="510" t="s">
        <v>326</v>
      </c>
      <c r="H268" s="484">
        <v>0</v>
      </c>
      <c r="I268" s="484">
        <v>0</v>
      </c>
      <c r="J268" s="484">
        <v>0</v>
      </c>
      <c r="K268" s="482">
        <v>0</v>
      </c>
      <c r="L268" s="482">
        <v>0</v>
      </c>
      <c r="M268" s="482">
        <v>0</v>
      </c>
      <c r="N268" s="484">
        <v>2</v>
      </c>
      <c r="O268" s="482">
        <v>4669.3</v>
      </c>
      <c r="P268" s="482">
        <v>4669.3</v>
      </c>
      <c r="Q268" s="482">
        <v>0</v>
      </c>
    </row>
    <row r="269" spans="1:17" ht="15.75" customHeight="1" x14ac:dyDescent="0.2">
      <c r="A269" s="526">
        <v>261</v>
      </c>
      <c r="B269" s="484" t="s">
        <v>270</v>
      </c>
      <c r="C269" s="516" t="s">
        <v>62</v>
      </c>
      <c r="D269" s="484"/>
      <c r="E269" s="486" t="s">
        <v>74</v>
      </c>
      <c r="F269" s="486" t="s">
        <v>539</v>
      </c>
      <c r="G269" s="510" t="s">
        <v>326</v>
      </c>
      <c r="H269" s="484">
        <v>3</v>
      </c>
      <c r="I269" s="484">
        <v>2</v>
      </c>
      <c r="J269" s="484">
        <v>2</v>
      </c>
      <c r="K269" s="482">
        <v>2117.15</v>
      </c>
      <c r="L269" s="482">
        <v>1012.55</v>
      </c>
      <c r="M269" s="482">
        <v>1104.5999999999999</v>
      </c>
      <c r="N269" s="484">
        <v>0</v>
      </c>
      <c r="O269" s="482">
        <v>0</v>
      </c>
      <c r="P269" s="482">
        <v>0</v>
      </c>
      <c r="Q269" s="482">
        <v>0</v>
      </c>
    </row>
    <row r="270" spans="1:17" ht="15.75" customHeight="1" x14ac:dyDescent="0.2">
      <c r="A270" s="526">
        <v>262</v>
      </c>
      <c r="B270" s="484" t="s">
        <v>621</v>
      </c>
      <c r="C270" s="516" t="s">
        <v>62</v>
      </c>
      <c r="D270" s="484"/>
      <c r="E270" s="486" t="s">
        <v>74</v>
      </c>
      <c r="F270" s="486" t="s">
        <v>622</v>
      </c>
      <c r="G270" s="510" t="s">
        <v>326</v>
      </c>
      <c r="H270" s="484">
        <v>5</v>
      </c>
      <c r="I270" s="484">
        <v>3</v>
      </c>
      <c r="J270" s="484">
        <v>3</v>
      </c>
      <c r="K270" s="482">
        <v>3317.75</v>
      </c>
      <c r="L270" s="482">
        <v>1012.55</v>
      </c>
      <c r="M270" s="482">
        <v>2305.1999999999998</v>
      </c>
      <c r="N270" s="484">
        <v>0</v>
      </c>
      <c r="O270" s="482">
        <v>0</v>
      </c>
      <c r="P270" s="482">
        <v>0</v>
      </c>
      <c r="Q270" s="482">
        <v>0</v>
      </c>
    </row>
    <row r="271" spans="1:17" ht="15.75" customHeight="1" x14ac:dyDescent="0.2">
      <c r="A271" s="526">
        <v>263</v>
      </c>
      <c r="B271" s="484" t="s">
        <v>723</v>
      </c>
      <c r="C271" s="516" t="s">
        <v>62</v>
      </c>
      <c r="D271" s="484"/>
      <c r="E271" s="486" t="s">
        <v>74</v>
      </c>
      <c r="F271" s="486" t="s">
        <v>724</v>
      </c>
      <c r="G271" s="510" t="s">
        <v>326</v>
      </c>
      <c r="H271" s="484">
        <v>2</v>
      </c>
      <c r="I271" s="484">
        <v>0</v>
      </c>
      <c r="J271" s="484">
        <v>0</v>
      </c>
      <c r="K271" s="482">
        <v>0</v>
      </c>
      <c r="L271" s="482">
        <v>0</v>
      </c>
      <c r="M271" s="482">
        <v>0</v>
      </c>
      <c r="N271" s="484">
        <v>0</v>
      </c>
      <c r="O271" s="482">
        <v>0</v>
      </c>
      <c r="P271" s="482">
        <v>0</v>
      </c>
      <c r="Q271" s="482">
        <v>0</v>
      </c>
    </row>
    <row r="272" spans="1:17" ht="15.75" customHeight="1" x14ac:dyDescent="0.2">
      <c r="A272" s="526">
        <v>264</v>
      </c>
      <c r="B272" s="484" t="s">
        <v>96</v>
      </c>
      <c r="C272" s="516" t="s">
        <v>62</v>
      </c>
      <c r="D272" s="484"/>
      <c r="E272" s="486" t="s">
        <v>772</v>
      </c>
      <c r="F272" s="486" t="s">
        <v>540</v>
      </c>
      <c r="G272" s="510" t="s">
        <v>326</v>
      </c>
      <c r="H272" s="484">
        <v>1</v>
      </c>
      <c r="I272" s="484">
        <v>0</v>
      </c>
      <c r="J272" s="484">
        <v>0</v>
      </c>
      <c r="K272" s="482">
        <v>0</v>
      </c>
      <c r="L272" s="482">
        <v>0</v>
      </c>
      <c r="M272" s="482">
        <v>0</v>
      </c>
      <c r="N272" s="484">
        <v>1</v>
      </c>
      <c r="O272" s="482">
        <v>0</v>
      </c>
      <c r="P272" s="482">
        <v>0</v>
      </c>
      <c r="Q272" s="482">
        <v>0</v>
      </c>
    </row>
    <row r="273" spans="1:17" ht="15.75" customHeight="1" x14ac:dyDescent="0.2">
      <c r="A273" s="526">
        <v>265</v>
      </c>
      <c r="B273" s="484" t="s">
        <v>124</v>
      </c>
      <c r="C273" s="516" t="s">
        <v>62</v>
      </c>
      <c r="D273" s="484"/>
      <c r="E273" s="486" t="s">
        <v>773</v>
      </c>
      <c r="F273" s="486" t="s">
        <v>368</v>
      </c>
      <c r="G273" s="510" t="s">
        <v>326</v>
      </c>
      <c r="H273" s="484">
        <v>27</v>
      </c>
      <c r="I273" s="484">
        <v>20</v>
      </c>
      <c r="J273" s="484">
        <v>20</v>
      </c>
      <c r="K273" s="482">
        <v>28575.31</v>
      </c>
      <c r="L273" s="482">
        <v>23114.5</v>
      </c>
      <c r="M273" s="482">
        <v>5460.81</v>
      </c>
      <c r="N273" s="484">
        <v>8</v>
      </c>
      <c r="O273" s="482">
        <v>4753.3999999999996</v>
      </c>
      <c r="P273" s="482">
        <v>4753.3999999999996</v>
      </c>
      <c r="Q273" s="482">
        <v>0</v>
      </c>
    </row>
    <row r="274" spans="1:17" ht="15.75" customHeight="1" x14ac:dyDescent="0.2">
      <c r="A274" s="526">
        <v>266</v>
      </c>
      <c r="B274" s="484" t="s">
        <v>51</v>
      </c>
      <c r="C274" s="516" t="s">
        <v>62</v>
      </c>
      <c r="D274" s="484"/>
      <c r="E274" s="486" t="s">
        <v>74</v>
      </c>
      <c r="F274" s="486" t="s">
        <v>369</v>
      </c>
      <c r="G274" s="510" t="s">
        <v>326</v>
      </c>
      <c r="H274" s="484">
        <v>0</v>
      </c>
      <c r="I274" s="484">
        <v>0</v>
      </c>
      <c r="J274" s="484">
        <v>0</v>
      </c>
      <c r="K274" s="482">
        <v>0</v>
      </c>
      <c r="L274" s="482">
        <v>0</v>
      </c>
      <c r="M274" s="482">
        <v>0</v>
      </c>
      <c r="N274" s="484">
        <v>1</v>
      </c>
      <c r="O274" s="482">
        <v>2290.6</v>
      </c>
      <c r="P274" s="482">
        <v>2290.6</v>
      </c>
      <c r="Q274" s="482">
        <v>0</v>
      </c>
    </row>
    <row r="275" spans="1:17" ht="15.75" customHeight="1" x14ac:dyDescent="0.2">
      <c r="A275" s="526">
        <v>267</v>
      </c>
      <c r="B275" s="484" t="s">
        <v>286</v>
      </c>
      <c r="C275" s="516" t="s">
        <v>62</v>
      </c>
      <c r="D275" s="484"/>
      <c r="E275" s="486" t="s">
        <v>74</v>
      </c>
      <c r="F275" s="486" t="s">
        <v>476</v>
      </c>
      <c r="G275" s="510" t="s">
        <v>326</v>
      </c>
      <c r="H275" s="484">
        <v>8</v>
      </c>
      <c r="I275" s="484">
        <v>4</v>
      </c>
      <c r="J275" s="484">
        <v>4</v>
      </c>
      <c r="K275" s="482">
        <v>3195.3</v>
      </c>
      <c r="L275" s="482">
        <v>3195.3</v>
      </c>
      <c r="M275" s="482">
        <v>0</v>
      </c>
      <c r="N275" s="484">
        <v>0</v>
      </c>
      <c r="O275" s="482">
        <v>0</v>
      </c>
      <c r="P275" s="482">
        <v>0</v>
      </c>
      <c r="Q275" s="482">
        <v>0</v>
      </c>
    </row>
    <row r="276" spans="1:17" ht="15.75" customHeight="1" x14ac:dyDescent="0.2">
      <c r="A276" s="526">
        <v>268</v>
      </c>
      <c r="B276" s="484" t="s">
        <v>290</v>
      </c>
      <c r="C276" s="516" t="s">
        <v>62</v>
      </c>
      <c r="D276" s="484"/>
      <c r="E276" s="486" t="s">
        <v>74</v>
      </c>
      <c r="F276" s="486" t="s">
        <v>372</v>
      </c>
      <c r="G276" s="510" t="s">
        <v>326</v>
      </c>
      <c r="H276" s="484">
        <v>9</v>
      </c>
      <c r="I276" s="484">
        <v>8</v>
      </c>
      <c r="J276" s="484">
        <v>8</v>
      </c>
      <c r="K276" s="482">
        <v>6532.8</v>
      </c>
      <c r="L276" s="482">
        <v>6532.8</v>
      </c>
      <c r="M276" s="482">
        <v>0</v>
      </c>
      <c r="N276" s="484">
        <v>0</v>
      </c>
      <c r="O276" s="482">
        <v>0</v>
      </c>
      <c r="P276" s="482">
        <v>0</v>
      </c>
      <c r="Q276" s="482">
        <v>0</v>
      </c>
    </row>
    <row r="277" spans="1:17" ht="15.75" customHeight="1" x14ac:dyDescent="0.2">
      <c r="A277" s="526">
        <v>269</v>
      </c>
      <c r="B277" s="484" t="s">
        <v>134</v>
      </c>
      <c r="C277" s="516" t="s">
        <v>62</v>
      </c>
      <c r="D277" s="484"/>
      <c r="E277" s="486" t="s">
        <v>74</v>
      </c>
      <c r="F277" s="486" t="s">
        <v>373</v>
      </c>
      <c r="G277" s="510" t="s">
        <v>326</v>
      </c>
      <c r="H277" s="484">
        <v>3</v>
      </c>
      <c r="I277" s="484">
        <v>1</v>
      </c>
      <c r="J277" s="484">
        <v>1</v>
      </c>
      <c r="K277" s="482">
        <v>1938.2</v>
      </c>
      <c r="L277" s="482">
        <v>1938.2</v>
      </c>
      <c r="M277" s="482">
        <v>0</v>
      </c>
      <c r="N277" s="484">
        <v>3</v>
      </c>
      <c r="O277" s="482">
        <v>6693.2</v>
      </c>
      <c r="P277" s="482">
        <v>6693.2</v>
      </c>
      <c r="Q277" s="482">
        <v>0</v>
      </c>
    </row>
    <row r="278" spans="1:17" ht="15.75" customHeight="1" x14ac:dyDescent="0.2">
      <c r="A278" s="526">
        <v>270</v>
      </c>
      <c r="B278" s="484" t="s">
        <v>135</v>
      </c>
      <c r="C278" s="516" t="s">
        <v>62</v>
      </c>
      <c r="D278" s="484"/>
      <c r="E278" s="486" t="s">
        <v>74</v>
      </c>
      <c r="F278" s="486" t="s">
        <v>374</v>
      </c>
      <c r="G278" s="510" t="s">
        <v>326</v>
      </c>
      <c r="H278" s="484">
        <v>21</v>
      </c>
      <c r="I278" s="484">
        <v>7</v>
      </c>
      <c r="J278" s="484">
        <v>7</v>
      </c>
      <c r="K278" s="482">
        <v>13053.6</v>
      </c>
      <c r="L278" s="482">
        <v>13053.6</v>
      </c>
      <c r="M278" s="482">
        <v>0</v>
      </c>
      <c r="N278" s="484">
        <v>94</v>
      </c>
      <c r="O278" s="482">
        <v>48904.95</v>
      </c>
      <c r="P278" s="482">
        <v>48904.95</v>
      </c>
      <c r="Q278" s="482">
        <v>0</v>
      </c>
    </row>
    <row r="279" spans="1:17" ht="15.75" customHeight="1" x14ac:dyDescent="0.2">
      <c r="A279" s="526">
        <v>271</v>
      </c>
      <c r="B279" s="484" t="s">
        <v>508</v>
      </c>
      <c r="C279" s="516" t="s">
        <v>64</v>
      </c>
      <c r="D279" s="484" t="s">
        <v>509</v>
      </c>
      <c r="E279" s="486" t="s">
        <v>74</v>
      </c>
      <c r="F279" s="486" t="s">
        <v>510</v>
      </c>
      <c r="G279" s="510" t="s">
        <v>326</v>
      </c>
      <c r="H279" s="484">
        <v>3</v>
      </c>
      <c r="I279" s="484">
        <v>2</v>
      </c>
      <c r="J279" s="484">
        <v>2</v>
      </c>
      <c r="K279" s="482">
        <v>4418.3999999999996</v>
      </c>
      <c r="L279" s="482">
        <v>4418.3999999999996</v>
      </c>
      <c r="M279" s="482">
        <v>0</v>
      </c>
      <c r="N279" s="484">
        <v>0</v>
      </c>
      <c r="O279" s="482">
        <v>0</v>
      </c>
      <c r="P279" s="482">
        <v>0</v>
      </c>
      <c r="Q279" s="482">
        <v>0</v>
      </c>
    </row>
    <row r="280" spans="1:17" ht="15.75" customHeight="1" x14ac:dyDescent="0.2">
      <c r="A280" s="526">
        <v>272</v>
      </c>
      <c r="B280" s="484" t="s">
        <v>299</v>
      </c>
      <c r="C280" s="516" t="s">
        <v>62</v>
      </c>
      <c r="D280" s="484"/>
      <c r="E280" s="486" t="s">
        <v>158</v>
      </c>
      <c r="F280" s="486" t="s">
        <v>375</v>
      </c>
      <c r="G280" s="510" t="s">
        <v>326</v>
      </c>
      <c r="H280" s="484">
        <v>3</v>
      </c>
      <c r="I280" s="484">
        <v>1</v>
      </c>
      <c r="J280" s="484">
        <v>1</v>
      </c>
      <c r="K280" s="482">
        <v>704.8</v>
      </c>
      <c r="L280" s="482">
        <v>704.8</v>
      </c>
      <c r="M280" s="482">
        <v>0</v>
      </c>
      <c r="N280" s="484">
        <v>0</v>
      </c>
      <c r="O280" s="482">
        <v>0</v>
      </c>
      <c r="P280" s="482">
        <v>0</v>
      </c>
      <c r="Q280" s="482">
        <v>0</v>
      </c>
    </row>
    <row r="281" spans="1:17" ht="15.75" customHeight="1" x14ac:dyDescent="0.2">
      <c r="A281" s="526">
        <v>273</v>
      </c>
      <c r="B281" s="484" t="s">
        <v>302</v>
      </c>
      <c r="C281" s="516" t="s">
        <v>62</v>
      </c>
      <c r="D281" s="484"/>
      <c r="E281" s="486" t="s">
        <v>74</v>
      </c>
      <c r="F281" s="486" t="s">
        <v>725</v>
      </c>
      <c r="G281" s="510" t="s">
        <v>326</v>
      </c>
      <c r="H281" s="484">
        <v>1</v>
      </c>
      <c r="I281" s="484">
        <v>0</v>
      </c>
      <c r="J281" s="484">
        <v>0</v>
      </c>
      <c r="K281" s="482">
        <v>0</v>
      </c>
      <c r="L281" s="482">
        <v>0</v>
      </c>
      <c r="M281" s="482">
        <v>0</v>
      </c>
      <c r="N281" s="484">
        <v>0</v>
      </c>
      <c r="O281" s="482">
        <v>0</v>
      </c>
      <c r="P281" s="482">
        <v>0</v>
      </c>
      <c r="Q281" s="482">
        <v>0</v>
      </c>
    </row>
    <row r="282" spans="1:17" ht="15.75" customHeight="1" x14ac:dyDescent="0.2">
      <c r="A282" s="526">
        <v>274</v>
      </c>
      <c r="B282" s="484" t="s">
        <v>702</v>
      </c>
      <c r="C282" s="516" t="s">
        <v>62</v>
      </c>
      <c r="D282" s="484"/>
      <c r="E282" s="486" t="s">
        <v>74</v>
      </c>
      <c r="F282" s="486" t="s">
        <v>726</v>
      </c>
      <c r="G282" s="510" t="s">
        <v>326</v>
      </c>
      <c r="H282" s="484">
        <v>1</v>
      </c>
      <c r="I282" s="484">
        <v>1</v>
      </c>
      <c r="J282" s="484">
        <v>1</v>
      </c>
      <c r="K282" s="482">
        <v>552.29999999999995</v>
      </c>
      <c r="L282" s="482">
        <v>552.29999999999995</v>
      </c>
      <c r="M282" s="482">
        <v>0</v>
      </c>
      <c r="N282" s="484">
        <v>0</v>
      </c>
      <c r="O282" s="482">
        <v>0</v>
      </c>
      <c r="P282" s="482">
        <v>0</v>
      </c>
      <c r="Q282" s="482">
        <v>0</v>
      </c>
    </row>
    <row r="283" spans="1:17" ht="15.75" customHeight="1" x14ac:dyDescent="0.2">
      <c r="A283" s="526">
        <v>275</v>
      </c>
      <c r="B283" s="484" t="s">
        <v>376</v>
      </c>
      <c r="C283" s="516" t="s">
        <v>62</v>
      </c>
      <c r="D283" s="484"/>
      <c r="E283" s="486" t="s">
        <v>74</v>
      </c>
      <c r="F283" s="486" t="s">
        <v>377</v>
      </c>
      <c r="G283" s="510" t="s">
        <v>326</v>
      </c>
      <c r="H283" s="484">
        <v>10</v>
      </c>
      <c r="I283" s="484">
        <v>6</v>
      </c>
      <c r="J283" s="484">
        <v>6</v>
      </c>
      <c r="K283" s="482">
        <v>6722.05</v>
      </c>
      <c r="L283" s="482">
        <v>6722.05</v>
      </c>
      <c r="M283" s="482">
        <v>0</v>
      </c>
      <c r="N283" s="484">
        <v>0</v>
      </c>
      <c r="O283" s="482">
        <v>0</v>
      </c>
      <c r="P283" s="482">
        <v>0</v>
      </c>
      <c r="Q283" s="482">
        <v>0</v>
      </c>
    </row>
    <row r="284" spans="1:17" ht="15.75" customHeight="1" x14ac:dyDescent="0.2">
      <c r="A284" s="526">
        <v>276</v>
      </c>
      <c r="B284" s="484" t="s">
        <v>129</v>
      </c>
      <c r="C284" s="516" t="s">
        <v>62</v>
      </c>
      <c r="D284" s="484"/>
      <c r="E284" s="486" t="s">
        <v>74</v>
      </c>
      <c r="F284" s="486" t="s">
        <v>378</v>
      </c>
      <c r="G284" s="510" t="s">
        <v>326</v>
      </c>
      <c r="H284" s="484">
        <v>55</v>
      </c>
      <c r="I284" s="484">
        <v>45</v>
      </c>
      <c r="J284" s="484">
        <v>45</v>
      </c>
      <c r="K284" s="482">
        <v>75711.259999999995</v>
      </c>
      <c r="L284" s="482">
        <v>68698.320000000007</v>
      </c>
      <c r="M284" s="482">
        <v>7012.94</v>
      </c>
      <c r="N284" s="484">
        <v>41</v>
      </c>
      <c r="O284" s="482">
        <v>75401.06</v>
      </c>
      <c r="P284" s="482">
        <v>75401.06</v>
      </c>
      <c r="Q284" s="482">
        <v>0</v>
      </c>
    </row>
    <row r="285" spans="1:17" ht="15.75" customHeight="1" x14ac:dyDescent="0.2">
      <c r="A285" s="526">
        <v>277</v>
      </c>
      <c r="B285" s="484" t="s">
        <v>379</v>
      </c>
      <c r="C285" s="516" t="s">
        <v>62</v>
      </c>
      <c r="D285" s="484"/>
      <c r="E285" s="486" t="s">
        <v>158</v>
      </c>
      <c r="F285" s="486" t="s">
        <v>380</v>
      </c>
      <c r="G285" s="510" t="s">
        <v>326</v>
      </c>
      <c r="H285" s="484">
        <v>6</v>
      </c>
      <c r="I285" s="484">
        <v>4</v>
      </c>
      <c r="J285" s="484">
        <v>4</v>
      </c>
      <c r="K285" s="482">
        <v>4131.6499999999996</v>
      </c>
      <c r="L285" s="482">
        <v>4131.6499999999996</v>
      </c>
      <c r="M285" s="482">
        <v>0</v>
      </c>
      <c r="N285" s="484">
        <v>0</v>
      </c>
      <c r="O285" s="482">
        <v>0</v>
      </c>
      <c r="P285" s="482">
        <v>0</v>
      </c>
      <c r="Q285" s="482">
        <v>0</v>
      </c>
    </row>
    <row r="286" spans="1:17" ht="15.75" customHeight="1" x14ac:dyDescent="0.2">
      <c r="A286" s="526">
        <v>278</v>
      </c>
      <c r="B286" s="484" t="s">
        <v>130</v>
      </c>
      <c r="C286" s="516" t="s">
        <v>62</v>
      </c>
      <c r="D286" s="484"/>
      <c r="E286" s="486" t="s">
        <v>74</v>
      </c>
      <c r="F286" s="486" t="s">
        <v>557</v>
      </c>
      <c r="G286" s="510" t="s">
        <v>326</v>
      </c>
      <c r="H286" s="484">
        <v>2</v>
      </c>
      <c r="I286" s="484">
        <v>1</v>
      </c>
      <c r="J286" s="484">
        <v>1</v>
      </c>
      <c r="K286" s="482">
        <v>1104.5999999999999</v>
      </c>
      <c r="L286" s="482">
        <v>1104.5999999999999</v>
      </c>
      <c r="M286" s="482">
        <v>0</v>
      </c>
      <c r="N286" s="484">
        <v>7</v>
      </c>
      <c r="O286" s="482">
        <v>11044.15</v>
      </c>
      <c r="P286" s="482">
        <v>9315.25</v>
      </c>
      <c r="Q286" s="482">
        <v>1728.9</v>
      </c>
    </row>
    <row r="287" spans="1:17" ht="15.75" customHeight="1" x14ac:dyDescent="0.2">
      <c r="A287" s="526">
        <v>279</v>
      </c>
      <c r="B287" s="484" t="s">
        <v>382</v>
      </c>
      <c r="C287" s="516" t="s">
        <v>62</v>
      </c>
      <c r="D287" s="484"/>
      <c r="E287" s="486" t="s">
        <v>703</v>
      </c>
      <c r="F287" s="486" t="s">
        <v>384</v>
      </c>
      <c r="G287" s="510" t="s">
        <v>326</v>
      </c>
      <c r="H287" s="484">
        <v>1</v>
      </c>
      <c r="I287" s="484">
        <v>1</v>
      </c>
      <c r="J287" s="484">
        <v>1</v>
      </c>
      <c r="K287" s="482">
        <v>704.8</v>
      </c>
      <c r="L287" s="482">
        <v>704.8</v>
      </c>
      <c r="M287" s="482">
        <v>0</v>
      </c>
      <c r="N287" s="484">
        <v>0</v>
      </c>
      <c r="O287" s="482">
        <v>0</v>
      </c>
      <c r="P287" s="482">
        <v>0</v>
      </c>
      <c r="Q287" s="482">
        <v>0</v>
      </c>
    </row>
    <row r="288" spans="1:17" ht="15.75" customHeight="1" x14ac:dyDescent="0.2">
      <c r="A288" s="526">
        <v>280</v>
      </c>
      <c r="B288" s="484" t="s">
        <v>385</v>
      </c>
      <c r="C288" s="516" t="s">
        <v>62</v>
      </c>
      <c r="D288" s="484"/>
      <c r="E288" s="486" t="s">
        <v>675</v>
      </c>
      <c r="F288" s="486" t="s">
        <v>386</v>
      </c>
      <c r="G288" s="510" t="s">
        <v>326</v>
      </c>
      <c r="H288" s="484">
        <v>15</v>
      </c>
      <c r="I288" s="484">
        <v>10</v>
      </c>
      <c r="J288" s="484">
        <v>10</v>
      </c>
      <c r="K288" s="482">
        <v>9903.75</v>
      </c>
      <c r="L288" s="482">
        <v>4184.75</v>
      </c>
      <c r="M288" s="482">
        <v>5719</v>
      </c>
      <c r="N288" s="484">
        <v>18</v>
      </c>
      <c r="O288" s="482">
        <v>9602.9</v>
      </c>
      <c r="P288" s="482">
        <v>9602.9</v>
      </c>
      <c r="Q288" s="482">
        <v>0</v>
      </c>
    </row>
    <row r="289" spans="1:17" ht="15.75" customHeight="1" x14ac:dyDescent="0.2">
      <c r="A289" s="526">
        <v>281</v>
      </c>
      <c r="B289" s="628" t="s">
        <v>19</v>
      </c>
      <c r="C289" s="629" t="s">
        <v>62</v>
      </c>
      <c r="D289" s="289"/>
      <c r="E289" s="490" t="s">
        <v>671</v>
      </c>
      <c r="F289" s="630" t="s">
        <v>394</v>
      </c>
      <c r="G289" s="289" t="s">
        <v>395</v>
      </c>
      <c r="H289" s="289">
        <v>1</v>
      </c>
      <c r="I289" s="289">
        <v>0</v>
      </c>
      <c r="J289" s="491">
        <v>0</v>
      </c>
      <c r="K289" s="631">
        <v>0</v>
      </c>
      <c r="L289" s="631">
        <v>0</v>
      </c>
      <c r="M289" s="482">
        <v>0</v>
      </c>
      <c r="N289" s="371">
        <v>0</v>
      </c>
      <c r="O289" s="492">
        <v>0</v>
      </c>
      <c r="P289" s="492">
        <v>0</v>
      </c>
      <c r="Q289" s="482">
        <v>0</v>
      </c>
    </row>
    <row r="290" spans="1:17" ht="15.75" customHeight="1" x14ac:dyDescent="0.2">
      <c r="A290" s="526">
        <v>282</v>
      </c>
      <c r="B290" s="628" t="s">
        <v>90</v>
      </c>
      <c r="C290" s="629" t="s">
        <v>62</v>
      </c>
      <c r="D290" s="628"/>
      <c r="E290" s="490" t="s">
        <v>689</v>
      </c>
      <c r="F290" s="630" t="s">
        <v>396</v>
      </c>
      <c r="G290" s="289" t="s">
        <v>395</v>
      </c>
      <c r="H290" s="628">
        <v>9</v>
      </c>
      <c r="I290" s="628">
        <v>9</v>
      </c>
      <c r="J290" s="628">
        <v>9</v>
      </c>
      <c r="K290" s="631">
        <v>11276.8</v>
      </c>
      <c r="L290" s="631">
        <v>11276.8</v>
      </c>
      <c r="M290" s="482">
        <v>0</v>
      </c>
      <c r="N290" s="628">
        <v>20</v>
      </c>
      <c r="O290" s="631">
        <v>28791.88</v>
      </c>
      <c r="P290" s="631">
        <v>28791.88</v>
      </c>
      <c r="Q290" s="482">
        <v>0</v>
      </c>
    </row>
    <row r="291" spans="1:17" ht="15.75" customHeight="1" x14ac:dyDescent="0.2">
      <c r="A291" s="526">
        <v>283</v>
      </c>
      <c r="B291" s="289" t="s">
        <v>133</v>
      </c>
      <c r="C291" s="493" t="s">
        <v>67</v>
      </c>
      <c r="D291" s="484" t="s">
        <v>494</v>
      </c>
      <c r="E291" s="486" t="s">
        <v>158</v>
      </c>
      <c r="F291" s="630" t="s">
        <v>398</v>
      </c>
      <c r="G291" s="289" t="s">
        <v>395</v>
      </c>
      <c r="H291" s="628">
        <v>12</v>
      </c>
      <c r="I291" s="628">
        <v>5</v>
      </c>
      <c r="J291" s="628">
        <v>5</v>
      </c>
      <c r="K291" s="631">
        <v>7688.8</v>
      </c>
      <c r="L291" s="631">
        <v>7688.8</v>
      </c>
      <c r="M291" s="482">
        <v>0</v>
      </c>
      <c r="N291" s="628">
        <v>9</v>
      </c>
      <c r="O291" s="631">
        <v>12473.03</v>
      </c>
      <c r="P291" s="631">
        <v>12473.03</v>
      </c>
      <c r="Q291" s="482">
        <v>0</v>
      </c>
    </row>
    <row r="292" spans="1:17" ht="15.75" customHeight="1" x14ac:dyDescent="0.2">
      <c r="A292" s="526">
        <v>284</v>
      </c>
      <c r="B292" s="628" t="s">
        <v>399</v>
      </c>
      <c r="C292" s="629" t="s">
        <v>62</v>
      </c>
      <c r="D292" s="628"/>
      <c r="E292" s="490" t="s">
        <v>694</v>
      </c>
      <c r="F292" s="630" t="s">
        <v>401</v>
      </c>
      <c r="G292" s="289" t="s">
        <v>395</v>
      </c>
      <c r="H292" s="628">
        <v>31</v>
      </c>
      <c r="I292" s="628">
        <v>12</v>
      </c>
      <c r="J292" s="628">
        <v>12</v>
      </c>
      <c r="K292" s="631">
        <v>15516.6</v>
      </c>
      <c r="L292" s="631">
        <v>15514.22</v>
      </c>
      <c r="M292" s="482">
        <v>2.38</v>
      </c>
      <c r="N292" s="628">
        <v>0</v>
      </c>
      <c r="O292" s="631">
        <v>0</v>
      </c>
      <c r="P292" s="631">
        <v>0</v>
      </c>
      <c r="Q292" s="482">
        <v>0</v>
      </c>
    </row>
    <row r="293" spans="1:17" ht="15.75" customHeight="1" x14ac:dyDescent="0.2">
      <c r="A293" s="526">
        <v>285</v>
      </c>
      <c r="B293" s="628" t="s">
        <v>402</v>
      </c>
      <c r="C293" s="629" t="s">
        <v>62</v>
      </c>
      <c r="D293" s="628"/>
      <c r="E293" s="486" t="s">
        <v>158</v>
      </c>
      <c r="F293" s="630" t="s">
        <v>403</v>
      </c>
      <c r="G293" s="289" t="s">
        <v>395</v>
      </c>
      <c r="H293" s="628">
        <v>2</v>
      </c>
      <c r="I293" s="628">
        <v>2</v>
      </c>
      <c r="J293" s="628">
        <v>2</v>
      </c>
      <c r="K293" s="631">
        <v>3815.95</v>
      </c>
      <c r="L293" s="631">
        <v>3815.95</v>
      </c>
      <c r="M293" s="482">
        <v>0</v>
      </c>
      <c r="N293" s="628">
        <v>0</v>
      </c>
      <c r="O293" s="631">
        <v>0</v>
      </c>
      <c r="P293" s="631">
        <v>0</v>
      </c>
      <c r="Q293" s="482">
        <v>0</v>
      </c>
    </row>
    <row r="294" spans="1:17" ht="15.75" customHeight="1" x14ac:dyDescent="0.2">
      <c r="A294" s="526">
        <v>286</v>
      </c>
      <c r="B294" s="628" t="s">
        <v>48</v>
      </c>
      <c r="C294" s="629" t="s">
        <v>62</v>
      </c>
      <c r="D294" s="628"/>
      <c r="E294" s="490" t="s">
        <v>671</v>
      </c>
      <c r="F294" s="630" t="s">
        <v>404</v>
      </c>
      <c r="G294" s="289" t="s">
        <v>395</v>
      </c>
      <c r="H294" s="628">
        <v>48</v>
      </c>
      <c r="I294" s="628">
        <v>13</v>
      </c>
      <c r="J294" s="628">
        <v>13</v>
      </c>
      <c r="K294" s="631">
        <v>19861.5</v>
      </c>
      <c r="L294" s="631">
        <v>19861.5</v>
      </c>
      <c r="M294" s="482">
        <v>0</v>
      </c>
      <c r="N294" s="628">
        <v>22</v>
      </c>
      <c r="O294" s="631">
        <v>58443.62</v>
      </c>
      <c r="P294" s="631">
        <v>58443.62</v>
      </c>
      <c r="Q294" s="482">
        <v>0</v>
      </c>
    </row>
    <row r="295" spans="1:17" ht="15.75" customHeight="1" x14ac:dyDescent="0.2">
      <c r="A295" s="526">
        <v>287</v>
      </c>
      <c r="B295" s="628" t="s">
        <v>39</v>
      </c>
      <c r="C295" s="629" t="s">
        <v>62</v>
      </c>
      <c r="D295" s="628"/>
      <c r="E295" s="490" t="s">
        <v>694</v>
      </c>
      <c r="F295" s="630" t="s">
        <v>405</v>
      </c>
      <c r="G295" s="289" t="s">
        <v>395</v>
      </c>
      <c r="H295" s="628">
        <v>33</v>
      </c>
      <c r="I295" s="628">
        <v>3</v>
      </c>
      <c r="J295" s="628">
        <v>3</v>
      </c>
      <c r="K295" s="631">
        <v>3866.1</v>
      </c>
      <c r="L295" s="631">
        <v>3866.1</v>
      </c>
      <c r="M295" s="482">
        <v>0</v>
      </c>
      <c r="N295" s="628">
        <v>13</v>
      </c>
      <c r="O295" s="631">
        <v>23040.3</v>
      </c>
      <c r="P295" s="631">
        <v>23040.3</v>
      </c>
      <c r="Q295" s="482">
        <v>0</v>
      </c>
    </row>
    <row r="296" spans="1:17" ht="15.75" customHeight="1" x14ac:dyDescent="0.2">
      <c r="A296" s="526">
        <v>288</v>
      </c>
      <c r="B296" s="628" t="s">
        <v>127</v>
      </c>
      <c r="C296" s="629" t="s">
        <v>62</v>
      </c>
      <c r="D296" s="628"/>
      <c r="E296" s="486" t="s">
        <v>158</v>
      </c>
      <c r="F296" s="630" t="s">
        <v>406</v>
      </c>
      <c r="G296" s="289" t="s">
        <v>395</v>
      </c>
      <c r="H296" s="628">
        <v>0</v>
      </c>
      <c r="I296" s="628">
        <v>0</v>
      </c>
      <c r="J296" s="628">
        <v>0</v>
      </c>
      <c r="K296" s="631">
        <v>0</v>
      </c>
      <c r="L296" s="631">
        <v>0</v>
      </c>
      <c r="M296" s="482">
        <v>0</v>
      </c>
      <c r="N296" s="628">
        <v>1</v>
      </c>
      <c r="O296" s="631">
        <v>264.3</v>
      </c>
      <c r="P296" s="631">
        <v>264.3</v>
      </c>
      <c r="Q296" s="482">
        <v>0</v>
      </c>
    </row>
    <row r="297" spans="1:17" ht="15.75" customHeight="1" x14ac:dyDescent="0.2">
      <c r="A297" s="526">
        <v>289</v>
      </c>
      <c r="B297" s="628" t="s">
        <v>561</v>
      </c>
      <c r="C297" s="629" t="s">
        <v>62</v>
      </c>
      <c r="D297" s="628"/>
      <c r="E297" s="490" t="s">
        <v>671</v>
      </c>
      <c r="F297" s="630" t="s">
        <v>562</v>
      </c>
      <c r="G297" s="289" t="s">
        <v>395</v>
      </c>
      <c r="H297" s="628">
        <v>31</v>
      </c>
      <c r="I297" s="628">
        <v>0</v>
      </c>
      <c r="J297" s="628">
        <v>0</v>
      </c>
      <c r="K297" s="631">
        <v>0</v>
      </c>
      <c r="L297" s="631">
        <v>0</v>
      </c>
      <c r="M297" s="482">
        <v>0</v>
      </c>
      <c r="N297" s="628">
        <v>0</v>
      </c>
      <c r="O297" s="631">
        <v>0</v>
      </c>
      <c r="P297" s="631">
        <v>0</v>
      </c>
      <c r="Q297" s="482">
        <v>0</v>
      </c>
    </row>
    <row r="298" spans="1:17" ht="15.75" customHeight="1" x14ac:dyDescent="0.2">
      <c r="A298" s="526">
        <v>290</v>
      </c>
      <c r="B298" s="628" t="s">
        <v>563</v>
      </c>
      <c r="C298" s="629" t="s">
        <v>62</v>
      </c>
      <c r="D298" s="628"/>
      <c r="E298" s="490" t="s">
        <v>671</v>
      </c>
      <c r="F298" s="630" t="s">
        <v>564</v>
      </c>
      <c r="G298" s="289" t="s">
        <v>395</v>
      </c>
      <c r="H298" s="628">
        <v>36</v>
      </c>
      <c r="I298" s="628">
        <v>0</v>
      </c>
      <c r="J298" s="628">
        <v>1</v>
      </c>
      <c r="K298" s="631">
        <v>2643</v>
      </c>
      <c r="L298" s="631">
        <v>2643</v>
      </c>
      <c r="M298" s="482">
        <v>0</v>
      </c>
      <c r="N298" s="628">
        <v>0</v>
      </c>
      <c r="O298" s="631">
        <v>0</v>
      </c>
      <c r="P298" s="631">
        <v>0</v>
      </c>
      <c r="Q298" s="482">
        <v>0</v>
      </c>
    </row>
    <row r="299" spans="1:17" ht="15.75" customHeight="1" x14ac:dyDescent="0.2">
      <c r="A299" s="526">
        <v>291</v>
      </c>
      <c r="B299" s="628" t="s">
        <v>53</v>
      </c>
      <c r="C299" s="629" t="s">
        <v>62</v>
      </c>
      <c r="D299" s="628"/>
      <c r="E299" s="486" t="s">
        <v>158</v>
      </c>
      <c r="F299" s="630" t="s">
        <v>634</v>
      </c>
      <c r="G299" s="289" t="s">
        <v>395</v>
      </c>
      <c r="H299" s="628">
        <v>17</v>
      </c>
      <c r="I299" s="628">
        <v>1</v>
      </c>
      <c r="J299" s="628">
        <v>1</v>
      </c>
      <c r="K299" s="631">
        <v>920.5</v>
      </c>
      <c r="L299" s="631">
        <v>920.5</v>
      </c>
      <c r="M299" s="482">
        <v>0</v>
      </c>
      <c r="N299" s="371">
        <v>0</v>
      </c>
      <c r="O299" s="492">
        <v>0</v>
      </c>
      <c r="P299" s="492">
        <v>0</v>
      </c>
      <c r="Q299" s="482">
        <v>0</v>
      </c>
    </row>
  </sheetData>
  <autoFilter ref="A8:IV299"/>
  <pageMargins left="0.75" right="0.75" top="1" bottom="1" header="0.5" footer="0.5"/>
  <pageSetup paperSize="9" orientation="portrait" verticalDpi="300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276"/>
  <sheetViews>
    <sheetView topLeftCell="A143" workbookViewId="0">
      <selection activeCell="A162" sqref="A162"/>
    </sheetView>
  </sheetViews>
  <sheetFormatPr defaultRowHeight="15" customHeight="1" x14ac:dyDescent="0.25"/>
  <cols>
    <col min="1" max="1" width="7.42578125" bestFit="1" customWidth="1"/>
    <col min="2" max="2" width="36.28515625" customWidth="1"/>
    <col min="3" max="3" width="11.28515625" customWidth="1"/>
    <col min="4" max="4" width="26.28515625" customWidth="1"/>
    <col min="5" max="5" width="15.7109375" customWidth="1"/>
    <col min="6" max="8" width="19.28515625" customWidth="1"/>
    <col min="9" max="9" width="11.85546875" customWidth="1"/>
    <col min="10" max="10" width="13.140625" customWidth="1"/>
    <col min="11" max="11" width="14.5703125" customWidth="1"/>
    <col min="12" max="12" width="13.42578125" customWidth="1"/>
    <col min="13" max="13" width="13.5703125" customWidth="1"/>
    <col min="14" max="14" width="13.28515625" customWidth="1"/>
    <col min="15" max="15" width="14.42578125" customWidth="1"/>
    <col min="16" max="17" width="13.42578125" customWidth="1"/>
  </cols>
  <sheetData>
    <row r="1" spans="1:18" x14ac:dyDescent="0.25">
      <c r="A1" s="249"/>
      <c r="B1" s="249"/>
      <c r="C1" s="249"/>
      <c r="D1" s="249"/>
      <c r="E1" s="249"/>
      <c r="F1" s="249"/>
      <c r="G1" s="249"/>
      <c r="H1" s="249"/>
      <c r="I1" s="249"/>
      <c r="J1" s="249"/>
      <c r="K1" s="7"/>
      <c r="L1" s="7"/>
      <c r="M1" s="7"/>
      <c r="N1" s="249"/>
      <c r="O1" s="620" t="s">
        <v>15</v>
      </c>
      <c r="P1" s="620"/>
      <c r="Q1" s="620"/>
      <c r="R1" s="6"/>
    </row>
    <row r="2" spans="1:18" x14ac:dyDescent="0.25">
      <c r="A2" s="249"/>
      <c r="B2" s="249"/>
      <c r="C2" s="249"/>
      <c r="D2" s="249"/>
      <c r="E2" s="249"/>
      <c r="F2" s="249"/>
      <c r="G2" s="249"/>
      <c r="H2" s="249"/>
      <c r="I2" s="249"/>
      <c r="J2" s="249"/>
      <c r="K2" s="7"/>
      <c r="L2" s="7"/>
      <c r="M2" s="7"/>
      <c r="N2" s="249"/>
      <c r="O2" s="7"/>
      <c r="P2" s="7"/>
      <c r="Q2" s="7"/>
      <c r="R2" s="6"/>
    </row>
    <row r="3" spans="1:18" x14ac:dyDescent="0.25">
      <c r="A3" s="621" t="s">
        <v>323</v>
      </c>
      <c r="B3" s="621"/>
      <c r="C3" s="621"/>
      <c r="D3" s="621"/>
      <c r="E3" s="621"/>
      <c r="F3" s="621"/>
      <c r="G3" s="621"/>
      <c r="H3" s="621"/>
      <c r="I3" s="621"/>
      <c r="J3" s="621"/>
      <c r="K3" s="621"/>
      <c r="L3" s="621"/>
      <c r="M3" s="621"/>
      <c r="N3" s="621"/>
      <c r="O3" s="621"/>
      <c r="P3" s="621"/>
      <c r="Q3" s="621"/>
      <c r="R3" s="6"/>
    </row>
    <row r="4" spans="1:18" ht="18.75" x14ac:dyDescent="0.25">
      <c r="A4" s="622" t="s">
        <v>16</v>
      </c>
      <c r="B4" s="622"/>
      <c r="C4" s="622"/>
      <c r="D4" s="622"/>
      <c r="E4" s="622"/>
      <c r="F4" s="622"/>
      <c r="G4" s="622"/>
      <c r="H4" s="622"/>
      <c r="I4" s="622"/>
      <c r="J4" s="622"/>
      <c r="K4" s="622"/>
      <c r="L4" s="622"/>
      <c r="M4" s="622"/>
      <c r="N4" s="622"/>
      <c r="O4" s="622"/>
      <c r="P4" s="622"/>
      <c r="Q4" s="622"/>
      <c r="R4" s="6"/>
    </row>
    <row r="5" spans="1:18" x14ac:dyDescent="0.25">
      <c r="A5" s="623" t="s">
        <v>14</v>
      </c>
      <c r="B5" s="623"/>
      <c r="C5" s="623"/>
      <c r="D5" s="623"/>
      <c r="E5" s="623"/>
      <c r="F5" s="623"/>
      <c r="G5" s="623"/>
      <c r="H5" s="623"/>
      <c r="I5" s="623"/>
      <c r="J5" s="623"/>
      <c r="K5" s="623"/>
      <c r="L5" s="623"/>
      <c r="M5" s="623"/>
      <c r="N5" s="623"/>
      <c r="O5" s="623"/>
      <c r="P5" s="623"/>
      <c r="Q5" s="623"/>
      <c r="R5" s="6"/>
    </row>
    <row r="6" spans="1:18" ht="21" x14ac:dyDescent="0.25">
      <c r="A6" s="624" t="s">
        <v>17</v>
      </c>
      <c r="B6" s="624"/>
      <c r="C6" s="624"/>
      <c r="D6" s="624"/>
      <c r="E6" s="624"/>
      <c r="F6" s="624"/>
      <c r="G6" s="624"/>
      <c r="H6" s="624"/>
      <c r="I6" s="624"/>
      <c r="J6" s="624"/>
      <c r="K6" s="624"/>
      <c r="L6" s="624"/>
      <c r="M6" s="624"/>
      <c r="N6" s="624"/>
      <c r="O6" s="624"/>
      <c r="P6" s="624"/>
      <c r="Q6" s="624"/>
      <c r="R6" s="6"/>
    </row>
    <row r="7" spans="1:18" x14ac:dyDescent="0.25">
      <c r="A7" s="9" t="s">
        <v>0</v>
      </c>
      <c r="B7" s="617" t="s">
        <v>10</v>
      </c>
      <c r="C7" s="618"/>
      <c r="D7" s="618"/>
      <c r="E7" s="618"/>
      <c r="F7" s="618"/>
      <c r="G7" s="619"/>
      <c r="H7" s="617" t="s">
        <v>322</v>
      </c>
      <c r="I7" s="618"/>
      <c r="J7" s="618"/>
      <c r="K7" s="618"/>
      <c r="L7" s="618"/>
      <c r="M7" s="618"/>
      <c r="N7" s="617" t="s">
        <v>324</v>
      </c>
      <c r="O7" s="618"/>
      <c r="P7" s="618"/>
      <c r="Q7" s="619"/>
      <c r="R7" s="6"/>
    </row>
    <row r="8" spans="1:18" ht="102" x14ac:dyDescent="0.25">
      <c r="A8" s="10"/>
      <c r="B8" s="11" t="s">
        <v>4</v>
      </c>
      <c r="C8" s="11" t="s">
        <v>1</v>
      </c>
      <c r="D8" s="11" t="s">
        <v>3</v>
      </c>
      <c r="E8" s="11" t="s">
        <v>2</v>
      </c>
      <c r="F8" s="11" t="s">
        <v>6</v>
      </c>
      <c r="G8" s="11" t="s">
        <v>5</v>
      </c>
      <c r="H8" s="12" t="s">
        <v>7</v>
      </c>
      <c r="I8" s="13" t="s">
        <v>8</v>
      </c>
      <c r="J8" s="13" t="s">
        <v>9</v>
      </c>
      <c r="K8" s="14" t="s">
        <v>11</v>
      </c>
      <c r="L8" s="14" t="s">
        <v>12</v>
      </c>
      <c r="M8" s="14" t="s">
        <v>13</v>
      </c>
      <c r="N8" s="13" t="s">
        <v>9</v>
      </c>
      <c r="O8" s="14" t="s">
        <v>11</v>
      </c>
      <c r="P8" s="14" t="s">
        <v>12</v>
      </c>
      <c r="Q8" s="15" t="s">
        <v>13</v>
      </c>
      <c r="R8" s="6"/>
    </row>
    <row r="9" spans="1:18" ht="25.5" x14ac:dyDescent="0.25">
      <c r="A9" s="226">
        <v>1</v>
      </c>
      <c r="B9" s="136" t="s">
        <v>134</v>
      </c>
      <c r="C9" s="134" t="s">
        <v>62</v>
      </c>
      <c r="D9" s="136"/>
      <c r="E9" s="134" t="s">
        <v>74</v>
      </c>
      <c r="F9" s="134" t="s">
        <v>408</v>
      </c>
      <c r="G9" s="136" t="s">
        <v>409</v>
      </c>
      <c r="H9" s="227">
        <v>24</v>
      </c>
      <c r="I9" s="227">
        <v>4</v>
      </c>
      <c r="J9" s="227">
        <v>4</v>
      </c>
      <c r="K9" s="228">
        <v>3910.4</v>
      </c>
      <c r="L9" s="228">
        <v>3910.4</v>
      </c>
      <c r="M9" s="193">
        <f t="shared" ref="M9:M53" si="0">K9-L9</f>
        <v>0</v>
      </c>
      <c r="N9" s="227">
        <v>5</v>
      </c>
      <c r="O9" s="228">
        <v>13457.2</v>
      </c>
      <c r="P9" s="228">
        <v>10109.4</v>
      </c>
      <c r="Q9" s="228">
        <f t="shared" ref="Q9:Q53" si="1">O9-P9</f>
        <v>3347.8000000000011</v>
      </c>
      <c r="R9" s="6"/>
    </row>
    <row r="10" spans="1:18" ht="25.5" x14ac:dyDescent="0.25">
      <c r="A10" s="226">
        <v>2</v>
      </c>
      <c r="B10" s="136" t="s">
        <v>335</v>
      </c>
      <c r="C10" s="134" t="s">
        <v>62</v>
      </c>
      <c r="D10" s="136"/>
      <c r="E10" s="134" t="s">
        <v>74</v>
      </c>
      <c r="F10" s="134" t="s">
        <v>410</v>
      </c>
      <c r="G10" s="136" t="s">
        <v>409</v>
      </c>
      <c r="H10" s="227">
        <v>10</v>
      </c>
      <c r="I10" s="227">
        <v>4</v>
      </c>
      <c r="J10" s="227">
        <v>4</v>
      </c>
      <c r="K10" s="228">
        <v>5146.8</v>
      </c>
      <c r="L10" s="228">
        <v>4089.6</v>
      </c>
      <c r="M10" s="193">
        <f t="shared" si="0"/>
        <v>1057.2000000000003</v>
      </c>
      <c r="N10" s="227">
        <v>8</v>
      </c>
      <c r="O10" s="228">
        <v>10652</v>
      </c>
      <c r="P10" s="228">
        <v>8185.2</v>
      </c>
      <c r="Q10" s="228">
        <f t="shared" si="1"/>
        <v>2466.8000000000002</v>
      </c>
      <c r="R10" s="6"/>
    </row>
    <row r="11" spans="1:18" ht="38.25" x14ac:dyDescent="0.25">
      <c r="A11" s="226">
        <v>3</v>
      </c>
      <c r="B11" s="136" t="s">
        <v>46</v>
      </c>
      <c r="C11" s="134" t="s">
        <v>62</v>
      </c>
      <c r="D11" s="136"/>
      <c r="E11" s="134" t="s">
        <v>267</v>
      </c>
      <c r="F11" s="134" t="s">
        <v>411</v>
      </c>
      <c r="G11" s="136" t="s">
        <v>409</v>
      </c>
      <c r="H11" s="227">
        <v>24</v>
      </c>
      <c r="I11" s="227">
        <v>7</v>
      </c>
      <c r="J11" s="227">
        <v>7</v>
      </c>
      <c r="K11" s="228">
        <v>9866.6</v>
      </c>
      <c r="L11" s="228">
        <v>4933.6000000000004</v>
      </c>
      <c r="M11" s="193">
        <f t="shared" si="0"/>
        <v>4933</v>
      </c>
      <c r="N11" s="227">
        <v>17</v>
      </c>
      <c r="O11" s="228">
        <v>25515.45</v>
      </c>
      <c r="P11" s="228">
        <v>14509.49</v>
      </c>
      <c r="Q11" s="228">
        <f t="shared" si="1"/>
        <v>11005.960000000001</v>
      </c>
      <c r="R11" s="6"/>
    </row>
    <row r="12" spans="1:18" ht="25.5" x14ac:dyDescent="0.25">
      <c r="A12" s="226">
        <v>4</v>
      </c>
      <c r="B12" s="136" t="s">
        <v>36</v>
      </c>
      <c r="C12" s="134" t="s">
        <v>62</v>
      </c>
      <c r="D12" s="136"/>
      <c r="E12" s="134" t="s">
        <v>74</v>
      </c>
      <c r="F12" s="134" t="s">
        <v>412</v>
      </c>
      <c r="G12" s="136" t="s">
        <v>409</v>
      </c>
      <c r="H12" s="227">
        <v>23</v>
      </c>
      <c r="I12" s="227">
        <v>10</v>
      </c>
      <c r="J12" s="227">
        <v>10</v>
      </c>
      <c r="K12" s="228">
        <v>14906.52</v>
      </c>
      <c r="L12" s="228">
        <v>7682.32</v>
      </c>
      <c r="M12" s="193">
        <f t="shared" si="0"/>
        <v>7224.2000000000007</v>
      </c>
      <c r="N12" s="227">
        <v>12</v>
      </c>
      <c r="O12" s="228">
        <v>34112.32</v>
      </c>
      <c r="P12" s="228">
        <v>22165.96</v>
      </c>
      <c r="Q12" s="228">
        <f t="shared" si="1"/>
        <v>11946.36</v>
      </c>
      <c r="R12" s="6"/>
    </row>
    <row r="13" spans="1:18" ht="25.5" x14ac:dyDescent="0.25">
      <c r="A13" s="226">
        <v>5</v>
      </c>
      <c r="B13" s="136" t="s">
        <v>27</v>
      </c>
      <c r="C13" s="134" t="s">
        <v>62</v>
      </c>
      <c r="D13" s="136"/>
      <c r="E13" s="134" t="s">
        <v>74</v>
      </c>
      <c r="F13" s="134" t="s">
        <v>413</v>
      </c>
      <c r="G13" s="136" t="s">
        <v>409</v>
      </c>
      <c r="H13" s="227">
        <v>8</v>
      </c>
      <c r="I13" s="227">
        <v>3</v>
      </c>
      <c r="J13" s="227">
        <v>3</v>
      </c>
      <c r="K13" s="228">
        <v>5051.82</v>
      </c>
      <c r="L13" s="228">
        <v>2761.22</v>
      </c>
      <c r="M13" s="193">
        <f t="shared" si="0"/>
        <v>2290.6</v>
      </c>
      <c r="N13" s="227">
        <v>8</v>
      </c>
      <c r="O13" s="228">
        <v>16676.7</v>
      </c>
      <c r="P13" s="228">
        <v>12712.3</v>
      </c>
      <c r="Q13" s="228">
        <f t="shared" si="1"/>
        <v>3964.4000000000015</v>
      </c>
      <c r="R13" s="6"/>
    </row>
    <row r="14" spans="1:18" ht="25.5" x14ac:dyDescent="0.25">
      <c r="A14" s="226">
        <v>6</v>
      </c>
      <c r="B14" s="136" t="s">
        <v>28</v>
      </c>
      <c r="C14" s="134" t="s">
        <v>62</v>
      </c>
      <c r="D14" s="136"/>
      <c r="E14" s="134" t="s">
        <v>74</v>
      </c>
      <c r="F14" s="134" t="s">
        <v>414</v>
      </c>
      <c r="G14" s="136" t="s">
        <v>409</v>
      </c>
      <c r="H14" s="227">
        <v>26</v>
      </c>
      <c r="I14" s="227">
        <v>7</v>
      </c>
      <c r="J14" s="227">
        <v>7</v>
      </c>
      <c r="K14" s="228">
        <v>7858.52</v>
      </c>
      <c r="L14" s="228">
        <v>7858.52</v>
      </c>
      <c r="M14" s="193">
        <f t="shared" si="0"/>
        <v>0</v>
      </c>
      <c r="N14" s="227">
        <v>7</v>
      </c>
      <c r="O14" s="228">
        <v>12334</v>
      </c>
      <c r="P14" s="228">
        <v>9867.2000000000007</v>
      </c>
      <c r="Q14" s="228">
        <f t="shared" si="1"/>
        <v>2466.7999999999993</v>
      </c>
      <c r="R14" s="6"/>
    </row>
    <row r="15" spans="1:18" ht="25.5" x14ac:dyDescent="0.25">
      <c r="A15" s="226">
        <v>7</v>
      </c>
      <c r="B15" s="194" t="s">
        <v>246</v>
      </c>
      <c r="C15" s="226" t="s">
        <v>62</v>
      </c>
      <c r="D15" s="194"/>
      <c r="E15" s="134" t="s">
        <v>74</v>
      </c>
      <c r="F15" s="226" t="s">
        <v>415</v>
      </c>
      <c r="G15" s="136" t="s">
        <v>409</v>
      </c>
      <c r="H15" s="227">
        <v>25</v>
      </c>
      <c r="I15" s="227">
        <v>2</v>
      </c>
      <c r="J15" s="227">
        <v>2</v>
      </c>
      <c r="K15" s="228">
        <v>1374.36</v>
      </c>
      <c r="L15" s="228">
        <v>1374.36</v>
      </c>
      <c r="M15" s="193">
        <f t="shared" si="0"/>
        <v>0</v>
      </c>
      <c r="N15" s="227">
        <v>0</v>
      </c>
      <c r="O15" s="228">
        <v>0</v>
      </c>
      <c r="P15" s="228">
        <v>0</v>
      </c>
      <c r="Q15" s="228">
        <f t="shared" si="1"/>
        <v>0</v>
      </c>
      <c r="R15" s="6"/>
    </row>
    <row r="16" spans="1:18" ht="25.5" x14ac:dyDescent="0.25">
      <c r="A16" s="229">
        <v>8</v>
      </c>
      <c r="B16" s="195" t="s">
        <v>330</v>
      </c>
      <c r="C16" s="226" t="s">
        <v>62</v>
      </c>
      <c r="D16" s="194"/>
      <c r="E16" s="134" t="s">
        <v>74</v>
      </c>
      <c r="F16" s="226" t="s">
        <v>416</v>
      </c>
      <c r="G16" s="136" t="s">
        <v>409</v>
      </c>
      <c r="H16" s="227">
        <v>6</v>
      </c>
      <c r="I16" s="227">
        <v>0</v>
      </c>
      <c r="J16" s="227">
        <v>0</v>
      </c>
      <c r="K16" s="228">
        <v>0</v>
      </c>
      <c r="L16" s="228">
        <v>0</v>
      </c>
      <c r="M16" s="193">
        <f t="shared" si="0"/>
        <v>0</v>
      </c>
      <c r="N16" s="227">
        <v>0</v>
      </c>
      <c r="O16" s="228">
        <v>0</v>
      </c>
      <c r="P16" s="228">
        <v>0</v>
      </c>
      <c r="Q16" s="228">
        <f t="shared" si="1"/>
        <v>0</v>
      </c>
      <c r="R16" s="6"/>
    </row>
    <row r="17" spans="1:18" ht="25.5" x14ac:dyDescent="0.25">
      <c r="A17" s="229">
        <v>9</v>
      </c>
      <c r="B17" s="195" t="s">
        <v>402</v>
      </c>
      <c r="C17" s="226" t="s">
        <v>62</v>
      </c>
      <c r="D17" s="194"/>
      <c r="E17" s="134" t="s">
        <v>74</v>
      </c>
      <c r="F17" s="226" t="s">
        <v>417</v>
      </c>
      <c r="G17" s="136" t="s">
        <v>409</v>
      </c>
      <c r="H17" s="227">
        <v>13</v>
      </c>
      <c r="I17" s="227">
        <v>4</v>
      </c>
      <c r="J17" s="227">
        <v>4</v>
      </c>
      <c r="K17" s="228">
        <v>4968.82</v>
      </c>
      <c r="L17" s="228">
        <v>2114.4</v>
      </c>
      <c r="M17" s="193">
        <f t="shared" si="0"/>
        <v>2854.4199999999996</v>
      </c>
      <c r="N17" s="227">
        <v>0</v>
      </c>
      <c r="O17" s="228">
        <v>0</v>
      </c>
      <c r="P17" s="228">
        <v>0</v>
      </c>
      <c r="Q17" s="228">
        <f t="shared" si="1"/>
        <v>0</v>
      </c>
      <c r="R17" s="6"/>
    </row>
    <row r="18" spans="1:18" ht="25.5" x14ac:dyDescent="0.25">
      <c r="A18" s="229">
        <v>10</v>
      </c>
      <c r="B18" s="195" t="s">
        <v>154</v>
      </c>
      <c r="C18" s="226" t="s">
        <v>62</v>
      </c>
      <c r="D18" s="194"/>
      <c r="E18" s="134" t="s">
        <v>72</v>
      </c>
      <c r="F18" s="226" t="s">
        <v>418</v>
      </c>
      <c r="G18" s="136" t="s">
        <v>409</v>
      </c>
      <c r="H18" s="227">
        <v>7</v>
      </c>
      <c r="I18" s="227">
        <v>0</v>
      </c>
      <c r="J18" s="227">
        <v>0</v>
      </c>
      <c r="K18" s="228">
        <v>0</v>
      </c>
      <c r="L18" s="228">
        <v>0</v>
      </c>
      <c r="M18" s="193">
        <f t="shared" si="0"/>
        <v>0</v>
      </c>
      <c r="N18" s="227">
        <v>5</v>
      </c>
      <c r="O18" s="228">
        <v>4737.8999999999996</v>
      </c>
      <c r="P18" s="228">
        <v>4737.8999999999996</v>
      </c>
      <c r="Q18" s="228">
        <f t="shared" si="1"/>
        <v>0</v>
      </c>
      <c r="R18" s="6"/>
    </row>
    <row r="19" spans="1:18" ht="25.5" x14ac:dyDescent="0.25">
      <c r="A19" s="229">
        <v>11</v>
      </c>
      <c r="B19" s="195" t="s">
        <v>153</v>
      </c>
      <c r="C19" s="226" t="s">
        <v>62</v>
      </c>
      <c r="D19" s="194"/>
      <c r="E19" s="134" t="s">
        <v>74</v>
      </c>
      <c r="F19" s="226" t="s">
        <v>419</v>
      </c>
      <c r="G19" s="136" t="s">
        <v>409</v>
      </c>
      <c r="H19" s="227">
        <v>4</v>
      </c>
      <c r="I19" s="227">
        <v>0</v>
      </c>
      <c r="J19" s="227">
        <v>0</v>
      </c>
      <c r="K19" s="228">
        <v>0</v>
      </c>
      <c r="L19" s="228">
        <v>0</v>
      </c>
      <c r="M19" s="193">
        <f t="shared" si="0"/>
        <v>0</v>
      </c>
      <c r="N19" s="227">
        <v>5</v>
      </c>
      <c r="O19" s="228">
        <v>18053.7</v>
      </c>
      <c r="P19" s="228">
        <v>15237.6</v>
      </c>
      <c r="Q19" s="228">
        <f t="shared" si="1"/>
        <v>2816.1000000000004</v>
      </c>
      <c r="R19" s="6"/>
    </row>
    <row r="20" spans="1:18" ht="25.5" x14ac:dyDescent="0.25">
      <c r="A20" s="229">
        <v>12</v>
      </c>
      <c r="B20" s="195" t="s">
        <v>89</v>
      </c>
      <c r="C20" s="226" t="s">
        <v>62</v>
      </c>
      <c r="D20" s="194"/>
      <c r="E20" s="134" t="s">
        <v>74</v>
      </c>
      <c r="F20" s="226" t="s">
        <v>420</v>
      </c>
      <c r="G20" s="136" t="s">
        <v>409</v>
      </c>
      <c r="H20" s="227">
        <v>8</v>
      </c>
      <c r="I20" s="227">
        <v>1</v>
      </c>
      <c r="J20" s="227">
        <v>1</v>
      </c>
      <c r="K20" s="228">
        <v>528.6</v>
      </c>
      <c r="L20" s="228">
        <v>528.6</v>
      </c>
      <c r="M20" s="193">
        <f t="shared" si="0"/>
        <v>0</v>
      </c>
      <c r="N20" s="227">
        <v>2</v>
      </c>
      <c r="O20" s="228">
        <v>4052.6</v>
      </c>
      <c r="P20" s="228">
        <v>4052.6</v>
      </c>
      <c r="Q20" s="228">
        <f t="shared" si="1"/>
        <v>0</v>
      </c>
      <c r="R20" s="6"/>
    </row>
    <row r="21" spans="1:18" ht="25.5" x14ac:dyDescent="0.25">
      <c r="A21" s="229">
        <v>13</v>
      </c>
      <c r="B21" s="195" t="s">
        <v>379</v>
      </c>
      <c r="C21" s="226" t="s">
        <v>62</v>
      </c>
      <c r="D21" s="194"/>
      <c r="E21" s="134" t="s">
        <v>74</v>
      </c>
      <c r="F21" s="226" t="s">
        <v>421</v>
      </c>
      <c r="G21" s="136" t="s">
        <v>409</v>
      </c>
      <c r="H21" s="227">
        <v>5</v>
      </c>
      <c r="I21" s="227">
        <v>2</v>
      </c>
      <c r="J21" s="227">
        <v>2</v>
      </c>
      <c r="K21" s="228">
        <v>1409.6</v>
      </c>
      <c r="L21" s="228">
        <v>1409.6</v>
      </c>
      <c r="M21" s="193">
        <f t="shared" si="0"/>
        <v>0</v>
      </c>
      <c r="N21" s="227">
        <v>0</v>
      </c>
      <c r="O21" s="228">
        <v>0</v>
      </c>
      <c r="P21" s="228">
        <v>0</v>
      </c>
      <c r="Q21" s="228">
        <f t="shared" si="1"/>
        <v>0</v>
      </c>
      <c r="R21" s="6"/>
    </row>
    <row r="22" spans="1:18" ht="25.5" x14ac:dyDescent="0.25">
      <c r="A22" s="229">
        <v>14</v>
      </c>
      <c r="B22" s="195" t="s">
        <v>264</v>
      </c>
      <c r="C22" s="226" t="s">
        <v>62</v>
      </c>
      <c r="D22" s="194"/>
      <c r="E22" s="134" t="s">
        <v>74</v>
      </c>
      <c r="F22" s="226" t="s">
        <v>422</v>
      </c>
      <c r="G22" s="136" t="s">
        <v>409</v>
      </c>
      <c r="H22" s="227">
        <v>3</v>
      </c>
      <c r="I22" s="227">
        <v>0</v>
      </c>
      <c r="J22" s="227">
        <v>0</v>
      </c>
      <c r="K22" s="228">
        <v>0</v>
      </c>
      <c r="L22" s="228">
        <v>0</v>
      </c>
      <c r="M22" s="193">
        <f t="shared" si="0"/>
        <v>0</v>
      </c>
      <c r="N22" s="227">
        <v>0</v>
      </c>
      <c r="O22" s="228">
        <v>0</v>
      </c>
      <c r="P22" s="228">
        <v>0</v>
      </c>
      <c r="Q22" s="228">
        <f t="shared" si="1"/>
        <v>0</v>
      </c>
      <c r="R22" s="6"/>
    </row>
    <row r="23" spans="1:18" ht="25.5" x14ac:dyDescent="0.25">
      <c r="A23" s="229">
        <v>15</v>
      </c>
      <c r="B23" s="195" t="s">
        <v>475</v>
      </c>
      <c r="C23" s="226" t="s">
        <v>67</v>
      </c>
      <c r="D23" s="136" t="s">
        <v>123</v>
      </c>
      <c r="E23" s="134" t="s">
        <v>82</v>
      </c>
      <c r="F23" s="226" t="s">
        <v>423</v>
      </c>
      <c r="G23" s="136" t="s">
        <v>409</v>
      </c>
      <c r="H23" s="227">
        <v>3</v>
      </c>
      <c r="I23" s="227">
        <v>0</v>
      </c>
      <c r="J23" s="227">
        <v>0</v>
      </c>
      <c r="K23" s="228">
        <v>0</v>
      </c>
      <c r="L23" s="228">
        <v>0</v>
      </c>
      <c r="M23" s="193">
        <f t="shared" si="0"/>
        <v>0</v>
      </c>
      <c r="N23" s="227">
        <v>0</v>
      </c>
      <c r="O23" s="228">
        <v>0</v>
      </c>
      <c r="P23" s="228">
        <v>0</v>
      </c>
      <c r="Q23" s="228">
        <f t="shared" si="1"/>
        <v>0</v>
      </c>
      <c r="R23" s="6"/>
    </row>
    <row r="24" spans="1:18" ht="25.5" x14ac:dyDescent="0.25">
      <c r="A24" s="229">
        <v>16</v>
      </c>
      <c r="B24" s="195" t="s">
        <v>137</v>
      </c>
      <c r="C24" s="226" t="s">
        <v>62</v>
      </c>
      <c r="D24" s="194"/>
      <c r="E24" s="134" t="s">
        <v>78</v>
      </c>
      <c r="F24" s="226" t="s">
        <v>424</v>
      </c>
      <c r="G24" s="136" t="s">
        <v>409</v>
      </c>
      <c r="H24" s="227">
        <v>4</v>
      </c>
      <c r="I24" s="227">
        <v>1</v>
      </c>
      <c r="J24" s="227">
        <v>1</v>
      </c>
      <c r="K24" s="228">
        <v>1691.52</v>
      </c>
      <c r="L24" s="228">
        <v>1691.52</v>
      </c>
      <c r="M24" s="193">
        <f t="shared" si="0"/>
        <v>0</v>
      </c>
      <c r="N24" s="227">
        <v>0</v>
      </c>
      <c r="O24" s="228">
        <v>0</v>
      </c>
      <c r="P24" s="228">
        <v>0</v>
      </c>
      <c r="Q24" s="228">
        <f t="shared" si="1"/>
        <v>0</v>
      </c>
      <c r="R24" s="6"/>
    </row>
    <row r="25" spans="1:18" ht="25.5" x14ac:dyDescent="0.25">
      <c r="A25" s="229">
        <v>17</v>
      </c>
      <c r="B25" s="195" t="s">
        <v>173</v>
      </c>
      <c r="C25" s="226" t="s">
        <v>67</v>
      </c>
      <c r="D25" s="194" t="s">
        <v>425</v>
      </c>
      <c r="E25" s="134" t="s">
        <v>74</v>
      </c>
      <c r="F25" s="226" t="s">
        <v>426</v>
      </c>
      <c r="G25" s="136" t="s">
        <v>409</v>
      </c>
      <c r="H25" s="227">
        <v>12</v>
      </c>
      <c r="I25" s="227">
        <v>2</v>
      </c>
      <c r="J25" s="227">
        <v>2</v>
      </c>
      <c r="K25" s="228">
        <v>2114.4</v>
      </c>
      <c r="L25" s="228">
        <v>2114.4</v>
      </c>
      <c r="M25" s="193">
        <f t="shared" si="0"/>
        <v>0</v>
      </c>
      <c r="N25" s="227">
        <v>0</v>
      </c>
      <c r="O25" s="228">
        <v>0</v>
      </c>
      <c r="P25" s="228">
        <v>0</v>
      </c>
      <c r="Q25" s="228">
        <f t="shared" si="1"/>
        <v>0</v>
      </c>
      <c r="R25" s="6"/>
    </row>
    <row r="26" spans="1:18" ht="25.5" x14ac:dyDescent="0.25">
      <c r="A26" s="229">
        <v>18</v>
      </c>
      <c r="B26" s="195" t="s">
        <v>135</v>
      </c>
      <c r="C26" s="226" t="s">
        <v>62</v>
      </c>
      <c r="D26" s="194"/>
      <c r="E26" s="134" t="s">
        <v>74</v>
      </c>
      <c r="F26" s="226" t="s">
        <v>427</v>
      </c>
      <c r="G26" s="136" t="s">
        <v>409</v>
      </c>
      <c r="H26" s="227">
        <v>2</v>
      </c>
      <c r="I26" s="227">
        <v>2</v>
      </c>
      <c r="J26" s="227">
        <v>2</v>
      </c>
      <c r="K26" s="228">
        <v>2396.3200000000002</v>
      </c>
      <c r="L26" s="228">
        <v>1691.52</v>
      </c>
      <c r="M26" s="193">
        <f t="shared" si="0"/>
        <v>704.80000000000018</v>
      </c>
      <c r="N26" s="227">
        <v>4</v>
      </c>
      <c r="O26" s="228">
        <v>12758.52</v>
      </c>
      <c r="P26" s="228"/>
      <c r="Q26" s="228">
        <f t="shared" si="1"/>
        <v>12758.52</v>
      </c>
      <c r="R26" s="6"/>
    </row>
    <row r="27" spans="1:18" ht="25.5" x14ac:dyDescent="0.25">
      <c r="A27" s="229">
        <v>19</v>
      </c>
      <c r="B27" s="195" t="s">
        <v>148</v>
      </c>
      <c r="C27" s="226" t="s">
        <v>62</v>
      </c>
      <c r="D27" s="194"/>
      <c r="E27" s="134" t="s">
        <v>149</v>
      </c>
      <c r="F27" s="226" t="s">
        <v>375</v>
      </c>
      <c r="G27" s="136" t="s">
        <v>409</v>
      </c>
      <c r="H27" s="227">
        <v>18</v>
      </c>
      <c r="I27" s="227">
        <v>0</v>
      </c>
      <c r="J27" s="227">
        <v>0</v>
      </c>
      <c r="K27" s="228">
        <v>0</v>
      </c>
      <c r="L27" s="228">
        <v>0</v>
      </c>
      <c r="M27" s="193">
        <f t="shared" si="0"/>
        <v>0</v>
      </c>
      <c r="N27" s="227">
        <v>12</v>
      </c>
      <c r="O27" s="228">
        <v>34273.480000000003</v>
      </c>
      <c r="P27" s="228">
        <v>22187.47</v>
      </c>
      <c r="Q27" s="228">
        <f t="shared" si="1"/>
        <v>12086.010000000002</v>
      </c>
      <c r="R27" s="6"/>
    </row>
    <row r="28" spans="1:18" ht="25.5" x14ac:dyDescent="0.25">
      <c r="A28" s="229">
        <v>20</v>
      </c>
      <c r="B28" s="195" t="s">
        <v>147</v>
      </c>
      <c r="C28" s="226" t="s">
        <v>62</v>
      </c>
      <c r="D28" s="194"/>
      <c r="E28" s="134" t="s">
        <v>74</v>
      </c>
      <c r="F28" s="226" t="s">
        <v>331</v>
      </c>
      <c r="G28" s="136" t="s">
        <v>409</v>
      </c>
      <c r="H28" s="227">
        <v>4</v>
      </c>
      <c r="I28" s="227">
        <v>0</v>
      </c>
      <c r="J28" s="227">
        <v>0</v>
      </c>
      <c r="K28" s="228">
        <v>0</v>
      </c>
      <c r="L28" s="228">
        <v>0</v>
      </c>
      <c r="M28" s="193">
        <f t="shared" si="0"/>
        <v>0</v>
      </c>
      <c r="N28" s="227">
        <v>6</v>
      </c>
      <c r="O28" s="228">
        <v>10763.2</v>
      </c>
      <c r="P28" s="228">
        <v>8120.2</v>
      </c>
      <c r="Q28" s="228">
        <f t="shared" si="1"/>
        <v>2643.0000000000009</v>
      </c>
      <c r="R28" s="6"/>
    </row>
    <row r="29" spans="1:18" ht="25.5" x14ac:dyDescent="0.25">
      <c r="A29" s="229">
        <v>21</v>
      </c>
      <c r="B29" s="195" t="s">
        <v>124</v>
      </c>
      <c r="C29" s="226" t="s">
        <v>62</v>
      </c>
      <c r="D29" s="194"/>
      <c r="E29" s="134" t="s">
        <v>428</v>
      </c>
      <c r="F29" s="226" t="s">
        <v>329</v>
      </c>
      <c r="G29" s="136" t="s">
        <v>409</v>
      </c>
      <c r="H29" s="227">
        <v>16</v>
      </c>
      <c r="I29" s="227">
        <v>1</v>
      </c>
      <c r="J29" s="227">
        <v>1</v>
      </c>
      <c r="K29" s="228">
        <v>1762</v>
      </c>
      <c r="L29" s="228">
        <v>0</v>
      </c>
      <c r="M29" s="193">
        <f t="shared" si="0"/>
        <v>1762</v>
      </c>
      <c r="N29" s="227">
        <v>17</v>
      </c>
      <c r="O29" s="228">
        <v>20373.14</v>
      </c>
      <c r="P29" s="228">
        <v>8061.16</v>
      </c>
      <c r="Q29" s="228">
        <f t="shared" si="1"/>
        <v>12311.98</v>
      </c>
      <c r="R29" s="6"/>
    </row>
    <row r="30" spans="1:18" ht="25.5" x14ac:dyDescent="0.25">
      <c r="A30" s="229">
        <v>22</v>
      </c>
      <c r="B30" s="195" t="s">
        <v>168</v>
      </c>
      <c r="C30" s="226" t="s">
        <v>62</v>
      </c>
      <c r="D30" s="194"/>
      <c r="E30" s="226" t="s">
        <v>371</v>
      </c>
      <c r="F30" s="226" t="s">
        <v>353</v>
      </c>
      <c r="G30" s="136" t="s">
        <v>409</v>
      </c>
      <c r="H30" s="227">
        <v>6</v>
      </c>
      <c r="I30" s="227">
        <v>1</v>
      </c>
      <c r="J30" s="227">
        <v>1</v>
      </c>
      <c r="K30" s="228">
        <v>1409.6</v>
      </c>
      <c r="L30" s="228">
        <v>0</v>
      </c>
      <c r="M30" s="193">
        <f t="shared" si="0"/>
        <v>1409.6</v>
      </c>
      <c r="N30" s="227">
        <v>0</v>
      </c>
      <c r="O30" s="228">
        <v>0</v>
      </c>
      <c r="P30" s="228">
        <v>0</v>
      </c>
      <c r="Q30" s="228">
        <f t="shared" si="1"/>
        <v>0</v>
      </c>
      <c r="R30" s="6"/>
    </row>
    <row r="31" spans="1:18" ht="25.5" x14ac:dyDescent="0.25">
      <c r="A31" s="229">
        <v>23</v>
      </c>
      <c r="B31" s="195" t="s">
        <v>429</v>
      </c>
      <c r="C31" s="226" t="s">
        <v>62</v>
      </c>
      <c r="D31" s="194"/>
      <c r="E31" s="134" t="s">
        <v>74</v>
      </c>
      <c r="F31" s="226" t="s">
        <v>430</v>
      </c>
      <c r="G31" s="136" t="s">
        <v>409</v>
      </c>
      <c r="H31" s="227">
        <v>5</v>
      </c>
      <c r="I31" s="227">
        <v>2</v>
      </c>
      <c r="J31" s="227">
        <v>2</v>
      </c>
      <c r="K31" s="228">
        <v>2748.72</v>
      </c>
      <c r="L31" s="228">
        <v>1691.52</v>
      </c>
      <c r="M31" s="193">
        <f t="shared" si="0"/>
        <v>1057.1999999999998</v>
      </c>
      <c r="N31" s="227">
        <v>4</v>
      </c>
      <c r="O31" s="228">
        <v>3488.76</v>
      </c>
      <c r="P31" s="228">
        <v>528.6</v>
      </c>
      <c r="Q31" s="228">
        <f t="shared" si="1"/>
        <v>2960.1600000000003</v>
      </c>
      <c r="R31" s="6"/>
    </row>
    <row r="32" spans="1:18" ht="25.5" x14ac:dyDescent="0.25">
      <c r="A32" s="229">
        <v>24</v>
      </c>
      <c r="B32" s="195" t="s">
        <v>130</v>
      </c>
      <c r="C32" s="226" t="s">
        <v>62</v>
      </c>
      <c r="D32" s="194"/>
      <c r="E32" s="134" t="s">
        <v>74</v>
      </c>
      <c r="F32" s="226" t="s">
        <v>431</v>
      </c>
      <c r="G32" s="136" t="s">
        <v>409</v>
      </c>
      <c r="H32" s="227">
        <v>4</v>
      </c>
      <c r="I32" s="227">
        <v>4</v>
      </c>
      <c r="J32" s="227">
        <v>4</v>
      </c>
      <c r="K32" s="228">
        <v>5204.2</v>
      </c>
      <c r="L32" s="228">
        <v>5204.2</v>
      </c>
      <c r="M32" s="193">
        <f t="shared" si="0"/>
        <v>0</v>
      </c>
      <c r="N32" s="227">
        <v>1</v>
      </c>
      <c r="O32" s="228">
        <v>845.76</v>
      </c>
      <c r="P32" s="228">
        <v>845.76</v>
      </c>
      <c r="Q32" s="228">
        <f t="shared" si="1"/>
        <v>0</v>
      </c>
      <c r="R32" s="6"/>
    </row>
    <row r="33" spans="1:18" ht="25.5" x14ac:dyDescent="0.25">
      <c r="A33" s="229">
        <v>25</v>
      </c>
      <c r="B33" s="195" t="s">
        <v>32</v>
      </c>
      <c r="C33" s="226" t="s">
        <v>62</v>
      </c>
      <c r="D33" s="194"/>
      <c r="E33" s="134" t="s">
        <v>74</v>
      </c>
      <c r="F33" s="226" t="s">
        <v>432</v>
      </c>
      <c r="G33" s="136" t="s">
        <v>409</v>
      </c>
      <c r="H33" s="227">
        <v>9</v>
      </c>
      <c r="I33" s="227">
        <v>2</v>
      </c>
      <c r="J33" s="227">
        <v>2</v>
      </c>
      <c r="K33" s="228">
        <v>2114.4</v>
      </c>
      <c r="L33" s="228">
        <v>2114.4</v>
      </c>
      <c r="M33" s="193">
        <f t="shared" si="0"/>
        <v>0</v>
      </c>
      <c r="N33" s="227">
        <v>4</v>
      </c>
      <c r="O33" s="228">
        <v>4581.2</v>
      </c>
      <c r="P33" s="228">
        <v>4581.2</v>
      </c>
      <c r="Q33" s="228">
        <f t="shared" si="1"/>
        <v>0</v>
      </c>
      <c r="R33" s="6"/>
    </row>
    <row r="34" spans="1:18" ht="25.5" x14ac:dyDescent="0.25">
      <c r="A34" s="229">
        <v>26</v>
      </c>
      <c r="B34" s="195" t="s">
        <v>343</v>
      </c>
      <c r="C34" s="226" t="s">
        <v>62</v>
      </c>
      <c r="D34" s="194"/>
      <c r="E34" s="134" t="s">
        <v>74</v>
      </c>
      <c r="F34" s="226" t="s">
        <v>433</v>
      </c>
      <c r="G34" s="136" t="s">
        <v>409</v>
      </c>
      <c r="H34" s="227">
        <v>8</v>
      </c>
      <c r="I34" s="227">
        <v>2</v>
      </c>
      <c r="J34" s="227">
        <v>2</v>
      </c>
      <c r="K34" s="228">
        <v>2114.4</v>
      </c>
      <c r="L34" s="228">
        <v>0</v>
      </c>
      <c r="M34" s="193">
        <f t="shared" si="0"/>
        <v>2114.4</v>
      </c>
      <c r="N34" s="227">
        <v>0</v>
      </c>
      <c r="O34" s="228">
        <v>0</v>
      </c>
      <c r="P34" s="228">
        <v>0</v>
      </c>
      <c r="Q34" s="228">
        <f t="shared" si="1"/>
        <v>0</v>
      </c>
      <c r="R34" s="6"/>
    </row>
    <row r="35" spans="1:18" ht="25.5" x14ac:dyDescent="0.25">
      <c r="A35" s="229">
        <v>27</v>
      </c>
      <c r="B35" s="195" t="s">
        <v>290</v>
      </c>
      <c r="C35" s="226" t="s">
        <v>62</v>
      </c>
      <c r="D35" s="194"/>
      <c r="E35" s="226" t="s">
        <v>371</v>
      </c>
      <c r="F35" s="226" t="s">
        <v>434</v>
      </c>
      <c r="G35" s="136" t="s">
        <v>409</v>
      </c>
      <c r="H35" s="227">
        <v>3</v>
      </c>
      <c r="I35" s="227">
        <v>0</v>
      </c>
      <c r="J35" s="227">
        <v>0</v>
      </c>
      <c r="K35" s="228">
        <v>0</v>
      </c>
      <c r="L35" s="228">
        <v>0</v>
      </c>
      <c r="M35" s="193">
        <f t="shared" si="0"/>
        <v>0</v>
      </c>
      <c r="N35" s="227">
        <v>0</v>
      </c>
      <c r="O35" s="228">
        <v>0</v>
      </c>
      <c r="P35" s="228">
        <v>0</v>
      </c>
      <c r="Q35" s="228">
        <f t="shared" si="1"/>
        <v>0</v>
      </c>
      <c r="R35" s="6"/>
    </row>
    <row r="36" spans="1:18" ht="25.5" x14ac:dyDescent="0.25">
      <c r="A36" s="229">
        <v>28</v>
      </c>
      <c r="B36" s="195" t="s">
        <v>315</v>
      </c>
      <c r="C36" s="226" t="s">
        <v>62</v>
      </c>
      <c r="D36" s="194"/>
      <c r="E36" s="134" t="s">
        <v>74</v>
      </c>
      <c r="F36" s="226" t="s">
        <v>435</v>
      </c>
      <c r="G36" s="136" t="s">
        <v>409</v>
      </c>
      <c r="H36" s="227">
        <v>12</v>
      </c>
      <c r="I36" s="227">
        <v>0</v>
      </c>
      <c r="J36" s="227">
        <v>0</v>
      </c>
      <c r="K36" s="228">
        <v>0</v>
      </c>
      <c r="L36" s="228">
        <v>0</v>
      </c>
      <c r="M36" s="193">
        <f t="shared" si="0"/>
        <v>0</v>
      </c>
      <c r="N36" s="227">
        <v>4</v>
      </c>
      <c r="O36" s="228">
        <v>5622.22</v>
      </c>
      <c r="P36" s="228">
        <v>1386.2</v>
      </c>
      <c r="Q36" s="228">
        <f t="shared" si="1"/>
        <v>4236.0200000000004</v>
      </c>
      <c r="R36" s="6"/>
    </row>
    <row r="37" spans="1:18" ht="25.5" x14ac:dyDescent="0.25">
      <c r="A37" s="229">
        <v>29</v>
      </c>
      <c r="B37" s="195" t="s">
        <v>216</v>
      </c>
      <c r="C37" s="226" t="s">
        <v>67</v>
      </c>
      <c r="D37" s="194" t="s">
        <v>436</v>
      </c>
      <c r="E37" s="134" t="s">
        <v>74</v>
      </c>
      <c r="F37" s="226" t="s">
        <v>437</v>
      </c>
      <c r="G37" s="136" t="s">
        <v>409</v>
      </c>
      <c r="H37" s="227">
        <v>15</v>
      </c>
      <c r="I37" s="227">
        <v>3</v>
      </c>
      <c r="J37" s="227">
        <v>3</v>
      </c>
      <c r="K37" s="228">
        <v>5141.1499999999996</v>
      </c>
      <c r="L37" s="228">
        <v>0</v>
      </c>
      <c r="M37" s="193">
        <f t="shared" si="0"/>
        <v>5141.1499999999996</v>
      </c>
      <c r="N37" s="227">
        <v>0</v>
      </c>
      <c r="O37" s="228">
        <v>0</v>
      </c>
      <c r="P37" s="228">
        <v>0</v>
      </c>
      <c r="Q37" s="228">
        <f t="shared" si="1"/>
        <v>0</v>
      </c>
      <c r="R37" s="6"/>
    </row>
    <row r="38" spans="1:18" ht="25.5" x14ac:dyDescent="0.25">
      <c r="A38" s="229">
        <v>30</v>
      </c>
      <c r="B38" s="195" t="s">
        <v>438</v>
      </c>
      <c r="C38" s="226" t="s">
        <v>62</v>
      </c>
      <c r="D38" s="194"/>
      <c r="E38" s="134" t="s">
        <v>74</v>
      </c>
      <c r="F38" s="226" t="s">
        <v>439</v>
      </c>
      <c r="G38" s="136" t="s">
        <v>409</v>
      </c>
      <c r="H38" s="227">
        <v>6</v>
      </c>
      <c r="I38" s="227">
        <v>0</v>
      </c>
      <c r="J38" s="227">
        <v>0</v>
      </c>
      <c r="K38" s="228">
        <v>0</v>
      </c>
      <c r="L38" s="228">
        <v>0</v>
      </c>
      <c r="M38" s="193">
        <f t="shared" si="0"/>
        <v>0</v>
      </c>
      <c r="N38" s="227">
        <v>0</v>
      </c>
      <c r="O38" s="228">
        <v>0</v>
      </c>
      <c r="P38" s="228">
        <v>0</v>
      </c>
      <c r="Q38" s="228">
        <f t="shared" si="1"/>
        <v>0</v>
      </c>
      <c r="R38" s="6"/>
    </row>
    <row r="39" spans="1:18" ht="25.5" x14ac:dyDescent="0.25">
      <c r="A39" s="229">
        <v>31</v>
      </c>
      <c r="B39" s="195" t="s">
        <v>440</v>
      </c>
      <c r="C39" s="226" t="s">
        <v>62</v>
      </c>
      <c r="D39" s="194"/>
      <c r="E39" s="134" t="s">
        <v>74</v>
      </c>
      <c r="F39" s="226" t="s">
        <v>441</v>
      </c>
      <c r="G39" s="136" t="s">
        <v>409</v>
      </c>
      <c r="H39" s="227">
        <v>7</v>
      </c>
      <c r="I39" s="227">
        <v>3</v>
      </c>
      <c r="J39" s="227">
        <v>3</v>
      </c>
      <c r="K39" s="228">
        <v>3171.6</v>
      </c>
      <c r="L39" s="228">
        <v>0</v>
      </c>
      <c r="M39" s="193">
        <f t="shared" si="0"/>
        <v>3171.6</v>
      </c>
      <c r="N39" s="227">
        <v>0</v>
      </c>
      <c r="O39" s="228">
        <v>0</v>
      </c>
      <c r="P39" s="228">
        <v>0</v>
      </c>
      <c r="Q39" s="228">
        <f t="shared" si="1"/>
        <v>0</v>
      </c>
      <c r="R39" s="6"/>
    </row>
    <row r="40" spans="1:18" ht="26.25" x14ac:dyDescent="0.25">
      <c r="A40" s="229">
        <v>32</v>
      </c>
      <c r="B40" s="195" t="s">
        <v>222</v>
      </c>
      <c r="C40" s="226" t="s">
        <v>64</v>
      </c>
      <c r="D40" s="196" t="s">
        <v>442</v>
      </c>
      <c r="E40" s="134" t="s">
        <v>74</v>
      </c>
      <c r="F40" s="226" t="s">
        <v>443</v>
      </c>
      <c r="G40" s="136" t="s">
        <v>409</v>
      </c>
      <c r="H40" s="227">
        <v>0</v>
      </c>
      <c r="I40" s="227">
        <v>0</v>
      </c>
      <c r="J40" s="227">
        <v>0</v>
      </c>
      <c r="K40" s="228">
        <v>0</v>
      </c>
      <c r="L40" s="228">
        <v>0</v>
      </c>
      <c r="M40" s="193">
        <f t="shared" si="0"/>
        <v>0</v>
      </c>
      <c r="N40" s="227">
        <v>0</v>
      </c>
      <c r="O40" s="228">
        <v>0</v>
      </c>
      <c r="P40" s="228">
        <v>0</v>
      </c>
      <c r="Q40" s="228">
        <f t="shared" si="1"/>
        <v>0</v>
      </c>
      <c r="R40" s="6"/>
    </row>
    <row r="41" spans="1:18" ht="25.5" x14ac:dyDescent="0.25">
      <c r="A41" s="229">
        <v>33</v>
      </c>
      <c r="B41" s="195" t="s">
        <v>444</v>
      </c>
      <c r="C41" s="226" t="s">
        <v>62</v>
      </c>
      <c r="D41" s="194"/>
      <c r="E41" s="134" t="s">
        <v>74</v>
      </c>
      <c r="F41" s="226" t="s">
        <v>445</v>
      </c>
      <c r="G41" s="136" t="s">
        <v>409</v>
      </c>
      <c r="H41" s="227">
        <v>5</v>
      </c>
      <c r="I41" s="227">
        <v>2</v>
      </c>
      <c r="J41" s="227">
        <v>2</v>
      </c>
      <c r="K41" s="228">
        <v>1409.6</v>
      </c>
      <c r="L41" s="228">
        <v>0</v>
      </c>
      <c r="M41" s="193">
        <f t="shared" si="0"/>
        <v>1409.6</v>
      </c>
      <c r="N41" s="227">
        <v>0</v>
      </c>
      <c r="O41" s="228">
        <v>0</v>
      </c>
      <c r="P41" s="228">
        <v>0</v>
      </c>
      <c r="Q41" s="228">
        <f t="shared" si="1"/>
        <v>0</v>
      </c>
      <c r="R41" s="6"/>
    </row>
    <row r="42" spans="1:18" ht="25.5" x14ac:dyDescent="0.25">
      <c r="A42" s="229">
        <v>34</v>
      </c>
      <c r="B42" s="195" t="s">
        <v>129</v>
      </c>
      <c r="C42" s="226" t="s">
        <v>62</v>
      </c>
      <c r="D42" s="194"/>
      <c r="E42" s="134" t="s">
        <v>74</v>
      </c>
      <c r="F42" s="226" t="s">
        <v>446</v>
      </c>
      <c r="G42" s="136" t="s">
        <v>409</v>
      </c>
      <c r="H42" s="227">
        <v>4</v>
      </c>
      <c r="I42" s="227">
        <v>3</v>
      </c>
      <c r="J42" s="227">
        <v>3</v>
      </c>
      <c r="K42" s="228">
        <v>3015.4</v>
      </c>
      <c r="L42" s="228">
        <v>1948.2</v>
      </c>
      <c r="M42" s="193">
        <f t="shared" si="0"/>
        <v>1067.2</v>
      </c>
      <c r="N42" s="227">
        <v>8</v>
      </c>
      <c r="O42" s="228">
        <v>12201.18</v>
      </c>
      <c r="P42" s="228">
        <v>7342.3</v>
      </c>
      <c r="Q42" s="228">
        <f t="shared" si="1"/>
        <v>4858.88</v>
      </c>
      <c r="R42" s="6"/>
    </row>
    <row r="43" spans="1:18" ht="25.5" x14ac:dyDescent="0.25">
      <c r="A43" s="229">
        <v>35</v>
      </c>
      <c r="B43" s="197" t="s">
        <v>104</v>
      </c>
      <c r="C43" s="226" t="s">
        <v>62</v>
      </c>
      <c r="D43" s="194"/>
      <c r="E43" s="134" t="s">
        <v>105</v>
      </c>
      <c r="F43" s="226" t="s">
        <v>447</v>
      </c>
      <c r="G43" s="136" t="s">
        <v>409</v>
      </c>
      <c r="H43" s="227">
        <v>0</v>
      </c>
      <c r="I43" s="227">
        <v>0</v>
      </c>
      <c r="J43" s="227">
        <v>0</v>
      </c>
      <c r="K43" s="228">
        <v>0</v>
      </c>
      <c r="L43" s="228">
        <v>0</v>
      </c>
      <c r="M43" s="193">
        <f t="shared" si="0"/>
        <v>0</v>
      </c>
      <c r="N43" s="227">
        <v>7</v>
      </c>
      <c r="O43" s="228">
        <v>5726.5</v>
      </c>
      <c r="P43" s="228">
        <v>5726.5</v>
      </c>
      <c r="Q43" s="228">
        <f t="shared" si="1"/>
        <v>0</v>
      </c>
      <c r="R43" s="6"/>
    </row>
    <row r="44" spans="1:18" ht="25.5" x14ac:dyDescent="0.25">
      <c r="A44" s="226">
        <v>36</v>
      </c>
      <c r="B44" s="194" t="s">
        <v>156</v>
      </c>
      <c r="C44" s="226" t="s">
        <v>67</v>
      </c>
      <c r="D44" s="194" t="s">
        <v>501</v>
      </c>
      <c r="E44" s="134" t="s">
        <v>74</v>
      </c>
      <c r="F44" s="226" t="s">
        <v>502</v>
      </c>
      <c r="G44" s="136" t="s">
        <v>409</v>
      </c>
      <c r="H44" s="227">
        <v>3</v>
      </c>
      <c r="I44" s="227">
        <v>0</v>
      </c>
      <c r="J44" s="227">
        <v>0</v>
      </c>
      <c r="K44" s="228">
        <v>0</v>
      </c>
      <c r="L44" s="228">
        <v>0</v>
      </c>
      <c r="M44" s="193">
        <f t="shared" si="0"/>
        <v>0</v>
      </c>
      <c r="N44" s="227">
        <v>3</v>
      </c>
      <c r="O44" s="228">
        <v>6167</v>
      </c>
      <c r="P44" s="228">
        <v>4757.3999999999996</v>
      </c>
      <c r="Q44" s="228">
        <f t="shared" si="1"/>
        <v>1409.6000000000004</v>
      </c>
      <c r="R44" s="6"/>
    </row>
    <row r="45" spans="1:18" ht="25.5" x14ac:dyDescent="0.25">
      <c r="A45" s="226">
        <v>37</v>
      </c>
      <c r="B45" s="194" t="s">
        <v>133</v>
      </c>
      <c r="C45" s="226" t="s">
        <v>67</v>
      </c>
      <c r="D45" s="194" t="s">
        <v>397</v>
      </c>
      <c r="E45" s="134" t="s">
        <v>74</v>
      </c>
      <c r="F45" s="226" t="s">
        <v>503</v>
      </c>
      <c r="G45" s="136" t="s">
        <v>409</v>
      </c>
      <c r="H45" s="227">
        <v>9</v>
      </c>
      <c r="I45" s="227">
        <v>0</v>
      </c>
      <c r="J45" s="227">
        <v>0</v>
      </c>
      <c r="K45" s="228">
        <v>0</v>
      </c>
      <c r="L45" s="228">
        <v>0</v>
      </c>
      <c r="M45" s="193">
        <f t="shared" si="0"/>
        <v>0</v>
      </c>
      <c r="N45" s="227">
        <v>8</v>
      </c>
      <c r="O45" s="228">
        <v>21929.06</v>
      </c>
      <c r="P45" s="228">
        <v>14551.26</v>
      </c>
      <c r="Q45" s="228">
        <f t="shared" si="1"/>
        <v>7377.8000000000011</v>
      </c>
      <c r="R45" s="6"/>
    </row>
    <row r="46" spans="1:18" ht="25.5" x14ac:dyDescent="0.25">
      <c r="A46" s="226">
        <v>38</v>
      </c>
      <c r="B46" s="194" t="s">
        <v>114</v>
      </c>
      <c r="C46" s="226" t="s">
        <v>62</v>
      </c>
      <c r="D46" s="194"/>
      <c r="E46" s="134" t="s">
        <v>115</v>
      </c>
      <c r="F46" s="226" t="s">
        <v>504</v>
      </c>
      <c r="G46" s="136" t="s">
        <v>409</v>
      </c>
      <c r="H46" s="227">
        <v>0</v>
      </c>
      <c r="I46" s="227">
        <v>0</v>
      </c>
      <c r="J46" s="227">
        <v>0</v>
      </c>
      <c r="K46" s="228">
        <v>0</v>
      </c>
      <c r="L46" s="228">
        <v>0</v>
      </c>
      <c r="M46" s="193">
        <f t="shared" si="0"/>
        <v>0</v>
      </c>
      <c r="N46" s="227">
        <v>2</v>
      </c>
      <c r="O46" s="228">
        <v>1762</v>
      </c>
      <c r="P46" s="228">
        <v>0</v>
      </c>
      <c r="Q46" s="228">
        <f t="shared" si="1"/>
        <v>1762</v>
      </c>
      <c r="R46" s="6"/>
    </row>
    <row r="47" spans="1:18" ht="25.5" x14ac:dyDescent="0.25">
      <c r="A47" s="226">
        <v>39</v>
      </c>
      <c r="B47" s="194" t="s">
        <v>505</v>
      </c>
      <c r="C47" s="226" t="s">
        <v>62</v>
      </c>
      <c r="D47" s="194"/>
      <c r="E47" s="134" t="s">
        <v>74</v>
      </c>
      <c r="F47" s="226" t="s">
        <v>506</v>
      </c>
      <c r="G47" s="136" t="s">
        <v>409</v>
      </c>
      <c r="H47" s="227">
        <v>1</v>
      </c>
      <c r="I47" s="227">
        <v>0</v>
      </c>
      <c r="J47" s="227">
        <v>0</v>
      </c>
      <c r="K47" s="228">
        <v>0</v>
      </c>
      <c r="L47" s="228">
        <v>0</v>
      </c>
      <c r="M47" s="193">
        <f t="shared" si="0"/>
        <v>0</v>
      </c>
      <c r="N47" s="227">
        <v>0</v>
      </c>
      <c r="O47" s="228">
        <v>0</v>
      </c>
      <c r="P47" s="228">
        <v>0</v>
      </c>
      <c r="Q47" s="228">
        <f t="shared" si="1"/>
        <v>0</v>
      </c>
      <c r="R47" s="6"/>
    </row>
    <row r="48" spans="1:18" ht="25.5" x14ac:dyDescent="0.25">
      <c r="A48" s="226">
        <v>40</v>
      </c>
      <c r="B48" s="194" t="s">
        <v>473</v>
      </c>
      <c r="C48" s="226" t="s">
        <v>62</v>
      </c>
      <c r="D48" s="194"/>
      <c r="E48" s="226" t="s">
        <v>74</v>
      </c>
      <c r="F48" s="226" t="s">
        <v>558</v>
      </c>
      <c r="G48" s="136" t="s">
        <v>409</v>
      </c>
      <c r="H48" s="227">
        <v>0</v>
      </c>
      <c r="I48" s="227">
        <v>0</v>
      </c>
      <c r="J48" s="227">
        <v>0</v>
      </c>
      <c r="K48" s="228">
        <v>0</v>
      </c>
      <c r="L48" s="228">
        <v>0</v>
      </c>
      <c r="M48" s="193">
        <f t="shared" si="0"/>
        <v>0</v>
      </c>
      <c r="N48" s="227">
        <v>0</v>
      </c>
      <c r="O48" s="228">
        <v>0</v>
      </c>
      <c r="P48" s="228">
        <v>0</v>
      </c>
      <c r="Q48" s="228">
        <f t="shared" si="1"/>
        <v>0</v>
      </c>
      <c r="R48" s="6"/>
    </row>
    <row r="49" spans="1:18" ht="25.5" x14ac:dyDescent="0.25">
      <c r="A49" s="226">
        <v>41</v>
      </c>
      <c r="B49" s="194" t="s">
        <v>376</v>
      </c>
      <c r="C49" s="226" t="s">
        <v>62</v>
      </c>
      <c r="D49" s="194"/>
      <c r="E49" s="226" t="s">
        <v>74</v>
      </c>
      <c r="F49" s="226" t="s">
        <v>559</v>
      </c>
      <c r="G49" s="136" t="s">
        <v>409</v>
      </c>
      <c r="H49" s="227">
        <v>0</v>
      </c>
      <c r="I49" s="227">
        <v>0</v>
      </c>
      <c r="J49" s="227">
        <v>0</v>
      </c>
      <c r="K49" s="228">
        <v>0</v>
      </c>
      <c r="L49" s="228">
        <v>0</v>
      </c>
      <c r="M49" s="193">
        <f t="shared" si="0"/>
        <v>0</v>
      </c>
      <c r="N49" s="227">
        <v>0</v>
      </c>
      <c r="O49" s="228">
        <v>0</v>
      </c>
      <c r="P49" s="228">
        <v>0</v>
      </c>
      <c r="Q49" s="228">
        <f t="shared" si="1"/>
        <v>0</v>
      </c>
      <c r="R49" s="6"/>
    </row>
    <row r="50" spans="1:18" ht="25.5" x14ac:dyDescent="0.25">
      <c r="A50" s="226">
        <v>42</v>
      </c>
      <c r="B50" s="194" t="s">
        <v>119</v>
      </c>
      <c r="C50" s="226" t="s">
        <v>62</v>
      </c>
      <c r="D50" s="194"/>
      <c r="E50" s="226" t="s">
        <v>74</v>
      </c>
      <c r="F50" s="226" t="s">
        <v>560</v>
      </c>
      <c r="G50" s="136" t="s">
        <v>409</v>
      </c>
      <c r="H50" s="227">
        <v>4</v>
      </c>
      <c r="I50" s="227">
        <v>1</v>
      </c>
      <c r="J50" s="227">
        <v>1</v>
      </c>
      <c r="K50" s="228">
        <v>1691.52</v>
      </c>
      <c r="L50" s="228">
        <v>0</v>
      </c>
      <c r="M50" s="193">
        <f t="shared" si="0"/>
        <v>1691.52</v>
      </c>
      <c r="N50" s="227">
        <v>8</v>
      </c>
      <c r="O50" s="228">
        <v>12443.1</v>
      </c>
      <c r="P50" s="228">
        <v>0</v>
      </c>
      <c r="Q50" s="228">
        <f t="shared" si="1"/>
        <v>12443.1</v>
      </c>
      <c r="R50" s="6"/>
    </row>
    <row r="51" spans="1:18" ht="25.5" x14ac:dyDescent="0.25">
      <c r="A51" s="226">
        <v>43</v>
      </c>
      <c r="B51" s="194" t="s">
        <v>47</v>
      </c>
      <c r="C51" s="226" t="s">
        <v>62</v>
      </c>
      <c r="D51" s="194"/>
      <c r="E51" s="226" t="s">
        <v>141</v>
      </c>
      <c r="F51" s="226" t="s">
        <v>589</v>
      </c>
      <c r="G51" s="136" t="s">
        <v>409</v>
      </c>
      <c r="H51" s="227">
        <v>0</v>
      </c>
      <c r="I51" s="227">
        <v>0</v>
      </c>
      <c r="J51" s="227">
        <v>0</v>
      </c>
      <c r="K51" s="228">
        <v>0</v>
      </c>
      <c r="L51" s="228">
        <v>0</v>
      </c>
      <c r="M51" s="193">
        <f t="shared" si="0"/>
        <v>0</v>
      </c>
      <c r="N51" s="227">
        <v>0</v>
      </c>
      <c r="O51" s="228">
        <v>0</v>
      </c>
      <c r="P51" s="228">
        <v>0</v>
      </c>
      <c r="Q51" s="228">
        <f t="shared" si="1"/>
        <v>0</v>
      </c>
      <c r="R51" s="6"/>
    </row>
    <row r="52" spans="1:18" ht="25.5" x14ac:dyDescent="0.25">
      <c r="A52" s="226">
        <v>44</v>
      </c>
      <c r="B52" s="194" t="s">
        <v>37</v>
      </c>
      <c r="C52" s="226" t="s">
        <v>62</v>
      </c>
      <c r="D52" s="226"/>
      <c r="E52" s="226" t="s">
        <v>74</v>
      </c>
      <c r="F52" s="226" t="s">
        <v>590</v>
      </c>
      <c r="G52" s="136" t="s">
        <v>409</v>
      </c>
      <c r="H52" s="227">
        <v>0</v>
      </c>
      <c r="I52" s="227">
        <v>0</v>
      </c>
      <c r="J52" s="227">
        <v>0</v>
      </c>
      <c r="K52" s="228">
        <v>0</v>
      </c>
      <c r="L52" s="228">
        <v>0</v>
      </c>
      <c r="M52" s="193">
        <f t="shared" si="0"/>
        <v>0</v>
      </c>
      <c r="N52" s="227">
        <v>0</v>
      </c>
      <c r="O52" s="228">
        <v>0</v>
      </c>
      <c r="P52" s="228">
        <v>0</v>
      </c>
      <c r="Q52" s="228">
        <f t="shared" si="1"/>
        <v>0</v>
      </c>
      <c r="R52" s="6"/>
    </row>
    <row r="53" spans="1:18" ht="25.5" x14ac:dyDescent="0.25">
      <c r="A53" s="226">
        <v>45</v>
      </c>
      <c r="B53" s="194" t="s">
        <v>97</v>
      </c>
      <c r="C53" s="226" t="s">
        <v>62</v>
      </c>
      <c r="D53" s="226"/>
      <c r="E53" s="226" t="s">
        <v>74</v>
      </c>
      <c r="F53" s="226" t="s">
        <v>591</v>
      </c>
      <c r="G53" s="136" t="s">
        <v>409</v>
      </c>
      <c r="H53" s="227">
        <v>3</v>
      </c>
      <c r="I53" s="227">
        <v>0</v>
      </c>
      <c r="J53" s="227">
        <v>0</v>
      </c>
      <c r="K53" s="228">
        <v>0</v>
      </c>
      <c r="L53" s="228">
        <v>0</v>
      </c>
      <c r="M53" s="193">
        <f t="shared" si="0"/>
        <v>0</v>
      </c>
      <c r="N53" s="227">
        <v>0</v>
      </c>
      <c r="O53" s="228">
        <v>0</v>
      </c>
      <c r="P53" s="228">
        <v>0</v>
      </c>
      <c r="Q53" s="228">
        <f t="shared" si="1"/>
        <v>0</v>
      </c>
      <c r="R53" s="6"/>
    </row>
    <row r="54" spans="1:18" x14ac:dyDescent="0.25">
      <c r="A54" s="254">
        <v>1</v>
      </c>
      <c r="B54" s="255" t="s">
        <v>146</v>
      </c>
      <c r="C54" s="155" t="s">
        <v>62</v>
      </c>
      <c r="D54" s="155"/>
      <c r="E54" s="155" t="s">
        <v>74</v>
      </c>
      <c r="F54" s="255" t="s">
        <v>325</v>
      </c>
      <c r="G54" s="256" t="s">
        <v>326</v>
      </c>
      <c r="H54" s="256">
        <v>13</v>
      </c>
      <c r="I54" s="256">
        <v>3</v>
      </c>
      <c r="J54" s="256">
        <v>3</v>
      </c>
      <c r="K54" s="146">
        <f>2643+2466.8</f>
        <v>5109.8</v>
      </c>
      <c r="L54" s="146">
        <f>5109.8</f>
        <v>5109.8</v>
      </c>
      <c r="M54" s="146">
        <f>K54-L54</f>
        <v>0</v>
      </c>
      <c r="N54" s="257">
        <v>6</v>
      </c>
      <c r="O54" s="146">
        <v>5374.1</v>
      </c>
      <c r="P54" s="150">
        <f>2378.7+2995.4</f>
        <v>5374.1</v>
      </c>
      <c r="Q54" s="252">
        <f>O54-P54</f>
        <v>0</v>
      </c>
      <c r="R54" s="6"/>
    </row>
    <row r="55" spans="1:18" x14ac:dyDescent="0.25">
      <c r="A55" s="254">
        <v>2</v>
      </c>
      <c r="B55" s="255" t="s">
        <v>166</v>
      </c>
      <c r="C55" s="155" t="s">
        <v>62</v>
      </c>
      <c r="D55" s="155"/>
      <c r="E55" s="155" t="s">
        <v>158</v>
      </c>
      <c r="F55" s="255" t="s">
        <v>327</v>
      </c>
      <c r="G55" s="255" t="s">
        <v>326</v>
      </c>
      <c r="H55" s="256">
        <v>3</v>
      </c>
      <c r="I55" s="256">
        <v>2</v>
      </c>
      <c r="J55" s="256">
        <v>2</v>
      </c>
      <c r="K55" s="146">
        <f>1233.4+4228.8</f>
        <v>5462.2000000000007</v>
      </c>
      <c r="L55" s="146">
        <f>73.95+1159.45</f>
        <v>1233.4000000000001</v>
      </c>
      <c r="M55" s="146">
        <f>K55-L55</f>
        <v>4228.8000000000011</v>
      </c>
      <c r="N55" s="257">
        <v>0</v>
      </c>
      <c r="O55" s="146">
        <v>0</v>
      </c>
      <c r="P55" s="150">
        <v>0</v>
      </c>
      <c r="Q55" s="252">
        <f>O55-P55</f>
        <v>0</v>
      </c>
      <c r="R55" s="6"/>
    </row>
    <row r="56" spans="1:18" x14ac:dyDescent="0.25">
      <c r="A56" s="254">
        <v>3</v>
      </c>
      <c r="B56" s="255" t="s">
        <v>173</v>
      </c>
      <c r="C56" s="155" t="s">
        <v>67</v>
      </c>
      <c r="D56" s="155" t="s">
        <v>328</v>
      </c>
      <c r="E56" s="155" t="s">
        <v>158</v>
      </c>
      <c r="F56" s="255" t="s">
        <v>329</v>
      </c>
      <c r="G56" s="255" t="s">
        <v>326</v>
      </c>
      <c r="H56" s="256">
        <v>6</v>
      </c>
      <c r="I56" s="256">
        <v>1</v>
      </c>
      <c r="J56" s="256">
        <v>1</v>
      </c>
      <c r="K56" s="146">
        <f>704.8</f>
        <v>704.8</v>
      </c>
      <c r="L56" s="146">
        <f>704.8</f>
        <v>704.8</v>
      </c>
      <c r="M56" s="146">
        <f>K56-L56</f>
        <v>0</v>
      </c>
      <c r="N56" s="257">
        <v>0</v>
      </c>
      <c r="O56" s="146">
        <v>0</v>
      </c>
      <c r="P56" s="150">
        <v>0</v>
      </c>
      <c r="Q56" s="252">
        <f>O56-P56</f>
        <v>0</v>
      </c>
      <c r="R56" s="6"/>
    </row>
    <row r="57" spans="1:18" x14ac:dyDescent="0.25">
      <c r="A57" s="254">
        <v>4</v>
      </c>
      <c r="B57" s="255" t="s">
        <v>330</v>
      </c>
      <c r="C57" s="155" t="s">
        <v>62</v>
      </c>
      <c r="D57" s="155"/>
      <c r="E57" s="155" t="s">
        <v>158</v>
      </c>
      <c r="F57" s="255" t="s">
        <v>331</v>
      </c>
      <c r="G57" s="255" t="s">
        <v>326</v>
      </c>
      <c r="H57" s="256">
        <v>15</v>
      </c>
      <c r="I57" s="256">
        <v>9</v>
      </c>
      <c r="J57" s="256">
        <v>9</v>
      </c>
      <c r="K57" s="146">
        <f>704.8+11276.8</f>
        <v>11981.599999999999</v>
      </c>
      <c r="L57" s="146">
        <f>704.8+11276.8</f>
        <v>11981.599999999999</v>
      </c>
      <c r="M57" s="146">
        <f>K57-L57</f>
        <v>0</v>
      </c>
      <c r="N57" s="257">
        <v>0</v>
      </c>
      <c r="O57" s="146">
        <v>0</v>
      </c>
      <c r="P57" s="150">
        <v>0</v>
      </c>
      <c r="Q57" s="252">
        <f>O57-P57</f>
        <v>0</v>
      </c>
      <c r="R57" s="6"/>
    </row>
    <row r="58" spans="1:18" x14ac:dyDescent="0.25">
      <c r="A58" s="254">
        <v>5</v>
      </c>
      <c r="B58" s="255" t="s">
        <v>147</v>
      </c>
      <c r="C58" s="155" t="s">
        <v>62</v>
      </c>
      <c r="D58" s="139"/>
      <c r="E58" s="155" t="s">
        <v>74</v>
      </c>
      <c r="F58" s="255" t="s">
        <v>332</v>
      </c>
      <c r="G58" s="255" t="s">
        <v>326</v>
      </c>
      <c r="H58" s="258">
        <v>13</v>
      </c>
      <c r="I58" s="258">
        <v>4</v>
      </c>
      <c r="J58" s="258">
        <v>4</v>
      </c>
      <c r="K58" s="259">
        <f>1409.6+1762+3347.8</f>
        <v>6519.4</v>
      </c>
      <c r="L58" s="146">
        <f>1409.6+1762</f>
        <v>3171.6</v>
      </c>
      <c r="M58" s="146">
        <f>K58-L58</f>
        <v>3347.7999999999997</v>
      </c>
      <c r="N58" s="257">
        <v>3</v>
      </c>
      <c r="O58" s="142">
        <v>4757.3999999999996</v>
      </c>
      <c r="P58" s="143">
        <f>4052.6+704.8</f>
        <v>4757.3999999999996</v>
      </c>
      <c r="Q58" s="252">
        <f>O58-P58</f>
        <v>0</v>
      </c>
      <c r="R58" s="6"/>
    </row>
    <row r="59" spans="1:18" ht="45" x14ac:dyDescent="0.25">
      <c r="A59" s="254">
        <v>6</v>
      </c>
      <c r="B59" s="255" t="s">
        <v>554</v>
      </c>
      <c r="C59" s="155" t="s">
        <v>67</v>
      </c>
      <c r="D59" s="260" t="s">
        <v>555</v>
      </c>
      <c r="E59" s="155" t="s">
        <v>74</v>
      </c>
      <c r="F59" s="255" t="s">
        <v>556</v>
      </c>
      <c r="G59" s="255" t="s">
        <v>326</v>
      </c>
      <c r="H59" s="258">
        <v>1</v>
      </c>
      <c r="I59" s="258">
        <v>0</v>
      </c>
      <c r="J59" s="258">
        <v>0</v>
      </c>
      <c r="K59" s="259"/>
      <c r="L59" s="146"/>
      <c r="M59" s="146"/>
      <c r="N59" s="257">
        <v>0</v>
      </c>
      <c r="O59" s="142"/>
      <c r="P59" s="143"/>
      <c r="Q59" s="252"/>
      <c r="R59" s="6"/>
    </row>
    <row r="60" spans="1:18" x14ac:dyDescent="0.25">
      <c r="A60" s="254">
        <v>7</v>
      </c>
      <c r="B60" s="255" t="s">
        <v>88</v>
      </c>
      <c r="C60" s="155" t="s">
        <v>62</v>
      </c>
      <c r="D60" s="139"/>
      <c r="E60" s="155" t="s">
        <v>74</v>
      </c>
      <c r="F60" s="255" t="s">
        <v>333</v>
      </c>
      <c r="G60" s="255" t="s">
        <v>326</v>
      </c>
      <c r="H60" s="258">
        <v>2</v>
      </c>
      <c r="I60" s="258">
        <v>2</v>
      </c>
      <c r="J60" s="258">
        <v>2</v>
      </c>
      <c r="K60" s="259">
        <f>704.8+1585.8</f>
        <v>2290.6</v>
      </c>
      <c r="L60" s="146">
        <f>704.8+1585.8</f>
        <v>2290.6</v>
      </c>
      <c r="M60" s="146">
        <f t="shared" ref="M60:M81" si="2">K60-L60</f>
        <v>0</v>
      </c>
      <c r="N60" s="257">
        <v>1</v>
      </c>
      <c r="O60" s="142">
        <v>1145.3</v>
      </c>
      <c r="P60" s="150">
        <v>1145.3</v>
      </c>
      <c r="Q60" s="252">
        <f t="shared" ref="Q60:Q66" si="3">O60-P60</f>
        <v>0</v>
      </c>
      <c r="R60" s="6"/>
    </row>
    <row r="61" spans="1:18" x14ac:dyDescent="0.25">
      <c r="A61" s="254">
        <v>8</v>
      </c>
      <c r="B61" s="255" t="s">
        <v>182</v>
      </c>
      <c r="C61" s="155" t="s">
        <v>62</v>
      </c>
      <c r="D61" s="139"/>
      <c r="E61" s="155" t="s">
        <v>158</v>
      </c>
      <c r="F61" s="255" t="s">
        <v>334</v>
      </c>
      <c r="G61" s="255" t="s">
        <v>326</v>
      </c>
      <c r="H61" s="258">
        <v>5</v>
      </c>
      <c r="I61" s="258">
        <v>1</v>
      </c>
      <c r="J61" s="258">
        <v>1</v>
      </c>
      <c r="K61" s="259">
        <f>1233.4</f>
        <v>1233.4000000000001</v>
      </c>
      <c r="L61" s="146">
        <f>1233.4</f>
        <v>1233.4000000000001</v>
      </c>
      <c r="M61" s="146">
        <f t="shared" si="2"/>
        <v>0</v>
      </c>
      <c r="N61" s="257">
        <v>0</v>
      </c>
      <c r="O61" s="142"/>
      <c r="P61" s="150">
        <v>0</v>
      </c>
      <c r="Q61" s="252">
        <f t="shared" si="3"/>
        <v>0</v>
      </c>
      <c r="R61" s="6"/>
    </row>
    <row r="62" spans="1:18" x14ac:dyDescent="0.25">
      <c r="A62" s="254">
        <v>9</v>
      </c>
      <c r="B62" s="255" t="s">
        <v>335</v>
      </c>
      <c r="C62" s="155" t="s">
        <v>62</v>
      </c>
      <c r="D62" s="145"/>
      <c r="E62" s="155" t="s">
        <v>74</v>
      </c>
      <c r="F62" s="255" t="s">
        <v>336</v>
      </c>
      <c r="G62" s="255" t="s">
        <v>326</v>
      </c>
      <c r="H62" s="258">
        <v>14</v>
      </c>
      <c r="I62" s="258">
        <v>6</v>
      </c>
      <c r="J62" s="258">
        <v>6</v>
      </c>
      <c r="K62" s="259">
        <f>3700.2+704.8+2114.4+2819.2</f>
        <v>9338.5999999999985</v>
      </c>
      <c r="L62" s="146">
        <f>3700.2+704.8</f>
        <v>4405</v>
      </c>
      <c r="M62" s="146">
        <f t="shared" si="2"/>
        <v>4933.5999999999985</v>
      </c>
      <c r="N62" s="257">
        <v>7</v>
      </c>
      <c r="O62" s="146">
        <f>3435.9+3171.6+132.15</f>
        <v>6739.65</v>
      </c>
      <c r="P62" s="150">
        <f>3435.9+3171.6+132.15</f>
        <v>6739.65</v>
      </c>
      <c r="Q62" s="252">
        <f t="shared" si="3"/>
        <v>0</v>
      </c>
      <c r="R62" s="6"/>
    </row>
    <row r="63" spans="1:18" x14ac:dyDescent="0.25">
      <c r="A63" s="254">
        <v>10</v>
      </c>
      <c r="B63" s="255" t="s">
        <v>27</v>
      </c>
      <c r="C63" s="155" t="s">
        <v>62</v>
      </c>
      <c r="D63" s="139"/>
      <c r="E63" s="155" t="s">
        <v>158</v>
      </c>
      <c r="F63" s="255" t="s">
        <v>337</v>
      </c>
      <c r="G63" s="255" t="s">
        <v>326</v>
      </c>
      <c r="H63" s="258">
        <v>13</v>
      </c>
      <c r="I63" s="258">
        <v>10</v>
      </c>
      <c r="J63" s="258">
        <v>10</v>
      </c>
      <c r="K63" s="259">
        <f>5638.4+2819.2+528.6</f>
        <v>8986.1999999999989</v>
      </c>
      <c r="L63" s="146">
        <f>1233.4+4405+2819.2</f>
        <v>8457.5999999999985</v>
      </c>
      <c r="M63" s="146">
        <f t="shared" si="2"/>
        <v>528.60000000000036</v>
      </c>
      <c r="N63" s="257">
        <v>0</v>
      </c>
      <c r="O63" s="142"/>
      <c r="P63" s="143">
        <v>0</v>
      </c>
      <c r="Q63" s="252">
        <f t="shared" si="3"/>
        <v>0</v>
      </c>
      <c r="R63" s="6"/>
    </row>
    <row r="64" spans="1:18" x14ac:dyDescent="0.25">
      <c r="A64" s="147">
        <v>11</v>
      </c>
      <c r="B64" s="255" t="s">
        <v>190</v>
      </c>
      <c r="C64" s="155" t="s">
        <v>62</v>
      </c>
      <c r="D64" s="139"/>
      <c r="E64" s="155" t="s">
        <v>338</v>
      </c>
      <c r="F64" s="255" t="s">
        <v>339</v>
      </c>
      <c r="G64" s="255" t="s">
        <v>326</v>
      </c>
      <c r="H64" s="258">
        <v>15</v>
      </c>
      <c r="I64" s="258">
        <v>7</v>
      </c>
      <c r="J64" s="258">
        <v>7</v>
      </c>
      <c r="K64" s="259">
        <f>1938.2+2819.2+2819.2+2290.6+1862</f>
        <v>11729.199999999999</v>
      </c>
      <c r="L64" s="146">
        <f>704.8+704.8+528.6+2819.2+2819.2</f>
        <v>7576.5999999999995</v>
      </c>
      <c r="M64" s="146">
        <f t="shared" si="2"/>
        <v>4152.5999999999995</v>
      </c>
      <c r="N64" s="257">
        <v>0</v>
      </c>
      <c r="O64" s="142"/>
      <c r="P64" s="150">
        <v>0</v>
      </c>
      <c r="Q64" s="252">
        <f t="shared" si="3"/>
        <v>0</v>
      </c>
      <c r="R64" s="6"/>
    </row>
    <row r="65" spans="1:18" x14ac:dyDescent="0.25">
      <c r="A65" s="147">
        <v>12</v>
      </c>
      <c r="B65" s="255" t="s">
        <v>89</v>
      </c>
      <c r="C65" s="155" t="s">
        <v>62</v>
      </c>
      <c r="D65" s="139"/>
      <c r="E65" s="155" t="s">
        <v>74</v>
      </c>
      <c r="F65" s="255" t="s">
        <v>340</v>
      </c>
      <c r="G65" s="255" t="s">
        <v>326</v>
      </c>
      <c r="H65" s="258">
        <v>6</v>
      </c>
      <c r="I65" s="258">
        <v>4</v>
      </c>
      <c r="J65" s="258">
        <v>4</v>
      </c>
      <c r="K65" s="259">
        <f>1762+3876.4</f>
        <v>5638.4</v>
      </c>
      <c r="L65" s="146">
        <f>1762+3876.4</f>
        <v>5638.4</v>
      </c>
      <c r="M65" s="146">
        <f t="shared" si="2"/>
        <v>0</v>
      </c>
      <c r="N65" s="257">
        <v>3</v>
      </c>
      <c r="O65" s="142">
        <f>440.5+5990.8</f>
        <v>6431.3</v>
      </c>
      <c r="P65" s="150">
        <f>440.5+5990.8</f>
        <v>6431.3</v>
      </c>
      <c r="Q65" s="252">
        <f t="shared" si="3"/>
        <v>0</v>
      </c>
      <c r="R65" s="6"/>
    </row>
    <row r="66" spans="1:18" x14ac:dyDescent="0.25">
      <c r="A66" s="147">
        <v>13</v>
      </c>
      <c r="B66" s="255" t="s">
        <v>196</v>
      </c>
      <c r="C66" s="155" t="s">
        <v>62</v>
      </c>
      <c r="D66" s="139"/>
      <c r="E66" s="155" t="s">
        <v>341</v>
      </c>
      <c r="F66" s="255" t="s">
        <v>342</v>
      </c>
      <c r="G66" s="255" t="s">
        <v>326</v>
      </c>
      <c r="H66" s="258">
        <v>7</v>
      </c>
      <c r="I66" s="258">
        <v>5</v>
      </c>
      <c r="J66" s="258">
        <v>5</v>
      </c>
      <c r="K66" s="259">
        <v>4933.6000000000004</v>
      </c>
      <c r="L66" s="146">
        <f>4933.6</f>
        <v>4933.6000000000004</v>
      </c>
      <c r="M66" s="146">
        <f t="shared" si="2"/>
        <v>0</v>
      </c>
      <c r="N66" s="257">
        <v>0</v>
      </c>
      <c r="O66" s="142"/>
      <c r="P66" s="150">
        <v>0</v>
      </c>
      <c r="Q66" s="252">
        <f t="shared" si="3"/>
        <v>0</v>
      </c>
      <c r="R66" s="6"/>
    </row>
    <row r="67" spans="1:18" x14ac:dyDescent="0.25">
      <c r="A67" s="147">
        <v>14</v>
      </c>
      <c r="B67" s="255" t="s">
        <v>343</v>
      </c>
      <c r="C67" s="155" t="s">
        <v>62</v>
      </c>
      <c r="D67" s="139"/>
      <c r="E67" s="155" t="s">
        <v>74</v>
      </c>
      <c r="F67" s="255" t="s">
        <v>344</v>
      </c>
      <c r="G67" s="255" t="s">
        <v>326</v>
      </c>
      <c r="H67" s="258">
        <v>9</v>
      </c>
      <c r="I67" s="258">
        <v>2</v>
      </c>
      <c r="J67" s="258">
        <v>2</v>
      </c>
      <c r="K67" s="259">
        <f>2466.8</f>
        <v>2466.8000000000002</v>
      </c>
      <c r="L67" s="146"/>
      <c r="M67" s="146">
        <f t="shared" si="2"/>
        <v>2466.8000000000002</v>
      </c>
      <c r="N67" s="257">
        <v>0</v>
      </c>
      <c r="O67" s="142"/>
      <c r="P67" s="150"/>
      <c r="Q67" s="252"/>
      <c r="R67" s="6"/>
    </row>
    <row r="68" spans="1:18" x14ac:dyDescent="0.25">
      <c r="A68" s="147">
        <v>15</v>
      </c>
      <c r="B68" s="255" t="s">
        <v>154</v>
      </c>
      <c r="C68" s="155" t="s">
        <v>62</v>
      </c>
      <c r="D68" s="139"/>
      <c r="E68" s="155" t="s">
        <v>74</v>
      </c>
      <c r="F68" s="255" t="s">
        <v>345</v>
      </c>
      <c r="G68" s="255" t="s">
        <v>326</v>
      </c>
      <c r="H68" s="258">
        <v>5</v>
      </c>
      <c r="I68" s="258">
        <v>2</v>
      </c>
      <c r="J68" s="258">
        <v>2</v>
      </c>
      <c r="K68" s="259">
        <f>1497.7</f>
        <v>1497.7</v>
      </c>
      <c r="L68" s="146">
        <f>1497.7</f>
        <v>1497.7</v>
      </c>
      <c r="M68" s="146">
        <f t="shared" si="2"/>
        <v>0</v>
      </c>
      <c r="N68" s="257">
        <v>5</v>
      </c>
      <c r="O68" s="142">
        <f>4228.8+3700.2</f>
        <v>7929</v>
      </c>
      <c r="P68" s="143">
        <f>4228.8+3700.2</f>
        <v>7929</v>
      </c>
      <c r="Q68" s="252">
        <f t="shared" ref="Q68:Q78" si="4">O68-P68</f>
        <v>0</v>
      </c>
      <c r="R68" s="6"/>
    </row>
    <row r="69" spans="1:18" x14ac:dyDescent="0.25">
      <c r="A69" s="147">
        <v>16</v>
      </c>
      <c r="B69" s="255" t="s">
        <v>346</v>
      </c>
      <c r="C69" s="155" t="s">
        <v>62</v>
      </c>
      <c r="D69" s="139"/>
      <c r="E69" s="155" t="s">
        <v>158</v>
      </c>
      <c r="F69" s="255" t="s">
        <v>347</v>
      </c>
      <c r="G69" s="255" t="s">
        <v>326</v>
      </c>
      <c r="H69" s="258">
        <v>2</v>
      </c>
      <c r="I69" s="258">
        <v>0</v>
      </c>
      <c r="J69" s="258">
        <v>0</v>
      </c>
      <c r="K69" s="259"/>
      <c r="L69" s="146">
        <v>0</v>
      </c>
      <c r="M69" s="146">
        <f t="shared" si="2"/>
        <v>0</v>
      </c>
      <c r="N69" s="257">
        <v>0</v>
      </c>
      <c r="O69" s="142"/>
      <c r="P69" s="150">
        <v>0</v>
      </c>
      <c r="Q69" s="252">
        <f t="shared" si="4"/>
        <v>0</v>
      </c>
      <c r="R69" s="6"/>
    </row>
    <row r="70" spans="1:18" x14ac:dyDescent="0.25">
      <c r="A70" s="147">
        <v>17</v>
      </c>
      <c r="B70" s="255" t="s">
        <v>348</v>
      </c>
      <c r="C70" s="155" t="s">
        <v>62</v>
      </c>
      <c r="D70" s="139"/>
      <c r="E70" s="155" t="s">
        <v>158</v>
      </c>
      <c r="F70" s="255" t="s">
        <v>349</v>
      </c>
      <c r="G70" s="255" t="s">
        <v>326</v>
      </c>
      <c r="H70" s="258">
        <v>5</v>
      </c>
      <c r="I70" s="258">
        <v>0</v>
      </c>
      <c r="J70" s="258">
        <v>0</v>
      </c>
      <c r="K70" s="259"/>
      <c r="L70" s="146">
        <v>0</v>
      </c>
      <c r="M70" s="146">
        <f t="shared" si="2"/>
        <v>0</v>
      </c>
      <c r="N70" s="257">
        <v>0</v>
      </c>
      <c r="O70" s="142"/>
      <c r="P70" s="150">
        <v>0</v>
      </c>
      <c r="Q70" s="252">
        <f t="shared" si="4"/>
        <v>0</v>
      </c>
      <c r="R70" s="6"/>
    </row>
    <row r="71" spans="1:18" x14ac:dyDescent="0.25">
      <c r="A71" s="147">
        <v>18</v>
      </c>
      <c r="B71" s="255" t="s">
        <v>350</v>
      </c>
      <c r="C71" s="155" t="s">
        <v>62</v>
      </c>
      <c r="D71" s="139"/>
      <c r="E71" s="155" t="s">
        <v>74</v>
      </c>
      <c r="F71" s="255" t="s">
        <v>351</v>
      </c>
      <c r="G71" s="255" t="s">
        <v>326</v>
      </c>
      <c r="H71" s="258">
        <v>1</v>
      </c>
      <c r="I71" s="258">
        <v>1</v>
      </c>
      <c r="J71" s="258">
        <v>1</v>
      </c>
      <c r="K71" s="259">
        <f>528.6</f>
        <v>528.6</v>
      </c>
      <c r="L71" s="146">
        <v>0</v>
      </c>
      <c r="M71" s="146">
        <f t="shared" si="2"/>
        <v>528.6</v>
      </c>
      <c r="N71" s="257">
        <v>4</v>
      </c>
      <c r="O71" s="142">
        <v>5065.75</v>
      </c>
      <c r="P71" s="150">
        <f>1894.15+3171.6</f>
        <v>5065.75</v>
      </c>
      <c r="Q71" s="252">
        <f t="shared" si="4"/>
        <v>0</v>
      </c>
      <c r="R71" s="6"/>
    </row>
    <row r="72" spans="1:18" ht="60" x14ac:dyDescent="0.25">
      <c r="A72" s="148">
        <v>19</v>
      </c>
      <c r="B72" s="255" t="s">
        <v>222</v>
      </c>
      <c r="C72" s="155" t="s">
        <v>64</v>
      </c>
      <c r="D72" s="149" t="s">
        <v>352</v>
      </c>
      <c r="E72" s="155" t="s">
        <v>158</v>
      </c>
      <c r="F72" s="255" t="s">
        <v>353</v>
      </c>
      <c r="G72" s="255" t="s">
        <v>326</v>
      </c>
      <c r="H72" s="258">
        <v>6</v>
      </c>
      <c r="I72" s="258">
        <v>2</v>
      </c>
      <c r="J72" s="258">
        <v>2</v>
      </c>
      <c r="K72" s="259">
        <f>1233.4+2290.6</f>
        <v>3524</v>
      </c>
      <c r="L72" s="146">
        <f>1233.4+2290.6</f>
        <v>3524</v>
      </c>
      <c r="M72" s="146">
        <f t="shared" si="2"/>
        <v>0</v>
      </c>
      <c r="N72" s="257">
        <v>0</v>
      </c>
      <c r="O72" s="142"/>
      <c r="P72" s="150">
        <v>0</v>
      </c>
      <c r="Q72" s="252">
        <f t="shared" si="4"/>
        <v>0</v>
      </c>
      <c r="R72" s="6"/>
    </row>
    <row r="73" spans="1:18" x14ac:dyDescent="0.25">
      <c r="A73" s="147">
        <v>20</v>
      </c>
      <c r="B73" s="255" t="s">
        <v>238</v>
      </c>
      <c r="C73" s="155" t="s">
        <v>62</v>
      </c>
      <c r="D73" s="139"/>
      <c r="E73" s="155" t="s">
        <v>158</v>
      </c>
      <c r="F73" s="255" t="s">
        <v>354</v>
      </c>
      <c r="G73" s="255" t="s">
        <v>326</v>
      </c>
      <c r="H73" s="258">
        <v>6</v>
      </c>
      <c r="I73" s="258">
        <v>5</v>
      </c>
      <c r="J73" s="258">
        <v>5</v>
      </c>
      <c r="K73" s="259">
        <f>2466.8+4581.2</f>
        <v>7048</v>
      </c>
      <c r="L73" s="146">
        <f>1233.4+1233.4</f>
        <v>2466.8000000000002</v>
      </c>
      <c r="M73" s="146">
        <f t="shared" si="2"/>
        <v>4581.2</v>
      </c>
      <c r="N73" s="257">
        <v>0</v>
      </c>
      <c r="O73" s="142"/>
      <c r="P73" s="150">
        <v>0</v>
      </c>
      <c r="Q73" s="252">
        <f t="shared" si="4"/>
        <v>0</v>
      </c>
      <c r="R73" s="6"/>
    </row>
    <row r="74" spans="1:18" x14ac:dyDescent="0.25">
      <c r="A74" s="147">
        <v>21</v>
      </c>
      <c r="B74" s="255" t="s">
        <v>355</v>
      </c>
      <c r="C74" s="155" t="s">
        <v>62</v>
      </c>
      <c r="D74" s="139"/>
      <c r="E74" s="155" t="s">
        <v>158</v>
      </c>
      <c r="F74" s="255" t="s">
        <v>356</v>
      </c>
      <c r="G74" s="255" t="s">
        <v>326</v>
      </c>
      <c r="H74" s="258">
        <v>7</v>
      </c>
      <c r="I74" s="258">
        <v>2</v>
      </c>
      <c r="J74" s="258">
        <v>2</v>
      </c>
      <c r="K74" s="259">
        <v>1762</v>
      </c>
      <c r="L74" s="146">
        <f>1233.4+528.6</f>
        <v>1762</v>
      </c>
      <c r="M74" s="146">
        <f t="shared" si="2"/>
        <v>0</v>
      </c>
      <c r="N74" s="257">
        <v>0</v>
      </c>
      <c r="O74" s="142"/>
      <c r="P74" s="150">
        <v>0</v>
      </c>
      <c r="Q74" s="252">
        <f t="shared" si="4"/>
        <v>0</v>
      </c>
      <c r="R74" s="6"/>
    </row>
    <row r="75" spans="1:18" ht="38.25" x14ac:dyDescent="0.25">
      <c r="A75" s="148">
        <v>22</v>
      </c>
      <c r="B75" s="255" t="s">
        <v>357</v>
      </c>
      <c r="C75" s="155" t="s">
        <v>64</v>
      </c>
      <c r="D75" s="254" t="s">
        <v>358</v>
      </c>
      <c r="E75" s="155" t="s">
        <v>158</v>
      </c>
      <c r="F75" s="155" t="s">
        <v>507</v>
      </c>
      <c r="G75" s="255" t="s">
        <v>326</v>
      </c>
      <c r="H75" s="258">
        <v>1</v>
      </c>
      <c r="I75" s="145">
        <v>0</v>
      </c>
      <c r="J75" s="145">
        <v>0</v>
      </c>
      <c r="K75" s="259"/>
      <c r="L75" s="146">
        <v>0</v>
      </c>
      <c r="M75" s="146">
        <f t="shared" si="2"/>
        <v>0</v>
      </c>
      <c r="N75" s="257">
        <v>0</v>
      </c>
      <c r="O75" s="142"/>
      <c r="P75" s="150">
        <v>0</v>
      </c>
      <c r="Q75" s="252">
        <f t="shared" si="4"/>
        <v>0</v>
      </c>
      <c r="R75" s="6"/>
    </row>
    <row r="76" spans="1:18" x14ac:dyDescent="0.25">
      <c r="A76" s="147">
        <v>23</v>
      </c>
      <c r="B76" s="255" t="s">
        <v>359</v>
      </c>
      <c r="C76" s="155" t="s">
        <v>62</v>
      </c>
      <c r="D76" s="254"/>
      <c r="E76" s="155" t="s">
        <v>158</v>
      </c>
      <c r="F76" s="155" t="s">
        <v>360</v>
      </c>
      <c r="G76" s="255" t="s">
        <v>326</v>
      </c>
      <c r="H76" s="258">
        <v>5</v>
      </c>
      <c r="I76" s="258">
        <v>5</v>
      </c>
      <c r="J76" s="258">
        <v>5</v>
      </c>
      <c r="K76" s="259">
        <f>1409.6+704.8+528.6+2290.6</f>
        <v>4933.5999999999995</v>
      </c>
      <c r="L76" s="146">
        <f>704.8+704.8+704.8+9.97+518.63</f>
        <v>2642.9999999999995</v>
      </c>
      <c r="M76" s="146">
        <f t="shared" si="2"/>
        <v>2290.6</v>
      </c>
      <c r="N76" s="257">
        <v>0</v>
      </c>
      <c r="O76" s="142"/>
      <c r="P76" s="143">
        <v>0</v>
      </c>
      <c r="Q76" s="252">
        <f t="shared" si="4"/>
        <v>0</v>
      </c>
      <c r="R76" s="6"/>
    </row>
    <row r="77" spans="1:18" x14ac:dyDescent="0.25">
      <c r="A77" s="147">
        <v>24</v>
      </c>
      <c r="B77" s="255" t="s">
        <v>118</v>
      </c>
      <c r="C77" s="155" t="s">
        <v>62</v>
      </c>
      <c r="D77" s="139"/>
      <c r="E77" s="155" t="s">
        <v>338</v>
      </c>
      <c r="F77" s="255" t="s">
        <v>361</v>
      </c>
      <c r="G77" s="255" t="s">
        <v>326</v>
      </c>
      <c r="H77" s="258">
        <v>1</v>
      </c>
      <c r="I77" s="258">
        <v>0</v>
      </c>
      <c r="J77" s="258">
        <v>0</v>
      </c>
      <c r="K77" s="259"/>
      <c r="L77" s="146">
        <v>0</v>
      </c>
      <c r="M77" s="146">
        <f t="shared" si="2"/>
        <v>0</v>
      </c>
      <c r="N77" s="257">
        <v>0</v>
      </c>
      <c r="O77" s="142"/>
      <c r="P77" s="150">
        <v>0</v>
      </c>
      <c r="Q77" s="252">
        <f t="shared" si="4"/>
        <v>0</v>
      </c>
      <c r="R77" s="6"/>
    </row>
    <row r="78" spans="1:18" x14ac:dyDescent="0.25">
      <c r="A78" s="147">
        <v>25</v>
      </c>
      <c r="B78" s="255" t="s">
        <v>246</v>
      </c>
      <c r="C78" s="155" t="s">
        <v>62</v>
      </c>
      <c r="D78" s="139"/>
      <c r="E78" s="155" t="s">
        <v>158</v>
      </c>
      <c r="F78" s="255" t="s">
        <v>362</v>
      </c>
      <c r="G78" s="255" t="s">
        <v>326</v>
      </c>
      <c r="H78" s="258">
        <v>4</v>
      </c>
      <c r="I78" s="258">
        <v>1</v>
      </c>
      <c r="J78" s="258">
        <v>1</v>
      </c>
      <c r="K78" s="259">
        <f>1233.4</f>
        <v>1233.4000000000001</v>
      </c>
      <c r="L78" s="146">
        <f>1233.4</f>
        <v>1233.4000000000001</v>
      </c>
      <c r="M78" s="146">
        <f t="shared" si="2"/>
        <v>0</v>
      </c>
      <c r="N78" s="257">
        <v>0</v>
      </c>
      <c r="O78" s="142"/>
      <c r="P78" s="150">
        <v>0</v>
      </c>
      <c r="Q78" s="252">
        <f t="shared" si="4"/>
        <v>0</v>
      </c>
      <c r="R78" s="6"/>
    </row>
    <row r="79" spans="1:18" x14ac:dyDescent="0.25">
      <c r="A79" s="147">
        <v>26</v>
      </c>
      <c r="B79" s="255" t="s">
        <v>43</v>
      </c>
      <c r="C79" s="155" t="s">
        <v>62</v>
      </c>
      <c r="D79" s="139"/>
      <c r="E79" s="155" t="s">
        <v>74</v>
      </c>
      <c r="F79" s="255" t="s">
        <v>363</v>
      </c>
      <c r="G79" s="255" t="s">
        <v>326</v>
      </c>
      <c r="H79" s="258">
        <v>3</v>
      </c>
      <c r="I79" s="258">
        <v>1</v>
      </c>
      <c r="J79" s="258">
        <v>1</v>
      </c>
      <c r="K79" s="259">
        <v>660.75</v>
      </c>
      <c r="L79" s="146"/>
      <c r="M79" s="146">
        <f t="shared" si="2"/>
        <v>660.75</v>
      </c>
      <c r="N79" s="257">
        <v>0</v>
      </c>
      <c r="O79" s="142"/>
      <c r="P79" s="150"/>
      <c r="Q79" s="252"/>
      <c r="R79" s="6"/>
    </row>
    <row r="80" spans="1:18" x14ac:dyDescent="0.25">
      <c r="A80" s="147">
        <v>27</v>
      </c>
      <c r="B80" s="255" t="s">
        <v>364</v>
      </c>
      <c r="C80" s="155" t="s">
        <v>62</v>
      </c>
      <c r="D80" s="139"/>
      <c r="E80" s="155" t="s">
        <v>74</v>
      </c>
      <c r="F80" s="255" t="s">
        <v>365</v>
      </c>
      <c r="G80" s="255" t="s">
        <v>326</v>
      </c>
      <c r="H80" s="258">
        <v>8</v>
      </c>
      <c r="I80" s="258">
        <v>2</v>
      </c>
      <c r="J80" s="258">
        <v>2</v>
      </c>
      <c r="K80" s="259">
        <v>2466.8000000000002</v>
      </c>
      <c r="L80" s="146">
        <v>2466.8000000000002</v>
      </c>
      <c r="M80" s="146">
        <f t="shared" si="2"/>
        <v>0</v>
      </c>
      <c r="N80" s="257">
        <v>2</v>
      </c>
      <c r="O80" s="142">
        <v>3524</v>
      </c>
      <c r="P80" s="150">
        <v>3524</v>
      </c>
      <c r="Q80" s="252">
        <f>O80-P80</f>
        <v>0</v>
      </c>
      <c r="R80" s="6"/>
    </row>
    <row r="81" spans="1:18" x14ac:dyDescent="0.25">
      <c r="A81" s="147">
        <v>28</v>
      </c>
      <c r="B81" s="255" t="s">
        <v>46</v>
      </c>
      <c r="C81" s="155" t="s">
        <v>62</v>
      </c>
      <c r="D81" s="139"/>
      <c r="E81" s="155" t="s">
        <v>366</v>
      </c>
      <c r="F81" s="255" t="s">
        <v>367</v>
      </c>
      <c r="G81" s="255" t="s">
        <v>326</v>
      </c>
      <c r="H81" s="258">
        <v>0</v>
      </c>
      <c r="I81" s="258">
        <v>0</v>
      </c>
      <c r="J81" s="258">
        <v>0</v>
      </c>
      <c r="K81" s="259"/>
      <c r="L81" s="146">
        <v>0</v>
      </c>
      <c r="M81" s="146">
        <f t="shared" si="2"/>
        <v>0</v>
      </c>
      <c r="N81" s="257">
        <v>1</v>
      </c>
      <c r="O81" s="142">
        <f>4140.7+528.6</f>
        <v>4669.3</v>
      </c>
      <c r="P81" s="143">
        <f>4140.7+528.6</f>
        <v>4669.3</v>
      </c>
      <c r="Q81" s="252">
        <f>O81-P81</f>
        <v>0</v>
      </c>
      <c r="R81" s="6"/>
    </row>
    <row r="82" spans="1:18" x14ac:dyDescent="0.25">
      <c r="A82" s="147">
        <v>29</v>
      </c>
      <c r="B82" s="255" t="s">
        <v>270</v>
      </c>
      <c r="C82" s="155" t="s">
        <v>62</v>
      </c>
      <c r="D82" s="139"/>
      <c r="E82" s="155" t="s">
        <v>74</v>
      </c>
      <c r="F82" s="255" t="s">
        <v>539</v>
      </c>
      <c r="G82" s="255" t="s">
        <v>326</v>
      </c>
      <c r="H82" s="258">
        <v>2</v>
      </c>
      <c r="I82" s="258">
        <v>0</v>
      </c>
      <c r="J82" s="258">
        <v>0</v>
      </c>
      <c r="K82" s="259"/>
      <c r="L82" s="146"/>
      <c r="M82" s="146"/>
      <c r="N82" s="257">
        <v>0</v>
      </c>
      <c r="O82" s="142"/>
      <c r="P82" s="143"/>
      <c r="Q82" s="252"/>
      <c r="R82" s="6"/>
    </row>
    <row r="83" spans="1:18" x14ac:dyDescent="0.25">
      <c r="A83" s="147">
        <v>30</v>
      </c>
      <c r="B83" s="255" t="s">
        <v>96</v>
      </c>
      <c r="C83" s="155" t="s">
        <v>62</v>
      </c>
      <c r="D83" s="139"/>
      <c r="E83" s="155" t="s">
        <v>98</v>
      </c>
      <c r="F83" s="255" t="s">
        <v>540</v>
      </c>
      <c r="G83" s="255" t="s">
        <v>326</v>
      </c>
      <c r="H83" s="258">
        <v>1</v>
      </c>
      <c r="I83" s="258">
        <v>0</v>
      </c>
      <c r="J83" s="258">
        <v>0</v>
      </c>
      <c r="K83" s="259"/>
      <c r="L83" s="146"/>
      <c r="M83" s="146"/>
      <c r="N83" s="257">
        <v>1</v>
      </c>
      <c r="O83" s="142"/>
      <c r="P83" s="143"/>
      <c r="Q83" s="252"/>
      <c r="R83" s="6"/>
    </row>
    <row r="84" spans="1:18" x14ac:dyDescent="0.25">
      <c r="A84" s="147">
        <v>31</v>
      </c>
      <c r="B84" s="255" t="s">
        <v>124</v>
      </c>
      <c r="C84" s="155" t="s">
        <v>62</v>
      </c>
      <c r="D84" s="139"/>
      <c r="E84" s="155" t="s">
        <v>74</v>
      </c>
      <c r="F84" s="255" t="s">
        <v>368</v>
      </c>
      <c r="G84" s="255" t="s">
        <v>326</v>
      </c>
      <c r="H84" s="258">
        <v>24</v>
      </c>
      <c r="I84" s="258">
        <v>10</v>
      </c>
      <c r="J84" s="258">
        <v>10</v>
      </c>
      <c r="K84" s="259">
        <f>6343.2+3700.2</f>
        <v>10043.4</v>
      </c>
      <c r="L84" s="146">
        <f>1762+1762+2819.2</f>
        <v>6343.2</v>
      </c>
      <c r="M84" s="146">
        <f t="shared" ref="M84:M89" si="5">K84-L84</f>
        <v>3700.2</v>
      </c>
      <c r="N84" s="257">
        <v>8</v>
      </c>
      <c r="O84" s="142">
        <f>3171.6+88+1493.8-704.8+704.8</f>
        <v>4753.3999999999996</v>
      </c>
      <c r="P84" s="150">
        <f>1765.8+1493.8+789</f>
        <v>4048.6</v>
      </c>
      <c r="Q84" s="253">
        <f>O84-P84</f>
        <v>704.79999999999973</v>
      </c>
      <c r="R84" s="6"/>
    </row>
    <row r="85" spans="1:18" x14ac:dyDescent="0.25">
      <c r="A85" s="147">
        <v>32</v>
      </c>
      <c r="B85" s="255" t="s">
        <v>51</v>
      </c>
      <c r="C85" s="155" t="s">
        <v>62</v>
      </c>
      <c r="D85" s="139"/>
      <c r="E85" s="155" t="s">
        <v>74</v>
      </c>
      <c r="F85" s="255" t="s">
        <v>369</v>
      </c>
      <c r="G85" s="255" t="s">
        <v>326</v>
      </c>
      <c r="H85" s="258">
        <v>0</v>
      </c>
      <c r="I85" s="258">
        <v>0</v>
      </c>
      <c r="J85" s="258">
        <v>0</v>
      </c>
      <c r="K85" s="259"/>
      <c r="L85" s="146">
        <v>0</v>
      </c>
      <c r="M85" s="146">
        <f t="shared" si="5"/>
        <v>0</v>
      </c>
      <c r="N85" s="257">
        <v>1</v>
      </c>
      <c r="O85" s="142">
        <v>2290.6</v>
      </c>
      <c r="P85" s="150">
        <v>2290.6</v>
      </c>
      <c r="Q85" s="252">
        <f>O85-P85</f>
        <v>0</v>
      </c>
      <c r="R85" s="6"/>
    </row>
    <row r="86" spans="1:18" x14ac:dyDescent="0.25">
      <c r="A86" s="147">
        <v>33</v>
      </c>
      <c r="B86" s="255" t="s">
        <v>286</v>
      </c>
      <c r="C86" s="155" t="s">
        <v>62</v>
      </c>
      <c r="D86" s="139"/>
      <c r="E86" s="155" t="s">
        <v>74</v>
      </c>
      <c r="F86" s="255" t="s">
        <v>476</v>
      </c>
      <c r="G86" s="255" t="s">
        <v>326</v>
      </c>
      <c r="H86" s="258">
        <v>6</v>
      </c>
      <c r="I86" s="258">
        <v>3</v>
      </c>
      <c r="J86" s="258">
        <v>3</v>
      </c>
      <c r="K86" s="259">
        <f>1233.4+1409.6</f>
        <v>2643</v>
      </c>
      <c r="L86" s="146">
        <f>1233.4</f>
        <v>1233.4000000000001</v>
      </c>
      <c r="M86" s="146">
        <f t="shared" si="5"/>
        <v>1409.6</v>
      </c>
      <c r="N86" s="257">
        <v>0</v>
      </c>
      <c r="O86" s="142"/>
      <c r="P86" s="150"/>
      <c r="Q86" s="252"/>
      <c r="R86" s="6"/>
    </row>
    <row r="87" spans="1:18" x14ac:dyDescent="0.25">
      <c r="A87" s="147">
        <v>34</v>
      </c>
      <c r="B87" s="255" t="s">
        <v>290</v>
      </c>
      <c r="C87" s="155" t="s">
        <v>62</v>
      </c>
      <c r="D87" s="139"/>
      <c r="E87" s="155" t="s">
        <v>371</v>
      </c>
      <c r="F87" s="255" t="s">
        <v>372</v>
      </c>
      <c r="G87" s="255" t="s">
        <v>326</v>
      </c>
      <c r="H87" s="258">
        <v>7</v>
      </c>
      <c r="I87" s="258">
        <v>3</v>
      </c>
      <c r="J87" s="258">
        <v>3</v>
      </c>
      <c r="K87" s="259">
        <f>1409.6+704.8</f>
        <v>2114.3999999999996</v>
      </c>
      <c r="L87" s="146">
        <f>1409.6+704.8</f>
        <v>2114.3999999999996</v>
      </c>
      <c r="M87" s="146">
        <f t="shared" si="5"/>
        <v>0</v>
      </c>
      <c r="N87" s="257">
        <v>0</v>
      </c>
      <c r="O87" s="142"/>
      <c r="P87" s="143">
        <v>0</v>
      </c>
      <c r="Q87" s="252">
        <f>O87-P87</f>
        <v>0</v>
      </c>
      <c r="R87" s="6"/>
    </row>
    <row r="88" spans="1:18" x14ac:dyDescent="0.25">
      <c r="A88" s="147">
        <v>35</v>
      </c>
      <c r="B88" s="255" t="s">
        <v>134</v>
      </c>
      <c r="C88" s="155" t="s">
        <v>62</v>
      </c>
      <c r="D88" s="139"/>
      <c r="E88" s="155" t="s">
        <v>74</v>
      </c>
      <c r="F88" s="255" t="s">
        <v>373</v>
      </c>
      <c r="G88" s="255" t="s">
        <v>326</v>
      </c>
      <c r="H88" s="258">
        <v>3</v>
      </c>
      <c r="I88" s="258">
        <v>1</v>
      </c>
      <c r="J88" s="258">
        <v>1</v>
      </c>
      <c r="K88" s="259">
        <f>1938.2</f>
        <v>1938.2</v>
      </c>
      <c r="L88" s="146">
        <v>1938.2</v>
      </c>
      <c r="M88" s="146">
        <f t="shared" si="5"/>
        <v>0</v>
      </c>
      <c r="N88" s="257">
        <v>2</v>
      </c>
      <c r="O88" s="142">
        <v>2643</v>
      </c>
      <c r="P88" s="150">
        <f>881+1762</f>
        <v>2643</v>
      </c>
      <c r="Q88" s="252">
        <f>O88-P88</f>
        <v>0</v>
      </c>
      <c r="R88" s="6"/>
    </row>
    <row r="89" spans="1:18" x14ac:dyDescent="0.25">
      <c r="A89" s="147">
        <v>36</v>
      </c>
      <c r="B89" s="255" t="s">
        <v>135</v>
      </c>
      <c r="C89" s="155" t="s">
        <v>62</v>
      </c>
      <c r="D89" s="139"/>
      <c r="E89" s="155" t="s">
        <v>74</v>
      </c>
      <c r="F89" s="255" t="s">
        <v>374</v>
      </c>
      <c r="G89" s="255" t="s">
        <v>326</v>
      </c>
      <c r="H89" s="258">
        <v>17</v>
      </c>
      <c r="I89" s="258">
        <v>4</v>
      </c>
      <c r="J89" s="258">
        <v>4</v>
      </c>
      <c r="K89" s="259">
        <f>5109.8+881</f>
        <v>5990.8</v>
      </c>
      <c r="L89" s="146">
        <f>2290.6+2819.2+881</f>
        <v>5990.7999999999993</v>
      </c>
      <c r="M89" s="146">
        <f t="shared" si="5"/>
        <v>0</v>
      </c>
      <c r="N89" s="257">
        <v>35</v>
      </c>
      <c r="O89" s="142">
        <f>15109.16+9717+2845.2</f>
        <v>27671.360000000001</v>
      </c>
      <c r="P89" s="150">
        <f>14228.16+881+9717+2845.2</f>
        <v>27671.360000000001</v>
      </c>
      <c r="Q89" s="253">
        <f>O89-P89</f>
        <v>0</v>
      </c>
      <c r="R89" s="6"/>
    </row>
    <row r="90" spans="1:18" ht="25.5" x14ac:dyDescent="0.25">
      <c r="A90" s="148">
        <v>37</v>
      </c>
      <c r="B90" s="255" t="s">
        <v>508</v>
      </c>
      <c r="C90" s="155" t="s">
        <v>64</v>
      </c>
      <c r="D90" s="254" t="s">
        <v>509</v>
      </c>
      <c r="E90" s="155" t="s">
        <v>74</v>
      </c>
      <c r="F90" s="255" t="s">
        <v>510</v>
      </c>
      <c r="G90" s="255" t="s">
        <v>326</v>
      </c>
      <c r="H90" s="258">
        <v>3</v>
      </c>
      <c r="I90" s="258">
        <v>0</v>
      </c>
      <c r="J90" s="258">
        <v>0</v>
      </c>
      <c r="K90" s="259"/>
      <c r="L90" s="146"/>
      <c r="M90" s="146"/>
      <c r="N90" s="257">
        <v>0</v>
      </c>
      <c r="O90" s="142"/>
      <c r="P90" s="150"/>
      <c r="Q90" s="252"/>
      <c r="R90" s="6"/>
    </row>
    <row r="91" spans="1:18" x14ac:dyDescent="0.25">
      <c r="A91" s="147">
        <v>38</v>
      </c>
      <c r="B91" s="255" t="s">
        <v>299</v>
      </c>
      <c r="C91" s="155" t="s">
        <v>62</v>
      </c>
      <c r="D91" s="139"/>
      <c r="E91" s="155" t="s">
        <v>158</v>
      </c>
      <c r="F91" s="255" t="s">
        <v>375</v>
      </c>
      <c r="G91" s="255" t="s">
        <v>326</v>
      </c>
      <c r="H91" s="258">
        <v>3</v>
      </c>
      <c r="I91" s="258">
        <v>1</v>
      </c>
      <c r="J91" s="258">
        <v>1</v>
      </c>
      <c r="K91" s="259">
        <f>704.8</f>
        <v>704.8</v>
      </c>
      <c r="L91" s="146">
        <f>704.8</f>
        <v>704.8</v>
      </c>
      <c r="M91" s="146">
        <f t="shared" ref="M91:M97" si="6">K91-L91</f>
        <v>0</v>
      </c>
      <c r="N91" s="257">
        <v>0</v>
      </c>
      <c r="O91" s="142"/>
      <c r="P91" s="150">
        <v>0</v>
      </c>
      <c r="Q91" s="252">
        <f>O91-P91</f>
        <v>0</v>
      </c>
      <c r="R91" s="6"/>
    </row>
    <row r="92" spans="1:18" x14ac:dyDescent="0.25">
      <c r="A92" s="147">
        <v>39</v>
      </c>
      <c r="B92" s="255" t="s">
        <v>376</v>
      </c>
      <c r="C92" s="155" t="s">
        <v>62</v>
      </c>
      <c r="D92" s="139"/>
      <c r="E92" s="155" t="s">
        <v>74</v>
      </c>
      <c r="F92" s="255" t="s">
        <v>377</v>
      </c>
      <c r="G92" s="255" t="s">
        <v>326</v>
      </c>
      <c r="H92" s="258">
        <v>4</v>
      </c>
      <c r="I92" s="258">
        <v>3</v>
      </c>
      <c r="J92" s="258">
        <v>3</v>
      </c>
      <c r="K92" s="259">
        <f>1409.6+2643</f>
        <v>4052.6</v>
      </c>
      <c r="L92" s="146">
        <v>1409.6</v>
      </c>
      <c r="M92" s="146">
        <f t="shared" si="6"/>
        <v>2643</v>
      </c>
      <c r="N92" s="257">
        <v>0</v>
      </c>
      <c r="O92" s="142"/>
      <c r="P92" s="150"/>
      <c r="Q92" s="252"/>
      <c r="R92" s="6"/>
    </row>
    <row r="93" spans="1:18" x14ac:dyDescent="0.25">
      <c r="A93" s="147">
        <v>40</v>
      </c>
      <c r="B93" s="255" t="s">
        <v>129</v>
      </c>
      <c r="C93" s="155" t="s">
        <v>62</v>
      </c>
      <c r="D93" s="139"/>
      <c r="E93" s="155" t="s">
        <v>74</v>
      </c>
      <c r="F93" s="255" t="s">
        <v>378</v>
      </c>
      <c r="G93" s="255" t="s">
        <v>326</v>
      </c>
      <c r="H93" s="258">
        <v>32</v>
      </c>
      <c r="I93" s="258">
        <v>13</v>
      </c>
      <c r="J93" s="258">
        <v>13</v>
      </c>
      <c r="K93" s="259">
        <f>7355.96+1306.55+4415.93+5710.35</f>
        <v>18788.79</v>
      </c>
      <c r="L93" s="146">
        <f>3615.96+5046.55+4415.93+2821.97</f>
        <v>15900.41</v>
      </c>
      <c r="M93" s="146">
        <f t="shared" si="6"/>
        <v>2888.380000000001</v>
      </c>
      <c r="N93" s="257">
        <v>25</v>
      </c>
      <c r="O93" s="142">
        <f>28417.04+2923.96+3402.23+528.6+3259.4</f>
        <v>38531.230000000003</v>
      </c>
      <c r="P93" s="143">
        <f>22002.43+5101.53+1313.08+2923.96+3402.23+528.6+3259.4</f>
        <v>38531.230000000003</v>
      </c>
      <c r="Q93" s="252">
        <f>O93-P93</f>
        <v>0</v>
      </c>
      <c r="R93" s="6"/>
    </row>
    <row r="94" spans="1:18" x14ac:dyDescent="0.25">
      <c r="A94" s="147">
        <v>41</v>
      </c>
      <c r="B94" s="255" t="s">
        <v>379</v>
      </c>
      <c r="C94" s="155" t="s">
        <v>62</v>
      </c>
      <c r="D94" s="139"/>
      <c r="E94" s="155" t="s">
        <v>158</v>
      </c>
      <c r="F94" s="255" t="s">
        <v>380</v>
      </c>
      <c r="G94" s="255" t="s">
        <v>326</v>
      </c>
      <c r="H94" s="258">
        <v>2</v>
      </c>
      <c r="I94" s="258">
        <v>1</v>
      </c>
      <c r="J94" s="258">
        <v>1</v>
      </c>
      <c r="K94" s="259">
        <v>704.8</v>
      </c>
      <c r="L94" s="146">
        <f>704.8</f>
        <v>704.8</v>
      </c>
      <c r="M94" s="146">
        <f t="shared" si="6"/>
        <v>0</v>
      </c>
      <c r="N94" s="257">
        <v>0</v>
      </c>
      <c r="O94" s="142"/>
      <c r="P94" s="150">
        <v>0</v>
      </c>
      <c r="Q94" s="252">
        <f>O94-P94</f>
        <v>0</v>
      </c>
      <c r="R94" s="6"/>
    </row>
    <row r="95" spans="1:18" x14ac:dyDescent="0.25">
      <c r="A95" s="147">
        <v>42</v>
      </c>
      <c r="B95" s="255" t="s">
        <v>130</v>
      </c>
      <c r="C95" s="155" t="s">
        <v>62</v>
      </c>
      <c r="D95" s="139"/>
      <c r="E95" s="155" t="s">
        <v>74</v>
      </c>
      <c r="F95" s="255" t="s">
        <v>557</v>
      </c>
      <c r="G95" s="255" t="s">
        <v>326</v>
      </c>
      <c r="H95" s="258">
        <v>1</v>
      </c>
      <c r="I95" s="258">
        <v>0</v>
      </c>
      <c r="J95" s="258">
        <v>0</v>
      </c>
      <c r="K95" s="259"/>
      <c r="L95" s="146"/>
      <c r="M95" s="146">
        <f t="shared" si="6"/>
        <v>0</v>
      </c>
      <c r="N95" s="257">
        <v>2</v>
      </c>
      <c r="O95" s="142">
        <f>3700.2</f>
        <v>3700.2</v>
      </c>
      <c r="P95" s="150">
        <v>0</v>
      </c>
      <c r="Q95" s="252">
        <f>O95-P95</f>
        <v>3700.2</v>
      </c>
      <c r="R95" s="6"/>
    </row>
    <row r="96" spans="1:18" x14ac:dyDescent="0.25">
      <c r="A96" s="147">
        <v>43</v>
      </c>
      <c r="B96" s="255" t="s">
        <v>382</v>
      </c>
      <c r="C96" s="155" t="s">
        <v>62</v>
      </c>
      <c r="D96" s="139"/>
      <c r="E96" s="155" t="s">
        <v>383</v>
      </c>
      <c r="F96" s="255" t="s">
        <v>384</v>
      </c>
      <c r="G96" s="255" t="s">
        <v>326</v>
      </c>
      <c r="H96" s="258">
        <v>1</v>
      </c>
      <c r="I96" s="258">
        <v>1</v>
      </c>
      <c r="J96" s="258">
        <v>1</v>
      </c>
      <c r="K96" s="259">
        <v>704.8</v>
      </c>
      <c r="L96" s="146">
        <f>187.75+517.05</f>
        <v>704.8</v>
      </c>
      <c r="M96" s="146">
        <f t="shared" si="6"/>
        <v>0</v>
      </c>
      <c r="N96" s="257">
        <v>0</v>
      </c>
      <c r="O96" s="142"/>
      <c r="P96" s="150">
        <v>0</v>
      </c>
      <c r="Q96" s="252">
        <f>O96-P96</f>
        <v>0</v>
      </c>
      <c r="R96" s="6"/>
    </row>
    <row r="97" spans="1:18" x14ac:dyDescent="0.25">
      <c r="A97" s="147">
        <v>44</v>
      </c>
      <c r="B97" s="255" t="s">
        <v>385</v>
      </c>
      <c r="C97" s="155" t="s">
        <v>62</v>
      </c>
      <c r="D97" s="139"/>
      <c r="E97" s="139" t="s">
        <v>145</v>
      </c>
      <c r="F97" s="255" t="s">
        <v>386</v>
      </c>
      <c r="G97" s="255" t="s">
        <v>326</v>
      </c>
      <c r="H97" s="258">
        <v>11</v>
      </c>
      <c r="I97" s="258">
        <v>5</v>
      </c>
      <c r="J97" s="258">
        <v>5</v>
      </c>
      <c r="K97" s="259">
        <f>1762+2422.75</f>
        <v>4184.75</v>
      </c>
      <c r="L97" s="146">
        <f>1057.2+704.8</f>
        <v>1762</v>
      </c>
      <c r="M97" s="146">
        <f t="shared" si="6"/>
        <v>2422.75</v>
      </c>
      <c r="N97" s="257">
        <v>18</v>
      </c>
      <c r="O97" s="142">
        <v>9602.9</v>
      </c>
      <c r="P97" s="143">
        <f>9074.3+528.6</f>
        <v>9602.9</v>
      </c>
      <c r="Q97" s="252">
        <f>O97-P97</f>
        <v>0</v>
      </c>
      <c r="R97" s="6"/>
    </row>
    <row r="98" spans="1:18" x14ac:dyDescent="0.25">
      <c r="A98" s="147">
        <v>45</v>
      </c>
      <c r="B98" s="255" t="s">
        <v>150</v>
      </c>
      <c r="C98" s="155" t="s">
        <v>62</v>
      </c>
      <c r="D98" s="139"/>
      <c r="E98" s="155" t="s">
        <v>74</v>
      </c>
      <c r="F98" s="255" t="s">
        <v>370</v>
      </c>
      <c r="G98" s="255" t="s">
        <v>326</v>
      </c>
      <c r="H98" s="258">
        <v>0</v>
      </c>
      <c r="I98" s="258">
        <v>0</v>
      </c>
      <c r="J98" s="258">
        <v>0</v>
      </c>
      <c r="K98" s="259"/>
      <c r="L98" s="146">
        <v>0</v>
      </c>
      <c r="M98" s="146">
        <v>0</v>
      </c>
      <c r="N98" s="257">
        <v>0</v>
      </c>
      <c r="O98" s="142"/>
      <c r="P98" s="143">
        <v>0</v>
      </c>
      <c r="Q98" s="252">
        <v>0</v>
      </c>
      <c r="R98" s="6"/>
    </row>
    <row r="99" spans="1:18" x14ac:dyDescent="0.25">
      <c r="A99" s="147">
        <v>46</v>
      </c>
      <c r="B99" s="255" t="s">
        <v>387</v>
      </c>
      <c r="C99" s="155" t="s">
        <v>62</v>
      </c>
      <c r="D99" s="139"/>
      <c r="E99" s="155" t="s">
        <v>157</v>
      </c>
      <c r="F99" s="255" t="s">
        <v>388</v>
      </c>
      <c r="G99" s="255" t="s">
        <v>326</v>
      </c>
      <c r="H99" s="258">
        <v>0</v>
      </c>
      <c r="I99" s="258">
        <v>0</v>
      </c>
      <c r="J99" s="258">
        <v>0</v>
      </c>
      <c r="K99" s="152"/>
      <c r="L99" s="146">
        <v>0</v>
      </c>
      <c r="M99" s="146">
        <f>K99-L99</f>
        <v>0</v>
      </c>
      <c r="N99" s="257">
        <v>0</v>
      </c>
      <c r="O99" s="142"/>
      <c r="P99" s="150">
        <v>0</v>
      </c>
      <c r="Q99" s="252">
        <f>O99-P99</f>
        <v>0</v>
      </c>
      <c r="R99" s="6"/>
    </row>
    <row r="100" spans="1:18" x14ac:dyDescent="0.25">
      <c r="A100" s="147">
        <v>47</v>
      </c>
      <c r="B100" s="255" t="s">
        <v>54</v>
      </c>
      <c r="C100" s="155" t="s">
        <v>62</v>
      </c>
      <c r="D100" s="139"/>
      <c r="E100" s="155" t="s">
        <v>338</v>
      </c>
      <c r="F100" s="255" t="s">
        <v>391</v>
      </c>
      <c r="G100" s="255" t="s">
        <v>326</v>
      </c>
      <c r="H100" s="258">
        <v>0</v>
      </c>
      <c r="I100" s="258">
        <v>0</v>
      </c>
      <c r="J100" s="139">
        <v>0</v>
      </c>
      <c r="K100" s="152"/>
      <c r="L100" s="146">
        <v>0</v>
      </c>
      <c r="M100" s="146">
        <f>K100-L100</f>
        <v>0</v>
      </c>
      <c r="N100" s="257">
        <v>0</v>
      </c>
      <c r="O100" s="142"/>
      <c r="P100" s="143">
        <v>0</v>
      </c>
      <c r="Q100" s="252">
        <f>O100-P100</f>
        <v>0</v>
      </c>
      <c r="R100" s="6"/>
    </row>
    <row r="101" spans="1:18" ht="39" x14ac:dyDescent="0.25">
      <c r="A101" s="148">
        <v>48</v>
      </c>
      <c r="B101" s="255" t="s">
        <v>131</v>
      </c>
      <c r="C101" s="155" t="s">
        <v>64</v>
      </c>
      <c r="D101" s="261" t="s">
        <v>392</v>
      </c>
      <c r="E101" s="155" t="s">
        <v>158</v>
      </c>
      <c r="F101" s="256" t="s">
        <v>393</v>
      </c>
      <c r="G101" s="255" t="s">
        <v>326</v>
      </c>
      <c r="H101" s="258">
        <v>0</v>
      </c>
      <c r="I101" s="258">
        <v>0</v>
      </c>
      <c r="J101" s="145">
        <v>0</v>
      </c>
      <c r="K101" s="139"/>
      <c r="L101" s="150">
        <v>0</v>
      </c>
      <c r="M101" s="150">
        <f>K101-L101</f>
        <v>0</v>
      </c>
      <c r="N101" s="256">
        <v>0</v>
      </c>
      <c r="O101" s="143"/>
      <c r="P101" s="150">
        <v>0</v>
      </c>
      <c r="Q101" s="252">
        <f>O101-P101</f>
        <v>0</v>
      </c>
      <c r="R101" s="6"/>
    </row>
    <row r="102" spans="1:18" x14ac:dyDescent="0.25">
      <c r="A102" s="235">
        <v>1</v>
      </c>
      <c r="B102" s="243" t="s">
        <v>47</v>
      </c>
      <c r="C102" s="235" t="s">
        <v>62</v>
      </c>
      <c r="D102" s="235"/>
      <c r="E102" s="243" t="s">
        <v>141</v>
      </c>
      <c r="F102" s="235" t="s">
        <v>448</v>
      </c>
      <c r="G102" s="243" t="s">
        <v>142</v>
      </c>
      <c r="H102" s="237">
        <v>6</v>
      </c>
      <c r="I102" s="237">
        <v>1</v>
      </c>
      <c r="J102" s="237">
        <v>1</v>
      </c>
      <c r="K102" s="240">
        <v>1233.4000000000001</v>
      </c>
      <c r="L102" s="240">
        <v>1233.4000000000001</v>
      </c>
      <c r="M102" s="240">
        <v>0</v>
      </c>
      <c r="N102" s="237">
        <v>17</v>
      </c>
      <c r="O102" s="240">
        <v>24659.43</v>
      </c>
      <c r="P102" s="240">
        <v>24659.43</v>
      </c>
      <c r="Q102" s="262">
        <v>0</v>
      </c>
      <c r="R102" s="6"/>
    </row>
    <row r="103" spans="1:18" x14ac:dyDescent="0.25">
      <c r="A103" s="235">
        <f>A102+1</f>
        <v>2</v>
      </c>
      <c r="B103" s="243" t="s">
        <v>55</v>
      </c>
      <c r="C103" s="235" t="s">
        <v>62</v>
      </c>
      <c r="D103" s="235"/>
      <c r="E103" s="243" t="s">
        <v>141</v>
      </c>
      <c r="F103" s="235" t="s">
        <v>449</v>
      </c>
      <c r="G103" s="243" t="s">
        <v>142</v>
      </c>
      <c r="H103" s="237">
        <v>8</v>
      </c>
      <c r="I103" s="237">
        <v>3</v>
      </c>
      <c r="J103" s="237">
        <v>3</v>
      </c>
      <c r="K103" s="240">
        <v>2995.4</v>
      </c>
      <c r="L103" s="240">
        <v>2995.4</v>
      </c>
      <c r="M103" s="240">
        <v>0</v>
      </c>
      <c r="N103" s="237">
        <v>11</v>
      </c>
      <c r="O103" s="240">
        <v>21232.1</v>
      </c>
      <c r="P103" s="240">
        <v>21232.1</v>
      </c>
      <c r="Q103" s="262">
        <v>0</v>
      </c>
      <c r="R103" s="6"/>
    </row>
    <row r="104" spans="1:18" x14ac:dyDescent="0.25">
      <c r="A104" s="235">
        <f>A103+1</f>
        <v>3</v>
      </c>
      <c r="B104" s="243" t="s">
        <v>122</v>
      </c>
      <c r="C104" s="235" t="s">
        <v>62</v>
      </c>
      <c r="D104" s="235"/>
      <c r="E104" s="243" t="s">
        <v>143</v>
      </c>
      <c r="F104" s="235" t="s">
        <v>450</v>
      </c>
      <c r="G104" s="243" t="s">
        <v>142</v>
      </c>
      <c r="H104" s="237">
        <v>5</v>
      </c>
      <c r="I104" s="237">
        <v>0</v>
      </c>
      <c r="J104" s="237">
        <v>0</v>
      </c>
      <c r="K104" s="240">
        <v>0</v>
      </c>
      <c r="L104" s="240">
        <v>0</v>
      </c>
      <c r="M104" s="240">
        <v>0</v>
      </c>
      <c r="N104" s="237">
        <v>4</v>
      </c>
      <c r="O104" s="240">
        <v>8841.5400000000009</v>
      </c>
      <c r="P104" s="240">
        <v>8841.5400000000009</v>
      </c>
      <c r="Q104" s="263">
        <v>0</v>
      </c>
      <c r="R104" s="6"/>
    </row>
    <row r="105" spans="1:18" x14ac:dyDescent="0.25">
      <c r="A105" s="235">
        <f>A104+1</f>
        <v>4</v>
      </c>
      <c r="B105" s="243" t="s">
        <v>144</v>
      </c>
      <c r="C105" s="235" t="s">
        <v>62</v>
      </c>
      <c r="D105" s="235"/>
      <c r="E105" s="243" t="s">
        <v>141</v>
      </c>
      <c r="F105" s="235" t="s">
        <v>451</v>
      </c>
      <c r="G105" s="243" t="s">
        <v>142</v>
      </c>
      <c r="H105" s="237">
        <v>7</v>
      </c>
      <c r="I105" s="237">
        <v>5</v>
      </c>
      <c r="J105" s="237">
        <v>5</v>
      </c>
      <c r="K105" s="240">
        <v>6096.52</v>
      </c>
      <c r="L105" s="240">
        <v>6096.52</v>
      </c>
      <c r="M105" s="240">
        <v>0</v>
      </c>
      <c r="N105" s="237">
        <v>2</v>
      </c>
      <c r="O105" s="240">
        <v>1938.2</v>
      </c>
      <c r="P105" s="240">
        <v>1938.2</v>
      </c>
      <c r="Q105" s="263">
        <v>0</v>
      </c>
      <c r="R105" s="6"/>
    </row>
    <row r="106" spans="1:18" ht="25.5" x14ac:dyDescent="0.25">
      <c r="A106" s="235">
        <f>A105+1</f>
        <v>5</v>
      </c>
      <c r="B106" s="243" t="s">
        <v>46</v>
      </c>
      <c r="C106" s="235" t="s">
        <v>62</v>
      </c>
      <c r="D106" s="235"/>
      <c r="E106" s="243" t="s">
        <v>452</v>
      </c>
      <c r="F106" s="235" t="s">
        <v>453</v>
      </c>
      <c r="G106" s="243" t="s">
        <v>142</v>
      </c>
      <c r="H106" s="237">
        <v>0</v>
      </c>
      <c r="I106" s="237">
        <v>0</v>
      </c>
      <c r="J106" s="237">
        <v>0</v>
      </c>
      <c r="K106" s="240">
        <v>0</v>
      </c>
      <c r="L106" s="240">
        <v>0</v>
      </c>
      <c r="M106" s="240">
        <v>0</v>
      </c>
      <c r="N106" s="237">
        <v>0</v>
      </c>
      <c r="O106" s="240">
        <v>0</v>
      </c>
      <c r="P106" s="240">
        <v>0</v>
      </c>
      <c r="Q106" s="263">
        <v>0</v>
      </c>
      <c r="R106" s="6"/>
    </row>
    <row r="107" spans="1:18" ht="30" x14ac:dyDescent="0.25">
      <c r="A107" s="265">
        <v>6</v>
      </c>
      <c r="B107" s="266" t="s">
        <v>133</v>
      </c>
      <c r="C107" s="265" t="s">
        <v>67</v>
      </c>
      <c r="D107" s="265" t="s">
        <v>397</v>
      </c>
      <c r="E107" s="266" t="s">
        <v>74</v>
      </c>
      <c r="F107" s="265" t="s">
        <v>593</v>
      </c>
      <c r="G107" s="72" t="s">
        <v>142</v>
      </c>
      <c r="H107" s="267">
        <v>0</v>
      </c>
      <c r="I107" s="268">
        <v>0</v>
      </c>
      <c r="J107" s="268">
        <v>0</v>
      </c>
      <c r="K107" s="269">
        <v>0</v>
      </c>
      <c r="L107" s="269">
        <v>0</v>
      </c>
      <c r="M107" s="269">
        <v>0</v>
      </c>
      <c r="N107" s="267">
        <v>0</v>
      </c>
      <c r="O107" s="270">
        <v>0</v>
      </c>
      <c r="P107" s="270">
        <v>0</v>
      </c>
      <c r="Q107" s="264">
        <v>0</v>
      </c>
      <c r="R107" s="6"/>
    </row>
    <row r="108" spans="1:18" ht="30" x14ac:dyDescent="0.25">
      <c r="A108" s="265">
        <v>7</v>
      </c>
      <c r="B108" s="266" t="s">
        <v>176</v>
      </c>
      <c r="C108" s="265" t="s">
        <v>62</v>
      </c>
      <c r="D108" s="265"/>
      <c r="E108" s="266" t="s">
        <v>141</v>
      </c>
      <c r="F108" s="265" t="s">
        <v>455</v>
      </c>
      <c r="G108" s="77" t="s">
        <v>142</v>
      </c>
      <c r="H108" s="267">
        <v>9</v>
      </c>
      <c r="I108" s="267">
        <v>7</v>
      </c>
      <c r="J108" s="267">
        <v>7</v>
      </c>
      <c r="K108" s="270">
        <v>8598.56</v>
      </c>
      <c r="L108" s="270">
        <v>8598.56</v>
      </c>
      <c r="M108" s="270">
        <v>0</v>
      </c>
      <c r="N108" s="267">
        <v>0</v>
      </c>
      <c r="O108" s="270">
        <v>0</v>
      </c>
      <c r="P108" s="270">
        <v>0</v>
      </c>
      <c r="Q108" s="264">
        <v>0</v>
      </c>
      <c r="R108" s="6"/>
    </row>
    <row r="109" spans="1:18" ht="30" x14ac:dyDescent="0.25">
      <c r="A109" s="265">
        <v>8</v>
      </c>
      <c r="B109" s="266" t="s">
        <v>235</v>
      </c>
      <c r="C109" s="265" t="s">
        <v>62</v>
      </c>
      <c r="D109" s="265"/>
      <c r="E109" s="266" t="s">
        <v>456</v>
      </c>
      <c r="F109" s="265" t="s">
        <v>457</v>
      </c>
      <c r="G109" s="77" t="s">
        <v>142</v>
      </c>
      <c r="H109" s="268">
        <v>3</v>
      </c>
      <c r="I109" s="268">
        <v>0</v>
      </c>
      <c r="J109" s="268">
        <v>0</v>
      </c>
      <c r="K109" s="269">
        <v>0</v>
      </c>
      <c r="L109" s="269">
        <v>0</v>
      </c>
      <c r="M109" s="269">
        <v>0</v>
      </c>
      <c r="N109" s="267">
        <v>0</v>
      </c>
      <c r="O109" s="270">
        <v>0</v>
      </c>
      <c r="P109" s="270">
        <v>0</v>
      </c>
      <c r="Q109" s="264">
        <v>0</v>
      </c>
      <c r="R109" s="6"/>
    </row>
    <row r="110" spans="1:18" ht="30" x14ac:dyDescent="0.25">
      <c r="A110" s="265">
        <v>9</v>
      </c>
      <c r="B110" s="266" t="s">
        <v>251</v>
      </c>
      <c r="C110" s="265" t="s">
        <v>62</v>
      </c>
      <c r="D110" s="265"/>
      <c r="E110" s="266" t="s">
        <v>141</v>
      </c>
      <c r="F110" s="265" t="s">
        <v>458</v>
      </c>
      <c r="G110" s="77" t="s">
        <v>142</v>
      </c>
      <c r="H110" s="267">
        <v>5</v>
      </c>
      <c r="I110" s="267">
        <v>2</v>
      </c>
      <c r="J110" s="267">
        <v>2</v>
      </c>
      <c r="K110" s="270">
        <v>1409.6</v>
      </c>
      <c r="L110" s="270">
        <v>1409.6</v>
      </c>
      <c r="M110" s="270">
        <v>0</v>
      </c>
      <c r="N110" s="267">
        <v>0</v>
      </c>
      <c r="O110" s="270">
        <v>0</v>
      </c>
      <c r="P110" s="270">
        <v>0</v>
      </c>
      <c r="Q110" s="264">
        <v>0</v>
      </c>
      <c r="R110" s="6"/>
    </row>
    <row r="111" spans="1:18" ht="30" x14ac:dyDescent="0.25">
      <c r="A111" s="265">
        <v>10</v>
      </c>
      <c r="B111" s="266" t="s">
        <v>30</v>
      </c>
      <c r="C111" s="265" t="s">
        <v>62</v>
      </c>
      <c r="D111" s="265"/>
      <c r="E111" s="266" t="s">
        <v>459</v>
      </c>
      <c r="F111" s="265" t="s">
        <v>460</v>
      </c>
      <c r="G111" s="77" t="s">
        <v>142</v>
      </c>
      <c r="H111" s="267">
        <v>1</v>
      </c>
      <c r="I111" s="267">
        <v>0</v>
      </c>
      <c r="J111" s="267">
        <v>0</v>
      </c>
      <c r="K111" s="270">
        <v>0</v>
      </c>
      <c r="L111" s="270">
        <v>0</v>
      </c>
      <c r="M111" s="270">
        <v>0</v>
      </c>
      <c r="N111" s="267">
        <v>0</v>
      </c>
      <c r="O111" s="270">
        <v>0</v>
      </c>
      <c r="P111" s="270">
        <v>0</v>
      </c>
      <c r="Q111" s="264">
        <v>0</v>
      </c>
      <c r="R111" s="6"/>
    </row>
    <row r="112" spans="1:18" ht="30" x14ac:dyDescent="0.25">
      <c r="A112" s="265">
        <v>11</v>
      </c>
      <c r="B112" s="266" t="s">
        <v>35</v>
      </c>
      <c r="C112" s="265" t="s">
        <v>62</v>
      </c>
      <c r="D112" s="265"/>
      <c r="E112" s="266" t="s">
        <v>461</v>
      </c>
      <c r="F112" s="265" t="s">
        <v>462</v>
      </c>
      <c r="G112" s="77" t="s">
        <v>142</v>
      </c>
      <c r="H112" s="267">
        <v>1</v>
      </c>
      <c r="I112" s="267">
        <v>0</v>
      </c>
      <c r="J112" s="267">
        <v>0</v>
      </c>
      <c r="K112" s="270">
        <v>0</v>
      </c>
      <c r="L112" s="270">
        <v>0</v>
      </c>
      <c r="M112" s="270">
        <v>0</v>
      </c>
      <c r="N112" s="267">
        <v>0</v>
      </c>
      <c r="O112" s="270">
        <v>0</v>
      </c>
      <c r="P112" s="270">
        <v>0</v>
      </c>
      <c r="Q112" s="264">
        <v>0</v>
      </c>
      <c r="R112" s="6"/>
    </row>
    <row r="113" spans="1:18" ht="25.5" x14ac:dyDescent="0.25">
      <c r="A113" s="63">
        <v>1</v>
      </c>
      <c r="B113" s="100" t="s">
        <v>21</v>
      </c>
      <c r="C113" s="100" t="s">
        <v>62</v>
      </c>
      <c r="D113" s="100"/>
      <c r="E113" s="100" t="s">
        <v>157</v>
      </c>
      <c r="F113" s="100" t="s">
        <v>523</v>
      </c>
      <c r="G113" s="210" t="s">
        <v>524</v>
      </c>
      <c r="H113" s="234">
        <v>1</v>
      </c>
      <c r="I113" s="234">
        <v>0</v>
      </c>
      <c r="J113" s="234">
        <v>0</v>
      </c>
      <c r="K113" s="215">
        <v>0</v>
      </c>
      <c r="L113" s="215">
        <v>0</v>
      </c>
      <c r="M113" s="215">
        <v>0</v>
      </c>
      <c r="N113" s="234">
        <v>1</v>
      </c>
      <c r="O113" s="215">
        <v>1233.4000000000001</v>
      </c>
      <c r="P113" s="215">
        <v>1233.4000000000001</v>
      </c>
      <c r="Q113" s="215">
        <v>933.54</v>
      </c>
      <c r="R113" s="6"/>
    </row>
    <row r="114" spans="1:18" ht="25.5" x14ac:dyDescent="0.25">
      <c r="A114" s="63">
        <v>2</v>
      </c>
      <c r="B114" s="100" t="s">
        <v>147</v>
      </c>
      <c r="C114" s="100" t="s">
        <v>62</v>
      </c>
      <c r="D114" s="100"/>
      <c r="E114" s="100" t="s">
        <v>158</v>
      </c>
      <c r="F114" s="100" t="s">
        <v>525</v>
      </c>
      <c r="G114" s="210" t="s">
        <v>524</v>
      </c>
      <c r="H114" s="234">
        <v>1</v>
      </c>
      <c r="I114" s="234">
        <v>1</v>
      </c>
      <c r="J114" s="234">
        <v>1</v>
      </c>
      <c r="K114" s="215">
        <v>1762</v>
      </c>
      <c r="L114" s="215">
        <v>1762</v>
      </c>
      <c r="M114" s="215">
        <v>0</v>
      </c>
      <c r="N114" s="234">
        <v>2</v>
      </c>
      <c r="O114" s="215">
        <v>10751.3</v>
      </c>
      <c r="P114" s="215">
        <v>10751.3</v>
      </c>
      <c r="Q114" s="215">
        <v>7312.36</v>
      </c>
      <c r="R114" s="6"/>
    </row>
    <row r="115" spans="1:18" ht="25.5" x14ac:dyDescent="0.25">
      <c r="A115" s="63">
        <v>3</v>
      </c>
      <c r="B115" s="232" t="s">
        <v>526</v>
      </c>
      <c r="C115" s="100" t="s">
        <v>62</v>
      </c>
      <c r="D115" s="100"/>
      <c r="E115" s="100" t="s">
        <v>527</v>
      </c>
      <c r="F115" s="100" t="s">
        <v>528</v>
      </c>
      <c r="G115" s="210" t="s">
        <v>524</v>
      </c>
      <c r="H115" s="234">
        <v>0</v>
      </c>
      <c r="I115" s="234">
        <v>0</v>
      </c>
      <c r="J115" s="234">
        <v>0</v>
      </c>
      <c r="K115" s="215">
        <v>0</v>
      </c>
      <c r="L115" s="215">
        <v>0</v>
      </c>
      <c r="M115" s="215">
        <v>0</v>
      </c>
      <c r="N115" s="234">
        <v>0</v>
      </c>
      <c r="O115" s="218">
        <v>0</v>
      </c>
      <c r="P115" s="215">
        <v>0</v>
      </c>
      <c r="Q115" s="215">
        <v>0</v>
      </c>
      <c r="R115" s="6"/>
    </row>
    <row r="116" spans="1:18" ht="25.5" x14ac:dyDescent="0.25">
      <c r="A116" s="63">
        <v>4</v>
      </c>
      <c r="B116" s="100" t="s">
        <v>305</v>
      </c>
      <c r="C116" s="100" t="s">
        <v>62</v>
      </c>
      <c r="D116" s="100"/>
      <c r="E116" s="100" t="s">
        <v>157</v>
      </c>
      <c r="F116" s="100" t="s">
        <v>531</v>
      </c>
      <c r="G116" s="210" t="s">
        <v>524</v>
      </c>
      <c r="H116" s="234">
        <v>4</v>
      </c>
      <c r="I116" s="234">
        <v>2</v>
      </c>
      <c r="J116" s="234">
        <v>2</v>
      </c>
      <c r="K116" s="215">
        <v>2819.2</v>
      </c>
      <c r="L116" s="215">
        <v>2819.2</v>
      </c>
      <c r="M116" s="215">
        <v>0</v>
      </c>
      <c r="N116" s="234">
        <v>0</v>
      </c>
      <c r="O116" s="215">
        <v>0</v>
      </c>
      <c r="P116" s="215">
        <v>0</v>
      </c>
      <c r="Q116" s="215">
        <v>0</v>
      </c>
      <c r="R116" s="6"/>
    </row>
    <row r="117" spans="1:18" ht="25.5" x14ac:dyDescent="0.25">
      <c r="A117" s="63">
        <v>5</v>
      </c>
      <c r="B117" s="100" t="s">
        <v>407</v>
      </c>
      <c r="C117" s="100" t="s">
        <v>62</v>
      </c>
      <c r="D117" s="100"/>
      <c r="E117" s="100" t="s">
        <v>157</v>
      </c>
      <c r="F117" s="100" t="s">
        <v>532</v>
      </c>
      <c r="G117" s="210" t="s">
        <v>524</v>
      </c>
      <c r="H117" s="234">
        <v>4</v>
      </c>
      <c r="I117" s="234">
        <v>0</v>
      </c>
      <c r="J117" s="234">
        <v>0</v>
      </c>
      <c r="K117" s="215">
        <v>0</v>
      </c>
      <c r="L117" s="215">
        <v>0</v>
      </c>
      <c r="M117" s="215">
        <v>0</v>
      </c>
      <c r="N117" s="234">
        <v>0</v>
      </c>
      <c r="O117" s="215">
        <v>0</v>
      </c>
      <c r="P117" s="215">
        <v>0</v>
      </c>
      <c r="Q117" s="215">
        <v>0</v>
      </c>
      <c r="R117" s="6"/>
    </row>
    <row r="118" spans="1:18" ht="25.5" x14ac:dyDescent="0.25">
      <c r="A118" s="63">
        <v>6</v>
      </c>
      <c r="B118" s="100" t="s">
        <v>185</v>
      </c>
      <c r="C118" s="100" t="s">
        <v>62</v>
      </c>
      <c r="D118" s="100"/>
      <c r="E118" s="100" t="s">
        <v>157</v>
      </c>
      <c r="F118" s="100" t="s">
        <v>533</v>
      </c>
      <c r="G118" s="210" t="s">
        <v>524</v>
      </c>
      <c r="H118" s="234">
        <v>4</v>
      </c>
      <c r="I118" s="234">
        <v>0</v>
      </c>
      <c r="J118" s="234">
        <v>0</v>
      </c>
      <c r="K118" s="215">
        <v>0</v>
      </c>
      <c r="L118" s="215">
        <v>0</v>
      </c>
      <c r="M118" s="215">
        <v>0</v>
      </c>
      <c r="N118" s="234">
        <v>0</v>
      </c>
      <c r="O118" s="215">
        <v>0</v>
      </c>
      <c r="P118" s="215">
        <v>0</v>
      </c>
      <c r="Q118" s="215">
        <v>0</v>
      </c>
      <c r="R118" s="6"/>
    </row>
    <row r="119" spans="1:18" ht="25.5" x14ac:dyDescent="0.25">
      <c r="A119" s="63">
        <v>7</v>
      </c>
      <c r="B119" s="100" t="s">
        <v>534</v>
      </c>
      <c r="C119" s="100" t="s">
        <v>62</v>
      </c>
      <c r="D119" s="100"/>
      <c r="E119" s="100" t="s">
        <v>157</v>
      </c>
      <c r="F119" s="100" t="s">
        <v>535</v>
      </c>
      <c r="G119" s="210" t="s">
        <v>524</v>
      </c>
      <c r="H119" s="234">
        <v>1</v>
      </c>
      <c r="I119" s="234">
        <v>0</v>
      </c>
      <c r="J119" s="234">
        <v>0</v>
      </c>
      <c r="K119" s="215">
        <v>0</v>
      </c>
      <c r="L119" s="215">
        <v>0</v>
      </c>
      <c r="M119" s="215">
        <v>0</v>
      </c>
      <c r="N119" s="234">
        <v>0</v>
      </c>
      <c r="O119" s="215">
        <v>0</v>
      </c>
      <c r="P119" s="215">
        <v>0</v>
      </c>
      <c r="Q119" s="215">
        <v>0</v>
      </c>
      <c r="R119" s="6"/>
    </row>
    <row r="120" spans="1:18" ht="25.5" x14ac:dyDescent="0.25">
      <c r="A120" s="63">
        <v>8</v>
      </c>
      <c r="B120" s="100" t="s">
        <v>104</v>
      </c>
      <c r="C120" s="100" t="s">
        <v>62</v>
      </c>
      <c r="D120" s="100"/>
      <c r="E120" s="100" t="s">
        <v>158</v>
      </c>
      <c r="F120" s="233" t="s">
        <v>536</v>
      </c>
      <c r="G120" s="210" t="s">
        <v>524</v>
      </c>
      <c r="H120" s="234">
        <v>0</v>
      </c>
      <c r="I120" s="234">
        <v>0</v>
      </c>
      <c r="J120" s="234">
        <v>0</v>
      </c>
      <c r="K120" s="215">
        <v>0</v>
      </c>
      <c r="L120" s="215">
        <v>0</v>
      </c>
      <c r="M120" s="215">
        <v>0</v>
      </c>
      <c r="N120" s="234">
        <v>0</v>
      </c>
      <c r="O120" s="215">
        <v>0</v>
      </c>
      <c r="P120" s="215">
        <v>0</v>
      </c>
      <c r="Q120" s="215">
        <v>0</v>
      </c>
      <c r="R120" s="6"/>
    </row>
    <row r="121" spans="1:18" ht="25.5" x14ac:dyDescent="0.25">
      <c r="A121" s="63">
        <v>9</v>
      </c>
      <c r="B121" s="100" t="s">
        <v>30</v>
      </c>
      <c r="C121" s="100" t="s">
        <v>62</v>
      </c>
      <c r="D121" s="100"/>
      <c r="E121" s="100" t="s">
        <v>537</v>
      </c>
      <c r="F121" s="100" t="s">
        <v>592</v>
      </c>
      <c r="G121" s="210" t="s">
        <v>524</v>
      </c>
      <c r="H121" s="234">
        <v>0</v>
      </c>
      <c r="I121" s="234">
        <v>0</v>
      </c>
      <c r="J121" s="234">
        <v>0</v>
      </c>
      <c r="K121" s="215">
        <v>0</v>
      </c>
      <c r="L121" s="215">
        <v>0</v>
      </c>
      <c r="M121" s="215">
        <v>0</v>
      </c>
      <c r="N121" s="234">
        <v>0</v>
      </c>
      <c r="O121" s="215">
        <v>0</v>
      </c>
      <c r="P121" s="215">
        <v>0</v>
      </c>
      <c r="Q121" s="215">
        <v>0</v>
      </c>
      <c r="R121" s="6"/>
    </row>
    <row r="122" spans="1:18" x14ac:dyDescent="0.25">
      <c r="A122" s="80">
        <v>1</v>
      </c>
      <c r="B122" s="81" t="s">
        <v>19</v>
      </c>
      <c r="C122" s="81" t="s">
        <v>62</v>
      </c>
      <c r="D122" s="82"/>
      <c r="E122" s="81" t="s">
        <v>71</v>
      </c>
      <c r="F122" s="81" t="s">
        <v>394</v>
      </c>
      <c r="G122" s="271" t="s">
        <v>395</v>
      </c>
      <c r="H122" s="82">
        <v>1</v>
      </c>
      <c r="I122" s="246">
        <v>0</v>
      </c>
      <c r="J122" s="247">
        <v>0</v>
      </c>
      <c r="K122" s="87">
        <v>0</v>
      </c>
      <c r="L122" s="87">
        <v>0</v>
      </c>
      <c r="M122" s="87">
        <v>0</v>
      </c>
      <c r="N122" s="198">
        <v>0</v>
      </c>
      <c r="O122" s="199">
        <v>0</v>
      </c>
      <c r="P122" s="199">
        <v>0</v>
      </c>
      <c r="Q122" s="248">
        <f t="shared" ref="Q122:Q129" si="7">O122-P122</f>
        <v>0</v>
      </c>
      <c r="R122" s="6"/>
    </row>
    <row r="123" spans="1:18" ht="51" x14ac:dyDescent="0.25">
      <c r="A123" s="69">
        <f>A122+1</f>
        <v>2</v>
      </c>
      <c r="B123" s="81" t="s">
        <v>90</v>
      </c>
      <c r="C123" s="81" t="s">
        <v>62</v>
      </c>
      <c r="D123" s="81" t="s">
        <v>63</v>
      </c>
      <c r="E123" s="81" t="s">
        <v>205</v>
      </c>
      <c r="F123" s="81" t="s">
        <v>396</v>
      </c>
      <c r="G123" s="272" t="s">
        <v>395</v>
      </c>
      <c r="H123" s="91">
        <v>20</v>
      </c>
      <c r="I123" s="91">
        <v>9</v>
      </c>
      <c r="J123" s="91">
        <v>9</v>
      </c>
      <c r="K123" s="87">
        <v>7400.4</v>
      </c>
      <c r="L123" s="87">
        <v>5814.6</v>
      </c>
      <c r="M123" s="87">
        <f t="shared" ref="M123:M129" si="8">K123-L123</f>
        <v>1585.7999999999993</v>
      </c>
      <c r="N123" s="91">
        <v>20</v>
      </c>
      <c r="O123" s="87">
        <v>23170.3</v>
      </c>
      <c r="P123" s="87">
        <v>23170.3</v>
      </c>
      <c r="Q123" s="248">
        <f t="shared" si="7"/>
        <v>0</v>
      </c>
      <c r="R123" s="6"/>
    </row>
    <row r="124" spans="1:18" x14ac:dyDescent="0.25">
      <c r="A124" s="69">
        <f>A123+1</f>
        <v>3</v>
      </c>
      <c r="B124" s="82" t="s">
        <v>133</v>
      </c>
      <c r="C124" s="82" t="s">
        <v>67</v>
      </c>
      <c r="D124" s="82" t="s">
        <v>397</v>
      </c>
      <c r="E124" s="82" t="s">
        <v>74</v>
      </c>
      <c r="F124" s="81" t="s">
        <v>398</v>
      </c>
      <c r="G124" s="272" t="s">
        <v>395</v>
      </c>
      <c r="H124" s="91">
        <v>7</v>
      </c>
      <c r="I124" s="91">
        <v>1</v>
      </c>
      <c r="J124" s="91">
        <v>1</v>
      </c>
      <c r="K124" s="87">
        <v>1057.2</v>
      </c>
      <c r="L124" s="87">
        <v>0</v>
      </c>
      <c r="M124" s="87">
        <f t="shared" si="8"/>
        <v>1057.2</v>
      </c>
      <c r="N124" s="91">
        <v>8</v>
      </c>
      <c r="O124" s="87">
        <v>11920.73</v>
      </c>
      <c r="P124" s="87">
        <v>7630.79</v>
      </c>
      <c r="Q124" s="248">
        <f t="shared" si="7"/>
        <v>4289.9399999999996</v>
      </c>
      <c r="R124" s="6"/>
    </row>
    <row r="125" spans="1:18" ht="25.5" x14ac:dyDescent="0.25">
      <c r="A125" s="69">
        <v>4</v>
      </c>
      <c r="B125" s="81" t="s">
        <v>399</v>
      </c>
      <c r="C125" s="81" t="s">
        <v>62</v>
      </c>
      <c r="D125" s="81"/>
      <c r="E125" s="81" t="s">
        <v>400</v>
      </c>
      <c r="F125" s="81" t="s">
        <v>401</v>
      </c>
      <c r="G125" s="272" t="s">
        <v>395</v>
      </c>
      <c r="H125" s="91">
        <v>21</v>
      </c>
      <c r="I125" s="91">
        <v>4</v>
      </c>
      <c r="J125" s="91">
        <v>4</v>
      </c>
      <c r="K125" s="87">
        <v>1762</v>
      </c>
      <c r="L125" s="87">
        <v>1762</v>
      </c>
      <c r="M125" s="87">
        <f t="shared" si="8"/>
        <v>0</v>
      </c>
      <c r="N125" s="91">
        <v>0</v>
      </c>
      <c r="O125" s="87">
        <v>0</v>
      </c>
      <c r="P125" s="87">
        <v>0</v>
      </c>
      <c r="Q125" s="248">
        <f t="shared" si="7"/>
        <v>0</v>
      </c>
      <c r="R125" s="6"/>
    </row>
    <row r="126" spans="1:18" x14ac:dyDescent="0.25">
      <c r="A126" s="69">
        <v>5</v>
      </c>
      <c r="B126" s="81" t="s">
        <v>402</v>
      </c>
      <c r="C126" s="81" t="s">
        <v>62</v>
      </c>
      <c r="D126" s="81"/>
      <c r="E126" s="82" t="s">
        <v>74</v>
      </c>
      <c r="F126" s="81" t="s">
        <v>403</v>
      </c>
      <c r="G126" s="272" t="s">
        <v>395</v>
      </c>
      <c r="H126" s="91">
        <v>2</v>
      </c>
      <c r="I126" s="91">
        <v>2</v>
      </c>
      <c r="J126" s="91">
        <v>2</v>
      </c>
      <c r="K126" s="87">
        <v>0</v>
      </c>
      <c r="L126" s="87">
        <v>0</v>
      </c>
      <c r="M126" s="87">
        <f t="shared" si="8"/>
        <v>0</v>
      </c>
      <c r="N126" s="91">
        <v>0</v>
      </c>
      <c r="O126" s="87">
        <v>0</v>
      </c>
      <c r="P126" s="87">
        <v>0</v>
      </c>
      <c r="Q126" s="248">
        <f t="shared" si="7"/>
        <v>0</v>
      </c>
      <c r="R126" s="6"/>
    </row>
    <row r="127" spans="1:18" ht="25.5" x14ac:dyDescent="0.25">
      <c r="A127" s="69">
        <v>6</v>
      </c>
      <c r="B127" s="81" t="s">
        <v>48</v>
      </c>
      <c r="C127" s="81" t="s">
        <v>62</v>
      </c>
      <c r="D127" s="81"/>
      <c r="E127" s="81" t="s">
        <v>81</v>
      </c>
      <c r="F127" s="81" t="s">
        <v>404</v>
      </c>
      <c r="G127" s="272" t="s">
        <v>395</v>
      </c>
      <c r="H127" s="91">
        <v>16</v>
      </c>
      <c r="I127" s="91">
        <v>3</v>
      </c>
      <c r="J127" s="91">
        <v>3</v>
      </c>
      <c r="K127" s="87">
        <v>528.6</v>
      </c>
      <c r="L127" s="87">
        <v>528.6</v>
      </c>
      <c r="M127" s="87">
        <f t="shared" si="8"/>
        <v>0</v>
      </c>
      <c r="N127" s="91">
        <v>13</v>
      </c>
      <c r="O127" s="87">
        <v>13919.8</v>
      </c>
      <c r="P127" s="87">
        <v>9609.61</v>
      </c>
      <c r="Q127" s="248">
        <f t="shared" si="7"/>
        <v>4310.1899999999987</v>
      </c>
      <c r="R127" s="6"/>
    </row>
    <row r="128" spans="1:18" x14ac:dyDescent="0.25">
      <c r="A128" s="69">
        <v>7</v>
      </c>
      <c r="B128" s="81" t="s">
        <v>39</v>
      </c>
      <c r="C128" s="81" t="s">
        <v>62</v>
      </c>
      <c r="D128" s="81"/>
      <c r="E128" s="81" t="s">
        <v>77</v>
      </c>
      <c r="F128" s="81" t="s">
        <v>405</v>
      </c>
      <c r="G128" s="272" t="s">
        <v>395</v>
      </c>
      <c r="H128" s="91">
        <v>23</v>
      </c>
      <c r="I128" s="91">
        <v>0</v>
      </c>
      <c r="J128" s="91">
        <v>0</v>
      </c>
      <c r="K128" s="87">
        <v>0</v>
      </c>
      <c r="L128" s="87">
        <v>0</v>
      </c>
      <c r="M128" s="87">
        <f t="shared" si="8"/>
        <v>0</v>
      </c>
      <c r="N128" s="91">
        <v>12</v>
      </c>
      <c r="O128" s="87">
        <v>15858</v>
      </c>
      <c r="P128" s="87">
        <v>13919.8</v>
      </c>
      <c r="Q128" s="248">
        <f t="shared" si="7"/>
        <v>1938.2000000000007</v>
      </c>
      <c r="R128" s="6"/>
    </row>
    <row r="129" spans="1:18" x14ac:dyDescent="0.25">
      <c r="A129" s="69">
        <v>8</v>
      </c>
      <c r="B129" s="1" t="s">
        <v>127</v>
      </c>
      <c r="C129" s="81" t="s">
        <v>62</v>
      </c>
      <c r="D129" s="1"/>
      <c r="E129" s="82" t="s">
        <v>74</v>
      </c>
      <c r="F129" s="1" t="s">
        <v>406</v>
      </c>
      <c r="G129" s="272" t="s">
        <v>395</v>
      </c>
      <c r="H129" s="91">
        <v>0</v>
      </c>
      <c r="I129" s="91">
        <v>0</v>
      </c>
      <c r="J129" s="91">
        <v>0</v>
      </c>
      <c r="K129" s="87">
        <v>0</v>
      </c>
      <c r="L129" s="87">
        <v>0</v>
      </c>
      <c r="M129" s="87">
        <f t="shared" si="8"/>
        <v>0</v>
      </c>
      <c r="N129" s="91">
        <v>1</v>
      </c>
      <c r="O129" s="87">
        <v>264.3</v>
      </c>
      <c r="P129" s="87">
        <v>264.3</v>
      </c>
      <c r="Q129" s="248">
        <f t="shared" si="7"/>
        <v>0</v>
      </c>
      <c r="R129" s="6"/>
    </row>
    <row r="130" spans="1:18" ht="25.5" x14ac:dyDescent="0.25">
      <c r="A130" s="69">
        <v>9</v>
      </c>
      <c r="B130" s="81" t="s">
        <v>561</v>
      </c>
      <c r="C130" s="81" t="s">
        <v>62</v>
      </c>
      <c r="D130" s="81"/>
      <c r="E130" s="81" t="s">
        <v>81</v>
      </c>
      <c r="F130" s="81" t="s">
        <v>562</v>
      </c>
      <c r="G130" s="272" t="s">
        <v>395</v>
      </c>
      <c r="H130" s="91">
        <v>30</v>
      </c>
      <c r="I130" s="91">
        <v>0</v>
      </c>
      <c r="J130" s="91">
        <v>0</v>
      </c>
      <c r="K130" s="87">
        <v>0</v>
      </c>
      <c r="L130" s="87">
        <v>0</v>
      </c>
      <c r="M130" s="87">
        <v>0</v>
      </c>
      <c r="N130" s="91">
        <v>0</v>
      </c>
      <c r="O130" s="87">
        <v>0</v>
      </c>
      <c r="P130" s="87">
        <v>0</v>
      </c>
      <c r="Q130" s="87">
        <v>0</v>
      </c>
      <c r="R130" s="6"/>
    </row>
    <row r="131" spans="1:18" ht="25.5" x14ac:dyDescent="0.25">
      <c r="A131" s="69">
        <v>10</v>
      </c>
      <c r="B131" s="81" t="s">
        <v>563</v>
      </c>
      <c r="C131" s="81" t="s">
        <v>62</v>
      </c>
      <c r="D131" s="81"/>
      <c r="E131" s="81" t="s">
        <v>81</v>
      </c>
      <c r="F131" s="81" t="s">
        <v>564</v>
      </c>
      <c r="G131" s="272" t="s">
        <v>395</v>
      </c>
      <c r="H131" s="91">
        <v>20</v>
      </c>
      <c r="I131" s="91">
        <v>0</v>
      </c>
      <c r="J131" s="91">
        <v>0</v>
      </c>
      <c r="K131" s="87">
        <v>0</v>
      </c>
      <c r="L131" s="87">
        <v>0</v>
      </c>
      <c r="M131" s="87">
        <v>0</v>
      </c>
      <c r="N131" s="91">
        <v>1</v>
      </c>
      <c r="O131" s="87">
        <v>0</v>
      </c>
      <c r="P131" s="87">
        <v>0</v>
      </c>
      <c r="Q131" s="87">
        <v>0</v>
      </c>
      <c r="R131" s="6"/>
    </row>
    <row r="132" spans="1:18" ht="25.5" x14ac:dyDescent="0.25">
      <c r="A132" s="56">
        <v>1</v>
      </c>
      <c r="B132" s="3" t="s">
        <v>159</v>
      </c>
      <c r="C132" s="3" t="s">
        <v>62</v>
      </c>
      <c r="D132" s="3" t="s">
        <v>63</v>
      </c>
      <c r="E132" s="3" t="s">
        <v>121</v>
      </c>
      <c r="F132" s="3" t="s">
        <v>160</v>
      </c>
      <c r="G132" s="4" t="s">
        <v>85</v>
      </c>
      <c r="H132" s="4">
        <v>3</v>
      </c>
      <c r="I132" s="4">
        <v>3</v>
      </c>
      <c r="J132" s="4">
        <v>3</v>
      </c>
      <c r="K132" s="5">
        <v>1493.3</v>
      </c>
      <c r="L132" s="5">
        <v>1493.3</v>
      </c>
      <c r="M132" s="5">
        <v>0</v>
      </c>
      <c r="N132" s="4">
        <v>7</v>
      </c>
      <c r="O132" s="5">
        <f>28053.94-1632.32</f>
        <v>26421.62</v>
      </c>
      <c r="P132" s="5">
        <f>28053.94-1632.32</f>
        <v>26421.62</v>
      </c>
      <c r="Q132" s="5">
        <v>0</v>
      </c>
      <c r="R132" s="6"/>
    </row>
    <row r="133" spans="1:18" x14ac:dyDescent="0.25">
      <c r="A133" s="36">
        <f>A132+1</f>
        <v>2</v>
      </c>
      <c r="B133" s="3" t="s">
        <v>581</v>
      </c>
      <c r="C133" s="3" t="s">
        <v>62</v>
      </c>
      <c r="D133" s="3" t="s">
        <v>63</v>
      </c>
      <c r="E133" s="3" t="s">
        <v>74</v>
      </c>
      <c r="F133" s="3" t="s">
        <v>582</v>
      </c>
      <c r="G133" s="4" t="s">
        <v>85</v>
      </c>
      <c r="H133" s="4">
        <v>0</v>
      </c>
      <c r="I133" s="4">
        <v>0</v>
      </c>
      <c r="J133" s="4">
        <v>0</v>
      </c>
      <c r="K133" s="5">
        <v>0</v>
      </c>
      <c r="L133" s="5">
        <v>0</v>
      </c>
      <c r="M133" s="5">
        <v>0</v>
      </c>
      <c r="N133" s="4">
        <v>1</v>
      </c>
      <c r="O133" s="5">
        <v>0</v>
      </c>
      <c r="P133" s="5">
        <v>0</v>
      </c>
      <c r="Q133" s="5">
        <v>0</v>
      </c>
      <c r="R133" s="6"/>
    </row>
    <row r="134" spans="1:18" ht="25.5" x14ac:dyDescent="0.25">
      <c r="A134" s="36">
        <f t="shared" ref="A134:A197" si="9">A133+1</f>
        <v>3</v>
      </c>
      <c r="B134" s="3" t="s">
        <v>18</v>
      </c>
      <c r="C134" s="3" t="s">
        <v>62</v>
      </c>
      <c r="D134" s="3" t="s">
        <v>63</v>
      </c>
      <c r="E134" s="3" t="s">
        <v>70</v>
      </c>
      <c r="F134" s="3" t="s">
        <v>99</v>
      </c>
      <c r="G134" s="4" t="s">
        <v>85</v>
      </c>
      <c r="H134" s="4">
        <v>2</v>
      </c>
      <c r="I134" s="4">
        <v>0</v>
      </c>
      <c r="J134" s="4">
        <v>0</v>
      </c>
      <c r="K134" s="5">
        <v>0</v>
      </c>
      <c r="L134" s="5">
        <v>0</v>
      </c>
      <c r="M134" s="5">
        <v>0</v>
      </c>
      <c r="N134" s="4">
        <v>1</v>
      </c>
      <c r="O134" s="5">
        <v>0</v>
      </c>
      <c r="P134" s="5">
        <v>0</v>
      </c>
      <c r="Q134" s="5">
        <v>0</v>
      </c>
      <c r="R134" s="6"/>
    </row>
    <row r="135" spans="1:18" x14ac:dyDescent="0.25">
      <c r="A135" s="36">
        <f t="shared" si="9"/>
        <v>4</v>
      </c>
      <c r="B135" s="3" t="s">
        <v>19</v>
      </c>
      <c r="C135" s="3" t="s">
        <v>62</v>
      </c>
      <c r="D135" s="3" t="s">
        <v>63</v>
      </c>
      <c r="E135" s="3" t="s">
        <v>71</v>
      </c>
      <c r="F135" s="3" t="s">
        <v>162</v>
      </c>
      <c r="G135" s="4" t="s">
        <v>85</v>
      </c>
      <c r="H135" s="4">
        <v>67</v>
      </c>
      <c r="I135" s="4">
        <v>55</v>
      </c>
      <c r="J135" s="4">
        <v>72</v>
      </c>
      <c r="K135" s="5">
        <v>48258.25</v>
      </c>
      <c r="L135" s="5">
        <v>48258.25</v>
      </c>
      <c r="M135" s="5">
        <v>0</v>
      </c>
      <c r="N135" s="4">
        <v>22</v>
      </c>
      <c r="O135" s="5">
        <v>60549.22</v>
      </c>
      <c r="P135" s="5">
        <v>60549.22</v>
      </c>
      <c r="Q135" s="5">
        <v>0</v>
      </c>
      <c r="R135" s="6"/>
    </row>
    <row r="136" spans="1:18" x14ac:dyDescent="0.25">
      <c r="A136" s="36">
        <f t="shared" si="9"/>
        <v>5</v>
      </c>
      <c r="B136" s="3" t="s">
        <v>86</v>
      </c>
      <c r="C136" s="3" t="s">
        <v>62</v>
      </c>
      <c r="D136" s="3" t="s">
        <v>63</v>
      </c>
      <c r="E136" s="3" t="s">
        <v>74</v>
      </c>
      <c r="F136" s="3" t="s">
        <v>165</v>
      </c>
      <c r="G136" s="4" t="s">
        <v>85</v>
      </c>
      <c r="H136" s="4">
        <v>39</v>
      </c>
      <c r="I136" s="4">
        <v>25</v>
      </c>
      <c r="J136" s="4">
        <v>27</v>
      </c>
      <c r="K136" s="5">
        <v>20362.900000000001</v>
      </c>
      <c r="L136" s="5">
        <v>20362.900000000001</v>
      </c>
      <c r="M136" s="5">
        <v>0</v>
      </c>
      <c r="N136" s="4">
        <v>17</v>
      </c>
      <c r="O136" s="5">
        <v>41124.29</v>
      </c>
      <c r="P136" s="5">
        <v>41124.29</v>
      </c>
      <c r="Q136" s="5">
        <v>0</v>
      </c>
      <c r="R136" s="6"/>
    </row>
    <row r="137" spans="1:18" x14ac:dyDescent="0.25">
      <c r="A137" s="36">
        <f t="shared" si="9"/>
        <v>6</v>
      </c>
      <c r="B137" s="3" t="s">
        <v>166</v>
      </c>
      <c r="C137" s="3" t="s">
        <v>62</v>
      </c>
      <c r="D137" s="3"/>
      <c r="E137" s="3" t="s">
        <v>63</v>
      </c>
      <c r="F137" s="3" t="s">
        <v>167</v>
      </c>
      <c r="G137" s="4" t="s">
        <v>85</v>
      </c>
      <c r="H137" s="4">
        <v>11</v>
      </c>
      <c r="I137" s="4">
        <v>10</v>
      </c>
      <c r="J137" s="4">
        <v>10</v>
      </c>
      <c r="K137" s="5">
        <v>3373.58</v>
      </c>
      <c r="L137" s="5">
        <v>3373.58</v>
      </c>
      <c r="M137" s="5">
        <v>0</v>
      </c>
      <c r="N137" s="4">
        <v>0</v>
      </c>
      <c r="O137" s="5">
        <v>0</v>
      </c>
      <c r="P137" s="5">
        <v>0</v>
      </c>
      <c r="Q137" s="5">
        <v>0</v>
      </c>
      <c r="R137" s="6"/>
    </row>
    <row r="138" spans="1:18" x14ac:dyDescent="0.25">
      <c r="A138" s="36">
        <f t="shared" si="9"/>
        <v>7</v>
      </c>
      <c r="B138" s="3" t="s">
        <v>168</v>
      </c>
      <c r="C138" s="3" t="s">
        <v>62</v>
      </c>
      <c r="D138" s="3"/>
      <c r="E138" s="3" t="s">
        <v>63</v>
      </c>
      <c r="F138" s="3" t="s">
        <v>169</v>
      </c>
      <c r="G138" s="4" t="s">
        <v>85</v>
      </c>
      <c r="H138" s="4">
        <v>19</v>
      </c>
      <c r="I138" s="4">
        <v>11</v>
      </c>
      <c r="J138" s="4">
        <v>13</v>
      </c>
      <c r="K138" s="5">
        <v>3017.04</v>
      </c>
      <c r="L138" s="5">
        <v>3017.04</v>
      </c>
      <c r="M138" s="5">
        <v>0</v>
      </c>
      <c r="N138" s="4">
        <v>0</v>
      </c>
      <c r="O138" s="5">
        <v>0</v>
      </c>
      <c r="P138" s="5">
        <v>0</v>
      </c>
      <c r="Q138" s="5">
        <v>0</v>
      </c>
      <c r="R138" s="6"/>
    </row>
    <row r="139" spans="1:18" x14ac:dyDescent="0.25">
      <c r="A139" s="36">
        <f t="shared" si="9"/>
        <v>8</v>
      </c>
      <c r="B139" s="3" t="s">
        <v>21</v>
      </c>
      <c r="C139" s="3" t="s">
        <v>62</v>
      </c>
      <c r="D139" s="3" t="s">
        <v>63</v>
      </c>
      <c r="E139" s="3" t="s">
        <v>73</v>
      </c>
      <c r="F139" s="3" t="s">
        <v>170</v>
      </c>
      <c r="G139" s="4" t="s">
        <v>85</v>
      </c>
      <c r="H139" s="4">
        <v>39</v>
      </c>
      <c r="I139" s="4">
        <v>36</v>
      </c>
      <c r="J139" s="4">
        <v>42</v>
      </c>
      <c r="K139" s="5">
        <v>35579.82</v>
      </c>
      <c r="L139" s="5">
        <v>35579.82</v>
      </c>
      <c r="M139" s="5">
        <v>0</v>
      </c>
      <c r="N139" s="4">
        <v>36</v>
      </c>
      <c r="O139" s="5">
        <v>55974.63</v>
      </c>
      <c r="P139" s="5">
        <v>55974.63</v>
      </c>
      <c r="Q139" s="5">
        <v>0</v>
      </c>
      <c r="R139" s="6"/>
    </row>
    <row r="140" spans="1:18" x14ac:dyDescent="0.25">
      <c r="A140" s="36">
        <f t="shared" si="9"/>
        <v>9</v>
      </c>
      <c r="B140" s="3" t="s">
        <v>22</v>
      </c>
      <c r="C140" s="3" t="s">
        <v>62</v>
      </c>
      <c r="D140" s="3" t="s">
        <v>63</v>
      </c>
      <c r="E140" s="3" t="s">
        <v>74</v>
      </c>
      <c r="F140" s="3" t="s">
        <v>171</v>
      </c>
      <c r="G140" s="4" t="s">
        <v>85</v>
      </c>
      <c r="H140" s="4">
        <v>27</v>
      </c>
      <c r="I140" s="4">
        <v>20</v>
      </c>
      <c r="J140" s="4">
        <v>25</v>
      </c>
      <c r="K140" s="5">
        <v>31389.19</v>
      </c>
      <c r="L140" s="5">
        <v>31389.19</v>
      </c>
      <c r="M140" s="5">
        <v>0</v>
      </c>
      <c r="N140" s="4">
        <v>37</v>
      </c>
      <c r="O140" s="5">
        <v>32673.99</v>
      </c>
      <c r="P140" s="5">
        <v>32673.99</v>
      </c>
      <c r="Q140" s="5">
        <v>0</v>
      </c>
      <c r="R140" s="6"/>
    </row>
    <row r="141" spans="1:18" ht="25.5" x14ac:dyDescent="0.25">
      <c r="A141" s="36">
        <f t="shared" si="9"/>
        <v>10</v>
      </c>
      <c r="B141" s="3" t="s">
        <v>20</v>
      </c>
      <c r="C141" s="3" t="s">
        <v>62</v>
      </c>
      <c r="D141" s="3" t="s">
        <v>63</v>
      </c>
      <c r="E141" s="3" t="s">
        <v>72</v>
      </c>
      <c r="F141" s="3" t="s">
        <v>163</v>
      </c>
      <c r="G141" s="4" t="s">
        <v>85</v>
      </c>
      <c r="H141" s="4">
        <v>0</v>
      </c>
      <c r="I141" s="4">
        <v>0</v>
      </c>
      <c r="J141" s="4">
        <v>0</v>
      </c>
      <c r="K141" s="5">
        <v>0</v>
      </c>
      <c r="L141" s="5">
        <v>0</v>
      </c>
      <c r="M141" s="5">
        <v>0</v>
      </c>
      <c r="N141" s="4">
        <v>0</v>
      </c>
      <c r="O141" s="5">
        <v>6138.73</v>
      </c>
      <c r="P141" s="5">
        <v>6138.73</v>
      </c>
      <c r="Q141" s="5">
        <v>0</v>
      </c>
      <c r="R141" s="6"/>
    </row>
    <row r="142" spans="1:18" ht="25.5" x14ac:dyDescent="0.25">
      <c r="A142" s="36">
        <f t="shared" si="9"/>
        <v>11</v>
      </c>
      <c r="B142" s="3" t="s">
        <v>100</v>
      </c>
      <c r="C142" s="3" t="s">
        <v>62</v>
      </c>
      <c r="D142" s="3" t="s">
        <v>63</v>
      </c>
      <c r="E142" s="3" t="s">
        <v>101</v>
      </c>
      <c r="F142" s="3" t="s">
        <v>164</v>
      </c>
      <c r="G142" s="4" t="s">
        <v>85</v>
      </c>
      <c r="H142" s="4">
        <v>13</v>
      </c>
      <c r="I142" s="4">
        <v>12</v>
      </c>
      <c r="J142" s="4">
        <v>14</v>
      </c>
      <c r="K142" s="5">
        <v>14609.17</v>
      </c>
      <c r="L142" s="5">
        <v>4979.45</v>
      </c>
      <c r="M142" s="5">
        <v>9629.7199999999993</v>
      </c>
      <c r="N142" s="4">
        <v>12</v>
      </c>
      <c r="O142" s="5">
        <v>18846.22</v>
      </c>
      <c r="P142" s="5">
        <v>14560.86</v>
      </c>
      <c r="Q142" s="5">
        <v>4285.3599999999997</v>
      </c>
      <c r="R142" s="6"/>
    </row>
    <row r="143" spans="1:18" ht="25.5" x14ac:dyDescent="0.25">
      <c r="A143" s="36">
        <f t="shared" si="9"/>
        <v>12</v>
      </c>
      <c r="B143" s="3" t="s">
        <v>23</v>
      </c>
      <c r="C143" s="3" t="s">
        <v>62</v>
      </c>
      <c r="D143" s="3" t="s">
        <v>63</v>
      </c>
      <c r="E143" s="3" t="s">
        <v>75</v>
      </c>
      <c r="F143" s="3" t="s">
        <v>136</v>
      </c>
      <c r="G143" s="4" t="s">
        <v>85</v>
      </c>
      <c r="H143" s="4">
        <v>2</v>
      </c>
      <c r="I143" s="4">
        <v>0</v>
      </c>
      <c r="J143" s="4">
        <v>0</v>
      </c>
      <c r="K143" s="5">
        <v>0</v>
      </c>
      <c r="L143" s="5">
        <v>0</v>
      </c>
      <c r="M143" s="5">
        <v>0</v>
      </c>
      <c r="N143" s="4">
        <v>0</v>
      </c>
      <c r="O143" s="5">
        <v>0</v>
      </c>
      <c r="P143" s="5">
        <v>0</v>
      </c>
      <c r="Q143" s="5">
        <v>0</v>
      </c>
      <c r="R143" s="6"/>
    </row>
    <row r="144" spans="1:18" x14ac:dyDescent="0.25">
      <c r="A144" s="36">
        <f t="shared" si="9"/>
        <v>13</v>
      </c>
      <c r="B144" s="3" t="s">
        <v>24</v>
      </c>
      <c r="C144" s="3" t="s">
        <v>62</v>
      </c>
      <c r="D144" s="3" t="s">
        <v>63</v>
      </c>
      <c r="E144" s="3" t="s">
        <v>74</v>
      </c>
      <c r="F144" s="3" t="s">
        <v>172</v>
      </c>
      <c r="G144" s="4" t="s">
        <v>85</v>
      </c>
      <c r="H144" s="4">
        <v>29</v>
      </c>
      <c r="I144" s="4">
        <v>22</v>
      </c>
      <c r="J144" s="4">
        <v>27</v>
      </c>
      <c r="K144" s="5">
        <v>17924.09</v>
      </c>
      <c r="L144" s="5">
        <v>13896.45</v>
      </c>
      <c r="M144" s="5">
        <v>4027.64</v>
      </c>
      <c r="N144" s="4">
        <v>22</v>
      </c>
      <c r="O144" s="5">
        <v>62054.37</v>
      </c>
      <c r="P144" s="5">
        <v>40694.49</v>
      </c>
      <c r="Q144" s="5">
        <v>21359.88</v>
      </c>
      <c r="R144" s="6"/>
    </row>
    <row r="145" spans="1:18" ht="25.5" x14ac:dyDescent="0.25">
      <c r="A145" s="36">
        <f t="shared" si="9"/>
        <v>14</v>
      </c>
      <c r="B145" s="3" t="s">
        <v>102</v>
      </c>
      <c r="C145" s="3" t="s">
        <v>67</v>
      </c>
      <c r="D145" s="3" t="s">
        <v>594</v>
      </c>
      <c r="E145" s="3" t="s">
        <v>74</v>
      </c>
      <c r="F145" s="3" t="s">
        <v>477</v>
      </c>
      <c r="G145" s="4" t="s">
        <v>85</v>
      </c>
      <c r="H145" s="4">
        <v>2</v>
      </c>
      <c r="I145" s="4">
        <v>1</v>
      </c>
      <c r="J145" s="4">
        <v>1</v>
      </c>
      <c r="K145" s="5">
        <v>528.6</v>
      </c>
      <c r="L145" s="5">
        <v>528.6</v>
      </c>
      <c r="M145" s="5">
        <v>0</v>
      </c>
      <c r="N145" s="4">
        <v>4</v>
      </c>
      <c r="O145" s="5">
        <v>9770.18</v>
      </c>
      <c r="P145" s="5">
        <v>5219.82</v>
      </c>
      <c r="Q145" s="5">
        <v>4550.3599999999997</v>
      </c>
      <c r="R145" s="6"/>
    </row>
    <row r="146" spans="1:18" ht="25.5" x14ac:dyDescent="0.25">
      <c r="A146" s="36">
        <f t="shared" si="9"/>
        <v>15</v>
      </c>
      <c r="B146" s="3" t="s">
        <v>173</v>
      </c>
      <c r="C146" s="3" t="s">
        <v>67</v>
      </c>
      <c r="D146" s="3" t="s">
        <v>478</v>
      </c>
      <c r="E146" s="3" t="s">
        <v>174</v>
      </c>
      <c r="F146" s="3" t="s">
        <v>175</v>
      </c>
      <c r="G146" s="4" t="s">
        <v>85</v>
      </c>
      <c r="H146" s="4">
        <v>18</v>
      </c>
      <c r="I146" s="4">
        <v>14</v>
      </c>
      <c r="J146" s="4">
        <v>14</v>
      </c>
      <c r="K146" s="5">
        <v>5014.49</v>
      </c>
      <c r="L146" s="5">
        <v>5014.49</v>
      </c>
      <c r="M146" s="5">
        <v>0</v>
      </c>
      <c r="N146" s="4">
        <v>0</v>
      </c>
      <c r="O146" s="5">
        <v>0</v>
      </c>
      <c r="P146" s="5">
        <v>0</v>
      </c>
      <c r="Q146" s="5">
        <v>0</v>
      </c>
      <c r="R146" s="6"/>
    </row>
    <row r="147" spans="1:18" ht="25.5" x14ac:dyDescent="0.25">
      <c r="A147" s="36">
        <f t="shared" si="9"/>
        <v>16</v>
      </c>
      <c r="B147" s="3" t="s">
        <v>595</v>
      </c>
      <c r="C147" s="3" t="s">
        <v>64</v>
      </c>
      <c r="D147" s="3" t="s">
        <v>596</v>
      </c>
      <c r="E147" s="3" t="s">
        <v>597</v>
      </c>
      <c r="F147" s="3" t="s">
        <v>598</v>
      </c>
      <c r="G147" s="4" t="s">
        <v>85</v>
      </c>
      <c r="H147" s="4">
        <v>1</v>
      </c>
      <c r="I147" s="4">
        <v>1</v>
      </c>
      <c r="J147" s="4">
        <v>1</v>
      </c>
      <c r="K147" s="5">
        <v>0</v>
      </c>
      <c r="L147" s="5">
        <v>0</v>
      </c>
      <c r="M147" s="5">
        <v>0</v>
      </c>
      <c r="N147" s="4">
        <v>0</v>
      </c>
      <c r="O147" s="5">
        <v>0</v>
      </c>
      <c r="P147" s="5">
        <v>0</v>
      </c>
      <c r="Q147" s="5">
        <v>0</v>
      </c>
      <c r="R147" s="6"/>
    </row>
    <row r="148" spans="1:18" ht="25.5" x14ac:dyDescent="0.25">
      <c r="A148" s="36">
        <f t="shared" si="9"/>
        <v>17</v>
      </c>
      <c r="B148" s="3" t="s">
        <v>25</v>
      </c>
      <c r="C148" s="3" t="s">
        <v>62</v>
      </c>
      <c r="D148" s="3" t="s">
        <v>63</v>
      </c>
      <c r="E148" s="3" t="s">
        <v>76</v>
      </c>
      <c r="F148" s="3" t="s">
        <v>599</v>
      </c>
      <c r="G148" s="4" t="s">
        <v>85</v>
      </c>
      <c r="H148" s="4">
        <v>30</v>
      </c>
      <c r="I148" s="4">
        <v>0</v>
      </c>
      <c r="J148" s="4">
        <v>0</v>
      </c>
      <c r="K148" s="5">
        <v>0</v>
      </c>
      <c r="L148" s="5">
        <v>0</v>
      </c>
      <c r="M148" s="5">
        <v>0</v>
      </c>
      <c r="N148" s="4">
        <v>0</v>
      </c>
      <c r="O148" s="5">
        <v>0</v>
      </c>
      <c r="P148" s="5">
        <v>0</v>
      </c>
      <c r="Q148" s="5">
        <v>0</v>
      </c>
      <c r="R148" s="6"/>
    </row>
    <row r="149" spans="1:18" ht="25.5" x14ac:dyDescent="0.25">
      <c r="A149" s="36">
        <f t="shared" si="9"/>
        <v>18</v>
      </c>
      <c r="B149" s="3" t="s">
        <v>600</v>
      </c>
      <c r="C149" s="3" t="s">
        <v>62</v>
      </c>
      <c r="D149" s="3" t="s">
        <v>63</v>
      </c>
      <c r="E149" s="3" t="s">
        <v>75</v>
      </c>
      <c r="F149" s="3" t="s">
        <v>103</v>
      </c>
      <c r="G149" s="4" t="s">
        <v>85</v>
      </c>
      <c r="H149" s="4">
        <v>0</v>
      </c>
      <c r="I149" s="4">
        <v>0</v>
      </c>
      <c r="J149" s="4">
        <v>0</v>
      </c>
      <c r="K149" s="5">
        <v>0</v>
      </c>
      <c r="L149" s="5">
        <v>0</v>
      </c>
      <c r="M149" s="5">
        <v>0</v>
      </c>
      <c r="N149" s="4">
        <v>9</v>
      </c>
      <c r="O149" s="5">
        <v>62481.86</v>
      </c>
      <c r="P149" s="5">
        <v>11308.01</v>
      </c>
      <c r="Q149" s="5">
        <v>51173.85</v>
      </c>
      <c r="R149" s="6"/>
    </row>
    <row r="150" spans="1:18" ht="25.5" x14ac:dyDescent="0.25">
      <c r="A150" s="36">
        <f t="shared" si="9"/>
        <v>19</v>
      </c>
      <c r="B150" s="3" t="s">
        <v>479</v>
      </c>
      <c r="C150" s="3" t="s">
        <v>67</v>
      </c>
      <c r="D150" s="3" t="s">
        <v>480</v>
      </c>
      <c r="E150" s="3" t="s">
        <v>271</v>
      </c>
      <c r="F150" s="3" t="s">
        <v>481</v>
      </c>
      <c r="G150" s="4" t="s">
        <v>85</v>
      </c>
      <c r="H150" s="4">
        <v>11</v>
      </c>
      <c r="I150" s="4">
        <v>3</v>
      </c>
      <c r="J150" s="4">
        <v>3</v>
      </c>
      <c r="K150" s="5">
        <v>0</v>
      </c>
      <c r="L150" s="5">
        <v>0</v>
      </c>
      <c r="M150" s="5">
        <v>0</v>
      </c>
      <c r="N150" s="4">
        <v>0</v>
      </c>
      <c r="O150" s="5">
        <v>0</v>
      </c>
      <c r="P150" s="5">
        <v>0</v>
      </c>
      <c r="Q150" s="5">
        <v>0</v>
      </c>
      <c r="R150" s="6"/>
    </row>
    <row r="151" spans="1:18" ht="25.5" x14ac:dyDescent="0.25">
      <c r="A151" s="36">
        <f t="shared" si="9"/>
        <v>20</v>
      </c>
      <c r="B151" s="3" t="s">
        <v>176</v>
      </c>
      <c r="C151" s="3" t="s">
        <v>62</v>
      </c>
      <c r="D151" s="3"/>
      <c r="E151" s="3" t="s">
        <v>177</v>
      </c>
      <c r="F151" s="3" t="s">
        <v>178</v>
      </c>
      <c r="G151" s="4" t="s">
        <v>85</v>
      </c>
      <c r="H151" s="4">
        <v>10</v>
      </c>
      <c r="I151" s="4">
        <v>5</v>
      </c>
      <c r="J151" s="4">
        <v>6</v>
      </c>
      <c r="K151" s="5">
        <v>5215.5200000000004</v>
      </c>
      <c r="L151" s="5">
        <v>5215.5200000000004</v>
      </c>
      <c r="M151" s="5">
        <v>0</v>
      </c>
      <c r="N151" s="4">
        <v>0</v>
      </c>
      <c r="O151" s="5">
        <v>0</v>
      </c>
      <c r="P151" s="5">
        <v>0</v>
      </c>
      <c r="Q151" s="5">
        <v>0</v>
      </c>
      <c r="R151" s="6"/>
    </row>
    <row r="152" spans="1:18" x14ac:dyDescent="0.25">
      <c r="A152" s="36">
        <f t="shared" si="9"/>
        <v>21</v>
      </c>
      <c r="B152" s="3" t="s">
        <v>152</v>
      </c>
      <c r="C152" s="3" t="s">
        <v>62</v>
      </c>
      <c r="D152" s="3" t="s">
        <v>63</v>
      </c>
      <c r="E152" s="3" t="s">
        <v>63</v>
      </c>
      <c r="F152" s="3" t="s">
        <v>179</v>
      </c>
      <c r="G152" s="4" t="s">
        <v>85</v>
      </c>
      <c r="H152" s="4">
        <v>24</v>
      </c>
      <c r="I152" s="4">
        <v>8</v>
      </c>
      <c r="J152" s="4">
        <v>9</v>
      </c>
      <c r="K152" s="5">
        <v>3385.94</v>
      </c>
      <c r="L152" s="5">
        <v>3385.94</v>
      </c>
      <c r="M152" s="5">
        <v>0</v>
      </c>
      <c r="N152" s="4">
        <v>12</v>
      </c>
      <c r="O152" s="5">
        <v>10033.950000000001</v>
      </c>
      <c r="P152" s="5">
        <v>10033.950000000001</v>
      </c>
      <c r="Q152" s="5">
        <v>0</v>
      </c>
      <c r="R152" s="6"/>
    </row>
    <row r="153" spans="1:18" x14ac:dyDescent="0.25">
      <c r="A153" s="36">
        <f t="shared" si="9"/>
        <v>22</v>
      </c>
      <c r="B153" s="3" t="s">
        <v>88</v>
      </c>
      <c r="C153" s="3" t="s">
        <v>62</v>
      </c>
      <c r="D153" s="3" t="s">
        <v>63</v>
      </c>
      <c r="E153" s="3" t="s">
        <v>74</v>
      </c>
      <c r="F153" s="3" t="s">
        <v>180</v>
      </c>
      <c r="G153" s="4" t="s">
        <v>85</v>
      </c>
      <c r="H153" s="4">
        <v>9</v>
      </c>
      <c r="I153" s="4">
        <v>2</v>
      </c>
      <c r="J153" s="4">
        <v>2</v>
      </c>
      <c r="K153" s="5">
        <v>2706.43</v>
      </c>
      <c r="L153" s="5">
        <v>2706.43</v>
      </c>
      <c r="M153" s="5">
        <v>0</v>
      </c>
      <c r="N153" s="4">
        <v>2</v>
      </c>
      <c r="O153" s="5">
        <v>2692.05</v>
      </c>
      <c r="P153" s="5">
        <v>2692.05</v>
      </c>
      <c r="Q153" s="5">
        <v>0</v>
      </c>
      <c r="R153" s="6"/>
    </row>
    <row r="154" spans="1:18" x14ac:dyDescent="0.25">
      <c r="A154" s="36">
        <f t="shared" si="9"/>
        <v>23</v>
      </c>
      <c r="B154" s="3" t="s">
        <v>26</v>
      </c>
      <c r="C154" s="3" t="s">
        <v>62</v>
      </c>
      <c r="D154" s="3" t="s">
        <v>63</v>
      </c>
      <c r="E154" s="3" t="s">
        <v>74</v>
      </c>
      <c r="F154" s="3" t="s">
        <v>181</v>
      </c>
      <c r="G154" s="4" t="s">
        <v>85</v>
      </c>
      <c r="H154" s="4">
        <v>21</v>
      </c>
      <c r="I154" s="4">
        <v>16</v>
      </c>
      <c r="J154" s="4">
        <v>22</v>
      </c>
      <c r="K154" s="5">
        <v>35238.32</v>
      </c>
      <c r="L154" s="5">
        <v>31624.46</v>
      </c>
      <c r="M154" s="5">
        <v>3613.86</v>
      </c>
      <c r="N154" s="4">
        <v>11</v>
      </c>
      <c r="O154" s="5">
        <v>21569.8</v>
      </c>
      <c r="P154" s="5">
        <v>18637.830000000002</v>
      </c>
      <c r="Q154" s="5">
        <v>2931.97</v>
      </c>
      <c r="R154" s="6"/>
    </row>
    <row r="155" spans="1:18" ht="25.5" x14ac:dyDescent="0.25">
      <c r="A155" s="36">
        <f t="shared" si="9"/>
        <v>24</v>
      </c>
      <c r="B155" s="3" t="s">
        <v>182</v>
      </c>
      <c r="C155" s="3" t="s">
        <v>62</v>
      </c>
      <c r="D155" s="3"/>
      <c r="E155" s="3" t="s">
        <v>174</v>
      </c>
      <c r="F155" s="3" t="s">
        <v>183</v>
      </c>
      <c r="G155" s="4" t="s">
        <v>85</v>
      </c>
      <c r="H155" s="4">
        <v>26</v>
      </c>
      <c r="I155" s="4">
        <v>21</v>
      </c>
      <c r="J155" s="4">
        <v>24</v>
      </c>
      <c r="K155" s="5">
        <v>17543.240000000002</v>
      </c>
      <c r="L155" s="5">
        <v>17543.240000000002</v>
      </c>
      <c r="M155" s="5">
        <v>0</v>
      </c>
      <c r="N155" s="4">
        <v>0</v>
      </c>
      <c r="O155" s="5">
        <v>0</v>
      </c>
      <c r="P155" s="5">
        <v>0</v>
      </c>
      <c r="Q155" s="5">
        <v>0</v>
      </c>
      <c r="R155" s="6"/>
    </row>
    <row r="156" spans="1:18" ht="25.5" x14ac:dyDescent="0.25">
      <c r="A156" s="36">
        <f t="shared" si="9"/>
        <v>25</v>
      </c>
      <c r="B156" s="3" t="s">
        <v>137</v>
      </c>
      <c r="C156" s="3" t="s">
        <v>62</v>
      </c>
      <c r="D156" s="3" t="s">
        <v>63</v>
      </c>
      <c r="E156" s="3" t="s">
        <v>78</v>
      </c>
      <c r="F156" s="3" t="s">
        <v>184</v>
      </c>
      <c r="G156" s="4" t="s">
        <v>85</v>
      </c>
      <c r="H156" s="4">
        <v>8</v>
      </c>
      <c r="I156" s="4">
        <v>3</v>
      </c>
      <c r="J156" s="4">
        <v>3</v>
      </c>
      <c r="K156" s="5">
        <v>2678.24</v>
      </c>
      <c r="L156" s="5">
        <v>2678.24</v>
      </c>
      <c r="M156" s="5">
        <v>0</v>
      </c>
      <c r="N156" s="4">
        <v>4</v>
      </c>
      <c r="O156" s="5">
        <v>6101.8</v>
      </c>
      <c r="P156" s="5">
        <v>6101.8</v>
      </c>
      <c r="Q156" s="5">
        <v>0</v>
      </c>
      <c r="R156" s="6"/>
    </row>
    <row r="157" spans="1:18" ht="25.5" x14ac:dyDescent="0.25">
      <c r="A157" s="36">
        <f t="shared" si="9"/>
        <v>26</v>
      </c>
      <c r="B157" s="3" t="s">
        <v>185</v>
      </c>
      <c r="C157" s="3" t="s">
        <v>62</v>
      </c>
      <c r="D157" s="3"/>
      <c r="E157" s="3" t="s">
        <v>186</v>
      </c>
      <c r="F157" s="3" t="s">
        <v>463</v>
      </c>
      <c r="G157" s="4" t="s">
        <v>85</v>
      </c>
      <c r="H157" s="4">
        <v>9</v>
      </c>
      <c r="I157" s="4">
        <v>5</v>
      </c>
      <c r="J157" s="4">
        <v>6</v>
      </c>
      <c r="K157" s="5">
        <v>1409.6</v>
      </c>
      <c r="L157" s="5">
        <v>1409.6</v>
      </c>
      <c r="M157" s="5">
        <v>0</v>
      </c>
      <c r="N157" s="4">
        <v>0</v>
      </c>
      <c r="O157" s="5">
        <v>0</v>
      </c>
      <c r="P157" s="5">
        <v>0</v>
      </c>
      <c r="Q157" s="5">
        <v>0</v>
      </c>
      <c r="R157" s="6"/>
    </row>
    <row r="158" spans="1:18" x14ac:dyDescent="0.25">
      <c r="A158" s="36">
        <f t="shared" si="9"/>
        <v>27</v>
      </c>
      <c r="B158" s="3" t="s">
        <v>27</v>
      </c>
      <c r="C158" s="3" t="s">
        <v>62</v>
      </c>
      <c r="D158" s="3" t="s">
        <v>63</v>
      </c>
      <c r="E158" s="3" t="s">
        <v>74</v>
      </c>
      <c r="F158" s="3" t="s">
        <v>187</v>
      </c>
      <c r="G158" s="4" t="s">
        <v>85</v>
      </c>
      <c r="H158" s="4">
        <v>11</v>
      </c>
      <c r="I158" s="4">
        <v>6</v>
      </c>
      <c r="J158" s="4">
        <v>7</v>
      </c>
      <c r="K158" s="5">
        <v>4493.07</v>
      </c>
      <c r="L158" s="5">
        <v>2039.94</v>
      </c>
      <c r="M158" s="5">
        <v>2453.13</v>
      </c>
      <c r="N158" s="4">
        <v>5</v>
      </c>
      <c r="O158" s="5">
        <v>29814.94</v>
      </c>
      <c r="P158" s="5">
        <v>29814.94</v>
      </c>
      <c r="Q158" s="5">
        <v>0</v>
      </c>
      <c r="R158" s="6"/>
    </row>
    <row r="159" spans="1:18" x14ac:dyDescent="0.25">
      <c r="A159" s="36">
        <f t="shared" si="9"/>
        <v>28</v>
      </c>
      <c r="B159" s="3" t="s">
        <v>601</v>
      </c>
      <c r="C159" s="3" t="s">
        <v>62</v>
      </c>
      <c r="D159" s="3" t="s">
        <v>63</v>
      </c>
      <c r="E159" s="3" t="s">
        <v>366</v>
      </c>
      <c r="F159" s="3" t="s">
        <v>602</v>
      </c>
      <c r="G159" s="4" t="s">
        <v>85</v>
      </c>
      <c r="H159" s="4">
        <v>1</v>
      </c>
      <c r="I159" s="4">
        <v>0</v>
      </c>
      <c r="J159" s="4">
        <v>0</v>
      </c>
      <c r="K159" s="5">
        <v>0</v>
      </c>
      <c r="L159" s="5">
        <v>0</v>
      </c>
      <c r="M159" s="5">
        <v>0</v>
      </c>
      <c r="N159" s="4">
        <v>0</v>
      </c>
      <c r="O159" s="5">
        <v>0</v>
      </c>
      <c r="P159" s="5">
        <v>0</v>
      </c>
      <c r="Q159" s="5">
        <v>0</v>
      </c>
      <c r="R159" s="6"/>
    </row>
    <row r="160" spans="1:18" ht="25.5" x14ac:dyDescent="0.25">
      <c r="A160" s="36">
        <f t="shared" si="9"/>
        <v>29</v>
      </c>
      <c r="B160" s="3" t="s">
        <v>482</v>
      </c>
      <c r="C160" s="3" t="s">
        <v>64</v>
      </c>
      <c r="D160" s="3" t="s">
        <v>483</v>
      </c>
      <c r="E160" s="3" t="s">
        <v>313</v>
      </c>
      <c r="F160" s="3" t="s">
        <v>484</v>
      </c>
      <c r="G160" s="4" t="s">
        <v>85</v>
      </c>
      <c r="H160" s="4">
        <v>9</v>
      </c>
      <c r="I160" s="4">
        <v>0</v>
      </c>
      <c r="J160" s="4">
        <v>0</v>
      </c>
      <c r="K160" s="5">
        <v>0</v>
      </c>
      <c r="L160" s="5">
        <v>0</v>
      </c>
      <c r="M160" s="5">
        <v>0</v>
      </c>
      <c r="N160" s="4">
        <v>0</v>
      </c>
      <c r="O160" s="5">
        <v>0</v>
      </c>
      <c r="P160" s="5">
        <v>0</v>
      </c>
      <c r="Q160" s="5">
        <v>0</v>
      </c>
      <c r="R160" s="6"/>
    </row>
    <row r="161" spans="1:18" ht="25.5" x14ac:dyDescent="0.25">
      <c r="A161" s="36">
        <f t="shared" si="9"/>
        <v>30</v>
      </c>
      <c r="B161" s="3" t="s">
        <v>104</v>
      </c>
      <c r="C161" s="3" t="s">
        <v>62</v>
      </c>
      <c r="D161" s="3" t="s">
        <v>63</v>
      </c>
      <c r="E161" s="3" t="s">
        <v>105</v>
      </c>
      <c r="F161" s="3" t="s">
        <v>188</v>
      </c>
      <c r="G161" s="4" t="s">
        <v>85</v>
      </c>
      <c r="H161" s="4">
        <v>9</v>
      </c>
      <c r="I161" s="4">
        <v>7</v>
      </c>
      <c r="J161" s="4">
        <v>8</v>
      </c>
      <c r="K161" s="5">
        <v>2130.2600000000002</v>
      </c>
      <c r="L161" s="5">
        <v>2130.2600000000002</v>
      </c>
      <c r="M161" s="5">
        <v>0</v>
      </c>
      <c r="N161" s="4">
        <v>22</v>
      </c>
      <c r="O161" s="5">
        <f>29623.1+4863.12</f>
        <v>34486.22</v>
      </c>
      <c r="P161" s="5">
        <f>29623.1+4863.12</f>
        <v>34486.22</v>
      </c>
      <c r="Q161" s="5">
        <v>0</v>
      </c>
      <c r="R161" s="6"/>
    </row>
    <row r="162" spans="1:18" ht="25.5" x14ac:dyDescent="0.25">
      <c r="A162" s="36">
        <f t="shared" si="9"/>
        <v>31</v>
      </c>
      <c r="B162" s="3" t="s">
        <v>517</v>
      </c>
      <c r="C162" s="3" t="s">
        <v>62</v>
      </c>
      <c r="D162" s="3"/>
      <c r="E162" s="3" t="s">
        <v>239</v>
      </c>
      <c r="F162" s="3" t="s">
        <v>603</v>
      </c>
      <c r="G162" s="4" t="s">
        <v>85</v>
      </c>
      <c r="H162" s="4">
        <v>10</v>
      </c>
      <c r="I162" s="4">
        <v>6</v>
      </c>
      <c r="J162" s="4">
        <v>3</v>
      </c>
      <c r="K162" s="5">
        <v>0</v>
      </c>
      <c r="L162" s="5">
        <v>0</v>
      </c>
      <c r="M162" s="5">
        <v>0</v>
      </c>
      <c r="N162" s="4">
        <v>0</v>
      </c>
      <c r="O162" s="5">
        <v>0</v>
      </c>
      <c r="P162" s="5">
        <v>0</v>
      </c>
      <c r="Q162" s="5">
        <v>0</v>
      </c>
      <c r="R162" s="6"/>
    </row>
    <row r="163" spans="1:18" x14ac:dyDescent="0.25">
      <c r="A163" s="36">
        <f t="shared" si="9"/>
        <v>32</v>
      </c>
      <c r="B163" s="3" t="s">
        <v>28</v>
      </c>
      <c r="C163" s="3" t="s">
        <v>62</v>
      </c>
      <c r="D163" s="3" t="s">
        <v>63</v>
      </c>
      <c r="E163" s="3" t="s">
        <v>74</v>
      </c>
      <c r="F163" s="3" t="s">
        <v>189</v>
      </c>
      <c r="G163" s="4" t="s">
        <v>85</v>
      </c>
      <c r="H163" s="4">
        <v>6</v>
      </c>
      <c r="I163" s="4">
        <v>5</v>
      </c>
      <c r="J163" s="4">
        <v>5</v>
      </c>
      <c r="K163" s="5">
        <v>581.46</v>
      </c>
      <c r="L163" s="5">
        <v>581.46</v>
      </c>
      <c r="M163" s="5">
        <v>0</v>
      </c>
      <c r="N163" s="4">
        <v>6</v>
      </c>
      <c r="O163" s="5">
        <v>6953.99</v>
      </c>
      <c r="P163" s="5">
        <v>6953.99</v>
      </c>
      <c r="Q163" s="5">
        <v>0</v>
      </c>
      <c r="R163" s="6"/>
    </row>
    <row r="164" spans="1:18" x14ac:dyDescent="0.25">
      <c r="A164" s="36">
        <f t="shared" si="9"/>
        <v>33</v>
      </c>
      <c r="B164" s="3" t="s">
        <v>190</v>
      </c>
      <c r="C164" s="3" t="s">
        <v>62</v>
      </c>
      <c r="D164" s="3"/>
      <c r="E164" s="3" t="s">
        <v>63</v>
      </c>
      <c r="F164" s="3" t="s">
        <v>191</v>
      </c>
      <c r="G164" s="4" t="s">
        <v>85</v>
      </c>
      <c r="H164" s="4">
        <v>12</v>
      </c>
      <c r="I164" s="4">
        <v>8</v>
      </c>
      <c r="J164" s="4">
        <v>8</v>
      </c>
      <c r="K164" s="5">
        <v>6494.16</v>
      </c>
      <c r="L164" s="5">
        <v>6494.16</v>
      </c>
      <c r="M164" s="5">
        <v>0</v>
      </c>
      <c r="N164" s="4">
        <v>0</v>
      </c>
      <c r="O164" s="5">
        <v>0</v>
      </c>
      <c r="P164" s="5">
        <v>0</v>
      </c>
      <c r="Q164" s="5">
        <v>0</v>
      </c>
      <c r="R164" s="6"/>
    </row>
    <row r="165" spans="1:18" ht="38.25" x14ac:dyDescent="0.25">
      <c r="A165" s="36">
        <f t="shared" si="9"/>
        <v>34</v>
      </c>
      <c r="B165" s="3" t="s">
        <v>192</v>
      </c>
      <c r="C165" s="3" t="s">
        <v>64</v>
      </c>
      <c r="D165" s="3" t="s">
        <v>604</v>
      </c>
      <c r="E165" s="3" t="s">
        <v>74</v>
      </c>
      <c r="F165" s="3" t="s">
        <v>194</v>
      </c>
      <c r="G165" s="4" t="s">
        <v>85</v>
      </c>
      <c r="H165" s="4">
        <v>1</v>
      </c>
      <c r="I165" s="4">
        <v>0</v>
      </c>
      <c r="J165" s="4">
        <v>0</v>
      </c>
      <c r="K165" s="5">
        <v>0</v>
      </c>
      <c r="L165" s="5">
        <v>0</v>
      </c>
      <c r="M165" s="5">
        <v>0</v>
      </c>
      <c r="N165" s="4">
        <v>0</v>
      </c>
      <c r="O165" s="5">
        <v>0</v>
      </c>
      <c r="P165" s="5">
        <v>0</v>
      </c>
      <c r="Q165" s="5">
        <v>0</v>
      </c>
      <c r="R165" s="6"/>
    </row>
    <row r="166" spans="1:18" x14ac:dyDescent="0.25">
      <c r="A166" s="36">
        <f t="shared" si="9"/>
        <v>35</v>
      </c>
      <c r="B166" s="3" t="s">
        <v>89</v>
      </c>
      <c r="C166" s="3" t="s">
        <v>62</v>
      </c>
      <c r="D166" s="3" t="s">
        <v>63</v>
      </c>
      <c r="E166" s="3" t="s">
        <v>74</v>
      </c>
      <c r="F166" s="3" t="s">
        <v>195</v>
      </c>
      <c r="G166" s="4" t="s">
        <v>85</v>
      </c>
      <c r="H166" s="4">
        <v>25</v>
      </c>
      <c r="I166" s="4">
        <v>17</v>
      </c>
      <c r="J166" s="4">
        <v>18</v>
      </c>
      <c r="K166" s="5">
        <v>12234.98</v>
      </c>
      <c r="L166" s="5">
        <v>12234.98</v>
      </c>
      <c r="M166" s="5">
        <v>0</v>
      </c>
      <c r="N166" s="4">
        <v>5</v>
      </c>
      <c r="O166" s="5">
        <v>27163.93</v>
      </c>
      <c r="P166" s="5">
        <v>27163.93</v>
      </c>
      <c r="Q166" s="5">
        <v>0</v>
      </c>
      <c r="R166" s="6"/>
    </row>
    <row r="167" spans="1:18" ht="25.5" x14ac:dyDescent="0.25">
      <c r="A167" s="36">
        <f t="shared" si="9"/>
        <v>36</v>
      </c>
      <c r="B167" s="3" t="s">
        <v>196</v>
      </c>
      <c r="C167" s="3" t="s">
        <v>62</v>
      </c>
      <c r="D167" s="3"/>
      <c r="E167" s="3" t="s">
        <v>197</v>
      </c>
      <c r="F167" s="3" t="s">
        <v>198</v>
      </c>
      <c r="G167" s="4" t="s">
        <v>85</v>
      </c>
      <c r="H167" s="4">
        <v>18</v>
      </c>
      <c r="I167" s="4">
        <v>10</v>
      </c>
      <c r="J167" s="4">
        <v>10</v>
      </c>
      <c r="K167" s="5">
        <v>4212.17</v>
      </c>
      <c r="L167" s="5">
        <v>4212.17</v>
      </c>
      <c r="M167" s="5">
        <v>0</v>
      </c>
      <c r="N167" s="4">
        <v>0</v>
      </c>
      <c r="O167" s="5">
        <v>0</v>
      </c>
      <c r="P167" s="5">
        <v>0</v>
      </c>
      <c r="Q167" s="5">
        <v>0</v>
      </c>
      <c r="R167" s="6"/>
    </row>
    <row r="168" spans="1:18" x14ac:dyDescent="0.25">
      <c r="A168" s="36">
        <f t="shared" si="9"/>
        <v>37</v>
      </c>
      <c r="B168" s="3" t="s">
        <v>106</v>
      </c>
      <c r="C168" s="3" t="s">
        <v>62</v>
      </c>
      <c r="D168" s="3" t="s">
        <v>63</v>
      </c>
      <c r="E168" s="3" t="s">
        <v>74</v>
      </c>
      <c r="F168" s="3" t="s">
        <v>199</v>
      </c>
      <c r="G168" s="4" t="s">
        <v>85</v>
      </c>
      <c r="H168" s="4">
        <v>38</v>
      </c>
      <c r="I168" s="4">
        <v>24</v>
      </c>
      <c r="J168" s="4">
        <v>29</v>
      </c>
      <c r="K168" s="5">
        <v>30877.81</v>
      </c>
      <c r="L168" s="5">
        <v>27774.51</v>
      </c>
      <c r="M168" s="5">
        <v>3103.3</v>
      </c>
      <c r="N168" s="4">
        <v>24</v>
      </c>
      <c r="O168" s="5">
        <v>98821.22</v>
      </c>
      <c r="P168" s="5">
        <v>61804.6</v>
      </c>
      <c r="Q168" s="5">
        <v>37016.620000000003</v>
      </c>
      <c r="R168" s="6"/>
    </row>
    <row r="169" spans="1:18" x14ac:dyDescent="0.25">
      <c r="A169" s="36">
        <f t="shared" si="9"/>
        <v>38</v>
      </c>
      <c r="B169" s="3" t="s">
        <v>107</v>
      </c>
      <c r="C169" s="3" t="s">
        <v>62</v>
      </c>
      <c r="D169" s="3" t="s">
        <v>63</v>
      </c>
      <c r="E169" s="3" t="s">
        <v>74</v>
      </c>
      <c r="F169" s="3" t="s">
        <v>138</v>
      </c>
      <c r="G169" s="4" t="s">
        <v>85</v>
      </c>
      <c r="H169" s="4">
        <v>2</v>
      </c>
      <c r="I169" s="4">
        <v>0</v>
      </c>
      <c r="J169" s="4">
        <v>0</v>
      </c>
      <c r="K169" s="5">
        <v>0</v>
      </c>
      <c r="L169" s="5">
        <v>0</v>
      </c>
      <c r="M169" s="5">
        <v>0</v>
      </c>
      <c r="N169" s="4">
        <v>0</v>
      </c>
      <c r="O169" s="5">
        <v>0</v>
      </c>
      <c r="P169" s="5">
        <v>0</v>
      </c>
      <c r="Q169" s="5">
        <v>0</v>
      </c>
      <c r="R169" s="6"/>
    </row>
    <row r="170" spans="1:18" x14ac:dyDescent="0.25">
      <c r="A170" s="36">
        <f t="shared" si="9"/>
        <v>39</v>
      </c>
      <c r="B170" s="3" t="s">
        <v>29</v>
      </c>
      <c r="C170" s="3" t="s">
        <v>62</v>
      </c>
      <c r="D170" s="3" t="s">
        <v>63</v>
      </c>
      <c r="E170" s="3" t="s">
        <v>74</v>
      </c>
      <c r="F170" s="3" t="s">
        <v>200</v>
      </c>
      <c r="G170" s="4" t="s">
        <v>85</v>
      </c>
      <c r="H170" s="4">
        <v>22</v>
      </c>
      <c r="I170" s="4">
        <v>19</v>
      </c>
      <c r="J170" s="4">
        <v>28</v>
      </c>
      <c r="K170" s="5">
        <v>31780.73</v>
      </c>
      <c r="L170" s="5">
        <v>31780.73</v>
      </c>
      <c r="M170" s="5">
        <v>0</v>
      </c>
      <c r="N170" s="4">
        <v>17</v>
      </c>
      <c r="O170" s="5">
        <v>26326.38</v>
      </c>
      <c r="P170" s="5">
        <v>20228.03</v>
      </c>
      <c r="Q170" s="5">
        <v>6098.35</v>
      </c>
      <c r="R170" s="6"/>
    </row>
    <row r="171" spans="1:18" x14ac:dyDescent="0.25">
      <c r="A171" s="36">
        <f t="shared" si="9"/>
        <v>40</v>
      </c>
      <c r="B171" s="3" t="s">
        <v>201</v>
      </c>
      <c r="C171" s="3" t="s">
        <v>67</v>
      </c>
      <c r="D171" s="3" t="s">
        <v>485</v>
      </c>
      <c r="E171" s="3" t="s">
        <v>74</v>
      </c>
      <c r="F171" s="3" t="s">
        <v>202</v>
      </c>
      <c r="G171" s="4" t="s">
        <v>85</v>
      </c>
      <c r="H171" s="4">
        <v>16</v>
      </c>
      <c r="I171" s="4">
        <v>11</v>
      </c>
      <c r="J171" s="4">
        <v>11</v>
      </c>
      <c r="K171" s="5">
        <v>8297.66</v>
      </c>
      <c r="L171" s="5">
        <v>8297.66</v>
      </c>
      <c r="M171" s="5">
        <v>0</v>
      </c>
      <c r="N171" s="4">
        <v>1</v>
      </c>
      <c r="O171" s="5">
        <v>1717.95</v>
      </c>
      <c r="P171" s="5">
        <v>1717.95</v>
      </c>
      <c r="Q171" s="5">
        <v>0</v>
      </c>
      <c r="R171" s="6"/>
    </row>
    <row r="172" spans="1:18" x14ac:dyDescent="0.25">
      <c r="A172" s="36">
        <f t="shared" si="9"/>
        <v>41</v>
      </c>
      <c r="B172" s="3" t="s">
        <v>95</v>
      </c>
      <c r="C172" s="3" t="s">
        <v>62</v>
      </c>
      <c r="D172" s="3" t="s">
        <v>63</v>
      </c>
      <c r="E172" s="3" t="s">
        <v>74</v>
      </c>
      <c r="F172" s="3" t="s">
        <v>161</v>
      </c>
      <c r="G172" s="4" t="s">
        <v>85</v>
      </c>
      <c r="H172" s="4">
        <v>32</v>
      </c>
      <c r="I172" s="4">
        <v>26</v>
      </c>
      <c r="J172" s="4">
        <v>35</v>
      </c>
      <c r="K172" s="5">
        <v>43171.46</v>
      </c>
      <c r="L172" s="5">
        <f>29308.96+3740.42</f>
        <v>33049.379999999997</v>
      </c>
      <c r="M172" s="5">
        <f>13862.5-3740.42</f>
        <v>10122.08</v>
      </c>
      <c r="N172" s="4">
        <v>20</v>
      </c>
      <c r="O172" s="5">
        <v>65252.01</v>
      </c>
      <c r="P172" s="5">
        <v>57450.400000000001</v>
      </c>
      <c r="Q172" s="5">
        <v>7801.61</v>
      </c>
      <c r="R172" s="6"/>
    </row>
    <row r="173" spans="1:18" ht="25.5" x14ac:dyDescent="0.25">
      <c r="A173" s="36">
        <f t="shared" si="9"/>
        <v>42</v>
      </c>
      <c r="B173" s="3" t="s">
        <v>30</v>
      </c>
      <c r="C173" s="3" t="s">
        <v>62</v>
      </c>
      <c r="D173" s="3" t="s">
        <v>63</v>
      </c>
      <c r="E173" s="3" t="s">
        <v>203</v>
      </c>
      <c r="F173" s="3" t="s">
        <v>204</v>
      </c>
      <c r="G173" s="4" t="s">
        <v>85</v>
      </c>
      <c r="H173" s="4">
        <v>17</v>
      </c>
      <c r="I173" s="4">
        <v>13</v>
      </c>
      <c r="J173" s="4">
        <v>17</v>
      </c>
      <c r="K173" s="5">
        <v>15082.45</v>
      </c>
      <c r="L173" s="5">
        <v>15082.45</v>
      </c>
      <c r="M173" s="5">
        <v>0</v>
      </c>
      <c r="N173" s="4">
        <v>16</v>
      </c>
      <c r="O173" s="5">
        <v>44825.3</v>
      </c>
      <c r="P173" s="5">
        <v>44825.3</v>
      </c>
      <c r="Q173" s="5">
        <v>0</v>
      </c>
      <c r="R173" s="6"/>
    </row>
    <row r="174" spans="1:18" x14ac:dyDescent="0.25">
      <c r="A174" s="36">
        <f t="shared" si="9"/>
        <v>43</v>
      </c>
      <c r="B174" s="3" t="s">
        <v>31</v>
      </c>
      <c r="C174" s="3" t="s">
        <v>62</v>
      </c>
      <c r="D174" s="3" t="s">
        <v>63</v>
      </c>
      <c r="E174" s="3" t="s">
        <v>74</v>
      </c>
      <c r="F174" s="3" t="s">
        <v>206</v>
      </c>
      <c r="G174" s="4" t="s">
        <v>85</v>
      </c>
      <c r="H174" s="4">
        <v>33</v>
      </c>
      <c r="I174" s="4">
        <v>26</v>
      </c>
      <c r="J174" s="4">
        <v>31</v>
      </c>
      <c r="K174" s="5">
        <v>57521.09</v>
      </c>
      <c r="L174" s="5">
        <v>52104.95</v>
      </c>
      <c r="M174" s="5">
        <v>5416.14</v>
      </c>
      <c r="N174" s="4">
        <v>19</v>
      </c>
      <c r="O174" s="5">
        <v>74965.509999999995</v>
      </c>
      <c r="P174" s="5">
        <v>66805.69</v>
      </c>
      <c r="Q174" s="5">
        <v>8159.82</v>
      </c>
      <c r="R174" s="6"/>
    </row>
    <row r="175" spans="1:18" ht="25.5" x14ac:dyDescent="0.25">
      <c r="A175" s="36">
        <f t="shared" si="9"/>
        <v>44</v>
      </c>
      <c r="B175" s="3" t="s">
        <v>605</v>
      </c>
      <c r="C175" s="3" t="s">
        <v>62</v>
      </c>
      <c r="D175" s="3" t="s">
        <v>63</v>
      </c>
      <c r="E175" s="3" t="s">
        <v>108</v>
      </c>
      <c r="F175" s="3" t="s">
        <v>606</v>
      </c>
      <c r="G175" s="4" t="s">
        <v>85</v>
      </c>
      <c r="H175" s="4">
        <v>0</v>
      </c>
      <c r="I175" s="4">
        <v>0</v>
      </c>
      <c r="J175" s="4">
        <v>0</v>
      </c>
      <c r="K175" s="5">
        <v>0</v>
      </c>
      <c r="L175" s="5">
        <v>0</v>
      </c>
      <c r="M175" s="5">
        <v>0</v>
      </c>
      <c r="N175" s="4">
        <v>0</v>
      </c>
      <c r="O175" s="5">
        <v>1200.69</v>
      </c>
      <c r="P175" s="5">
        <v>1200.69</v>
      </c>
      <c r="Q175" s="5">
        <v>0</v>
      </c>
      <c r="R175" s="6"/>
    </row>
    <row r="176" spans="1:18" ht="51" x14ac:dyDescent="0.25">
      <c r="A176" s="36">
        <f t="shared" si="9"/>
        <v>45</v>
      </c>
      <c r="B176" s="3" t="s">
        <v>90</v>
      </c>
      <c r="C176" s="3" t="s">
        <v>62</v>
      </c>
      <c r="D176" s="3" t="s">
        <v>63</v>
      </c>
      <c r="E176" s="3" t="s">
        <v>205</v>
      </c>
      <c r="F176" s="3" t="s">
        <v>464</v>
      </c>
      <c r="G176" s="4" t="s">
        <v>85</v>
      </c>
      <c r="H176" s="4">
        <v>17</v>
      </c>
      <c r="I176" s="4">
        <v>8</v>
      </c>
      <c r="J176" s="4">
        <v>13</v>
      </c>
      <c r="K176" s="5">
        <v>9495.06</v>
      </c>
      <c r="L176" s="5">
        <v>8099.56</v>
      </c>
      <c r="M176" s="5">
        <v>1395.5</v>
      </c>
      <c r="N176" s="4">
        <v>17</v>
      </c>
      <c r="O176" s="5">
        <v>21084.5</v>
      </c>
      <c r="P176" s="5">
        <v>18831.080000000002</v>
      </c>
      <c r="Q176" s="5">
        <v>2253.42</v>
      </c>
      <c r="R176" s="6"/>
    </row>
    <row r="177" spans="1:18" x14ac:dyDescent="0.25">
      <c r="A177" s="36">
        <f t="shared" si="9"/>
        <v>46</v>
      </c>
      <c r="B177" s="3" t="s">
        <v>91</v>
      </c>
      <c r="C177" s="3" t="s">
        <v>62</v>
      </c>
      <c r="D177" s="3" t="s">
        <v>63</v>
      </c>
      <c r="E177" s="3" t="s">
        <v>63</v>
      </c>
      <c r="F177" s="3" t="s">
        <v>208</v>
      </c>
      <c r="G177" s="4" t="s">
        <v>85</v>
      </c>
      <c r="H177" s="4">
        <v>14</v>
      </c>
      <c r="I177" s="4">
        <v>9</v>
      </c>
      <c r="J177" s="4">
        <v>9</v>
      </c>
      <c r="K177" s="5">
        <v>5992.57</v>
      </c>
      <c r="L177" s="5">
        <v>5992.57</v>
      </c>
      <c r="M177" s="5">
        <v>0</v>
      </c>
      <c r="N177" s="4">
        <v>2</v>
      </c>
      <c r="O177" s="5">
        <v>5514.15</v>
      </c>
      <c r="P177" s="5">
        <v>5514.15</v>
      </c>
      <c r="Q177" s="5">
        <v>0</v>
      </c>
      <c r="R177" s="6"/>
    </row>
    <row r="178" spans="1:18" x14ac:dyDescent="0.25">
      <c r="A178" s="36">
        <f t="shared" si="9"/>
        <v>47</v>
      </c>
      <c r="B178" s="3" t="s">
        <v>33</v>
      </c>
      <c r="C178" s="3" t="s">
        <v>62</v>
      </c>
      <c r="D178" s="3" t="s">
        <v>63</v>
      </c>
      <c r="E178" s="3" t="s">
        <v>74</v>
      </c>
      <c r="F178" s="3" t="s">
        <v>209</v>
      </c>
      <c r="G178" s="4" t="s">
        <v>85</v>
      </c>
      <c r="H178" s="4">
        <v>30</v>
      </c>
      <c r="I178" s="4">
        <v>22</v>
      </c>
      <c r="J178" s="4">
        <v>26</v>
      </c>
      <c r="K178" s="5">
        <v>31117.84</v>
      </c>
      <c r="L178" s="5">
        <v>31117.84</v>
      </c>
      <c r="M178" s="5">
        <v>0</v>
      </c>
      <c r="N178" s="4">
        <v>34</v>
      </c>
      <c r="O178" s="5">
        <v>81981.710000000006</v>
      </c>
      <c r="P178" s="5">
        <v>71790.759999999995</v>
      </c>
      <c r="Q178" s="5">
        <v>10190.950000000001</v>
      </c>
      <c r="R178" s="6"/>
    </row>
    <row r="179" spans="1:18" x14ac:dyDescent="0.25">
      <c r="A179" s="36">
        <f t="shared" si="9"/>
        <v>48</v>
      </c>
      <c r="B179" s="3" t="s">
        <v>32</v>
      </c>
      <c r="C179" s="3" t="s">
        <v>62</v>
      </c>
      <c r="D179" s="3" t="s">
        <v>63</v>
      </c>
      <c r="E179" s="3" t="s">
        <v>74</v>
      </c>
      <c r="F179" s="3" t="s">
        <v>207</v>
      </c>
      <c r="G179" s="4" t="s">
        <v>85</v>
      </c>
      <c r="H179" s="4">
        <v>33</v>
      </c>
      <c r="I179" s="4">
        <v>26</v>
      </c>
      <c r="J179" s="4">
        <v>28</v>
      </c>
      <c r="K179" s="5">
        <v>17066.91</v>
      </c>
      <c r="L179" s="5">
        <v>17066.91</v>
      </c>
      <c r="M179" s="5">
        <v>0</v>
      </c>
      <c r="N179" s="4">
        <v>32</v>
      </c>
      <c r="O179" s="5">
        <v>68847.38</v>
      </c>
      <c r="P179" s="5">
        <v>68847.38</v>
      </c>
      <c r="Q179" s="5">
        <v>0</v>
      </c>
      <c r="R179" s="6"/>
    </row>
    <row r="180" spans="1:18" ht="25.5" x14ac:dyDescent="0.25">
      <c r="A180" s="36">
        <f t="shared" si="9"/>
        <v>49</v>
      </c>
      <c r="B180" s="3" t="s">
        <v>541</v>
      </c>
      <c r="C180" s="3" t="s">
        <v>62</v>
      </c>
      <c r="D180" s="3"/>
      <c r="E180" s="3" t="s">
        <v>177</v>
      </c>
      <c r="F180" s="3" t="s">
        <v>542</v>
      </c>
      <c r="G180" s="4" t="s">
        <v>85</v>
      </c>
      <c r="H180" s="4">
        <v>12</v>
      </c>
      <c r="I180" s="4">
        <v>4</v>
      </c>
      <c r="J180" s="4">
        <v>5</v>
      </c>
      <c r="K180" s="5">
        <v>0</v>
      </c>
      <c r="L180" s="5">
        <v>0</v>
      </c>
      <c r="M180" s="5">
        <v>0</v>
      </c>
      <c r="N180" s="4">
        <v>0</v>
      </c>
      <c r="O180" s="5">
        <v>0</v>
      </c>
      <c r="P180" s="5">
        <v>0</v>
      </c>
      <c r="Q180" s="5">
        <v>0</v>
      </c>
      <c r="R180" s="6"/>
    </row>
    <row r="181" spans="1:18" x14ac:dyDescent="0.25">
      <c r="A181" s="36">
        <f t="shared" si="9"/>
        <v>50</v>
      </c>
      <c r="B181" s="3" t="s">
        <v>34</v>
      </c>
      <c r="C181" s="3" t="s">
        <v>62</v>
      </c>
      <c r="D181" s="3" t="s">
        <v>63</v>
      </c>
      <c r="E181" s="3" t="s">
        <v>74</v>
      </c>
      <c r="F181" s="3" t="s">
        <v>211</v>
      </c>
      <c r="G181" s="4" t="s">
        <v>85</v>
      </c>
      <c r="H181" s="4">
        <v>13</v>
      </c>
      <c r="I181" s="4">
        <v>8</v>
      </c>
      <c r="J181" s="4">
        <v>8</v>
      </c>
      <c r="K181" s="5">
        <v>3933.44</v>
      </c>
      <c r="L181" s="5">
        <v>3933.44</v>
      </c>
      <c r="M181" s="5">
        <v>0</v>
      </c>
      <c r="N181" s="4">
        <v>24</v>
      </c>
      <c r="O181" s="5">
        <v>66328.38</v>
      </c>
      <c r="P181" s="5">
        <v>66328.38</v>
      </c>
      <c r="Q181" s="5">
        <v>0</v>
      </c>
      <c r="R181" s="6"/>
    </row>
    <row r="182" spans="1:18" ht="25.5" x14ac:dyDescent="0.25">
      <c r="A182" s="36">
        <f t="shared" si="9"/>
        <v>51</v>
      </c>
      <c r="B182" s="3" t="s">
        <v>154</v>
      </c>
      <c r="C182" s="3" t="s">
        <v>62</v>
      </c>
      <c r="D182" s="3" t="s">
        <v>63</v>
      </c>
      <c r="E182" s="3" t="s">
        <v>72</v>
      </c>
      <c r="F182" s="3" t="s">
        <v>212</v>
      </c>
      <c r="G182" s="4" t="s">
        <v>85</v>
      </c>
      <c r="H182" s="4">
        <v>5</v>
      </c>
      <c r="I182" s="4">
        <v>0</v>
      </c>
      <c r="J182" s="4">
        <v>0</v>
      </c>
      <c r="K182" s="5">
        <v>0</v>
      </c>
      <c r="L182" s="5">
        <v>0</v>
      </c>
      <c r="M182" s="5">
        <v>0</v>
      </c>
      <c r="N182" s="4">
        <v>1</v>
      </c>
      <c r="O182" s="5">
        <v>4636.17</v>
      </c>
      <c r="P182" s="5">
        <v>4636.17</v>
      </c>
      <c r="Q182" s="5">
        <v>0</v>
      </c>
      <c r="R182" s="6"/>
    </row>
    <row r="183" spans="1:18" x14ac:dyDescent="0.25">
      <c r="A183" s="36">
        <f t="shared" si="9"/>
        <v>52</v>
      </c>
      <c r="B183" s="3" t="s">
        <v>153</v>
      </c>
      <c r="C183" s="3" t="s">
        <v>62</v>
      </c>
      <c r="D183" s="3" t="s">
        <v>63</v>
      </c>
      <c r="E183" s="3" t="s">
        <v>74</v>
      </c>
      <c r="F183" s="3" t="s">
        <v>210</v>
      </c>
      <c r="G183" s="4" t="s">
        <v>85</v>
      </c>
      <c r="H183" s="4">
        <v>0</v>
      </c>
      <c r="I183" s="4">
        <v>0</v>
      </c>
      <c r="J183" s="4">
        <v>0</v>
      </c>
      <c r="K183" s="5">
        <v>0</v>
      </c>
      <c r="L183" s="5">
        <v>0</v>
      </c>
      <c r="M183" s="5">
        <v>0</v>
      </c>
      <c r="N183" s="4">
        <v>3</v>
      </c>
      <c r="O183" s="5">
        <v>9709.0400000000009</v>
      </c>
      <c r="P183" s="5">
        <v>9709.0400000000009</v>
      </c>
      <c r="Q183" s="5">
        <v>0</v>
      </c>
      <c r="R183" s="6"/>
    </row>
    <row r="184" spans="1:18" x14ac:dyDescent="0.25">
      <c r="A184" s="36">
        <f t="shared" si="9"/>
        <v>53</v>
      </c>
      <c r="B184" s="3" t="s">
        <v>109</v>
      </c>
      <c r="C184" s="3" t="s">
        <v>62</v>
      </c>
      <c r="D184" s="3" t="s">
        <v>63</v>
      </c>
      <c r="E184" s="3" t="s">
        <v>74</v>
      </c>
      <c r="F184" s="3" t="s">
        <v>213</v>
      </c>
      <c r="G184" s="4" t="s">
        <v>85</v>
      </c>
      <c r="H184" s="4">
        <v>0</v>
      </c>
      <c r="I184" s="4">
        <v>0</v>
      </c>
      <c r="J184" s="4">
        <v>0</v>
      </c>
      <c r="K184" s="5">
        <v>0</v>
      </c>
      <c r="L184" s="5">
        <v>0</v>
      </c>
      <c r="M184" s="5">
        <v>0</v>
      </c>
      <c r="N184" s="4">
        <v>2</v>
      </c>
      <c r="O184" s="5">
        <v>0</v>
      </c>
      <c r="P184" s="5">
        <v>0</v>
      </c>
      <c r="Q184" s="5">
        <v>0</v>
      </c>
      <c r="R184" s="6"/>
    </row>
    <row r="185" spans="1:18" x14ac:dyDescent="0.25">
      <c r="A185" s="36">
        <f t="shared" si="9"/>
        <v>54</v>
      </c>
      <c r="B185" s="3" t="s">
        <v>110</v>
      </c>
      <c r="C185" s="3" t="s">
        <v>62</v>
      </c>
      <c r="D185" s="3" t="s">
        <v>63</v>
      </c>
      <c r="E185" s="3" t="s">
        <v>74</v>
      </c>
      <c r="F185" s="3" t="s">
        <v>214</v>
      </c>
      <c r="G185" s="4" t="s">
        <v>85</v>
      </c>
      <c r="H185" s="4">
        <v>0</v>
      </c>
      <c r="I185" s="4">
        <v>0</v>
      </c>
      <c r="J185" s="4">
        <v>0</v>
      </c>
      <c r="K185" s="5">
        <v>0</v>
      </c>
      <c r="L185" s="5">
        <v>0</v>
      </c>
      <c r="M185" s="5">
        <v>0</v>
      </c>
      <c r="N185" s="4">
        <v>0</v>
      </c>
      <c r="O185" s="5">
        <v>12489.14</v>
      </c>
      <c r="P185" s="5">
        <v>12489.14</v>
      </c>
      <c r="Q185" s="5">
        <v>0</v>
      </c>
      <c r="R185" s="6"/>
    </row>
    <row r="186" spans="1:18" x14ac:dyDescent="0.25">
      <c r="A186" s="36">
        <f t="shared" si="9"/>
        <v>55</v>
      </c>
      <c r="B186" s="3" t="s">
        <v>111</v>
      </c>
      <c r="C186" s="3" t="s">
        <v>112</v>
      </c>
      <c r="D186" s="3" t="s">
        <v>113</v>
      </c>
      <c r="E186" s="3" t="s">
        <v>63</v>
      </c>
      <c r="F186" s="3" t="s">
        <v>139</v>
      </c>
      <c r="G186" s="4" t="s">
        <v>85</v>
      </c>
      <c r="H186" s="4">
        <v>1</v>
      </c>
      <c r="I186" s="4">
        <v>0</v>
      </c>
      <c r="J186" s="4">
        <v>0</v>
      </c>
      <c r="K186" s="5">
        <v>0</v>
      </c>
      <c r="L186" s="5">
        <v>0</v>
      </c>
      <c r="M186" s="5">
        <v>0</v>
      </c>
      <c r="N186" s="4">
        <v>0</v>
      </c>
      <c r="O186" s="5">
        <v>0</v>
      </c>
      <c r="P186" s="5">
        <v>0</v>
      </c>
      <c r="Q186" s="5">
        <v>0</v>
      </c>
      <c r="R186" s="6"/>
    </row>
    <row r="187" spans="1:18" x14ac:dyDescent="0.25">
      <c r="A187" s="36">
        <f t="shared" si="9"/>
        <v>56</v>
      </c>
      <c r="B187" s="3" t="s">
        <v>92</v>
      </c>
      <c r="C187" s="3" t="s">
        <v>62</v>
      </c>
      <c r="D187" s="3" t="s">
        <v>63</v>
      </c>
      <c r="E187" s="3" t="s">
        <v>74</v>
      </c>
      <c r="F187" s="3" t="s">
        <v>215</v>
      </c>
      <c r="G187" s="4" t="s">
        <v>85</v>
      </c>
      <c r="H187" s="4">
        <v>29</v>
      </c>
      <c r="I187" s="4">
        <v>25</v>
      </c>
      <c r="J187" s="4">
        <v>29</v>
      </c>
      <c r="K187" s="5">
        <v>17600.349999999999</v>
      </c>
      <c r="L187" s="5">
        <v>17600.349999999999</v>
      </c>
      <c r="M187" s="5">
        <v>0</v>
      </c>
      <c r="N187" s="4">
        <v>10</v>
      </c>
      <c r="O187" s="5">
        <v>18181.04</v>
      </c>
      <c r="P187" s="5">
        <v>18181.04</v>
      </c>
      <c r="Q187" s="5">
        <v>0</v>
      </c>
      <c r="R187" s="6"/>
    </row>
    <row r="188" spans="1:18" ht="25.5" x14ac:dyDescent="0.25">
      <c r="A188" s="36">
        <f t="shared" si="9"/>
        <v>57</v>
      </c>
      <c r="B188" s="3" t="s">
        <v>216</v>
      </c>
      <c r="C188" s="3" t="s">
        <v>67</v>
      </c>
      <c r="D188" s="3" t="s">
        <v>436</v>
      </c>
      <c r="E188" s="3" t="s">
        <v>217</v>
      </c>
      <c r="F188" s="3" t="s">
        <v>218</v>
      </c>
      <c r="G188" s="4" t="s">
        <v>85</v>
      </c>
      <c r="H188" s="4">
        <v>9</v>
      </c>
      <c r="I188" s="4">
        <v>6</v>
      </c>
      <c r="J188" s="4">
        <v>5</v>
      </c>
      <c r="K188" s="5">
        <v>3386.04</v>
      </c>
      <c r="L188" s="5">
        <v>3386.04</v>
      </c>
      <c r="M188" s="5">
        <v>0</v>
      </c>
      <c r="N188" s="4">
        <v>0</v>
      </c>
      <c r="O188" s="5">
        <v>0</v>
      </c>
      <c r="P188" s="5">
        <v>0</v>
      </c>
      <c r="Q188" s="5">
        <v>0</v>
      </c>
      <c r="R188" s="6"/>
    </row>
    <row r="189" spans="1:18" ht="25.5" x14ac:dyDescent="0.25">
      <c r="A189" s="36">
        <f t="shared" si="9"/>
        <v>58</v>
      </c>
      <c r="B189" s="3" t="s">
        <v>35</v>
      </c>
      <c r="C189" s="3" t="s">
        <v>62</v>
      </c>
      <c r="D189" s="3" t="s">
        <v>63</v>
      </c>
      <c r="E189" s="3" t="s">
        <v>219</v>
      </c>
      <c r="F189" s="3" t="s">
        <v>220</v>
      </c>
      <c r="G189" s="4" t="s">
        <v>85</v>
      </c>
      <c r="H189" s="4">
        <v>41</v>
      </c>
      <c r="I189" s="4">
        <v>39</v>
      </c>
      <c r="J189" s="4">
        <v>44</v>
      </c>
      <c r="K189" s="5">
        <v>31130.07</v>
      </c>
      <c r="L189" s="5">
        <v>20431.93</v>
      </c>
      <c r="M189" s="5">
        <v>10698.14</v>
      </c>
      <c r="N189" s="4">
        <v>29</v>
      </c>
      <c r="O189" s="5">
        <v>52287.51</v>
      </c>
      <c r="P189" s="5">
        <v>51090.74</v>
      </c>
      <c r="Q189" s="5">
        <v>1196.77</v>
      </c>
      <c r="R189" s="6"/>
    </row>
    <row r="190" spans="1:18" ht="25.5" x14ac:dyDescent="0.25">
      <c r="A190" s="36">
        <f t="shared" si="9"/>
        <v>59</v>
      </c>
      <c r="B190" s="3" t="s">
        <v>114</v>
      </c>
      <c r="C190" s="3" t="s">
        <v>62</v>
      </c>
      <c r="D190" s="3" t="s">
        <v>63</v>
      </c>
      <c r="E190" s="3" t="s">
        <v>115</v>
      </c>
      <c r="F190" s="3" t="s">
        <v>221</v>
      </c>
      <c r="G190" s="4" t="s">
        <v>85</v>
      </c>
      <c r="H190" s="4">
        <v>5</v>
      </c>
      <c r="I190" s="4">
        <v>0</v>
      </c>
      <c r="J190" s="4">
        <v>0</v>
      </c>
      <c r="K190" s="5">
        <v>0</v>
      </c>
      <c r="L190" s="5">
        <v>0</v>
      </c>
      <c r="M190" s="5">
        <v>0</v>
      </c>
      <c r="N190" s="4">
        <v>0</v>
      </c>
      <c r="O190" s="5">
        <v>1108.48</v>
      </c>
      <c r="P190" s="5">
        <v>1108.48</v>
      </c>
      <c r="Q190" s="5">
        <v>0</v>
      </c>
      <c r="R190" s="6"/>
    </row>
    <row r="191" spans="1:18" ht="25.5" x14ac:dyDescent="0.25">
      <c r="A191" s="36">
        <f t="shared" si="9"/>
        <v>60</v>
      </c>
      <c r="B191" s="3" t="s">
        <v>222</v>
      </c>
      <c r="C191" s="3" t="s">
        <v>64</v>
      </c>
      <c r="D191" s="3" t="s">
        <v>607</v>
      </c>
      <c r="E191" s="3" t="s">
        <v>223</v>
      </c>
      <c r="F191" s="3" t="s">
        <v>224</v>
      </c>
      <c r="G191" s="4" t="s">
        <v>85</v>
      </c>
      <c r="H191" s="4">
        <v>14</v>
      </c>
      <c r="I191" s="4">
        <v>10</v>
      </c>
      <c r="J191" s="4">
        <v>12</v>
      </c>
      <c r="K191" s="5">
        <v>10358.92</v>
      </c>
      <c r="L191" s="5">
        <v>10358.92</v>
      </c>
      <c r="M191" s="5">
        <v>0</v>
      </c>
      <c r="N191" s="4">
        <v>0</v>
      </c>
      <c r="O191" s="5">
        <v>0</v>
      </c>
      <c r="P191" s="5">
        <v>0</v>
      </c>
      <c r="Q191" s="5">
        <v>0</v>
      </c>
      <c r="R191" s="6"/>
    </row>
    <row r="192" spans="1:18" x14ac:dyDescent="0.25">
      <c r="A192" s="36">
        <f t="shared" si="9"/>
        <v>61</v>
      </c>
      <c r="B192" s="3" t="s">
        <v>93</v>
      </c>
      <c r="C192" s="3" t="s">
        <v>62</v>
      </c>
      <c r="D192" s="3" t="s">
        <v>63</v>
      </c>
      <c r="E192" s="3" t="s">
        <v>74</v>
      </c>
      <c r="F192" s="3" t="s">
        <v>225</v>
      </c>
      <c r="G192" s="4" t="s">
        <v>85</v>
      </c>
      <c r="H192" s="4">
        <v>11</v>
      </c>
      <c r="I192" s="4">
        <v>3</v>
      </c>
      <c r="J192" s="4">
        <v>3</v>
      </c>
      <c r="K192" s="5">
        <v>1233.4000000000001</v>
      </c>
      <c r="L192" s="5">
        <v>1233.4000000000001</v>
      </c>
      <c r="M192" s="5">
        <v>0</v>
      </c>
      <c r="N192" s="4">
        <v>6</v>
      </c>
      <c r="O192" s="5">
        <v>3194.66</v>
      </c>
      <c r="P192" s="5">
        <v>3194.66</v>
      </c>
      <c r="Q192" s="5">
        <v>0</v>
      </c>
      <c r="R192" s="6"/>
    </row>
    <row r="193" spans="1:18" ht="25.5" x14ac:dyDescent="0.25">
      <c r="A193" s="36">
        <f t="shared" si="9"/>
        <v>62</v>
      </c>
      <c r="B193" s="3" t="s">
        <v>226</v>
      </c>
      <c r="C193" s="3" t="s">
        <v>62</v>
      </c>
      <c r="D193" s="3"/>
      <c r="E193" s="3" t="s">
        <v>174</v>
      </c>
      <c r="F193" s="3" t="s">
        <v>227</v>
      </c>
      <c r="G193" s="4" t="s">
        <v>85</v>
      </c>
      <c r="H193" s="4">
        <v>15</v>
      </c>
      <c r="I193" s="4">
        <v>11</v>
      </c>
      <c r="J193" s="4">
        <v>10</v>
      </c>
      <c r="K193" s="5">
        <v>16022.52</v>
      </c>
      <c r="L193" s="5">
        <v>16022.52</v>
      </c>
      <c r="M193" s="5">
        <v>0</v>
      </c>
      <c r="N193" s="4">
        <v>0</v>
      </c>
      <c r="O193" s="5">
        <v>0</v>
      </c>
      <c r="P193" s="5">
        <v>0</v>
      </c>
      <c r="Q193" s="5">
        <v>0</v>
      </c>
      <c r="R193" s="6"/>
    </row>
    <row r="194" spans="1:18" ht="25.5" x14ac:dyDescent="0.25">
      <c r="A194" s="36">
        <f t="shared" si="9"/>
        <v>63</v>
      </c>
      <c r="B194" s="3" t="s">
        <v>228</v>
      </c>
      <c r="C194" s="3" t="s">
        <v>62</v>
      </c>
      <c r="D194" s="3"/>
      <c r="E194" s="3" t="s">
        <v>229</v>
      </c>
      <c r="F194" s="3" t="s">
        <v>230</v>
      </c>
      <c r="G194" s="4" t="s">
        <v>85</v>
      </c>
      <c r="H194" s="4">
        <v>20</v>
      </c>
      <c r="I194" s="4">
        <v>6</v>
      </c>
      <c r="J194" s="4">
        <v>6</v>
      </c>
      <c r="K194" s="5">
        <v>0</v>
      </c>
      <c r="L194" s="5">
        <v>0</v>
      </c>
      <c r="M194" s="5">
        <v>0</v>
      </c>
      <c r="N194" s="4">
        <v>0</v>
      </c>
      <c r="O194" s="5">
        <v>0</v>
      </c>
      <c r="P194" s="5">
        <v>0</v>
      </c>
      <c r="Q194" s="5">
        <v>0</v>
      </c>
      <c r="R194" s="6"/>
    </row>
    <row r="195" spans="1:18" ht="25.5" x14ac:dyDescent="0.25">
      <c r="A195" s="36">
        <f t="shared" si="9"/>
        <v>64</v>
      </c>
      <c r="B195" s="3" t="s">
        <v>232</v>
      </c>
      <c r="C195" s="3" t="s">
        <v>62</v>
      </c>
      <c r="D195" s="3"/>
      <c r="E195" s="3" t="s">
        <v>174</v>
      </c>
      <c r="F195" s="3" t="s">
        <v>233</v>
      </c>
      <c r="G195" s="4" t="s">
        <v>85</v>
      </c>
      <c r="H195" s="4">
        <v>8</v>
      </c>
      <c r="I195" s="4">
        <v>6</v>
      </c>
      <c r="J195" s="4">
        <v>7</v>
      </c>
      <c r="K195" s="5">
        <v>0</v>
      </c>
      <c r="L195" s="5">
        <v>0</v>
      </c>
      <c r="M195" s="5">
        <v>0</v>
      </c>
      <c r="N195" s="4">
        <v>0</v>
      </c>
      <c r="O195" s="5">
        <v>0</v>
      </c>
      <c r="P195" s="5">
        <v>0</v>
      </c>
      <c r="Q195" s="5">
        <v>0</v>
      </c>
      <c r="R195" s="6"/>
    </row>
    <row r="196" spans="1:18" ht="25.5" x14ac:dyDescent="0.25">
      <c r="A196" s="36">
        <f t="shared" si="9"/>
        <v>65</v>
      </c>
      <c r="B196" s="3" t="s">
        <v>487</v>
      </c>
      <c r="C196" s="3" t="s">
        <v>62</v>
      </c>
      <c r="D196" s="3"/>
      <c r="E196" s="3" t="s">
        <v>282</v>
      </c>
      <c r="F196" s="3" t="s">
        <v>488</v>
      </c>
      <c r="G196" s="4" t="s">
        <v>85</v>
      </c>
      <c r="H196" s="4">
        <v>8</v>
      </c>
      <c r="I196" s="4">
        <v>0</v>
      </c>
      <c r="J196" s="4">
        <v>0</v>
      </c>
      <c r="K196" s="5">
        <v>0</v>
      </c>
      <c r="L196" s="5">
        <v>0</v>
      </c>
      <c r="M196" s="5">
        <v>0</v>
      </c>
      <c r="N196" s="4">
        <v>0</v>
      </c>
      <c r="O196" s="5">
        <v>0</v>
      </c>
      <c r="P196" s="5">
        <v>0</v>
      </c>
      <c r="Q196" s="5">
        <v>0</v>
      </c>
      <c r="R196" s="6"/>
    </row>
    <row r="197" spans="1:18" x14ac:dyDescent="0.25">
      <c r="A197" s="36">
        <f t="shared" si="9"/>
        <v>66</v>
      </c>
      <c r="B197" s="3" t="s">
        <v>116</v>
      </c>
      <c r="C197" s="3" t="s">
        <v>62</v>
      </c>
      <c r="D197" s="3" t="s">
        <v>63</v>
      </c>
      <c r="E197" s="3" t="s">
        <v>74</v>
      </c>
      <c r="F197" s="3" t="s">
        <v>231</v>
      </c>
      <c r="G197" s="4" t="s">
        <v>85</v>
      </c>
      <c r="H197" s="4">
        <v>26</v>
      </c>
      <c r="I197" s="4">
        <v>16</v>
      </c>
      <c r="J197" s="4">
        <v>18</v>
      </c>
      <c r="K197" s="5">
        <v>29296.92</v>
      </c>
      <c r="L197" s="5">
        <v>29296.92</v>
      </c>
      <c r="M197" s="5">
        <v>0</v>
      </c>
      <c r="N197" s="4">
        <v>3</v>
      </c>
      <c r="O197" s="5">
        <v>5058.49</v>
      </c>
      <c r="P197" s="5">
        <v>5058.49</v>
      </c>
      <c r="Q197" s="5">
        <v>0</v>
      </c>
      <c r="R197" s="6"/>
    </row>
    <row r="198" spans="1:18" ht="25.5" x14ac:dyDescent="0.25">
      <c r="A198" s="36">
        <f t="shared" ref="A198:A261" si="10">A197+1</f>
        <v>67</v>
      </c>
      <c r="B198" s="3" t="s">
        <v>37</v>
      </c>
      <c r="C198" s="3" t="s">
        <v>62</v>
      </c>
      <c r="D198" s="3" t="s">
        <v>63</v>
      </c>
      <c r="E198" s="3" t="s">
        <v>70</v>
      </c>
      <c r="F198" s="3" t="s">
        <v>234</v>
      </c>
      <c r="G198" s="4" t="s">
        <v>85</v>
      </c>
      <c r="H198" s="4">
        <v>15</v>
      </c>
      <c r="I198" s="4">
        <v>9</v>
      </c>
      <c r="J198" s="4">
        <v>9</v>
      </c>
      <c r="K198" s="5">
        <v>3700.2</v>
      </c>
      <c r="L198" s="5">
        <v>3700.2</v>
      </c>
      <c r="M198" s="5">
        <v>0</v>
      </c>
      <c r="N198" s="4">
        <v>3</v>
      </c>
      <c r="O198" s="5">
        <v>2111.7399999999998</v>
      </c>
      <c r="P198" s="5">
        <v>2111.7399999999998</v>
      </c>
      <c r="Q198" s="5">
        <v>0</v>
      </c>
      <c r="R198" s="6"/>
    </row>
    <row r="199" spans="1:18" ht="38.25" x14ac:dyDescent="0.25">
      <c r="A199" s="36">
        <f t="shared" si="10"/>
        <v>68</v>
      </c>
      <c r="B199" s="3" t="s">
        <v>235</v>
      </c>
      <c r="C199" s="3" t="s">
        <v>62</v>
      </c>
      <c r="D199" s="3"/>
      <c r="E199" s="3" t="s">
        <v>236</v>
      </c>
      <c r="F199" s="3" t="s">
        <v>237</v>
      </c>
      <c r="G199" s="4" t="s">
        <v>85</v>
      </c>
      <c r="H199" s="4">
        <v>5</v>
      </c>
      <c r="I199" s="4">
        <v>3</v>
      </c>
      <c r="J199" s="4">
        <v>4</v>
      </c>
      <c r="K199" s="5">
        <v>528.6</v>
      </c>
      <c r="L199" s="5">
        <v>528.6</v>
      </c>
      <c r="M199" s="5">
        <v>0</v>
      </c>
      <c r="N199" s="4">
        <v>0</v>
      </c>
      <c r="O199" s="5">
        <v>0</v>
      </c>
      <c r="P199" s="5">
        <v>0</v>
      </c>
      <c r="Q199" s="5">
        <v>0</v>
      </c>
      <c r="R199" s="6"/>
    </row>
    <row r="200" spans="1:18" ht="25.5" x14ac:dyDescent="0.25">
      <c r="A200" s="36">
        <f t="shared" si="10"/>
        <v>69</v>
      </c>
      <c r="B200" s="3" t="s">
        <v>238</v>
      </c>
      <c r="C200" s="3" t="s">
        <v>62</v>
      </c>
      <c r="D200" s="3"/>
      <c r="E200" s="3" t="s">
        <v>239</v>
      </c>
      <c r="F200" s="3" t="s">
        <v>240</v>
      </c>
      <c r="G200" s="4" t="s">
        <v>85</v>
      </c>
      <c r="H200" s="4">
        <v>9</v>
      </c>
      <c r="I200" s="4">
        <v>8</v>
      </c>
      <c r="J200" s="4">
        <v>9</v>
      </c>
      <c r="K200" s="5">
        <v>8493.5499999999993</v>
      </c>
      <c r="L200" s="5">
        <v>8493.5499999999993</v>
      </c>
      <c r="M200" s="5">
        <v>0</v>
      </c>
      <c r="N200" s="4">
        <v>0</v>
      </c>
      <c r="O200" s="5">
        <v>0</v>
      </c>
      <c r="P200" s="5">
        <v>0</v>
      </c>
      <c r="Q200" s="5">
        <v>0</v>
      </c>
      <c r="R200" s="6"/>
    </row>
    <row r="201" spans="1:18" ht="25.5" x14ac:dyDescent="0.25">
      <c r="A201" s="36">
        <f t="shared" si="10"/>
        <v>70</v>
      </c>
      <c r="B201" s="3" t="s">
        <v>357</v>
      </c>
      <c r="C201" s="3" t="s">
        <v>64</v>
      </c>
      <c r="D201" s="3" t="s">
        <v>608</v>
      </c>
      <c r="E201" s="3" t="s">
        <v>74</v>
      </c>
      <c r="F201" s="3" t="s">
        <v>586</v>
      </c>
      <c r="G201" s="4" t="s">
        <v>85</v>
      </c>
      <c r="H201" s="4">
        <v>0</v>
      </c>
      <c r="I201" s="4">
        <v>0</v>
      </c>
      <c r="J201" s="4">
        <v>0</v>
      </c>
      <c r="K201" s="5">
        <v>0</v>
      </c>
      <c r="L201" s="5">
        <v>0</v>
      </c>
      <c r="M201" s="5">
        <v>0</v>
      </c>
      <c r="N201" s="4">
        <v>1</v>
      </c>
      <c r="O201" s="5">
        <v>0</v>
      </c>
      <c r="P201" s="5">
        <v>0</v>
      </c>
      <c r="Q201" s="5">
        <v>0</v>
      </c>
      <c r="R201" s="6"/>
    </row>
    <row r="202" spans="1:18" x14ac:dyDescent="0.25">
      <c r="A202" s="36">
        <f t="shared" si="10"/>
        <v>71</v>
      </c>
      <c r="B202" s="3" t="s">
        <v>36</v>
      </c>
      <c r="C202" s="3" t="s">
        <v>62</v>
      </c>
      <c r="D202" s="3" t="s">
        <v>63</v>
      </c>
      <c r="E202" s="3" t="s">
        <v>74</v>
      </c>
      <c r="F202" s="3" t="s">
        <v>465</v>
      </c>
      <c r="G202" s="4" t="s">
        <v>85</v>
      </c>
      <c r="H202" s="4">
        <v>5</v>
      </c>
      <c r="I202" s="4">
        <v>1</v>
      </c>
      <c r="J202" s="4">
        <v>1</v>
      </c>
      <c r="K202" s="5">
        <v>0</v>
      </c>
      <c r="L202" s="5">
        <v>0</v>
      </c>
      <c r="M202" s="5">
        <v>0</v>
      </c>
      <c r="N202" s="4">
        <v>4</v>
      </c>
      <c r="O202" s="5">
        <f>2026.3+616.7</f>
        <v>2643</v>
      </c>
      <c r="P202" s="5">
        <f>2026.3+616.7</f>
        <v>2643</v>
      </c>
      <c r="Q202" s="5">
        <v>0</v>
      </c>
      <c r="R202" s="6"/>
    </row>
    <row r="203" spans="1:18" x14ac:dyDescent="0.25">
      <c r="A203" s="36">
        <f t="shared" si="10"/>
        <v>72</v>
      </c>
      <c r="B203" s="3" t="s">
        <v>39</v>
      </c>
      <c r="C203" s="3" t="s">
        <v>62</v>
      </c>
      <c r="D203" s="3" t="s">
        <v>63</v>
      </c>
      <c r="E203" s="3" t="s">
        <v>77</v>
      </c>
      <c r="F203" s="3" t="s">
        <v>466</v>
      </c>
      <c r="G203" s="4" t="s">
        <v>85</v>
      </c>
      <c r="H203" s="4">
        <v>64</v>
      </c>
      <c r="I203" s="4">
        <v>44</v>
      </c>
      <c r="J203" s="4">
        <v>49</v>
      </c>
      <c r="K203" s="5">
        <v>11589.93</v>
      </c>
      <c r="L203" s="5">
        <v>11589.93</v>
      </c>
      <c r="M203" s="5">
        <v>0</v>
      </c>
      <c r="N203" s="4">
        <v>7</v>
      </c>
      <c r="O203" s="5">
        <v>11533.38</v>
      </c>
      <c r="P203" s="5">
        <v>11533.38</v>
      </c>
      <c r="Q203" s="5">
        <v>0</v>
      </c>
      <c r="R203" s="6"/>
    </row>
    <row r="204" spans="1:18" ht="38.25" x14ac:dyDescent="0.25">
      <c r="A204" s="36">
        <f t="shared" si="10"/>
        <v>73</v>
      </c>
      <c r="B204" s="3" t="s">
        <v>40</v>
      </c>
      <c r="C204" s="3" t="s">
        <v>62</v>
      </c>
      <c r="D204" s="3" t="s">
        <v>63</v>
      </c>
      <c r="E204" s="3" t="s">
        <v>249</v>
      </c>
      <c r="F204" s="3" t="s">
        <v>250</v>
      </c>
      <c r="G204" s="4" t="s">
        <v>85</v>
      </c>
      <c r="H204" s="4">
        <v>20</v>
      </c>
      <c r="I204" s="4">
        <v>18</v>
      </c>
      <c r="J204" s="4">
        <v>24</v>
      </c>
      <c r="K204" s="5">
        <v>47627.72</v>
      </c>
      <c r="L204" s="5">
        <v>41183.26</v>
      </c>
      <c r="M204" s="5">
        <v>6444.46</v>
      </c>
      <c r="N204" s="4">
        <v>17</v>
      </c>
      <c r="O204" s="5">
        <v>44654.28</v>
      </c>
      <c r="P204" s="5">
        <v>44654.28</v>
      </c>
      <c r="Q204" s="5">
        <v>0</v>
      </c>
      <c r="R204" s="6"/>
    </row>
    <row r="205" spans="1:18" ht="25.5" x14ac:dyDescent="0.25">
      <c r="A205" s="36">
        <f t="shared" si="10"/>
        <v>74</v>
      </c>
      <c r="B205" s="3" t="s">
        <v>251</v>
      </c>
      <c r="C205" s="3" t="s">
        <v>62</v>
      </c>
      <c r="D205" s="3"/>
      <c r="E205" s="3" t="s">
        <v>177</v>
      </c>
      <c r="F205" s="3" t="s">
        <v>252</v>
      </c>
      <c r="G205" s="4" t="s">
        <v>85</v>
      </c>
      <c r="H205" s="4">
        <v>22</v>
      </c>
      <c r="I205" s="4">
        <v>13</v>
      </c>
      <c r="J205" s="4">
        <v>18</v>
      </c>
      <c r="K205" s="5">
        <v>26456.78</v>
      </c>
      <c r="L205" s="5">
        <v>24231.37</v>
      </c>
      <c r="M205" s="5">
        <v>2225.41</v>
      </c>
      <c r="N205" s="4">
        <v>0</v>
      </c>
      <c r="O205" s="5">
        <v>0</v>
      </c>
      <c r="P205" s="5">
        <v>0</v>
      </c>
      <c r="Q205" s="5">
        <v>0</v>
      </c>
      <c r="R205" s="6"/>
    </row>
    <row r="206" spans="1:18" x14ac:dyDescent="0.25">
      <c r="A206" s="36">
        <f t="shared" si="10"/>
        <v>75</v>
      </c>
      <c r="B206" s="3" t="s">
        <v>117</v>
      </c>
      <c r="C206" s="3" t="s">
        <v>62</v>
      </c>
      <c r="D206" s="3" t="s">
        <v>63</v>
      </c>
      <c r="E206" s="3" t="s">
        <v>74</v>
      </c>
      <c r="F206" s="3" t="s">
        <v>520</v>
      </c>
      <c r="G206" s="4" t="s">
        <v>85</v>
      </c>
      <c r="H206" s="4">
        <v>1</v>
      </c>
      <c r="I206" s="4">
        <v>1</v>
      </c>
      <c r="J206" s="4">
        <v>1</v>
      </c>
      <c r="K206" s="5">
        <v>2616.5700000000002</v>
      </c>
      <c r="L206" s="5">
        <v>2616.5700000000002</v>
      </c>
      <c r="M206" s="5">
        <v>0</v>
      </c>
      <c r="N206" s="4">
        <v>1</v>
      </c>
      <c r="O206" s="5">
        <v>581.46</v>
      </c>
      <c r="P206" s="5">
        <v>581.46</v>
      </c>
      <c r="Q206" s="5">
        <v>0</v>
      </c>
      <c r="R206" s="6"/>
    </row>
    <row r="207" spans="1:18" ht="25.5" x14ac:dyDescent="0.25">
      <c r="A207" s="36">
        <f t="shared" si="10"/>
        <v>76</v>
      </c>
      <c r="B207" s="3" t="s">
        <v>41</v>
      </c>
      <c r="C207" s="3" t="s">
        <v>64</v>
      </c>
      <c r="D207" s="3" t="s">
        <v>65</v>
      </c>
      <c r="E207" s="3" t="s">
        <v>72</v>
      </c>
      <c r="F207" s="3" t="s">
        <v>253</v>
      </c>
      <c r="G207" s="4" t="s">
        <v>85</v>
      </c>
      <c r="H207" s="4">
        <v>2</v>
      </c>
      <c r="I207" s="4">
        <v>2</v>
      </c>
      <c r="J207" s="4">
        <v>2</v>
      </c>
      <c r="K207" s="5">
        <v>1575.23</v>
      </c>
      <c r="L207" s="5">
        <v>1575.23</v>
      </c>
      <c r="M207" s="5">
        <v>0</v>
      </c>
      <c r="N207" s="4">
        <v>12</v>
      </c>
      <c r="O207" s="5">
        <v>33315.620000000003</v>
      </c>
      <c r="P207" s="5">
        <v>33315.620000000003</v>
      </c>
      <c r="Q207" s="5">
        <v>0</v>
      </c>
      <c r="R207" s="6"/>
    </row>
    <row r="208" spans="1:18" x14ac:dyDescent="0.25">
      <c r="A208" s="36">
        <f t="shared" si="10"/>
        <v>77</v>
      </c>
      <c r="B208" s="3" t="s">
        <v>118</v>
      </c>
      <c r="C208" s="3" t="s">
        <v>62</v>
      </c>
      <c r="D208" s="3" t="s">
        <v>63</v>
      </c>
      <c r="E208" s="3" t="s">
        <v>63</v>
      </c>
      <c r="F208" s="3" t="s">
        <v>467</v>
      </c>
      <c r="G208" s="4" t="s">
        <v>85</v>
      </c>
      <c r="H208" s="4">
        <v>4</v>
      </c>
      <c r="I208" s="4">
        <v>1</v>
      </c>
      <c r="J208" s="4">
        <v>1</v>
      </c>
      <c r="K208" s="5">
        <v>9832.0300000000007</v>
      </c>
      <c r="L208" s="5">
        <v>9832.0300000000007</v>
      </c>
      <c r="M208" s="5">
        <v>0</v>
      </c>
      <c r="N208" s="4">
        <v>0</v>
      </c>
      <c r="O208" s="250">
        <v>0</v>
      </c>
      <c r="P208" s="250">
        <v>0</v>
      </c>
      <c r="Q208" s="5">
        <v>0</v>
      </c>
      <c r="R208" s="6"/>
    </row>
    <row r="209" spans="1:18" ht="25.5" x14ac:dyDescent="0.25">
      <c r="A209" s="36">
        <f t="shared" si="10"/>
        <v>78</v>
      </c>
      <c r="B209" s="3" t="s">
        <v>548</v>
      </c>
      <c r="C209" s="3" t="s">
        <v>62</v>
      </c>
      <c r="D209" s="3"/>
      <c r="E209" s="3" t="s">
        <v>549</v>
      </c>
      <c r="F209" s="3" t="s">
        <v>550</v>
      </c>
      <c r="G209" s="4" t="s">
        <v>85</v>
      </c>
      <c r="H209" s="4">
        <v>3</v>
      </c>
      <c r="I209" s="4">
        <v>1</v>
      </c>
      <c r="J209" s="4">
        <v>1</v>
      </c>
      <c r="K209" s="5">
        <v>0</v>
      </c>
      <c r="L209" s="5">
        <v>0</v>
      </c>
      <c r="M209" s="5">
        <v>0</v>
      </c>
      <c r="N209" s="4">
        <v>0</v>
      </c>
      <c r="O209" s="5">
        <v>0</v>
      </c>
      <c r="P209" s="5">
        <v>0</v>
      </c>
      <c r="Q209" s="5">
        <v>0</v>
      </c>
      <c r="R209" s="6"/>
    </row>
    <row r="210" spans="1:18" ht="25.5" x14ac:dyDescent="0.25">
      <c r="A210" s="36">
        <f t="shared" si="10"/>
        <v>79</v>
      </c>
      <c r="B210" s="3" t="s">
        <v>254</v>
      </c>
      <c r="C210" s="3" t="s">
        <v>62</v>
      </c>
      <c r="D210" s="3"/>
      <c r="E210" s="3" t="s">
        <v>239</v>
      </c>
      <c r="F210" s="3" t="s">
        <v>255</v>
      </c>
      <c r="G210" s="4" t="s">
        <v>85</v>
      </c>
      <c r="H210" s="4">
        <v>7</v>
      </c>
      <c r="I210" s="4">
        <v>2</v>
      </c>
      <c r="J210" s="4">
        <v>2</v>
      </c>
      <c r="K210" s="5">
        <v>0</v>
      </c>
      <c r="L210" s="5">
        <v>0</v>
      </c>
      <c r="M210" s="5">
        <v>0</v>
      </c>
      <c r="N210" s="4">
        <v>0</v>
      </c>
      <c r="O210" s="5">
        <v>0</v>
      </c>
      <c r="P210" s="5">
        <v>0</v>
      </c>
      <c r="Q210" s="5">
        <v>0</v>
      </c>
      <c r="R210" s="6"/>
    </row>
    <row r="211" spans="1:18" x14ac:dyDescent="0.25">
      <c r="A211" s="36">
        <f t="shared" si="10"/>
        <v>80</v>
      </c>
      <c r="B211" s="3" t="s">
        <v>587</v>
      </c>
      <c r="C211" s="3" t="s">
        <v>62</v>
      </c>
      <c r="D211" s="3" t="s">
        <v>63</v>
      </c>
      <c r="E211" s="3" t="s">
        <v>63</v>
      </c>
      <c r="F211" s="3" t="s">
        <v>609</v>
      </c>
      <c r="G211" s="4" t="s">
        <v>85</v>
      </c>
      <c r="H211" s="4">
        <v>0</v>
      </c>
      <c r="I211" s="4">
        <v>0</v>
      </c>
      <c r="J211" s="4">
        <v>0</v>
      </c>
      <c r="K211" s="5">
        <v>0</v>
      </c>
      <c r="L211" s="5">
        <v>0</v>
      </c>
      <c r="M211" s="5">
        <v>0</v>
      </c>
      <c r="N211" s="4">
        <v>1</v>
      </c>
      <c r="O211" s="5">
        <v>0</v>
      </c>
      <c r="P211" s="5">
        <v>0</v>
      </c>
      <c r="Q211" s="5">
        <v>0</v>
      </c>
      <c r="R211" s="6"/>
    </row>
    <row r="212" spans="1:18" ht="25.5" x14ac:dyDescent="0.25">
      <c r="A212" s="36">
        <f t="shared" si="10"/>
        <v>81</v>
      </c>
      <c r="B212" s="3" t="s">
        <v>241</v>
      </c>
      <c r="C212" s="3" t="s">
        <v>62</v>
      </c>
      <c r="D212" s="3"/>
      <c r="E212" s="3" t="s">
        <v>242</v>
      </c>
      <c r="F212" s="3" t="s">
        <v>243</v>
      </c>
      <c r="G212" s="4" t="s">
        <v>85</v>
      </c>
      <c r="H212" s="4">
        <v>8</v>
      </c>
      <c r="I212" s="4">
        <v>6</v>
      </c>
      <c r="J212" s="4">
        <v>6</v>
      </c>
      <c r="K212" s="5">
        <v>3433.01</v>
      </c>
      <c r="L212" s="5">
        <v>3433.01</v>
      </c>
      <c r="M212" s="5">
        <v>0</v>
      </c>
      <c r="N212" s="4">
        <v>0</v>
      </c>
      <c r="O212" s="5">
        <v>0</v>
      </c>
      <c r="P212" s="5">
        <v>0</v>
      </c>
      <c r="Q212" s="5">
        <v>0</v>
      </c>
      <c r="R212" s="6"/>
    </row>
    <row r="213" spans="1:18" ht="38.25" x14ac:dyDescent="0.25">
      <c r="A213" s="36">
        <f t="shared" si="10"/>
        <v>82</v>
      </c>
      <c r="B213" s="3" t="s">
        <v>38</v>
      </c>
      <c r="C213" s="3" t="s">
        <v>62</v>
      </c>
      <c r="D213" s="3" t="s">
        <v>63</v>
      </c>
      <c r="E213" s="3" t="s">
        <v>244</v>
      </c>
      <c r="F213" s="3" t="s">
        <v>245</v>
      </c>
      <c r="G213" s="4" t="s">
        <v>85</v>
      </c>
      <c r="H213" s="4">
        <v>61</v>
      </c>
      <c r="I213" s="4">
        <v>49</v>
      </c>
      <c r="J213" s="4">
        <v>76</v>
      </c>
      <c r="K213" s="5">
        <v>119240.35</v>
      </c>
      <c r="L213" s="5">
        <v>88032.26</v>
      </c>
      <c r="M213" s="5">
        <v>31208.09</v>
      </c>
      <c r="N213" s="4">
        <v>75</v>
      </c>
      <c r="O213" s="5">
        <v>203043.36</v>
      </c>
      <c r="P213" s="5">
        <v>180429.03</v>
      </c>
      <c r="Q213" s="5">
        <v>22614.33</v>
      </c>
      <c r="R213" s="6"/>
    </row>
    <row r="214" spans="1:18" ht="25.5" x14ac:dyDescent="0.25">
      <c r="A214" s="36">
        <f t="shared" si="10"/>
        <v>83</v>
      </c>
      <c r="B214" s="3" t="s">
        <v>246</v>
      </c>
      <c r="C214" s="3" t="s">
        <v>62</v>
      </c>
      <c r="D214" s="3"/>
      <c r="E214" s="3" t="s">
        <v>247</v>
      </c>
      <c r="F214" s="3" t="s">
        <v>248</v>
      </c>
      <c r="G214" s="4" t="s">
        <v>85</v>
      </c>
      <c r="H214" s="4">
        <v>21</v>
      </c>
      <c r="I214" s="4">
        <v>13</v>
      </c>
      <c r="J214" s="4">
        <v>15</v>
      </c>
      <c r="K214" s="5">
        <v>6203.94</v>
      </c>
      <c r="L214" s="5">
        <v>6203.94</v>
      </c>
      <c r="M214" s="5">
        <v>0</v>
      </c>
      <c r="N214" s="4">
        <v>0</v>
      </c>
      <c r="O214" s="5">
        <v>0</v>
      </c>
      <c r="P214" s="5">
        <v>0</v>
      </c>
      <c r="Q214" s="5">
        <v>0</v>
      </c>
      <c r="R214" s="6"/>
    </row>
    <row r="215" spans="1:18" x14ac:dyDescent="0.25">
      <c r="A215" s="36">
        <f t="shared" si="10"/>
        <v>84</v>
      </c>
      <c r="B215" s="3" t="s">
        <v>256</v>
      </c>
      <c r="C215" s="3" t="s">
        <v>62</v>
      </c>
      <c r="D215" s="3"/>
      <c r="E215" s="3" t="s">
        <v>158</v>
      </c>
      <c r="F215" s="3" t="s">
        <v>257</v>
      </c>
      <c r="G215" s="4" t="s">
        <v>85</v>
      </c>
      <c r="H215" s="4">
        <v>6</v>
      </c>
      <c r="I215" s="4">
        <v>2</v>
      </c>
      <c r="J215" s="4">
        <v>2</v>
      </c>
      <c r="K215" s="5">
        <v>2079.16</v>
      </c>
      <c r="L215" s="5">
        <v>2079.16</v>
      </c>
      <c r="M215" s="5">
        <v>0</v>
      </c>
      <c r="N215" s="4">
        <v>0</v>
      </c>
      <c r="O215" s="5">
        <v>0</v>
      </c>
      <c r="P215" s="5">
        <v>0</v>
      </c>
      <c r="Q215" s="5">
        <v>0</v>
      </c>
      <c r="R215" s="6"/>
    </row>
    <row r="216" spans="1:18" ht="25.5" x14ac:dyDescent="0.25">
      <c r="A216" s="36">
        <f t="shared" si="10"/>
        <v>85</v>
      </c>
      <c r="B216" s="3" t="s">
        <v>258</v>
      </c>
      <c r="C216" s="3" t="s">
        <v>62</v>
      </c>
      <c r="D216" s="3"/>
      <c r="E216" s="3" t="s">
        <v>239</v>
      </c>
      <c r="F216" s="3" t="s">
        <v>259</v>
      </c>
      <c r="G216" s="4" t="s">
        <v>85</v>
      </c>
      <c r="H216" s="4">
        <v>11</v>
      </c>
      <c r="I216" s="4">
        <v>6</v>
      </c>
      <c r="J216" s="4">
        <v>6</v>
      </c>
      <c r="K216" s="5">
        <v>1347.43</v>
      </c>
      <c r="L216" s="5">
        <v>1347.43</v>
      </c>
      <c r="M216" s="5">
        <v>0</v>
      </c>
      <c r="N216" s="4">
        <v>0</v>
      </c>
      <c r="O216" s="5">
        <v>0</v>
      </c>
      <c r="P216" s="5">
        <v>0</v>
      </c>
      <c r="Q216" s="5">
        <v>0</v>
      </c>
      <c r="R216" s="6"/>
    </row>
    <row r="217" spans="1:18" ht="25.5" x14ac:dyDescent="0.25">
      <c r="A217" s="36">
        <f t="shared" si="10"/>
        <v>86</v>
      </c>
      <c r="B217" s="3" t="s">
        <v>42</v>
      </c>
      <c r="C217" s="3" t="s">
        <v>62</v>
      </c>
      <c r="D217" s="3" t="s">
        <v>63</v>
      </c>
      <c r="E217" s="3" t="s">
        <v>78</v>
      </c>
      <c r="F217" s="3" t="s">
        <v>260</v>
      </c>
      <c r="G217" s="4" t="s">
        <v>85</v>
      </c>
      <c r="H217" s="4">
        <v>32</v>
      </c>
      <c r="I217" s="4">
        <v>24</v>
      </c>
      <c r="J217" s="4">
        <v>29</v>
      </c>
      <c r="K217" s="5">
        <v>29428.3</v>
      </c>
      <c r="L217" s="5">
        <v>29428.3</v>
      </c>
      <c r="M217" s="5">
        <v>0</v>
      </c>
      <c r="N217" s="4">
        <v>28</v>
      </c>
      <c r="O217" s="5">
        <v>59860.09</v>
      </c>
      <c r="P217" s="5">
        <v>59860.09</v>
      </c>
      <c r="Q217" s="5">
        <v>0</v>
      </c>
      <c r="R217" s="6"/>
    </row>
    <row r="218" spans="1:18" ht="25.5" x14ac:dyDescent="0.25">
      <c r="A218" s="36">
        <f t="shared" si="10"/>
        <v>87</v>
      </c>
      <c r="B218" s="3" t="s">
        <v>43</v>
      </c>
      <c r="C218" s="3" t="s">
        <v>62</v>
      </c>
      <c r="D218" s="3" t="s">
        <v>63</v>
      </c>
      <c r="E218" s="3" t="s">
        <v>72</v>
      </c>
      <c r="F218" s="3" t="s">
        <v>261</v>
      </c>
      <c r="G218" s="4" t="s">
        <v>85</v>
      </c>
      <c r="H218" s="4">
        <v>17</v>
      </c>
      <c r="I218" s="4">
        <v>12</v>
      </c>
      <c r="J218" s="4">
        <v>17</v>
      </c>
      <c r="K218" s="5">
        <v>22770.03</v>
      </c>
      <c r="L218" s="5">
        <v>22770.03</v>
      </c>
      <c r="M218" s="5">
        <v>0</v>
      </c>
      <c r="N218" s="4">
        <v>35</v>
      </c>
      <c r="O218" s="5">
        <v>87291.33</v>
      </c>
      <c r="P218" s="5">
        <v>87291.33</v>
      </c>
      <c r="Q218" s="5">
        <v>0</v>
      </c>
      <c r="R218" s="6"/>
    </row>
    <row r="219" spans="1:18" x14ac:dyDescent="0.25">
      <c r="A219" s="36">
        <f t="shared" si="10"/>
        <v>88</v>
      </c>
      <c r="B219" s="3" t="s">
        <v>44</v>
      </c>
      <c r="C219" s="3" t="s">
        <v>62</v>
      </c>
      <c r="D219" s="3" t="s">
        <v>63</v>
      </c>
      <c r="E219" s="3" t="s">
        <v>74</v>
      </c>
      <c r="F219" s="3" t="s">
        <v>262</v>
      </c>
      <c r="G219" s="4" t="s">
        <v>85</v>
      </c>
      <c r="H219" s="4">
        <v>31</v>
      </c>
      <c r="I219" s="4">
        <v>20</v>
      </c>
      <c r="J219" s="4">
        <v>23</v>
      </c>
      <c r="K219" s="5">
        <v>12746.49</v>
      </c>
      <c r="L219" s="5">
        <v>9759.7199999999993</v>
      </c>
      <c r="M219" s="5">
        <v>2986.77</v>
      </c>
      <c r="N219" s="4">
        <v>27</v>
      </c>
      <c r="O219" s="5">
        <v>83628.98</v>
      </c>
      <c r="P219" s="5">
        <v>80034.320000000007</v>
      </c>
      <c r="Q219" s="5">
        <v>3594.66</v>
      </c>
      <c r="R219" s="6"/>
    </row>
    <row r="220" spans="1:18" ht="25.5" x14ac:dyDescent="0.25">
      <c r="A220" s="36">
        <f t="shared" si="10"/>
        <v>89</v>
      </c>
      <c r="B220" s="3" t="s">
        <v>45</v>
      </c>
      <c r="C220" s="3" t="s">
        <v>62</v>
      </c>
      <c r="D220" s="3" t="s">
        <v>63</v>
      </c>
      <c r="E220" s="3" t="s">
        <v>79</v>
      </c>
      <c r="F220" s="3" t="s">
        <v>263</v>
      </c>
      <c r="G220" s="4" t="s">
        <v>85</v>
      </c>
      <c r="H220" s="4">
        <v>9</v>
      </c>
      <c r="I220" s="4">
        <v>7</v>
      </c>
      <c r="J220" s="4">
        <v>11</v>
      </c>
      <c r="K220" s="5">
        <v>11874.43</v>
      </c>
      <c r="L220" s="5">
        <v>7644.39</v>
      </c>
      <c r="M220" s="5">
        <v>4230.04</v>
      </c>
      <c r="N220" s="4">
        <v>3</v>
      </c>
      <c r="O220" s="5">
        <v>17166.18</v>
      </c>
      <c r="P220" s="5">
        <v>17166.18</v>
      </c>
      <c r="Q220" s="5">
        <v>0</v>
      </c>
      <c r="R220" s="6"/>
    </row>
    <row r="221" spans="1:18" x14ac:dyDescent="0.25">
      <c r="A221" s="36">
        <f t="shared" si="10"/>
        <v>90</v>
      </c>
      <c r="B221" s="3" t="s">
        <v>264</v>
      </c>
      <c r="C221" s="3" t="s">
        <v>62</v>
      </c>
      <c r="D221" s="3" t="s">
        <v>63</v>
      </c>
      <c r="E221" s="3" t="s">
        <v>74</v>
      </c>
      <c r="F221" s="3" t="s">
        <v>265</v>
      </c>
      <c r="G221" s="4" t="s">
        <v>85</v>
      </c>
      <c r="H221" s="4">
        <v>20</v>
      </c>
      <c r="I221" s="4">
        <v>17</v>
      </c>
      <c r="J221" s="4">
        <v>19</v>
      </c>
      <c r="K221" s="5">
        <v>10073.64</v>
      </c>
      <c r="L221" s="5">
        <v>10073.64</v>
      </c>
      <c r="M221" s="5">
        <v>0</v>
      </c>
      <c r="N221" s="4">
        <v>0</v>
      </c>
      <c r="O221" s="5">
        <v>0</v>
      </c>
      <c r="P221" s="5">
        <v>0</v>
      </c>
      <c r="Q221" s="5">
        <v>0</v>
      </c>
      <c r="R221" s="6"/>
    </row>
    <row r="222" spans="1:18" ht="25.5" x14ac:dyDescent="0.25">
      <c r="A222" s="36">
        <f t="shared" si="10"/>
        <v>91</v>
      </c>
      <c r="B222" s="3" t="s">
        <v>119</v>
      </c>
      <c r="C222" s="3" t="s">
        <v>62</v>
      </c>
      <c r="D222" s="3" t="s">
        <v>63</v>
      </c>
      <c r="E222" s="3" t="s">
        <v>108</v>
      </c>
      <c r="F222" s="3" t="s">
        <v>266</v>
      </c>
      <c r="G222" s="4" t="s">
        <v>85</v>
      </c>
      <c r="H222" s="4">
        <v>16</v>
      </c>
      <c r="I222" s="4">
        <v>12</v>
      </c>
      <c r="J222" s="4">
        <v>14</v>
      </c>
      <c r="K222" s="5">
        <v>11504.81</v>
      </c>
      <c r="L222" s="5">
        <f>8738.09+251.21</f>
        <v>8989.2999999999993</v>
      </c>
      <c r="M222" s="5">
        <f>2766.72-251.21</f>
        <v>2515.5099999999998</v>
      </c>
      <c r="N222" s="4">
        <v>2</v>
      </c>
      <c r="O222" s="5">
        <v>1291.3499999999999</v>
      </c>
      <c r="P222" s="5">
        <v>1291.3499999999999</v>
      </c>
      <c r="Q222" s="5">
        <v>0</v>
      </c>
      <c r="R222" s="6"/>
    </row>
    <row r="223" spans="1:18" ht="38.25" x14ac:dyDescent="0.25">
      <c r="A223" s="36">
        <f t="shared" si="10"/>
        <v>92</v>
      </c>
      <c r="B223" s="3" t="s">
        <v>46</v>
      </c>
      <c r="C223" s="3" t="s">
        <v>62</v>
      </c>
      <c r="D223" s="3" t="s">
        <v>63</v>
      </c>
      <c r="E223" s="3" t="s">
        <v>267</v>
      </c>
      <c r="F223" s="3" t="s">
        <v>268</v>
      </c>
      <c r="G223" s="4" t="s">
        <v>85</v>
      </c>
      <c r="H223" s="4">
        <v>19</v>
      </c>
      <c r="I223" s="4">
        <v>14</v>
      </c>
      <c r="J223" s="4">
        <v>21</v>
      </c>
      <c r="K223" s="5">
        <v>28839.57</v>
      </c>
      <c r="L223" s="5">
        <v>19256.34</v>
      </c>
      <c r="M223" s="5">
        <v>9583.23</v>
      </c>
      <c r="N223" s="4">
        <v>20</v>
      </c>
      <c r="O223" s="5">
        <v>113001.33</v>
      </c>
      <c r="P223" s="5">
        <v>91463.84</v>
      </c>
      <c r="Q223" s="5">
        <v>21537.49</v>
      </c>
      <c r="R223" s="6"/>
    </row>
    <row r="224" spans="1:18" ht="25.5" x14ac:dyDescent="0.25">
      <c r="A224" s="36">
        <f t="shared" si="10"/>
        <v>93</v>
      </c>
      <c r="B224" s="3" t="s">
        <v>47</v>
      </c>
      <c r="C224" s="3" t="s">
        <v>62</v>
      </c>
      <c r="D224" s="3" t="s">
        <v>63</v>
      </c>
      <c r="E224" s="3" t="s">
        <v>80</v>
      </c>
      <c r="F224" s="3" t="s">
        <v>269</v>
      </c>
      <c r="G224" s="4" t="s">
        <v>85</v>
      </c>
      <c r="H224" s="4">
        <v>52</v>
      </c>
      <c r="I224" s="4">
        <v>34</v>
      </c>
      <c r="J224" s="4">
        <v>52</v>
      </c>
      <c r="K224" s="5">
        <v>83454.429999999993</v>
      </c>
      <c r="L224" s="5">
        <v>61380.47</v>
      </c>
      <c r="M224" s="5">
        <v>22073.96</v>
      </c>
      <c r="N224" s="4">
        <v>104</v>
      </c>
      <c r="O224" s="5">
        <v>380431.63</v>
      </c>
      <c r="P224" s="5">
        <v>295249.23</v>
      </c>
      <c r="Q224" s="5">
        <v>85182.399999999994</v>
      </c>
      <c r="R224" s="6"/>
    </row>
    <row r="225" spans="1:18" ht="25.5" x14ac:dyDescent="0.25">
      <c r="A225" s="36">
        <f t="shared" si="10"/>
        <v>94</v>
      </c>
      <c r="B225" s="3" t="s">
        <v>270</v>
      </c>
      <c r="C225" s="3" t="s">
        <v>62</v>
      </c>
      <c r="D225" s="3"/>
      <c r="E225" s="3" t="s">
        <v>271</v>
      </c>
      <c r="F225" s="3" t="s">
        <v>272</v>
      </c>
      <c r="G225" s="4" t="s">
        <v>85</v>
      </c>
      <c r="H225" s="4">
        <v>8</v>
      </c>
      <c r="I225" s="4">
        <v>5</v>
      </c>
      <c r="J225" s="4">
        <v>6</v>
      </c>
      <c r="K225" s="5">
        <v>6888.14</v>
      </c>
      <c r="L225" s="5">
        <v>6888.14</v>
      </c>
      <c r="M225" s="5">
        <v>0</v>
      </c>
      <c r="N225" s="4">
        <v>0</v>
      </c>
      <c r="O225" s="5">
        <v>0</v>
      </c>
      <c r="P225" s="5">
        <v>0</v>
      </c>
      <c r="Q225" s="5">
        <v>0</v>
      </c>
      <c r="R225" s="6"/>
    </row>
    <row r="226" spans="1:18" ht="25.5" x14ac:dyDescent="0.25">
      <c r="A226" s="36">
        <f t="shared" si="10"/>
        <v>95</v>
      </c>
      <c r="B226" s="3" t="s">
        <v>273</v>
      </c>
      <c r="C226" s="3" t="s">
        <v>62</v>
      </c>
      <c r="D226" s="3"/>
      <c r="E226" s="3" t="s">
        <v>186</v>
      </c>
      <c r="F226" s="3" t="s">
        <v>511</v>
      </c>
      <c r="G226" s="4" t="s">
        <v>85</v>
      </c>
      <c r="H226" s="4">
        <v>7</v>
      </c>
      <c r="I226" s="4">
        <v>0</v>
      </c>
      <c r="J226" s="4">
        <v>0</v>
      </c>
      <c r="K226" s="5">
        <v>0</v>
      </c>
      <c r="L226" s="5">
        <v>0</v>
      </c>
      <c r="M226" s="5">
        <v>0</v>
      </c>
      <c r="N226" s="4">
        <v>0</v>
      </c>
      <c r="O226" s="5">
        <v>0</v>
      </c>
      <c r="P226" s="5">
        <v>0</v>
      </c>
      <c r="Q226" s="5">
        <v>0</v>
      </c>
      <c r="R226" s="6"/>
    </row>
    <row r="227" spans="1:18" x14ac:dyDescent="0.25">
      <c r="A227" s="36">
        <f t="shared" si="10"/>
        <v>96</v>
      </c>
      <c r="B227" s="3" t="s">
        <v>490</v>
      </c>
      <c r="C227" s="3" t="s">
        <v>62</v>
      </c>
      <c r="D227" s="3"/>
      <c r="E227" s="3" t="s">
        <v>491</v>
      </c>
      <c r="F227" s="3" t="s">
        <v>492</v>
      </c>
      <c r="G227" s="4" t="s">
        <v>85</v>
      </c>
      <c r="H227" s="4">
        <v>7</v>
      </c>
      <c r="I227" s="4">
        <v>3</v>
      </c>
      <c r="J227" s="4">
        <v>5</v>
      </c>
      <c r="K227" s="5">
        <v>0</v>
      </c>
      <c r="L227" s="5">
        <v>0</v>
      </c>
      <c r="M227" s="5">
        <v>0</v>
      </c>
      <c r="N227" s="4">
        <v>0</v>
      </c>
      <c r="O227" s="5">
        <v>0</v>
      </c>
      <c r="P227" s="5">
        <v>0</v>
      </c>
      <c r="Q227" s="5">
        <v>0</v>
      </c>
      <c r="R227" s="6"/>
    </row>
    <row r="228" spans="1:18" x14ac:dyDescent="0.25">
      <c r="A228" s="36">
        <f t="shared" si="10"/>
        <v>97</v>
      </c>
      <c r="B228" s="3" t="s">
        <v>94</v>
      </c>
      <c r="C228" s="3" t="s">
        <v>62</v>
      </c>
      <c r="D228" s="3"/>
      <c r="E228" s="3" t="s">
        <v>74</v>
      </c>
      <c r="F228" s="3" t="s">
        <v>274</v>
      </c>
      <c r="G228" s="4" t="s">
        <v>85</v>
      </c>
      <c r="H228" s="4">
        <v>11</v>
      </c>
      <c r="I228" s="4">
        <v>1</v>
      </c>
      <c r="J228" s="4">
        <v>1</v>
      </c>
      <c r="K228" s="5">
        <v>1613.29</v>
      </c>
      <c r="L228" s="5">
        <v>1613.29</v>
      </c>
      <c r="M228" s="5">
        <v>0</v>
      </c>
      <c r="N228" s="4">
        <v>4</v>
      </c>
      <c r="O228" s="5">
        <v>4493.33</v>
      </c>
      <c r="P228" s="5">
        <v>4493.33</v>
      </c>
      <c r="Q228" s="5">
        <v>0</v>
      </c>
      <c r="R228" s="6"/>
    </row>
    <row r="229" spans="1:18" ht="25.5" x14ac:dyDescent="0.25">
      <c r="A229" s="36">
        <f t="shared" si="10"/>
        <v>98</v>
      </c>
      <c r="B229" s="3" t="s">
        <v>120</v>
      </c>
      <c r="C229" s="3" t="s">
        <v>67</v>
      </c>
      <c r="D229" s="3" t="s">
        <v>493</v>
      </c>
      <c r="E229" s="3" t="s">
        <v>121</v>
      </c>
      <c r="F229" s="3" t="s">
        <v>468</v>
      </c>
      <c r="G229" s="4" t="s">
        <v>85</v>
      </c>
      <c r="H229" s="4">
        <v>7</v>
      </c>
      <c r="I229" s="4">
        <v>5</v>
      </c>
      <c r="J229" s="4">
        <v>5</v>
      </c>
      <c r="K229" s="5">
        <v>2760</v>
      </c>
      <c r="L229" s="5">
        <v>2760</v>
      </c>
      <c r="M229" s="5">
        <v>0</v>
      </c>
      <c r="N229" s="4">
        <v>0</v>
      </c>
      <c r="O229" s="5">
        <v>0</v>
      </c>
      <c r="P229" s="5">
        <v>0</v>
      </c>
      <c r="Q229" s="5">
        <v>0</v>
      </c>
      <c r="R229" s="6"/>
    </row>
    <row r="230" spans="1:18" ht="25.5" x14ac:dyDescent="0.25">
      <c r="A230" s="36">
        <f t="shared" si="10"/>
        <v>99</v>
      </c>
      <c r="B230" s="3" t="s">
        <v>407</v>
      </c>
      <c r="C230" s="3" t="s">
        <v>62</v>
      </c>
      <c r="D230" s="3"/>
      <c r="E230" s="3" t="s">
        <v>186</v>
      </c>
      <c r="F230" s="3" t="s">
        <v>512</v>
      </c>
      <c r="G230" s="4" t="s">
        <v>85</v>
      </c>
      <c r="H230" s="4">
        <v>2</v>
      </c>
      <c r="I230" s="4">
        <v>0</v>
      </c>
      <c r="J230" s="4">
        <v>0</v>
      </c>
      <c r="K230" s="5">
        <v>0</v>
      </c>
      <c r="L230" s="5">
        <v>0</v>
      </c>
      <c r="M230" s="5">
        <v>0</v>
      </c>
      <c r="N230" s="4">
        <v>0</v>
      </c>
      <c r="O230" s="5">
        <v>0</v>
      </c>
      <c r="P230" s="5">
        <v>0</v>
      </c>
      <c r="Q230" s="5">
        <v>0</v>
      </c>
      <c r="R230" s="6"/>
    </row>
    <row r="231" spans="1:18" ht="25.5" x14ac:dyDescent="0.25">
      <c r="A231" s="36">
        <f t="shared" si="10"/>
        <v>100</v>
      </c>
      <c r="B231" s="3" t="s">
        <v>122</v>
      </c>
      <c r="C231" s="3" t="s">
        <v>62</v>
      </c>
      <c r="D231" s="3" t="s">
        <v>63</v>
      </c>
      <c r="E231" s="3" t="s">
        <v>275</v>
      </c>
      <c r="F231" s="3" t="s">
        <v>276</v>
      </c>
      <c r="G231" s="4" t="s">
        <v>85</v>
      </c>
      <c r="H231" s="4">
        <v>11</v>
      </c>
      <c r="I231" s="4">
        <v>5</v>
      </c>
      <c r="J231" s="4">
        <v>8</v>
      </c>
      <c r="K231" s="5">
        <v>5471.36</v>
      </c>
      <c r="L231" s="5">
        <v>5471.36</v>
      </c>
      <c r="M231" s="5">
        <v>0</v>
      </c>
      <c r="N231" s="4">
        <v>5</v>
      </c>
      <c r="O231" s="5">
        <v>7270.27</v>
      </c>
      <c r="P231" s="5">
        <v>7270.27</v>
      </c>
      <c r="Q231" s="5">
        <v>0</v>
      </c>
      <c r="R231" s="6"/>
    </row>
    <row r="232" spans="1:18" x14ac:dyDescent="0.25">
      <c r="A232" s="36">
        <f t="shared" si="10"/>
        <v>101</v>
      </c>
      <c r="B232" s="3" t="s">
        <v>133</v>
      </c>
      <c r="C232" s="3" t="s">
        <v>67</v>
      </c>
      <c r="D232" s="3" t="s">
        <v>494</v>
      </c>
      <c r="E232" s="3" t="s">
        <v>74</v>
      </c>
      <c r="F232" s="3" t="s">
        <v>577</v>
      </c>
      <c r="G232" s="4" t="s">
        <v>85</v>
      </c>
      <c r="H232" s="4">
        <v>8</v>
      </c>
      <c r="I232" s="4">
        <v>3</v>
      </c>
      <c r="J232" s="4">
        <v>5</v>
      </c>
      <c r="K232" s="5">
        <v>6859.43</v>
      </c>
      <c r="L232" s="5">
        <v>6859.43</v>
      </c>
      <c r="M232" s="5">
        <v>0</v>
      </c>
      <c r="N232" s="4">
        <v>0</v>
      </c>
      <c r="O232" s="5">
        <v>0</v>
      </c>
      <c r="P232" s="5">
        <v>0</v>
      </c>
      <c r="Q232" s="5">
        <v>0</v>
      </c>
      <c r="R232" s="6"/>
    </row>
    <row r="233" spans="1:18" x14ac:dyDescent="0.25">
      <c r="A233" s="36">
        <f t="shared" si="10"/>
        <v>102</v>
      </c>
      <c r="B233" s="3" t="s">
        <v>96</v>
      </c>
      <c r="C233" s="3" t="s">
        <v>62</v>
      </c>
      <c r="D233" s="3" t="s">
        <v>63</v>
      </c>
      <c r="E233" s="3" t="s">
        <v>98</v>
      </c>
      <c r="F233" s="3" t="s">
        <v>277</v>
      </c>
      <c r="G233" s="4" t="s">
        <v>85</v>
      </c>
      <c r="H233" s="4">
        <v>23</v>
      </c>
      <c r="I233" s="4">
        <v>9</v>
      </c>
      <c r="J233" s="4">
        <v>10</v>
      </c>
      <c r="K233" s="5">
        <v>7539.6</v>
      </c>
      <c r="L233" s="5">
        <v>7539.6</v>
      </c>
      <c r="M233" s="5">
        <v>0</v>
      </c>
      <c r="N233" s="4">
        <v>11</v>
      </c>
      <c r="O233" s="5">
        <v>18644</v>
      </c>
      <c r="P233" s="5">
        <v>18644</v>
      </c>
      <c r="Q233" s="5">
        <v>0</v>
      </c>
      <c r="R233" s="6"/>
    </row>
    <row r="234" spans="1:18" ht="25.5" x14ac:dyDescent="0.25">
      <c r="A234" s="36">
        <f t="shared" si="10"/>
        <v>103</v>
      </c>
      <c r="B234" s="3" t="s">
        <v>48</v>
      </c>
      <c r="C234" s="3" t="s">
        <v>62</v>
      </c>
      <c r="D234" s="3" t="s">
        <v>63</v>
      </c>
      <c r="E234" s="3" t="s">
        <v>81</v>
      </c>
      <c r="F234" s="3" t="s">
        <v>278</v>
      </c>
      <c r="G234" s="4" t="s">
        <v>85</v>
      </c>
      <c r="H234" s="4">
        <v>34</v>
      </c>
      <c r="I234" s="4">
        <v>26</v>
      </c>
      <c r="J234" s="4">
        <v>33</v>
      </c>
      <c r="K234" s="5">
        <v>24013.86</v>
      </c>
      <c r="L234" s="5">
        <v>11717.75</v>
      </c>
      <c r="M234" s="5">
        <v>12296.11</v>
      </c>
      <c r="N234" s="4">
        <v>10</v>
      </c>
      <c r="O234" s="5">
        <v>46120.75</v>
      </c>
      <c r="P234" s="5">
        <v>34796.1</v>
      </c>
      <c r="Q234" s="5">
        <v>11324.65</v>
      </c>
      <c r="R234" s="6"/>
    </row>
    <row r="235" spans="1:18" ht="25.5" x14ac:dyDescent="0.25">
      <c r="A235" s="36">
        <f t="shared" si="10"/>
        <v>104</v>
      </c>
      <c r="B235" s="3" t="s">
        <v>50</v>
      </c>
      <c r="C235" s="3" t="s">
        <v>67</v>
      </c>
      <c r="D235" s="3" t="s">
        <v>610</v>
      </c>
      <c r="E235" s="3" t="s">
        <v>82</v>
      </c>
      <c r="F235" s="3" t="s">
        <v>280</v>
      </c>
      <c r="G235" s="4" t="s">
        <v>85</v>
      </c>
      <c r="H235" s="4">
        <v>7</v>
      </c>
      <c r="I235" s="4">
        <v>1</v>
      </c>
      <c r="J235" s="4">
        <v>1</v>
      </c>
      <c r="K235" s="5">
        <v>0</v>
      </c>
      <c r="L235" s="5">
        <v>0</v>
      </c>
      <c r="M235" s="5">
        <v>0</v>
      </c>
      <c r="N235" s="4">
        <v>4</v>
      </c>
      <c r="O235" s="5">
        <v>7205.22</v>
      </c>
      <c r="P235" s="5">
        <v>7205.22</v>
      </c>
      <c r="Q235" s="5">
        <v>0</v>
      </c>
      <c r="R235" s="6"/>
    </row>
    <row r="236" spans="1:18" ht="25.5" x14ac:dyDescent="0.25">
      <c r="A236" s="36">
        <f t="shared" si="10"/>
        <v>105</v>
      </c>
      <c r="B236" s="3" t="s">
        <v>281</v>
      </c>
      <c r="C236" s="3" t="s">
        <v>611</v>
      </c>
      <c r="D236" s="3" t="s">
        <v>611</v>
      </c>
      <c r="E236" s="3" t="s">
        <v>282</v>
      </c>
      <c r="F236" s="3" t="s">
        <v>283</v>
      </c>
      <c r="G236" s="4" t="s">
        <v>85</v>
      </c>
      <c r="H236" s="4">
        <v>14</v>
      </c>
      <c r="I236" s="4">
        <v>5</v>
      </c>
      <c r="J236" s="4">
        <v>5</v>
      </c>
      <c r="K236" s="5">
        <v>0</v>
      </c>
      <c r="L236" s="5">
        <v>0</v>
      </c>
      <c r="M236" s="5">
        <v>0</v>
      </c>
      <c r="N236" s="4">
        <v>0</v>
      </c>
      <c r="O236" s="5">
        <v>0</v>
      </c>
      <c r="P236" s="5">
        <v>0</v>
      </c>
      <c r="Q236" s="5">
        <v>0</v>
      </c>
      <c r="R236" s="6"/>
    </row>
    <row r="237" spans="1:18" x14ac:dyDescent="0.25">
      <c r="A237" s="36">
        <f t="shared" si="10"/>
        <v>106</v>
      </c>
      <c r="B237" s="3" t="s">
        <v>49</v>
      </c>
      <c r="C237" s="3" t="s">
        <v>62</v>
      </c>
      <c r="D237" s="3" t="s">
        <v>63</v>
      </c>
      <c r="E237" s="3" t="s">
        <v>74</v>
      </c>
      <c r="F237" s="3" t="s">
        <v>279</v>
      </c>
      <c r="G237" s="4" t="s">
        <v>85</v>
      </c>
      <c r="H237" s="4">
        <v>22</v>
      </c>
      <c r="I237" s="4">
        <v>15</v>
      </c>
      <c r="J237" s="4">
        <v>16</v>
      </c>
      <c r="K237" s="5">
        <v>10483.14</v>
      </c>
      <c r="L237" s="5">
        <v>10483.14</v>
      </c>
      <c r="M237" s="5">
        <v>0</v>
      </c>
      <c r="N237" s="4">
        <v>5</v>
      </c>
      <c r="O237" s="5">
        <v>37590.26</v>
      </c>
      <c r="P237" s="5">
        <v>37590.26</v>
      </c>
      <c r="Q237" s="5">
        <v>0</v>
      </c>
      <c r="R237" s="6"/>
    </row>
    <row r="238" spans="1:18" x14ac:dyDescent="0.25">
      <c r="A238" s="36">
        <f t="shared" si="10"/>
        <v>107</v>
      </c>
      <c r="B238" s="3" t="s">
        <v>124</v>
      </c>
      <c r="C238" s="3" t="s">
        <v>62</v>
      </c>
      <c r="D238" s="3" t="s">
        <v>63</v>
      </c>
      <c r="E238" s="3" t="s">
        <v>63</v>
      </c>
      <c r="F238" s="3" t="s">
        <v>284</v>
      </c>
      <c r="G238" s="4" t="s">
        <v>85</v>
      </c>
      <c r="H238" s="4">
        <v>26</v>
      </c>
      <c r="I238" s="4">
        <v>22</v>
      </c>
      <c r="J238" s="4">
        <v>28</v>
      </c>
      <c r="K238" s="5">
        <v>22572.28</v>
      </c>
      <c r="L238" s="5">
        <v>18034.61</v>
      </c>
      <c r="M238" s="5">
        <v>4537.67</v>
      </c>
      <c r="N238" s="4">
        <v>15</v>
      </c>
      <c r="O238" s="5">
        <v>18186.439999999999</v>
      </c>
      <c r="P238" s="5">
        <v>18186.439999999999</v>
      </c>
      <c r="Q238" s="5">
        <v>0</v>
      </c>
      <c r="R238" s="6"/>
    </row>
    <row r="239" spans="1:18" x14ac:dyDescent="0.25">
      <c r="A239" s="36">
        <f t="shared" si="10"/>
        <v>108</v>
      </c>
      <c r="B239" s="3" t="s">
        <v>51</v>
      </c>
      <c r="C239" s="3" t="s">
        <v>62</v>
      </c>
      <c r="D239" s="3" t="s">
        <v>63</v>
      </c>
      <c r="E239" s="3" t="s">
        <v>74</v>
      </c>
      <c r="F239" s="3" t="s">
        <v>285</v>
      </c>
      <c r="G239" s="4" t="s">
        <v>85</v>
      </c>
      <c r="H239" s="4">
        <v>13</v>
      </c>
      <c r="I239" s="4">
        <v>10</v>
      </c>
      <c r="J239" s="4">
        <v>10</v>
      </c>
      <c r="K239" s="5">
        <v>2325.7399999999998</v>
      </c>
      <c r="L239" s="5">
        <v>2325.7399999999998</v>
      </c>
      <c r="M239" s="5">
        <v>0</v>
      </c>
      <c r="N239" s="4">
        <v>10</v>
      </c>
      <c r="O239" s="5">
        <v>1797.24</v>
      </c>
      <c r="P239" s="5">
        <v>1797.24</v>
      </c>
      <c r="Q239" s="5">
        <v>0</v>
      </c>
      <c r="R239" s="6"/>
    </row>
    <row r="240" spans="1:18" ht="25.5" x14ac:dyDescent="0.25">
      <c r="A240" s="36">
        <f t="shared" si="10"/>
        <v>109</v>
      </c>
      <c r="B240" s="3" t="s">
        <v>286</v>
      </c>
      <c r="C240" s="3" t="s">
        <v>62</v>
      </c>
      <c r="D240" s="3"/>
      <c r="E240" s="3" t="s">
        <v>174</v>
      </c>
      <c r="F240" s="3" t="s">
        <v>287</v>
      </c>
      <c r="G240" s="4" t="s">
        <v>85</v>
      </c>
      <c r="H240" s="4">
        <v>7</v>
      </c>
      <c r="I240" s="4">
        <v>5</v>
      </c>
      <c r="J240" s="4">
        <v>5</v>
      </c>
      <c r="K240" s="5">
        <v>1399.03</v>
      </c>
      <c r="L240" s="5">
        <v>1399.03</v>
      </c>
      <c r="M240" s="5">
        <v>0</v>
      </c>
      <c r="N240" s="4">
        <v>0</v>
      </c>
      <c r="O240" s="5">
        <v>0</v>
      </c>
      <c r="P240" s="5">
        <v>0</v>
      </c>
      <c r="Q240" s="5">
        <v>0</v>
      </c>
      <c r="R240" s="6"/>
    </row>
    <row r="241" spans="1:18" x14ac:dyDescent="0.25">
      <c r="A241" s="36">
        <f t="shared" si="10"/>
        <v>110</v>
      </c>
      <c r="B241" s="3" t="s">
        <v>52</v>
      </c>
      <c r="C241" s="3" t="s">
        <v>62</v>
      </c>
      <c r="D241" s="3" t="s">
        <v>63</v>
      </c>
      <c r="E241" s="3" t="s">
        <v>74</v>
      </c>
      <c r="F241" s="3" t="s">
        <v>125</v>
      </c>
      <c r="G241" s="4" t="s">
        <v>85</v>
      </c>
      <c r="H241" s="4">
        <v>3</v>
      </c>
      <c r="I241" s="4">
        <v>0</v>
      </c>
      <c r="J241" s="4">
        <v>0</v>
      </c>
      <c r="K241" s="5">
        <v>0</v>
      </c>
      <c r="L241" s="5">
        <v>0</v>
      </c>
      <c r="M241" s="5">
        <v>0</v>
      </c>
      <c r="N241" s="4">
        <v>0</v>
      </c>
      <c r="O241" s="5">
        <v>0</v>
      </c>
      <c r="P241" s="5">
        <v>0</v>
      </c>
      <c r="Q241" s="5">
        <v>0</v>
      </c>
      <c r="R241" s="6"/>
    </row>
    <row r="242" spans="1:18" x14ac:dyDescent="0.25">
      <c r="A242" s="36">
        <f t="shared" si="10"/>
        <v>111</v>
      </c>
      <c r="B242" s="3" t="s">
        <v>469</v>
      </c>
      <c r="C242" s="3" t="s">
        <v>62</v>
      </c>
      <c r="D242" s="3" t="s">
        <v>63</v>
      </c>
      <c r="E242" s="3" t="s">
        <v>74</v>
      </c>
      <c r="F242" s="3" t="s">
        <v>470</v>
      </c>
      <c r="G242" s="4" t="s">
        <v>85</v>
      </c>
      <c r="H242" s="4">
        <v>1</v>
      </c>
      <c r="I242" s="4">
        <v>0</v>
      </c>
      <c r="J242" s="4">
        <v>0</v>
      </c>
      <c r="K242" s="5">
        <v>0</v>
      </c>
      <c r="L242" s="5">
        <v>0</v>
      </c>
      <c r="M242" s="5">
        <v>0</v>
      </c>
      <c r="N242" s="4">
        <v>0</v>
      </c>
      <c r="O242" s="5">
        <v>0</v>
      </c>
      <c r="P242" s="5">
        <v>0</v>
      </c>
      <c r="Q242" s="5">
        <v>0</v>
      </c>
      <c r="R242" s="6"/>
    </row>
    <row r="243" spans="1:18" x14ac:dyDescent="0.25">
      <c r="A243" s="36">
        <f t="shared" si="10"/>
        <v>112</v>
      </c>
      <c r="B243" s="3" t="s">
        <v>53</v>
      </c>
      <c r="C243" s="3" t="s">
        <v>62</v>
      </c>
      <c r="D243" s="3" t="s">
        <v>63</v>
      </c>
      <c r="E243" s="3" t="s">
        <v>74</v>
      </c>
      <c r="F243" s="3" t="s">
        <v>126</v>
      </c>
      <c r="G243" s="4" t="s">
        <v>85</v>
      </c>
      <c r="H243" s="4">
        <v>8</v>
      </c>
      <c r="I243" s="4">
        <v>0</v>
      </c>
      <c r="J243" s="4">
        <v>0</v>
      </c>
      <c r="K243" s="5">
        <v>0</v>
      </c>
      <c r="L243" s="5">
        <v>0</v>
      </c>
      <c r="M243" s="5">
        <v>0</v>
      </c>
      <c r="N243" s="4">
        <v>0</v>
      </c>
      <c r="O243" s="5">
        <v>0</v>
      </c>
      <c r="P243" s="5">
        <v>0</v>
      </c>
      <c r="Q243" s="5">
        <v>0</v>
      </c>
      <c r="R243" s="6"/>
    </row>
    <row r="244" spans="1:18" x14ac:dyDescent="0.25">
      <c r="A244" s="36">
        <f t="shared" si="10"/>
        <v>113</v>
      </c>
      <c r="B244" s="3" t="s">
        <v>151</v>
      </c>
      <c r="C244" s="3" t="s">
        <v>62</v>
      </c>
      <c r="D244" s="3" t="s">
        <v>63</v>
      </c>
      <c r="E244" s="3" t="s">
        <v>74</v>
      </c>
      <c r="F244" s="3" t="s">
        <v>288</v>
      </c>
      <c r="G244" s="4" t="s">
        <v>85</v>
      </c>
      <c r="H244" s="4">
        <v>9</v>
      </c>
      <c r="I244" s="4">
        <v>6</v>
      </c>
      <c r="J244" s="4">
        <v>6</v>
      </c>
      <c r="K244" s="5">
        <v>974.39</v>
      </c>
      <c r="L244" s="5">
        <v>974.39</v>
      </c>
      <c r="M244" s="5">
        <v>0</v>
      </c>
      <c r="N244" s="4">
        <v>6</v>
      </c>
      <c r="O244" s="5">
        <v>4554.97</v>
      </c>
      <c r="P244" s="5">
        <v>4554.97</v>
      </c>
      <c r="Q244" s="5">
        <v>0</v>
      </c>
      <c r="R244" s="6"/>
    </row>
    <row r="245" spans="1:18" x14ac:dyDescent="0.25">
      <c r="A245" s="36">
        <f t="shared" si="10"/>
        <v>114</v>
      </c>
      <c r="B245" s="3" t="s">
        <v>155</v>
      </c>
      <c r="C245" s="3" t="s">
        <v>62</v>
      </c>
      <c r="D245" s="3" t="s">
        <v>63</v>
      </c>
      <c r="E245" s="3" t="s">
        <v>74</v>
      </c>
      <c r="F245" s="3" t="s">
        <v>289</v>
      </c>
      <c r="G245" s="4" t="s">
        <v>85</v>
      </c>
      <c r="H245" s="4">
        <v>10</v>
      </c>
      <c r="I245" s="4">
        <v>8</v>
      </c>
      <c r="J245" s="4">
        <v>11</v>
      </c>
      <c r="K245" s="5">
        <v>25762.27</v>
      </c>
      <c r="L245" s="5">
        <v>25762.27</v>
      </c>
      <c r="M245" s="5">
        <v>0</v>
      </c>
      <c r="N245" s="4">
        <v>2</v>
      </c>
      <c r="O245" s="5">
        <v>15810.55</v>
      </c>
      <c r="P245" s="5">
        <v>15810.55</v>
      </c>
      <c r="Q245" s="5">
        <v>0</v>
      </c>
      <c r="R245" s="6"/>
    </row>
    <row r="246" spans="1:18" x14ac:dyDescent="0.25">
      <c r="A246" s="36">
        <f t="shared" si="10"/>
        <v>115</v>
      </c>
      <c r="B246" s="3" t="s">
        <v>290</v>
      </c>
      <c r="C246" s="3" t="s">
        <v>62</v>
      </c>
      <c r="D246" s="3"/>
      <c r="E246" s="3" t="s">
        <v>291</v>
      </c>
      <c r="F246" s="3" t="s">
        <v>292</v>
      </c>
      <c r="G246" s="4" t="s">
        <v>85</v>
      </c>
      <c r="H246" s="4">
        <v>23</v>
      </c>
      <c r="I246" s="4">
        <v>17</v>
      </c>
      <c r="J246" s="4">
        <v>20</v>
      </c>
      <c r="K246" s="5">
        <v>2466.8000000000002</v>
      </c>
      <c r="L246" s="5">
        <v>2466.8000000000002</v>
      </c>
      <c r="M246" s="5">
        <v>0</v>
      </c>
      <c r="N246" s="4">
        <v>0</v>
      </c>
      <c r="O246" s="5">
        <v>0</v>
      </c>
      <c r="P246" s="5">
        <v>0</v>
      </c>
      <c r="Q246" s="5">
        <v>0</v>
      </c>
      <c r="R246" s="6"/>
    </row>
    <row r="247" spans="1:18" ht="25.5" x14ac:dyDescent="0.25">
      <c r="A247" s="36">
        <f t="shared" si="10"/>
        <v>116</v>
      </c>
      <c r="B247" s="3" t="s">
        <v>495</v>
      </c>
      <c r="C247" s="3" t="s">
        <v>62</v>
      </c>
      <c r="D247" s="3"/>
      <c r="E247" s="3" t="s">
        <v>313</v>
      </c>
      <c r="F247" s="3" t="s">
        <v>496</v>
      </c>
      <c r="G247" s="4" t="s">
        <v>85</v>
      </c>
      <c r="H247" s="4">
        <v>14</v>
      </c>
      <c r="I247" s="4">
        <v>3</v>
      </c>
      <c r="J247" s="4">
        <v>3</v>
      </c>
      <c r="K247" s="5">
        <v>0</v>
      </c>
      <c r="L247" s="5">
        <v>0</v>
      </c>
      <c r="M247" s="5">
        <v>0</v>
      </c>
      <c r="N247" s="4">
        <v>0</v>
      </c>
      <c r="O247" s="5">
        <v>0</v>
      </c>
      <c r="P247" s="5">
        <v>0</v>
      </c>
      <c r="Q247" s="5">
        <v>0</v>
      </c>
      <c r="R247" s="6"/>
    </row>
    <row r="248" spans="1:18" x14ac:dyDescent="0.25">
      <c r="A248" s="36">
        <f t="shared" si="10"/>
        <v>117</v>
      </c>
      <c r="B248" s="3" t="s">
        <v>134</v>
      </c>
      <c r="C248" s="3" t="s">
        <v>62</v>
      </c>
      <c r="D248" s="3" t="s">
        <v>63</v>
      </c>
      <c r="E248" s="3" t="s">
        <v>74</v>
      </c>
      <c r="F248" s="3" t="s">
        <v>293</v>
      </c>
      <c r="G248" s="4" t="s">
        <v>85</v>
      </c>
      <c r="H248" s="4">
        <v>1</v>
      </c>
      <c r="I248" s="4">
        <v>0</v>
      </c>
      <c r="J248" s="4">
        <v>0</v>
      </c>
      <c r="K248" s="5">
        <v>0</v>
      </c>
      <c r="L248" s="5">
        <v>0</v>
      </c>
      <c r="M248" s="5">
        <v>0</v>
      </c>
      <c r="N248" s="4">
        <v>1</v>
      </c>
      <c r="O248" s="5">
        <v>14690.98</v>
      </c>
      <c r="P248" s="5">
        <v>14690.98</v>
      </c>
      <c r="Q248" s="5">
        <v>0</v>
      </c>
      <c r="R248" s="6"/>
    </row>
    <row r="249" spans="1:18" x14ac:dyDescent="0.25">
      <c r="A249" s="36">
        <f t="shared" si="10"/>
        <v>118</v>
      </c>
      <c r="B249" s="3" t="s">
        <v>127</v>
      </c>
      <c r="C249" s="3" t="s">
        <v>62</v>
      </c>
      <c r="D249" s="3" t="s">
        <v>63</v>
      </c>
      <c r="E249" s="3" t="s">
        <v>74</v>
      </c>
      <c r="F249" s="3" t="s">
        <v>294</v>
      </c>
      <c r="G249" s="4" t="s">
        <v>85</v>
      </c>
      <c r="H249" s="4">
        <v>5</v>
      </c>
      <c r="I249" s="4">
        <v>2</v>
      </c>
      <c r="J249" s="4">
        <v>2</v>
      </c>
      <c r="K249" s="5">
        <v>0</v>
      </c>
      <c r="L249" s="5">
        <v>0</v>
      </c>
      <c r="M249" s="5">
        <v>0</v>
      </c>
      <c r="N249" s="4">
        <v>2</v>
      </c>
      <c r="O249" s="5">
        <v>748.88</v>
      </c>
      <c r="P249" s="5">
        <v>748.88</v>
      </c>
      <c r="Q249" s="5">
        <v>0</v>
      </c>
      <c r="R249" s="6"/>
    </row>
    <row r="250" spans="1:18" ht="25.5" x14ac:dyDescent="0.25">
      <c r="A250" s="36">
        <f t="shared" si="10"/>
        <v>119</v>
      </c>
      <c r="B250" s="3" t="s">
        <v>55</v>
      </c>
      <c r="C250" s="3" t="s">
        <v>64</v>
      </c>
      <c r="D250" s="3" t="s">
        <v>612</v>
      </c>
      <c r="E250" s="3" t="s">
        <v>80</v>
      </c>
      <c r="F250" s="3" t="s">
        <v>295</v>
      </c>
      <c r="G250" s="4" t="s">
        <v>85</v>
      </c>
      <c r="H250" s="4">
        <v>3</v>
      </c>
      <c r="I250" s="4">
        <v>1</v>
      </c>
      <c r="J250" s="4">
        <v>1</v>
      </c>
      <c r="K250" s="5">
        <v>528.6</v>
      </c>
      <c r="L250" s="5">
        <v>528.6</v>
      </c>
      <c r="M250" s="5">
        <v>0</v>
      </c>
      <c r="N250" s="4">
        <v>2</v>
      </c>
      <c r="O250" s="5">
        <v>555.72</v>
      </c>
      <c r="P250" s="5">
        <v>555.72</v>
      </c>
      <c r="Q250" s="5">
        <v>0</v>
      </c>
      <c r="R250" s="6"/>
    </row>
    <row r="251" spans="1:18" x14ac:dyDescent="0.25">
      <c r="A251" s="36">
        <f t="shared" si="10"/>
        <v>120</v>
      </c>
      <c r="B251" s="3" t="s">
        <v>135</v>
      </c>
      <c r="C251" s="3" t="s">
        <v>62</v>
      </c>
      <c r="D251" s="3" t="s">
        <v>63</v>
      </c>
      <c r="E251" s="3" t="s">
        <v>63</v>
      </c>
      <c r="F251" s="3" t="s">
        <v>296</v>
      </c>
      <c r="G251" s="4" t="s">
        <v>85</v>
      </c>
      <c r="H251" s="4">
        <v>5</v>
      </c>
      <c r="I251" s="4">
        <v>0</v>
      </c>
      <c r="J251" s="4">
        <v>0</v>
      </c>
      <c r="K251" s="5">
        <v>0</v>
      </c>
      <c r="L251" s="5">
        <v>0</v>
      </c>
      <c r="M251" s="5">
        <v>0</v>
      </c>
      <c r="N251" s="4">
        <v>8</v>
      </c>
      <c r="O251" s="5">
        <v>18103.64</v>
      </c>
      <c r="P251" s="5">
        <v>16686.990000000002</v>
      </c>
      <c r="Q251" s="5">
        <v>1416.65</v>
      </c>
      <c r="R251" s="6"/>
    </row>
    <row r="252" spans="1:18" x14ac:dyDescent="0.25">
      <c r="A252" s="36">
        <f t="shared" si="10"/>
        <v>121</v>
      </c>
      <c r="B252" s="3" t="s">
        <v>128</v>
      </c>
      <c r="C252" s="3" t="s">
        <v>62</v>
      </c>
      <c r="D252" s="3" t="s">
        <v>63</v>
      </c>
      <c r="E252" s="3" t="s">
        <v>74</v>
      </c>
      <c r="F252" s="3" t="s">
        <v>297</v>
      </c>
      <c r="G252" s="4" t="s">
        <v>85</v>
      </c>
      <c r="H252" s="4">
        <v>2</v>
      </c>
      <c r="I252" s="4">
        <v>2</v>
      </c>
      <c r="J252" s="4">
        <v>2</v>
      </c>
      <c r="K252" s="5">
        <v>0</v>
      </c>
      <c r="L252" s="5">
        <v>0</v>
      </c>
      <c r="M252" s="5">
        <v>0</v>
      </c>
      <c r="N252" s="4">
        <v>1</v>
      </c>
      <c r="O252" s="5">
        <v>264.3</v>
      </c>
      <c r="P252" s="5">
        <v>264.3</v>
      </c>
      <c r="Q252" s="5">
        <v>0</v>
      </c>
      <c r="R252" s="6"/>
    </row>
    <row r="253" spans="1:18" ht="25.5" x14ac:dyDescent="0.25">
      <c r="A253" s="36">
        <f t="shared" si="10"/>
        <v>122</v>
      </c>
      <c r="B253" s="3" t="s">
        <v>508</v>
      </c>
      <c r="C253" s="3" t="s">
        <v>64</v>
      </c>
      <c r="D253" s="3" t="s">
        <v>551</v>
      </c>
      <c r="E253" s="3" t="s">
        <v>282</v>
      </c>
      <c r="F253" s="3" t="s">
        <v>552</v>
      </c>
      <c r="G253" s="4" t="s">
        <v>85</v>
      </c>
      <c r="H253" s="4">
        <v>8</v>
      </c>
      <c r="I253" s="4">
        <v>0</v>
      </c>
      <c r="J253" s="4">
        <v>0</v>
      </c>
      <c r="K253" s="5">
        <v>0</v>
      </c>
      <c r="L253" s="5">
        <v>0</v>
      </c>
      <c r="M253" s="5">
        <v>0</v>
      </c>
      <c r="N253" s="4">
        <v>0</v>
      </c>
      <c r="O253" s="5">
        <v>0</v>
      </c>
      <c r="P253" s="5">
        <v>0</v>
      </c>
      <c r="Q253" s="5">
        <v>0</v>
      </c>
      <c r="R253" s="6"/>
    </row>
    <row r="254" spans="1:18" ht="25.5" x14ac:dyDescent="0.25">
      <c r="A254" s="36">
        <f t="shared" si="10"/>
        <v>123</v>
      </c>
      <c r="B254" s="3" t="s">
        <v>497</v>
      </c>
      <c r="C254" s="3" t="s">
        <v>62</v>
      </c>
      <c r="D254" s="3"/>
      <c r="E254" s="3" t="s">
        <v>313</v>
      </c>
      <c r="F254" s="3" t="s">
        <v>498</v>
      </c>
      <c r="G254" s="4" t="s">
        <v>85</v>
      </c>
      <c r="H254" s="4">
        <v>31</v>
      </c>
      <c r="I254" s="4">
        <v>9</v>
      </c>
      <c r="J254" s="4">
        <v>9</v>
      </c>
      <c r="K254" s="5">
        <v>5588.36</v>
      </c>
      <c r="L254" s="5">
        <v>5588.36</v>
      </c>
      <c r="M254" s="5">
        <v>0</v>
      </c>
      <c r="N254" s="4">
        <v>0</v>
      </c>
      <c r="O254" s="5">
        <v>0</v>
      </c>
      <c r="P254" s="5">
        <v>0</v>
      </c>
      <c r="Q254" s="5">
        <v>0</v>
      </c>
      <c r="R254" s="6"/>
    </row>
    <row r="255" spans="1:18" x14ac:dyDescent="0.25">
      <c r="A255" s="36">
        <f t="shared" si="10"/>
        <v>124</v>
      </c>
      <c r="B255" s="3" t="s">
        <v>56</v>
      </c>
      <c r="C255" s="3" t="s">
        <v>62</v>
      </c>
      <c r="D255" s="3" t="s">
        <v>63</v>
      </c>
      <c r="E255" s="3" t="s">
        <v>83</v>
      </c>
      <c r="F255" s="3" t="s">
        <v>298</v>
      </c>
      <c r="G255" s="4" t="s">
        <v>85</v>
      </c>
      <c r="H255" s="4">
        <v>52</v>
      </c>
      <c r="I255" s="4">
        <v>40</v>
      </c>
      <c r="J255" s="4">
        <v>54</v>
      </c>
      <c r="K255" s="5">
        <v>62018.080000000002</v>
      </c>
      <c r="L255" s="5">
        <v>50469.58</v>
      </c>
      <c r="M255" s="5">
        <v>11548.5</v>
      </c>
      <c r="N255" s="4">
        <v>29</v>
      </c>
      <c r="O255" s="5">
        <v>85217.78</v>
      </c>
      <c r="P255" s="5">
        <v>83636.210000000006</v>
      </c>
      <c r="Q255" s="5">
        <v>1581.57</v>
      </c>
      <c r="R255" s="6"/>
    </row>
    <row r="256" spans="1:18" ht="25.5" x14ac:dyDescent="0.25">
      <c r="A256" s="36">
        <f t="shared" si="10"/>
        <v>125</v>
      </c>
      <c r="B256" s="3" t="s">
        <v>299</v>
      </c>
      <c r="C256" s="3" t="s">
        <v>62</v>
      </c>
      <c r="D256" s="3"/>
      <c r="E256" s="3" t="s">
        <v>174</v>
      </c>
      <c r="F256" s="3" t="s">
        <v>300</v>
      </c>
      <c r="G256" s="4" t="s">
        <v>85</v>
      </c>
      <c r="H256" s="4">
        <v>18</v>
      </c>
      <c r="I256" s="4">
        <v>8</v>
      </c>
      <c r="J256" s="4">
        <v>8</v>
      </c>
      <c r="K256" s="5">
        <v>2924.92</v>
      </c>
      <c r="L256" s="5">
        <v>2924.92</v>
      </c>
      <c r="M256" s="5">
        <v>0</v>
      </c>
      <c r="N256" s="4">
        <v>0</v>
      </c>
      <c r="O256" s="5">
        <v>0</v>
      </c>
      <c r="P256" s="5">
        <v>0</v>
      </c>
      <c r="Q256" s="5">
        <v>0</v>
      </c>
      <c r="R256" s="6"/>
    </row>
    <row r="257" spans="1:18" x14ac:dyDescent="0.25">
      <c r="A257" s="36">
        <f t="shared" si="10"/>
        <v>126</v>
      </c>
      <c r="B257" s="3" t="s">
        <v>156</v>
      </c>
      <c r="C257" s="3" t="s">
        <v>67</v>
      </c>
      <c r="D257" s="3" t="s">
        <v>499</v>
      </c>
      <c r="E257" s="3" t="s">
        <v>74</v>
      </c>
      <c r="F257" s="3" t="s">
        <v>301</v>
      </c>
      <c r="G257" s="4" t="s">
        <v>85</v>
      </c>
      <c r="H257" s="4">
        <v>29</v>
      </c>
      <c r="I257" s="4">
        <v>24</v>
      </c>
      <c r="J257" s="4">
        <v>27</v>
      </c>
      <c r="K257" s="5">
        <v>19255.759999999998</v>
      </c>
      <c r="L257" s="5">
        <v>19255.759999999998</v>
      </c>
      <c r="M257" s="5">
        <v>0</v>
      </c>
      <c r="N257" s="4">
        <v>33</v>
      </c>
      <c r="O257" s="5">
        <v>51164.89</v>
      </c>
      <c r="P257" s="5">
        <v>51164.89</v>
      </c>
      <c r="Q257" s="5">
        <v>0</v>
      </c>
      <c r="R257" s="6"/>
    </row>
    <row r="258" spans="1:18" x14ac:dyDescent="0.25">
      <c r="A258" s="36">
        <f t="shared" si="10"/>
        <v>127</v>
      </c>
      <c r="B258" s="3" t="s">
        <v>302</v>
      </c>
      <c r="C258" s="3" t="s">
        <v>62</v>
      </c>
      <c r="D258" s="3"/>
      <c r="E258" s="3" t="s">
        <v>63</v>
      </c>
      <c r="F258" s="3" t="s">
        <v>303</v>
      </c>
      <c r="G258" s="4" t="s">
        <v>85</v>
      </c>
      <c r="H258" s="4">
        <v>7</v>
      </c>
      <c r="I258" s="4">
        <v>6</v>
      </c>
      <c r="J258" s="4">
        <v>6</v>
      </c>
      <c r="K258" s="5">
        <v>4060.97</v>
      </c>
      <c r="L258" s="5">
        <v>4060.97</v>
      </c>
      <c r="M258" s="5">
        <v>0</v>
      </c>
      <c r="N258" s="4">
        <v>0</v>
      </c>
      <c r="O258" s="5">
        <v>0</v>
      </c>
      <c r="P258" s="5">
        <v>0</v>
      </c>
      <c r="Q258" s="5">
        <v>0</v>
      </c>
      <c r="R258" s="6"/>
    </row>
    <row r="259" spans="1:18" x14ac:dyDescent="0.25">
      <c r="A259" s="36">
        <f t="shared" si="10"/>
        <v>128</v>
      </c>
      <c r="B259" s="3" t="s">
        <v>140</v>
      </c>
      <c r="C259" s="3" t="s">
        <v>62</v>
      </c>
      <c r="D259" s="3" t="s">
        <v>63</v>
      </c>
      <c r="E259" s="3" t="s">
        <v>74</v>
      </c>
      <c r="F259" s="3" t="s">
        <v>304</v>
      </c>
      <c r="G259" s="4" t="s">
        <v>85</v>
      </c>
      <c r="H259" s="4">
        <v>43</v>
      </c>
      <c r="I259" s="4">
        <v>33</v>
      </c>
      <c r="J259" s="4">
        <v>36</v>
      </c>
      <c r="K259" s="5">
        <v>33303.599999999999</v>
      </c>
      <c r="L259" s="5">
        <v>32753</v>
      </c>
      <c r="M259" s="5">
        <v>550.6</v>
      </c>
      <c r="N259" s="4">
        <v>18</v>
      </c>
      <c r="O259" s="5">
        <v>34005.660000000003</v>
      </c>
      <c r="P259" s="5">
        <v>28197.26</v>
      </c>
      <c r="Q259" s="5">
        <v>5808.4</v>
      </c>
      <c r="R259" s="6"/>
    </row>
    <row r="260" spans="1:18" ht="25.5" x14ac:dyDescent="0.25">
      <c r="A260" s="36">
        <f t="shared" si="10"/>
        <v>129</v>
      </c>
      <c r="B260" s="3" t="s">
        <v>305</v>
      </c>
      <c r="C260" s="3" t="s">
        <v>62</v>
      </c>
      <c r="D260" s="3"/>
      <c r="E260" s="3" t="s">
        <v>186</v>
      </c>
      <c r="F260" s="3" t="s">
        <v>513</v>
      </c>
      <c r="G260" s="4" t="s">
        <v>85</v>
      </c>
      <c r="H260" s="4">
        <v>10</v>
      </c>
      <c r="I260" s="4">
        <v>7</v>
      </c>
      <c r="J260" s="4">
        <v>8</v>
      </c>
      <c r="K260" s="5">
        <v>0</v>
      </c>
      <c r="L260" s="5">
        <v>0</v>
      </c>
      <c r="M260" s="5">
        <v>0</v>
      </c>
      <c r="N260" s="4">
        <v>0</v>
      </c>
      <c r="O260" s="5">
        <v>0</v>
      </c>
      <c r="P260" s="5">
        <v>0</v>
      </c>
      <c r="Q260" s="5">
        <v>0</v>
      </c>
      <c r="R260" s="6"/>
    </row>
    <row r="261" spans="1:18" x14ac:dyDescent="0.25">
      <c r="A261" s="36">
        <f t="shared" si="10"/>
        <v>130</v>
      </c>
      <c r="B261" s="3" t="s">
        <v>471</v>
      </c>
      <c r="C261" s="3" t="s">
        <v>64</v>
      </c>
      <c r="D261" s="3" t="s">
        <v>65</v>
      </c>
      <c r="E261" s="3" t="s">
        <v>74</v>
      </c>
      <c r="F261" s="3" t="s">
        <v>472</v>
      </c>
      <c r="G261" s="4" t="s">
        <v>85</v>
      </c>
      <c r="H261" s="4">
        <v>0</v>
      </c>
      <c r="I261" s="4">
        <v>0</v>
      </c>
      <c r="J261" s="4">
        <v>0</v>
      </c>
      <c r="K261" s="5">
        <v>0</v>
      </c>
      <c r="L261" s="5">
        <v>0</v>
      </c>
      <c r="M261" s="5">
        <v>0</v>
      </c>
      <c r="N261" s="4">
        <v>1</v>
      </c>
      <c r="O261" s="5">
        <v>0</v>
      </c>
      <c r="P261" s="5">
        <v>0</v>
      </c>
      <c r="Q261" s="5">
        <v>0</v>
      </c>
      <c r="R261" s="6"/>
    </row>
    <row r="262" spans="1:18" ht="38.25" x14ac:dyDescent="0.25">
      <c r="A262" s="36">
        <f t="shared" ref="A262:A276" si="11">A261+1</f>
        <v>131</v>
      </c>
      <c r="B262" s="3" t="s">
        <v>57</v>
      </c>
      <c r="C262" s="3" t="s">
        <v>62</v>
      </c>
      <c r="D262" s="3" t="s">
        <v>63</v>
      </c>
      <c r="E262" s="3" t="s">
        <v>244</v>
      </c>
      <c r="F262" s="3" t="s">
        <v>306</v>
      </c>
      <c r="G262" s="4" t="s">
        <v>85</v>
      </c>
      <c r="H262" s="4">
        <v>18</v>
      </c>
      <c r="I262" s="4">
        <v>8</v>
      </c>
      <c r="J262" s="4">
        <v>9</v>
      </c>
      <c r="K262" s="5">
        <v>10382.219999999999</v>
      </c>
      <c r="L262" s="5">
        <v>10382.219999999999</v>
      </c>
      <c r="M262" s="5">
        <v>0</v>
      </c>
      <c r="N262" s="4">
        <v>14</v>
      </c>
      <c r="O262" s="5">
        <v>68644.460000000006</v>
      </c>
      <c r="P262" s="5">
        <v>39538.47</v>
      </c>
      <c r="Q262" s="5">
        <v>29105.99</v>
      </c>
      <c r="R262" s="6"/>
    </row>
    <row r="263" spans="1:18" x14ac:dyDescent="0.25">
      <c r="A263" s="36">
        <f t="shared" si="11"/>
        <v>132</v>
      </c>
      <c r="B263" s="3" t="s">
        <v>473</v>
      </c>
      <c r="C263" s="3" t="s">
        <v>62</v>
      </c>
      <c r="D263" s="3"/>
      <c r="E263" s="3" t="s">
        <v>63</v>
      </c>
      <c r="F263" s="3" t="s">
        <v>500</v>
      </c>
      <c r="G263" s="4" t="s">
        <v>85</v>
      </c>
      <c r="H263" s="4">
        <v>10</v>
      </c>
      <c r="I263" s="4">
        <v>2</v>
      </c>
      <c r="J263" s="4">
        <v>3</v>
      </c>
      <c r="K263" s="5">
        <v>0</v>
      </c>
      <c r="L263" s="5">
        <v>0</v>
      </c>
      <c r="M263" s="5">
        <v>0</v>
      </c>
      <c r="N263" s="4">
        <v>3</v>
      </c>
      <c r="O263" s="5">
        <v>17280.25</v>
      </c>
      <c r="P263" s="5">
        <v>17280.25</v>
      </c>
      <c r="Q263" s="5">
        <v>0</v>
      </c>
      <c r="R263" s="6"/>
    </row>
    <row r="264" spans="1:18" x14ac:dyDescent="0.25">
      <c r="A264" s="36">
        <f t="shared" si="11"/>
        <v>133</v>
      </c>
      <c r="B264" s="3" t="s">
        <v>129</v>
      </c>
      <c r="C264" s="3" t="s">
        <v>62</v>
      </c>
      <c r="D264" s="3" t="s">
        <v>63</v>
      </c>
      <c r="E264" s="3" t="s">
        <v>74</v>
      </c>
      <c r="F264" s="3" t="s">
        <v>307</v>
      </c>
      <c r="G264" s="4" t="s">
        <v>85</v>
      </c>
      <c r="H264" s="4">
        <v>0</v>
      </c>
      <c r="I264" s="4">
        <v>0</v>
      </c>
      <c r="J264" s="4">
        <v>0</v>
      </c>
      <c r="K264" s="5">
        <v>0</v>
      </c>
      <c r="L264" s="5">
        <v>0</v>
      </c>
      <c r="M264" s="5">
        <v>0</v>
      </c>
      <c r="N264" s="4">
        <v>2</v>
      </c>
      <c r="O264" s="5">
        <v>2390.4699999999998</v>
      </c>
      <c r="P264" s="5">
        <v>2390.4699999999998</v>
      </c>
      <c r="Q264" s="5">
        <v>0</v>
      </c>
      <c r="R264" s="6"/>
    </row>
    <row r="265" spans="1:18" ht="25.5" x14ac:dyDescent="0.25">
      <c r="A265" s="36">
        <f t="shared" si="11"/>
        <v>134</v>
      </c>
      <c r="B265" s="3" t="s">
        <v>58</v>
      </c>
      <c r="C265" s="3" t="s">
        <v>62</v>
      </c>
      <c r="D265" s="3" t="s">
        <v>63</v>
      </c>
      <c r="E265" s="3" t="s">
        <v>84</v>
      </c>
      <c r="F265" s="3" t="s">
        <v>308</v>
      </c>
      <c r="G265" s="4" t="s">
        <v>85</v>
      </c>
      <c r="H265" s="4">
        <v>128</v>
      </c>
      <c r="I265" s="4">
        <v>109</v>
      </c>
      <c r="J265" s="4">
        <v>124</v>
      </c>
      <c r="K265" s="5">
        <v>111969.59</v>
      </c>
      <c r="L265" s="5">
        <v>76438.899999999994</v>
      </c>
      <c r="M265" s="5">
        <v>35530.69</v>
      </c>
      <c r="N265" s="4">
        <v>55</v>
      </c>
      <c r="O265" s="5">
        <v>155989.18</v>
      </c>
      <c r="P265" s="5">
        <f>130601.99-2475.07</f>
        <v>128126.92</v>
      </c>
      <c r="Q265" s="5">
        <f>25387.19+2475.07</f>
        <v>27862.26</v>
      </c>
      <c r="R265" s="6"/>
    </row>
    <row r="266" spans="1:18" ht="25.5" x14ac:dyDescent="0.25">
      <c r="A266" s="36">
        <f t="shared" si="11"/>
        <v>135</v>
      </c>
      <c r="B266" s="3" t="s">
        <v>59</v>
      </c>
      <c r="C266" s="3" t="s">
        <v>64</v>
      </c>
      <c r="D266" s="3" t="s">
        <v>612</v>
      </c>
      <c r="E266" s="3" t="s">
        <v>80</v>
      </c>
      <c r="F266" s="3" t="s">
        <v>309</v>
      </c>
      <c r="G266" s="4" t="s">
        <v>85</v>
      </c>
      <c r="H266" s="4">
        <v>32</v>
      </c>
      <c r="I266" s="4">
        <v>25</v>
      </c>
      <c r="J266" s="4">
        <v>31</v>
      </c>
      <c r="K266" s="5">
        <v>26899.22</v>
      </c>
      <c r="L266" s="5">
        <v>26899.22</v>
      </c>
      <c r="M266" s="5">
        <v>0</v>
      </c>
      <c r="N266" s="4">
        <v>24</v>
      </c>
      <c r="O266" s="5">
        <v>60246.84</v>
      </c>
      <c r="P266" s="5">
        <v>60246.84</v>
      </c>
      <c r="Q266" s="5">
        <v>0</v>
      </c>
      <c r="R266" s="6"/>
    </row>
    <row r="267" spans="1:18" x14ac:dyDescent="0.25">
      <c r="A267" s="36">
        <f t="shared" si="11"/>
        <v>136</v>
      </c>
      <c r="B267" s="3" t="s">
        <v>130</v>
      </c>
      <c r="C267" s="3" t="s">
        <v>62</v>
      </c>
      <c r="D267" s="3" t="s">
        <v>63</v>
      </c>
      <c r="E267" s="3" t="s">
        <v>74</v>
      </c>
      <c r="F267" s="3" t="s">
        <v>553</v>
      </c>
      <c r="G267" s="4" t="s">
        <v>85</v>
      </c>
      <c r="H267" s="4">
        <v>2</v>
      </c>
      <c r="I267" s="4">
        <v>1</v>
      </c>
      <c r="J267" s="4">
        <v>1</v>
      </c>
      <c r="K267" s="5">
        <v>299.54000000000002</v>
      </c>
      <c r="L267" s="5">
        <v>299.54000000000002</v>
      </c>
      <c r="M267" s="5">
        <v>0</v>
      </c>
      <c r="N267" s="4">
        <v>2</v>
      </c>
      <c r="O267" s="5">
        <v>1374.36</v>
      </c>
      <c r="P267" s="5">
        <v>1374.36</v>
      </c>
      <c r="Q267" s="5">
        <v>0</v>
      </c>
      <c r="R267" s="6"/>
    </row>
    <row r="268" spans="1:18" x14ac:dyDescent="0.25">
      <c r="A268" s="36">
        <f t="shared" si="11"/>
        <v>137</v>
      </c>
      <c r="B268" s="3" t="s">
        <v>97</v>
      </c>
      <c r="C268" s="3" t="s">
        <v>62</v>
      </c>
      <c r="D268" s="3" t="s">
        <v>63</v>
      </c>
      <c r="E268" s="3" t="s">
        <v>74</v>
      </c>
      <c r="F268" s="3" t="s">
        <v>310</v>
      </c>
      <c r="G268" s="4" t="s">
        <v>85</v>
      </c>
      <c r="H268" s="4">
        <v>6</v>
      </c>
      <c r="I268" s="4">
        <v>2</v>
      </c>
      <c r="J268" s="4">
        <v>2</v>
      </c>
      <c r="K268" s="5">
        <v>687.18</v>
      </c>
      <c r="L268" s="5">
        <v>687.18</v>
      </c>
      <c r="M268" s="5">
        <v>0</v>
      </c>
      <c r="N268" s="4">
        <v>1</v>
      </c>
      <c r="O268" s="5">
        <v>808.76</v>
      </c>
      <c r="P268" s="5">
        <v>808.76</v>
      </c>
      <c r="Q268" s="5">
        <v>0</v>
      </c>
      <c r="R268" s="6"/>
    </row>
    <row r="269" spans="1:18" ht="25.5" x14ac:dyDescent="0.25">
      <c r="A269" s="36">
        <f t="shared" si="11"/>
        <v>138</v>
      </c>
      <c r="B269" s="3" t="s">
        <v>514</v>
      </c>
      <c r="C269" s="3" t="s">
        <v>62</v>
      </c>
      <c r="D269" s="3"/>
      <c r="E269" s="3" t="s">
        <v>223</v>
      </c>
      <c r="F269" s="3" t="s">
        <v>515</v>
      </c>
      <c r="G269" s="4" t="s">
        <v>85</v>
      </c>
      <c r="H269" s="4">
        <v>11</v>
      </c>
      <c r="I269" s="4">
        <v>0</v>
      </c>
      <c r="J269" s="4">
        <v>0</v>
      </c>
      <c r="K269" s="5">
        <v>0</v>
      </c>
      <c r="L269" s="5">
        <v>0</v>
      </c>
      <c r="M269" s="5">
        <v>0</v>
      </c>
      <c r="N269" s="4">
        <v>0</v>
      </c>
      <c r="O269" s="5">
        <v>0</v>
      </c>
      <c r="P269" s="5">
        <v>0</v>
      </c>
      <c r="Q269" s="5">
        <v>0</v>
      </c>
      <c r="R269" s="6"/>
    </row>
    <row r="270" spans="1:18" x14ac:dyDescent="0.25">
      <c r="A270" s="36">
        <f t="shared" si="11"/>
        <v>139</v>
      </c>
      <c r="B270" s="3" t="s">
        <v>132</v>
      </c>
      <c r="C270" s="3" t="s">
        <v>62</v>
      </c>
      <c r="D270" s="3" t="s">
        <v>63</v>
      </c>
      <c r="E270" s="3" t="s">
        <v>74</v>
      </c>
      <c r="F270" s="3" t="s">
        <v>311</v>
      </c>
      <c r="G270" s="4" t="s">
        <v>85</v>
      </c>
      <c r="H270" s="4">
        <v>15</v>
      </c>
      <c r="I270" s="4">
        <v>6</v>
      </c>
      <c r="J270" s="4">
        <v>7</v>
      </c>
      <c r="K270" s="5">
        <v>422.88</v>
      </c>
      <c r="L270" s="5">
        <v>422.88</v>
      </c>
      <c r="M270" s="5">
        <v>0</v>
      </c>
      <c r="N270" s="4">
        <v>6</v>
      </c>
      <c r="O270" s="5">
        <v>5554.71</v>
      </c>
      <c r="P270" s="5">
        <v>5554.71</v>
      </c>
      <c r="Q270" s="5">
        <v>0</v>
      </c>
      <c r="R270" s="6"/>
    </row>
    <row r="271" spans="1:18" ht="25.5" x14ac:dyDescent="0.25">
      <c r="A271" s="36">
        <f t="shared" si="11"/>
        <v>140</v>
      </c>
      <c r="B271" s="3" t="s">
        <v>312</v>
      </c>
      <c r="C271" s="3" t="s">
        <v>62</v>
      </c>
      <c r="D271" s="3"/>
      <c r="E271" s="3" t="s">
        <v>313</v>
      </c>
      <c r="F271" s="3" t="s">
        <v>314</v>
      </c>
      <c r="G271" s="4" t="s">
        <v>85</v>
      </c>
      <c r="H271" s="4">
        <v>28</v>
      </c>
      <c r="I271" s="4">
        <v>1</v>
      </c>
      <c r="J271" s="4">
        <v>1</v>
      </c>
      <c r="K271" s="5">
        <v>0</v>
      </c>
      <c r="L271" s="5">
        <v>0</v>
      </c>
      <c r="M271" s="5">
        <v>0</v>
      </c>
      <c r="N271" s="4">
        <v>0</v>
      </c>
      <c r="O271" s="5">
        <v>0</v>
      </c>
      <c r="P271" s="5">
        <v>0</v>
      </c>
      <c r="Q271" s="5">
        <v>0</v>
      </c>
      <c r="R271" s="6"/>
    </row>
    <row r="272" spans="1:18" x14ac:dyDescent="0.25">
      <c r="A272" s="36">
        <f t="shared" si="11"/>
        <v>141</v>
      </c>
      <c r="B272" s="3" t="s">
        <v>315</v>
      </c>
      <c r="C272" s="3" t="s">
        <v>62</v>
      </c>
      <c r="D272" s="3" t="s">
        <v>63</v>
      </c>
      <c r="E272" s="3" t="s">
        <v>74</v>
      </c>
      <c r="F272" s="3" t="s">
        <v>316</v>
      </c>
      <c r="G272" s="4" t="s">
        <v>85</v>
      </c>
      <c r="H272" s="4">
        <v>14</v>
      </c>
      <c r="I272" s="4">
        <v>5</v>
      </c>
      <c r="J272" s="4">
        <v>6</v>
      </c>
      <c r="K272" s="5">
        <v>7088.53</v>
      </c>
      <c r="L272" s="5">
        <v>7088.53</v>
      </c>
      <c r="M272" s="5">
        <v>0</v>
      </c>
      <c r="N272" s="4">
        <v>2</v>
      </c>
      <c r="O272" s="5">
        <v>2596.64</v>
      </c>
      <c r="P272" s="5">
        <v>2596.64</v>
      </c>
      <c r="Q272" s="5">
        <v>0</v>
      </c>
      <c r="R272" s="6"/>
    </row>
    <row r="273" spans="1:18" x14ac:dyDescent="0.25">
      <c r="A273" s="36">
        <f t="shared" si="11"/>
        <v>142</v>
      </c>
      <c r="B273" s="3" t="s">
        <v>317</v>
      </c>
      <c r="C273" s="3" t="s">
        <v>62</v>
      </c>
      <c r="D273" s="3"/>
      <c r="E273" s="3" t="s">
        <v>158</v>
      </c>
      <c r="F273" s="3" t="s">
        <v>474</v>
      </c>
      <c r="G273" s="4" t="s">
        <v>85</v>
      </c>
      <c r="H273" s="4">
        <v>6</v>
      </c>
      <c r="I273" s="4">
        <v>0</v>
      </c>
      <c r="J273" s="4">
        <v>0</v>
      </c>
      <c r="K273" s="5">
        <v>0</v>
      </c>
      <c r="L273" s="5">
        <v>0</v>
      </c>
      <c r="M273" s="5">
        <v>0</v>
      </c>
      <c r="N273" s="4">
        <v>0</v>
      </c>
      <c r="O273" s="5">
        <v>0</v>
      </c>
      <c r="P273" s="5">
        <v>0</v>
      </c>
      <c r="Q273" s="5">
        <v>0</v>
      </c>
      <c r="R273" s="6"/>
    </row>
    <row r="274" spans="1:18" ht="25.5" x14ac:dyDescent="0.25">
      <c r="A274" s="36">
        <f t="shared" si="11"/>
        <v>143</v>
      </c>
      <c r="B274" s="3" t="s">
        <v>318</v>
      </c>
      <c r="C274" s="3" t="s">
        <v>62</v>
      </c>
      <c r="D274" s="3"/>
      <c r="E274" s="3" t="s">
        <v>174</v>
      </c>
      <c r="F274" s="3" t="s">
        <v>319</v>
      </c>
      <c r="G274" s="4" t="s">
        <v>85</v>
      </c>
      <c r="H274" s="4">
        <v>17</v>
      </c>
      <c r="I274" s="4">
        <v>13</v>
      </c>
      <c r="J274" s="4">
        <v>15</v>
      </c>
      <c r="K274" s="5">
        <v>6466.84</v>
      </c>
      <c r="L274" s="5">
        <v>6466.84</v>
      </c>
      <c r="M274" s="5">
        <v>0</v>
      </c>
      <c r="N274" s="4">
        <v>0</v>
      </c>
      <c r="O274" s="5">
        <v>0</v>
      </c>
      <c r="P274" s="5">
        <v>0</v>
      </c>
      <c r="Q274" s="5">
        <v>0</v>
      </c>
      <c r="R274" s="6"/>
    </row>
    <row r="275" spans="1:18" x14ac:dyDescent="0.25">
      <c r="A275" s="36">
        <f t="shared" si="11"/>
        <v>144</v>
      </c>
      <c r="B275" s="3" t="s">
        <v>60</v>
      </c>
      <c r="C275" s="3" t="s">
        <v>67</v>
      </c>
      <c r="D275" s="3" t="s">
        <v>68</v>
      </c>
      <c r="E275" s="3" t="s">
        <v>74</v>
      </c>
      <c r="F275" s="3" t="s">
        <v>320</v>
      </c>
      <c r="G275" s="4" t="s">
        <v>85</v>
      </c>
      <c r="H275" s="4">
        <v>47</v>
      </c>
      <c r="I275" s="4">
        <v>38</v>
      </c>
      <c r="J275" s="4">
        <v>57</v>
      </c>
      <c r="K275" s="5">
        <v>90670.16</v>
      </c>
      <c r="L275" s="5">
        <v>79197.17</v>
      </c>
      <c r="M275" s="5">
        <v>11472.99</v>
      </c>
      <c r="N275" s="4">
        <v>35</v>
      </c>
      <c r="O275" s="5">
        <v>71818.070000000007</v>
      </c>
      <c r="P275" s="5">
        <v>53586.82</v>
      </c>
      <c r="Q275" s="5">
        <v>18231.25</v>
      </c>
      <c r="R275" s="6"/>
    </row>
    <row r="276" spans="1:18" x14ac:dyDescent="0.25">
      <c r="A276" s="36">
        <f t="shared" si="11"/>
        <v>145</v>
      </c>
      <c r="B276" s="3" t="s">
        <v>61</v>
      </c>
      <c r="C276" s="3" t="s">
        <v>67</v>
      </c>
      <c r="D276" s="3" t="s">
        <v>69</v>
      </c>
      <c r="E276" s="3" t="s">
        <v>74</v>
      </c>
      <c r="F276" s="3" t="s">
        <v>321</v>
      </c>
      <c r="G276" s="4" t="s">
        <v>85</v>
      </c>
      <c r="H276" s="4">
        <v>6</v>
      </c>
      <c r="I276" s="4">
        <v>3</v>
      </c>
      <c r="J276" s="4">
        <v>3</v>
      </c>
      <c r="K276" s="5">
        <v>9051.74</v>
      </c>
      <c r="L276" s="5">
        <v>9051.74</v>
      </c>
      <c r="M276" s="5">
        <v>0</v>
      </c>
      <c r="N276" s="4">
        <v>7</v>
      </c>
      <c r="O276" s="5">
        <v>7602.26</v>
      </c>
      <c r="P276" s="5">
        <v>7602.26</v>
      </c>
      <c r="Q276" s="5">
        <v>0</v>
      </c>
      <c r="R276" s="6"/>
    </row>
  </sheetData>
  <autoFilter ref="A8:Q8"/>
  <mergeCells count="8">
    <mergeCell ref="B7:G7"/>
    <mergeCell ref="H7:M7"/>
    <mergeCell ref="N7:Q7"/>
    <mergeCell ref="O1:Q1"/>
    <mergeCell ref="A3:Q3"/>
    <mergeCell ref="A4:Q4"/>
    <mergeCell ref="A5:Q5"/>
    <mergeCell ref="A6:Q6"/>
  </mergeCells>
  <pageMargins left="0.31496062992125984" right="0.31496062992125984" top="0.55118110236220474" bottom="0.55118110236220474" header="0" footer="0"/>
  <pageSetup paperSize="9" scale="18" fitToWidth="2" orientation="landscape" horizontalDpi="300" verticalDpi="300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276"/>
  <sheetViews>
    <sheetView topLeftCell="A267" workbookViewId="0">
      <selection activeCell="A132" sqref="A132:XFD276"/>
    </sheetView>
  </sheetViews>
  <sheetFormatPr defaultRowHeight="15" customHeight="1" x14ac:dyDescent="0.25"/>
  <cols>
    <col min="1" max="1" width="7.42578125" bestFit="1" customWidth="1"/>
    <col min="2" max="2" width="36.28515625" customWidth="1"/>
    <col min="3" max="3" width="11.28515625" customWidth="1"/>
    <col min="4" max="4" width="26.28515625" customWidth="1"/>
    <col min="5" max="5" width="15.7109375" customWidth="1"/>
    <col min="6" max="8" width="19.28515625" customWidth="1"/>
    <col min="9" max="9" width="11.85546875" customWidth="1"/>
    <col min="10" max="10" width="13.140625" customWidth="1"/>
    <col min="11" max="11" width="14.5703125" customWidth="1"/>
    <col min="12" max="12" width="13.42578125" customWidth="1"/>
    <col min="13" max="13" width="13.5703125" customWidth="1"/>
    <col min="14" max="14" width="13.28515625" customWidth="1"/>
    <col min="15" max="15" width="14.42578125" customWidth="1"/>
    <col min="16" max="17" width="13.42578125" customWidth="1"/>
  </cols>
  <sheetData>
    <row r="1" spans="1:18" x14ac:dyDescent="0.25">
      <c r="A1" s="225"/>
      <c r="B1" s="225"/>
      <c r="C1" s="225"/>
      <c r="D1" s="225"/>
      <c r="E1" s="225"/>
      <c r="F1" s="225"/>
      <c r="G1" s="225"/>
      <c r="H1" s="225"/>
      <c r="I1" s="225"/>
      <c r="J1" s="225"/>
      <c r="K1" s="7"/>
      <c r="L1" s="7"/>
      <c r="M1" s="7"/>
      <c r="N1" s="225"/>
      <c r="O1" s="620" t="s">
        <v>15</v>
      </c>
      <c r="P1" s="620"/>
      <c r="Q1" s="620"/>
      <c r="R1" s="6"/>
    </row>
    <row r="2" spans="1:18" x14ac:dyDescent="0.25">
      <c r="A2" s="225"/>
      <c r="B2" s="225"/>
      <c r="C2" s="225"/>
      <c r="D2" s="225"/>
      <c r="E2" s="225"/>
      <c r="F2" s="225"/>
      <c r="G2" s="225"/>
      <c r="H2" s="225"/>
      <c r="I2" s="225"/>
      <c r="J2" s="225"/>
      <c r="K2" s="7"/>
      <c r="L2" s="7"/>
      <c r="M2" s="7"/>
      <c r="N2" s="225"/>
      <c r="O2" s="7"/>
      <c r="P2" s="7"/>
      <c r="Q2" s="7"/>
      <c r="R2" s="6"/>
    </row>
    <row r="3" spans="1:18" x14ac:dyDescent="0.25">
      <c r="A3" s="621" t="s">
        <v>323</v>
      </c>
      <c r="B3" s="621"/>
      <c r="C3" s="621"/>
      <c r="D3" s="621"/>
      <c r="E3" s="621"/>
      <c r="F3" s="621"/>
      <c r="G3" s="621"/>
      <c r="H3" s="621"/>
      <c r="I3" s="621"/>
      <c r="J3" s="621"/>
      <c r="K3" s="621"/>
      <c r="L3" s="621"/>
      <c r="M3" s="621"/>
      <c r="N3" s="621"/>
      <c r="O3" s="621"/>
      <c r="P3" s="621"/>
      <c r="Q3" s="621"/>
      <c r="R3" s="6"/>
    </row>
    <row r="4" spans="1:18" ht="18.75" x14ac:dyDescent="0.25">
      <c r="A4" s="622" t="s">
        <v>16</v>
      </c>
      <c r="B4" s="622"/>
      <c r="C4" s="622"/>
      <c r="D4" s="622"/>
      <c r="E4" s="622"/>
      <c r="F4" s="622"/>
      <c r="G4" s="622"/>
      <c r="H4" s="622"/>
      <c r="I4" s="622"/>
      <c r="J4" s="622"/>
      <c r="K4" s="622"/>
      <c r="L4" s="622"/>
      <c r="M4" s="622"/>
      <c r="N4" s="622"/>
      <c r="O4" s="622"/>
      <c r="P4" s="622"/>
      <c r="Q4" s="622"/>
      <c r="R4" s="6"/>
    </row>
    <row r="5" spans="1:18" x14ac:dyDescent="0.25">
      <c r="A5" s="623" t="s">
        <v>14</v>
      </c>
      <c r="B5" s="623"/>
      <c r="C5" s="623"/>
      <c r="D5" s="623"/>
      <c r="E5" s="623"/>
      <c r="F5" s="623"/>
      <c r="G5" s="623"/>
      <c r="H5" s="623"/>
      <c r="I5" s="623"/>
      <c r="J5" s="623"/>
      <c r="K5" s="623"/>
      <c r="L5" s="623"/>
      <c r="M5" s="623"/>
      <c r="N5" s="623"/>
      <c r="O5" s="623"/>
      <c r="P5" s="623"/>
      <c r="Q5" s="623"/>
      <c r="R5" s="6"/>
    </row>
    <row r="6" spans="1:18" ht="21" x14ac:dyDescent="0.25">
      <c r="A6" s="624" t="s">
        <v>17</v>
      </c>
      <c r="B6" s="624"/>
      <c r="C6" s="624"/>
      <c r="D6" s="624"/>
      <c r="E6" s="624"/>
      <c r="F6" s="624"/>
      <c r="G6" s="624"/>
      <c r="H6" s="624"/>
      <c r="I6" s="624"/>
      <c r="J6" s="624"/>
      <c r="K6" s="624"/>
      <c r="L6" s="624"/>
      <c r="M6" s="624"/>
      <c r="N6" s="624"/>
      <c r="O6" s="624"/>
      <c r="P6" s="624"/>
      <c r="Q6" s="624"/>
      <c r="R6" s="6"/>
    </row>
    <row r="7" spans="1:18" x14ac:dyDescent="0.25">
      <c r="A7" s="9" t="s">
        <v>0</v>
      </c>
      <c r="B7" s="617" t="s">
        <v>10</v>
      </c>
      <c r="C7" s="618"/>
      <c r="D7" s="618"/>
      <c r="E7" s="618"/>
      <c r="F7" s="618"/>
      <c r="G7" s="619"/>
      <c r="H7" s="617" t="s">
        <v>322</v>
      </c>
      <c r="I7" s="618"/>
      <c r="J7" s="618"/>
      <c r="K7" s="618"/>
      <c r="L7" s="618"/>
      <c r="M7" s="618"/>
      <c r="N7" s="617" t="s">
        <v>324</v>
      </c>
      <c r="O7" s="618"/>
      <c r="P7" s="618"/>
      <c r="Q7" s="619"/>
      <c r="R7" s="6"/>
    </row>
    <row r="8" spans="1:18" ht="102" x14ac:dyDescent="0.25">
      <c r="A8" s="10"/>
      <c r="B8" s="11" t="s">
        <v>4</v>
      </c>
      <c r="C8" s="11" t="s">
        <v>1</v>
      </c>
      <c r="D8" s="11" t="s">
        <v>3</v>
      </c>
      <c r="E8" s="11" t="s">
        <v>2</v>
      </c>
      <c r="F8" s="11" t="s">
        <v>6</v>
      </c>
      <c r="G8" s="11" t="s">
        <v>5</v>
      </c>
      <c r="H8" s="12" t="s">
        <v>7</v>
      </c>
      <c r="I8" s="13" t="s">
        <v>8</v>
      </c>
      <c r="J8" s="13" t="s">
        <v>9</v>
      </c>
      <c r="K8" s="14" t="s">
        <v>11</v>
      </c>
      <c r="L8" s="14" t="s">
        <v>12</v>
      </c>
      <c r="M8" s="14" t="s">
        <v>13</v>
      </c>
      <c r="N8" s="13" t="s">
        <v>9</v>
      </c>
      <c r="O8" s="14" t="s">
        <v>11</v>
      </c>
      <c r="P8" s="14" t="s">
        <v>12</v>
      </c>
      <c r="Q8" s="15" t="s">
        <v>13</v>
      </c>
      <c r="R8" s="6"/>
    </row>
    <row r="9" spans="1:18" ht="25.5" x14ac:dyDescent="0.25">
      <c r="A9" s="226">
        <v>1</v>
      </c>
      <c r="B9" s="136" t="s">
        <v>134</v>
      </c>
      <c r="C9" s="136" t="s">
        <v>62</v>
      </c>
      <c r="D9" s="136"/>
      <c r="E9" s="134" t="s">
        <v>74</v>
      </c>
      <c r="F9" s="134" t="s">
        <v>408</v>
      </c>
      <c r="G9" s="136" t="s">
        <v>409</v>
      </c>
      <c r="H9" s="227">
        <v>24</v>
      </c>
      <c r="I9" s="227">
        <v>4</v>
      </c>
      <c r="J9" s="227">
        <v>4</v>
      </c>
      <c r="K9" s="228">
        <v>3910.4</v>
      </c>
      <c r="L9" s="228">
        <v>3910.4</v>
      </c>
      <c r="M9" s="193">
        <f t="shared" ref="M9:M53" si="0">K9-L9</f>
        <v>0</v>
      </c>
      <c r="N9" s="227">
        <v>5</v>
      </c>
      <c r="O9" s="228">
        <v>13457.2</v>
      </c>
      <c r="P9" s="228">
        <v>10109.4</v>
      </c>
      <c r="Q9" s="228">
        <f t="shared" ref="Q9:Q53" si="1">O9-P9</f>
        <v>3347.8000000000011</v>
      </c>
      <c r="R9" s="6"/>
    </row>
    <row r="10" spans="1:18" ht="25.5" x14ac:dyDescent="0.25">
      <c r="A10" s="226">
        <v>2</v>
      </c>
      <c r="B10" s="136" t="s">
        <v>335</v>
      </c>
      <c r="C10" s="136" t="s">
        <v>62</v>
      </c>
      <c r="D10" s="136"/>
      <c r="E10" s="134" t="s">
        <v>74</v>
      </c>
      <c r="F10" s="134" t="s">
        <v>410</v>
      </c>
      <c r="G10" s="136" t="s">
        <v>409</v>
      </c>
      <c r="H10" s="227">
        <v>10</v>
      </c>
      <c r="I10" s="227">
        <v>4</v>
      </c>
      <c r="J10" s="227">
        <v>4</v>
      </c>
      <c r="K10" s="228">
        <v>5146.8</v>
      </c>
      <c r="L10" s="228">
        <v>4089.6</v>
      </c>
      <c r="M10" s="193">
        <f t="shared" si="0"/>
        <v>1057.2000000000003</v>
      </c>
      <c r="N10" s="227">
        <v>8</v>
      </c>
      <c r="O10" s="228">
        <v>10652</v>
      </c>
      <c r="P10" s="228">
        <v>8185.2</v>
      </c>
      <c r="Q10" s="228">
        <f t="shared" si="1"/>
        <v>2466.8000000000002</v>
      </c>
      <c r="R10" s="6"/>
    </row>
    <row r="11" spans="1:18" ht="38.25" x14ac:dyDescent="0.25">
      <c r="A11" s="226">
        <v>3</v>
      </c>
      <c r="B11" s="136" t="s">
        <v>46</v>
      </c>
      <c r="C11" s="136" t="s">
        <v>62</v>
      </c>
      <c r="D11" s="136"/>
      <c r="E11" s="134" t="s">
        <v>267</v>
      </c>
      <c r="F11" s="134" t="s">
        <v>411</v>
      </c>
      <c r="G11" s="136" t="s">
        <v>409</v>
      </c>
      <c r="H11" s="227">
        <v>22</v>
      </c>
      <c r="I11" s="227">
        <v>7</v>
      </c>
      <c r="J11" s="227">
        <v>7</v>
      </c>
      <c r="K11" s="228">
        <v>9866.6</v>
      </c>
      <c r="L11" s="228">
        <v>4933.6000000000004</v>
      </c>
      <c r="M11" s="193">
        <f t="shared" si="0"/>
        <v>4933</v>
      </c>
      <c r="N11" s="227">
        <v>17</v>
      </c>
      <c r="O11" s="228">
        <v>25515.45</v>
      </c>
      <c r="P11" s="228">
        <v>14509.49</v>
      </c>
      <c r="Q11" s="228">
        <f t="shared" si="1"/>
        <v>11005.960000000001</v>
      </c>
      <c r="R11" s="6"/>
    </row>
    <row r="12" spans="1:18" ht="25.5" x14ac:dyDescent="0.25">
      <c r="A12" s="226">
        <v>4</v>
      </c>
      <c r="B12" s="136" t="s">
        <v>36</v>
      </c>
      <c r="C12" s="136" t="s">
        <v>62</v>
      </c>
      <c r="D12" s="136"/>
      <c r="E12" s="134" t="s">
        <v>74</v>
      </c>
      <c r="F12" s="134" t="s">
        <v>412</v>
      </c>
      <c r="G12" s="136" t="s">
        <v>409</v>
      </c>
      <c r="H12" s="227">
        <v>21</v>
      </c>
      <c r="I12" s="227">
        <v>10</v>
      </c>
      <c r="J12" s="227">
        <v>10</v>
      </c>
      <c r="K12" s="228">
        <v>14906.52</v>
      </c>
      <c r="L12" s="228">
        <v>7682.32</v>
      </c>
      <c r="M12" s="193">
        <f t="shared" si="0"/>
        <v>7224.2000000000007</v>
      </c>
      <c r="N12" s="227">
        <v>12</v>
      </c>
      <c r="O12" s="228">
        <v>34112.32</v>
      </c>
      <c r="P12" s="228">
        <v>22165.96</v>
      </c>
      <c r="Q12" s="228">
        <f t="shared" si="1"/>
        <v>11946.36</v>
      </c>
      <c r="R12" s="6"/>
    </row>
    <row r="13" spans="1:18" ht="25.5" x14ac:dyDescent="0.25">
      <c r="A13" s="226">
        <v>5</v>
      </c>
      <c r="B13" s="136" t="s">
        <v>27</v>
      </c>
      <c r="C13" s="136" t="s">
        <v>62</v>
      </c>
      <c r="D13" s="136"/>
      <c r="E13" s="134" t="s">
        <v>74</v>
      </c>
      <c r="F13" s="134" t="s">
        <v>413</v>
      </c>
      <c r="G13" s="136" t="s">
        <v>409</v>
      </c>
      <c r="H13" s="227">
        <v>8</v>
      </c>
      <c r="I13" s="227">
        <v>3</v>
      </c>
      <c r="J13" s="227">
        <v>3</v>
      </c>
      <c r="K13" s="228">
        <v>5051.82</v>
      </c>
      <c r="L13" s="228">
        <v>2761.22</v>
      </c>
      <c r="M13" s="193">
        <f t="shared" si="0"/>
        <v>2290.6</v>
      </c>
      <c r="N13" s="227">
        <v>8</v>
      </c>
      <c r="O13" s="228">
        <v>16676.7</v>
      </c>
      <c r="P13" s="228">
        <v>12712.3</v>
      </c>
      <c r="Q13" s="228">
        <f t="shared" si="1"/>
        <v>3964.4000000000015</v>
      </c>
      <c r="R13" s="6"/>
    </row>
    <row r="14" spans="1:18" ht="25.5" x14ac:dyDescent="0.25">
      <c r="A14" s="226">
        <v>6</v>
      </c>
      <c r="B14" s="136" t="s">
        <v>28</v>
      </c>
      <c r="C14" s="136" t="s">
        <v>62</v>
      </c>
      <c r="D14" s="136"/>
      <c r="E14" s="134" t="s">
        <v>74</v>
      </c>
      <c r="F14" s="134" t="s">
        <v>414</v>
      </c>
      <c r="G14" s="136" t="s">
        <v>409</v>
      </c>
      <c r="H14" s="227">
        <v>26</v>
      </c>
      <c r="I14" s="227">
        <v>7</v>
      </c>
      <c r="J14" s="227">
        <v>7</v>
      </c>
      <c r="K14" s="228">
        <v>7858.52</v>
      </c>
      <c r="L14" s="228">
        <v>7858.52</v>
      </c>
      <c r="M14" s="193">
        <f t="shared" si="0"/>
        <v>0</v>
      </c>
      <c r="N14" s="227">
        <v>7</v>
      </c>
      <c r="O14" s="228">
        <v>12334</v>
      </c>
      <c r="P14" s="228">
        <v>9867.2000000000007</v>
      </c>
      <c r="Q14" s="228">
        <f t="shared" si="1"/>
        <v>2466.7999999999993</v>
      </c>
      <c r="R14" s="6"/>
    </row>
    <row r="15" spans="1:18" ht="25.5" x14ac:dyDescent="0.25">
      <c r="A15" s="226">
        <v>7</v>
      </c>
      <c r="B15" s="194" t="s">
        <v>246</v>
      </c>
      <c r="C15" s="194" t="s">
        <v>62</v>
      </c>
      <c r="D15" s="194"/>
      <c r="E15" s="134" t="s">
        <v>74</v>
      </c>
      <c r="F15" s="226" t="s">
        <v>415</v>
      </c>
      <c r="G15" s="136" t="s">
        <v>409</v>
      </c>
      <c r="H15" s="227">
        <v>25</v>
      </c>
      <c r="I15" s="227">
        <v>2</v>
      </c>
      <c r="J15" s="227">
        <v>2</v>
      </c>
      <c r="K15" s="228">
        <v>1374.36</v>
      </c>
      <c r="L15" s="228">
        <v>1374.36</v>
      </c>
      <c r="M15" s="193">
        <f t="shared" si="0"/>
        <v>0</v>
      </c>
      <c r="N15" s="227">
        <v>0</v>
      </c>
      <c r="O15" s="228">
        <v>0</v>
      </c>
      <c r="P15" s="228">
        <v>0</v>
      </c>
      <c r="Q15" s="228">
        <f t="shared" si="1"/>
        <v>0</v>
      </c>
      <c r="R15" s="6"/>
    </row>
    <row r="16" spans="1:18" ht="25.5" x14ac:dyDescent="0.25">
      <c r="A16" s="229">
        <v>8</v>
      </c>
      <c r="B16" s="195" t="s">
        <v>330</v>
      </c>
      <c r="C16" s="194" t="s">
        <v>62</v>
      </c>
      <c r="D16" s="194"/>
      <c r="E16" s="134" t="s">
        <v>74</v>
      </c>
      <c r="F16" s="226" t="s">
        <v>416</v>
      </c>
      <c r="G16" s="136" t="s">
        <v>409</v>
      </c>
      <c r="H16" s="227">
        <v>6</v>
      </c>
      <c r="I16" s="227">
        <v>0</v>
      </c>
      <c r="J16" s="227">
        <v>0</v>
      </c>
      <c r="K16" s="228">
        <v>0</v>
      </c>
      <c r="L16" s="228">
        <v>0</v>
      </c>
      <c r="M16" s="193">
        <f t="shared" si="0"/>
        <v>0</v>
      </c>
      <c r="N16" s="227">
        <v>0</v>
      </c>
      <c r="O16" s="228">
        <v>0</v>
      </c>
      <c r="P16" s="228">
        <v>0</v>
      </c>
      <c r="Q16" s="228">
        <f t="shared" si="1"/>
        <v>0</v>
      </c>
      <c r="R16" s="6"/>
    </row>
    <row r="17" spans="1:18" ht="25.5" x14ac:dyDescent="0.25">
      <c r="A17" s="229">
        <v>9</v>
      </c>
      <c r="B17" s="195" t="s">
        <v>402</v>
      </c>
      <c r="C17" s="194" t="s">
        <v>62</v>
      </c>
      <c r="D17" s="194"/>
      <c r="E17" s="134" t="s">
        <v>74</v>
      </c>
      <c r="F17" s="226" t="s">
        <v>417</v>
      </c>
      <c r="G17" s="136" t="s">
        <v>409</v>
      </c>
      <c r="H17" s="227">
        <v>13</v>
      </c>
      <c r="I17" s="227">
        <v>4</v>
      </c>
      <c r="J17" s="227">
        <v>4</v>
      </c>
      <c r="K17" s="228">
        <v>4968.82</v>
      </c>
      <c r="L17" s="228">
        <v>2114.4</v>
      </c>
      <c r="M17" s="193">
        <f t="shared" si="0"/>
        <v>2854.4199999999996</v>
      </c>
      <c r="N17" s="227">
        <v>0</v>
      </c>
      <c r="O17" s="228">
        <v>0</v>
      </c>
      <c r="P17" s="228">
        <v>0</v>
      </c>
      <c r="Q17" s="228">
        <f t="shared" si="1"/>
        <v>0</v>
      </c>
      <c r="R17" s="6"/>
    </row>
    <row r="18" spans="1:18" ht="25.5" x14ac:dyDescent="0.25">
      <c r="A18" s="229">
        <v>10</v>
      </c>
      <c r="B18" s="195" t="s">
        <v>154</v>
      </c>
      <c r="C18" s="194" t="s">
        <v>62</v>
      </c>
      <c r="D18" s="194"/>
      <c r="E18" s="134" t="s">
        <v>72</v>
      </c>
      <c r="F18" s="226" t="s">
        <v>418</v>
      </c>
      <c r="G18" s="136" t="s">
        <v>409</v>
      </c>
      <c r="H18" s="227">
        <v>7</v>
      </c>
      <c r="I18" s="227">
        <v>0</v>
      </c>
      <c r="J18" s="227">
        <v>0</v>
      </c>
      <c r="K18" s="228">
        <v>0</v>
      </c>
      <c r="L18" s="228">
        <v>0</v>
      </c>
      <c r="M18" s="193">
        <f t="shared" si="0"/>
        <v>0</v>
      </c>
      <c r="N18" s="227">
        <v>5</v>
      </c>
      <c r="O18" s="228">
        <v>4737.8999999999996</v>
      </c>
      <c r="P18" s="228">
        <v>4737.8999999999996</v>
      </c>
      <c r="Q18" s="228">
        <f t="shared" si="1"/>
        <v>0</v>
      </c>
      <c r="R18" s="6"/>
    </row>
    <row r="19" spans="1:18" ht="25.5" x14ac:dyDescent="0.25">
      <c r="A19" s="229">
        <v>11</v>
      </c>
      <c r="B19" s="195" t="s">
        <v>153</v>
      </c>
      <c r="C19" s="194" t="s">
        <v>62</v>
      </c>
      <c r="D19" s="194"/>
      <c r="E19" s="134" t="s">
        <v>74</v>
      </c>
      <c r="F19" s="226" t="s">
        <v>419</v>
      </c>
      <c r="G19" s="136" t="s">
        <v>409</v>
      </c>
      <c r="H19" s="227">
        <v>4</v>
      </c>
      <c r="I19" s="227">
        <v>0</v>
      </c>
      <c r="J19" s="227">
        <v>0</v>
      </c>
      <c r="K19" s="228">
        <v>0</v>
      </c>
      <c r="L19" s="228">
        <v>0</v>
      </c>
      <c r="M19" s="193">
        <f t="shared" si="0"/>
        <v>0</v>
      </c>
      <c r="N19" s="227">
        <v>5</v>
      </c>
      <c r="O19" s="228">
        <v>18053.7</v>
      </c>
      <c r="P19" s="228">
        <v>15237.6</v>
      </c>
      <c r="Q19" s="228">
        <f t="shared" si="1"/>
        <v>2816.1000000000004</v>
      </c>
      <c r="R19" s="6"/>
    </row>
    <row r="20" spans="1:18" ht="25.5" x14ac:dyDescent="0.25">
      <c r="A20" s="229">
        <v>12</v>
      </c>
      <c r="B20" s="195" t="s">
        <v>89</v>
      </c>
      <c r="C20" s="194" t="s">
        <v>62</v>
      </c>
      <c r="D20" s="194"/>
      <c r="E20" s="134" t="s">
        <v>74</v>
      </c>
      <c r="F20" s="226" t="s">
        <v>420</v>
      </c>
      <c r="G20" s="136" t="s">
        <v>409</v>
      </c>
      <c r="H20" s="227">
        <v>8</v>
      </c>
      <c r="I20" s="227">
        <v>1</v>
      </c>
      <c r="J20" s="227">
        <v>1</v>
      </c>
      <c r="K20" s="228">
        <v>528.6</v>
      </c>
      <c r="L20" s="228">
        <v>528.6</v>
      </c>
      <c r="M20" s="193">
        <f t="shared" si="0"/>
        <v>0</v>
      </c>
      <c r="N20" s="227">
        <v>2</v>
      </c>
      <c r="O20" s="228">
        <v>4052.6</v>
      </c>
      <c r="P20" s="228">
        <v>4052.6</v>
      </c>
      <c r="Q20" s="228">
        <f t="shared" si="1"/>
        <v>0</v>
      </c>
      <c r="R20" s="6"/>
    </row>
    <row r="21" spans="1:18" ht="25.5" x14ac:dyDescent="0.25">
      <c r="A21" s="229">
        <v>13</v>
      </c>
      <c r="B21" s="195" t="s">
        <v>379</v>
      </c>
      <c r="C21" s="194" t="s">
        <v>62</v>
      </c>
      <c r="D21" s="194"/>
      <c r="E21" s="134" t="s">
        <v>74</v>
      </c>
      <c r="F21" s="226" t="s">
        <v>421</v>
      </c>
      <c r="G21" s="136" t="s">
        <v>409</v>
      </c>
      <c r="H21" s="227">
        <v>5</v>
      </c>
      <c r="I21" s="227">
        <v>2</v>
      </c>
      <c r="J21" s="227">
        <v>2</v>
      </c>
      <c r="K21" s="228">
        <v>1409.6</v>
      </c>
      <c r="L21" s="228">
        <v>1409.6</v>
      </c>
      <c r="M21" s="193">
        <f t="shared" si="0"/>
        <v>0</v>
      </c>
      <c r="N21" s="227">
        <v>0</v>
      </c>
      <c r="O21" s="228">
        <v>0</v>
      </c>
      <c r="P21" s="228">
        <v>0</v>
      </c>
      <c r="Q21" s="228">
        <f t="shared" si="1"/>
        <v>0</v>
      </c>
      <c r="R21" s="6"/>
    </row>
    <row r="22" spans="1:18" ht="25.5" x14ac:dyDescent="0.25">
      <c r="A22" s="229">
        <v>14</v>
      </c>
      <c r="B22" s="195" t="s">
        <v>264</v>
      </c>
      <c r="C22" s="194" t="s">
        <v>62</v>
      </c>
      <c r="D22" s="194"/>
      <c r="E22" s="134" t="s">
        <v>74</v>
      </c>
      <c r="F22" s="226" t="s">
        <v>422</v>
      </c>
      <c r="G22" s="136" t="s">
        <v>409</v>
      </c>
      <c r="H22" s="227">
        <v>3</v>
      </c>
      <c r="I22" s="227">
        <v>0</v>
      </c>
      <c r="J22" s="227">
        <v>0</v>
      </c>
      <c r="K22" s="228">
        <v>0</v>
      </c>
      <c r="L22" s="228">
        <v>0</v>
      </c>
      <c r="M22" s="193">
        <f t="shared" si="0"/>
        <v>0</v>
      </c>
      <c r="N22" s="227">
        <v>0</v>
      </c>
      <c r="O22" s="228">
        <v>0</v>
      </c>
      <c r="P22" s="228">
        <v>0</v>
      </c>
      <c r="Q22" s="228">
        <f t="shared" si="1"/>
        <v>0</v>
      </c>
      <c r="R22" s="6"/>
    </row>
    <row r="23" spans="1:18" ht="25.5" x14ac:dyDescent="0.25">
      <c r="A23" s="229">
        <v>15</v>
      </c>
      <c r="B23" s="195" t="s">
        <v>475</v>
      </c>
      <c r="C23" s="194" t="s">
        <v>67</v>
      </c>
      <c r="D23" s="136" t="s">
        <v>123</v>
      </c>
      <c r="E23" s="134" t="s">
        <v>82</v>
      </c>
      <c r="F23" s="226" t="s">
        <v>423</v>
      </c>
      <c r="G23" s="136" t="s">
        <v>409</v>
      </c>
      <c r="H23" s="227">
        <v>3</v>
      </c>
      <c r="I23" s="227">
        <v>0</v>
      </c>
      <c r="J23" s="227">
        <v>0</v>
      </c>
      <c r="K23" s="228">
        <v>0</v>
      </c>
      <c r="L23" s="228">
        <v>0</v>
      </c>
      <c r="M23" s="193">
        <f t="shared" si="0"/>
        <v>0</v>
      </c>
      <c r="N23" s="227">
        <v>0</v>
      </c>
      <c r="O23" s="228">
        <v>0</v>
      </c>
      <c r="P23" s="228">
        <v>0</v>
      </c>
      <c r="Q23" s="228">
        <f t="shared" si="1"/>
        <v>0</v>
      </c>
      <c r="R23" s="6"/>
    </row>
    <row r="24" spans="1:18" ht="25.5" x14ac:dyDescent="0.25">
      <c r="A24" s="229">
        <v>16</v>
      </c>
      <c r="B24" s="195" t="s">
        <v>137</v>
      </c>
      <c r="C24" s="194" t="s">
        <v>62</v>
      </c>
      <c r="D24" s="194"/>
      <c r="E24" s="134" t="s">
        <v>78</v>
      </c>
      <c r="F24" s="226" t="s">
        <v>424</v>
      </c>
      <c r="G24" s="136" t="s">
        <v>409</v>
      </c>
      <c r="H24" s="227">
        <v>4</v>
      </c>
      <c r="I24" s="227">
        <v>1</v>
      </c>
      <c r="J24" s="227">
        <v>1</v>
      </c>
      <c r="K24" s="228">
        <v>1691.52</v>
      </c>
      <c r="L24" s="228">
        <v>1691.52</v>
      </c>
      <c r="M24" s="193">
        <f t="shared" si="0"/>
        <v>0</v>
      </c>
      <c r="N24" s="227">
        <v>0</v>
      </c>
      <c r="O24" s="228">
        <v>0</v>
      </c>
      <c r="P24" s="228">
        <v>0</v>
      </c>
      <c r="Q24" s="228">
        <f t="shared" si="1"/>
        <v>0</v>
      </c>
      <c r="R24" s="6"/>
    </row>
    <row r="25" spans="1:18" ht="25.5" x14ac:dyDescent="0.25">
      <c r="A25" s="229">
        <v>17</v>
      </c>
      <c r="B25" s="195" t="s">
        <v>173</v>
      </c>
      <c r="C25" s="194" t="s">
        <v>67</v>
      </c>
      <c r="D25" s="194" t="s">
        <v>425</v>
      </c>
      <c r="E25" s="134" t="s">
        <v>74</v>
      </c>
      <c r="F25" s="226" t="s">
        <v>426</v>
      </c>
      <c r="G25" s="136" t="s">
        <v>409</v>
      </c>
      <c r="H25" s="227">
        <v>12</v>
      </c>
      <c r="I25" s="227">
        <v>2</v>
      </c>
      <c r="J25" s="227">
        <v>2</v>
      </c>
      <c r="K25" s="228">
        <v>2114.4</v>
      </c>
      <c r="L25" s="228">
        <v>2114.4</v>
      </c>
      <c r="M25" s="193">
        <f t="shared" si="0"/>
        <v>0</v>
      </c>
      <c r="N25" s="227">
        <v>0</v>
      </c>
      <c r="O25" s="228">
        <v>0</v>
      </c>
      <c r="P25" s="228">
        <v>0</v>
      </c>
      <c r="Q25" s="228">
        <f t="shared" si="1"/>
        <v>0</v>
      </c>
      <c r="R25" s="6"/>
    </row>
    <row r="26" spans="1:18" ht="25.5" x14ac:dyDescent="0.25">
      <c r="A26" s="229">
        <v>18</v>
      </c>
      <c r="B26" s="195" t="s">
        <v>135</v>
      </c>
      <c r="C26" s="194" t="s">
        <v>62</v>
      </c>
      <c r="D26" s="194"/>
      <c r="E26" s="134" t="s">
        <v>74</v>
      </c>
      <c r="F26" s="226" t="s">
        <v>427</v>
      </c>
      <c r="G26" s="136" t="s">
        <v>409</v>
      </c>
      <c r="H26" s="227">
        <v>2</v>
      </c>
      <c r="I26" s="227">
        <v>2</v>
      </c>
      <c r="J26" s="227">
        <v>2</v>
      </c>
      <c r="K26" s="228">
        <v>2396.3200000000002</v>
      </c>
      <c r="L26" s="228">
        <v>1691.52</v>
      </c>
      <c r="M26" s="193">
        <f t="shared" si="0"/>
        <v>704.80000000000018</v>
      </c>
      <c r="N26" s="227">
        <v>4</v>
      </c>
      <c r="O26" s="228">
        <v>12758.52</v>
      </c>
      <c r="P26" s="228"/>
      <c r="Q26" s="228">
        <f t="shared" si="1"/>
        <v>12758.52</v>
      </c>
      <c r="R26" s="6"/>
    </row>
    <row r="27" spans="1:18" ht="25.5" x14ac:dyDescent="0.25">
      <c r="A27" s="229">
        <v>19</v>
      </c>
      <c r="B27" s="195" t="s">
        <v>148</v>
      </c>
      <c r="C27" s="194" t="s">
        <v>62</v>
      </c>
      <c r="D27" s="194"/>
      <c r="E27" s="134" t="s">
        <v>149</v>
      </c>
      <c r="F27" s="226" t="s">
        <v>375</v>
      </c>
      <c r="G27" s="136" t="s">
        <v>409</v>
      </c>
      <c r="H27" s="227">
        <v>17</v>
      </c>
      <c r="I27" s="227">
        <v>0</v>
      </c>
      <c r="J27" s="227">
        <v>0</v>
      </c>
      <c r="K27" s="228">
        <v>0</v>
      </c>
      <c r="L27" s="228">
        <v>0</v>
      </c>
      <c r="M27" s="193">
        <f t="shared" si="0"/>
        <v>0</v>
      </c>
      <c r="N27" s="227">
        <v>12</v>
      </c>
      <c r="O27" s="228">
        <v>34273.480000000003</v>
      </c>
      <c r="P27" s="228">
        <v>22187.47</v>
      </c>
      <c r="Q27" s="228">
        <f t="shared" si="1"/>
        <v>12086.010000000002</v>
      </c>
      <c r="R27" s="6"/>
    </row>
    <row r="28" spans="1:18" ht="25.5" x14ac:dyDescent="0.25">
      <c r="A28" s="229">
        <v>20</v>
      </c>
      <c r="B28" s="195" t="s">
        <v>147</v>
      </c>
      <c r="C28" s="194" t="s">
        <v>62</v>
      </c>
      <c r="D28" s="194"/>
      <c r="E28" s="134" t="s">
        <v>74</v>
      </c>
      <c r="F28" s="226" t="s">
        <v>331</v>
      </c>
      <c r="G28" s="136" t="s">
        <v>409</v>
      </c>
      <c r="H28" s="227">
        <v>4</v>
      </c>
      <c r="I28" s="227">
        <v>0</v>
      </c>
      <c r="J28" s="227">
        <v>0</v>
      </c>
      <c r="K28" s="228">
        <v>0</v>
      </c>
      <c r="L28" s="228">
        <v>0</v>
      </c>
      <c r="M28" s="193">
        <f t="shared" si="0"/>
        <v>0</v>
      </c>
      <c r="N28" s="227">
        <v>6</v>
      </c>
      <c r="O28" s="228">
        <v>10763.2</v>
      </c>
      <c r="P28" s="228">
        <v>8120.2</v>
      </c>
      <c r="Q28" s="228">
        <f t="shared" si="1"/>
        <v>2643.0000000000009</v>
      </c>
      <c r="R28" s="6"/>
    </row>
    <row r="29" spans="1:18" ht="25.5" x14ac:dyDescent="0.25">
      <c r="A29" s="229">
        <v>21</v>
      </c>
      <c r="B29" s="195" t="s">
        <v>124</v>
      </c>
      <c r="C29" s="194" t="s">
        <v>62</v>
      </c>
      <c r="D29" s="194"/>
      <c r="E29" s="134" t="s">
        <v>428</v>
      </c>
      <c r="F29" s="226" t="s">
        <v>329</v>
      </c>
      <c r="G29" s="136" t="s">
        <v>409</v>
      </c>
      <c r="H29" s="227">
        <v>15</v>
      </c>
      <c r="I29" s="227">
        <v>1</v>
      </c>
      <c r="J29" s="227">
        <v>1</v>
      </c>
      <c r="K29" s="228">
        <v>1762</v>
      </c>
      <c r="L29" s="228">
        <v>0</v>
      </c>
      <c r="M29" s="193">
        <f t="shared" si="0"/>
        <v>1762</v>
      </c>
      <c r="N29" s="227">
        <v>17</v>
      </c>
      <c r="O29" s="228">
        <v>20373.14</v>
      </c>
      <c r="P29" s="228">
        <v>8061.16</v>
      </c>
      <c r="Q29" s="228">
        <f t="shared" si="1"/>
        <v>12311.98</v>
      </c>
      <c r="R29" s="6"/>
    </row>
    <row r="30" spans="1:18" ht="25.5" x14ac:dyDescent="0.25">
      <c r="A30" s="229">
        <v>22</v>
      </c>
      <c r="B30" s="195" t="s">
        <v>168</v>
      </c>
      <c r="C30" s="194" t="s">
        <v>62</v>
      </c>
      <c r="D30" s="194"/>
      <c r="E30" s="226" t="s">
        <v>371</v>
      </c>
      <c r="F30" s="226" t="s">
        <v>353</v>
      </c>
      <c r="G30" s="136" t="s">
        <v>409</v>
      </c>
      <c r="H30" s="227">
        <v>6</v>
      </c>
      <c r="I30" s="227">
        <v>1</v>
      </c>
      <c r="J30" s="227">
        <v>1</v>
      </c>
      <c r="K30" s="228">
        <v>1409.6</v>
      </c>
      <c r="L30" s="228">
        <v>0</v>
      </c>
      <c r="M30" s="193">
        <f t="shared" si="0"/>
        <v>1409.6</v>
      </c>
      <c r="N30" s="227">
        <v>0</v>
      </c>
      <c r="O30" s="228">
        <v>0</v>
      </c>
      <c r="P30" s="228">
        <v>0</v>
      </c>
      <c r="Q30" s="228">
        <f t="shared" si="1"/>
        <v>0</v>
      </c>
      <c r="R30" s="6"/>
    </row>
    <row r="31" spans="1:18" ht="25.5" x14ac:dyDescent="0.25">
      <c r="A31" s="229">
        <v>23</v>
      </c>
      <c r="B31" s="195" t="s">
        <v>429</v>
      </c>
      <c r="C31" s="194" t="s">
        <v>62</v>
      </c>
      <c r="D31" s="194"/>
      <c r="E31" s="134" t="s">
        <v>74</v>
      </c>
      <c r="F31" s="226" t="s">
        <v>430</v>
      </c>
      <c r="G31" s="136" t="s">
        <v>409</v>
      </c>
      <c r="H31" s="227">
        <v>5</v>
      </c>
      <c r="I31" s="227">
        <v>2</v>
      </c>
      <c r="J31" s="227">
        <v>2</v>
      </c>
      <c r="K31" s="228">
        <v>2748.72</v>
      </c>
      <c r="L31" s="228">
        <v>1691.52</v>
      </c>
      <c r="M31" s="193">
        <f t="shared" si="0"/>
        <v>1057.1999999999998</v>
      </c>
      <c r="N31" s="227">
        <v>4</v>
      </c>
      <c r="O31" s="228">
        <v>3488.76</v>
      </c>
      <c r="P31" s="228">
        <v>528.6</v>
      </c>
      <c r="Q31" s="228">
        <f t="shared" si="1"/>
        <v>2960.1600000000003</v>
      </c>
      <c r="R31" s="6"/>
    </row>
    <row r="32" spans="1:18" ht="25.5" x14ac:dyDescent="0.25">
      <c r="A32" s="229">
        <v>24</v>
      </c>
      <c r="B32" s="195" t="s">
        <v>130</v>
      </c>
      <c r="C32" s="194" t="s">
        <v>62</v>
      </c>
      <c r="D32" s="194"/>
      <c r="E32" s="134" t="s">
        <v>74</v>
      </c>
      <c r="F32" s="226" t="s">
        <v>431</v>
      </c>
      <c r="G32" s="136" t="s">
        <v>409</v>
      </c>
      <c r="H32" s="227">
        <v>4</v>
      </c>
      <c r="I32" s="227">
        <v>4</v>
      </c>
      <c r="J32" s="227">
        <v>4</v>
      </c>
      <c r="K32" s="228">
        <v>5204.2</v>
      </c>
      <c r="L32" s="228">
        <v>5204.2</v>
      </c>
      <c r="M32" s="193">
        <f t="shared" si="0"/>
        <v>0</v>
      </c>
      <c r="N32" s="227">
        <v>1</v>
      </c>
      <c r="O32" s="228">
        <v>845.76</v>
      </c>
      <c r="P32" s="228">
        <v>845.76</v>
      </c>
      <c r="Q32" s="228">
        <f t="shared" si="1"/>
        <v>0</v>
      </c>
      <c r="R32" s="6"/>
    </row>
    <row r="33" spans="1:18" ht="25.5" x14ac:dyDescent="0.25">
      <c r="A33" s="229">
        <v>25</v>
      </c>
      <c r="B33" s="195" t="s">
        <v>32</v>
      </c>
      <c r="C33" s="194" t="s">
        <v>62</v>
      </c>
      <c r="D33" s="194"/>
      <c r="E33" s="134" t="s">
        <v>74</v>
      </c>
      <c r="F33" s="226" t="s">
        <v>432</v>
      </c>
      <c r="G33" s="136" t="s">
        <v>409</v>
      </c>
      <c r="H33" s="227">
        <v>9</v>
      </c>
      <c r="I33" s="227">
        <v>2</v>
      </c>
      <c r="J33" s="227">
        <v>2</v>
      </c>
      <c r="K33" s="228">
        <v>2114.4</v>
      </c>
      <c r="L33" s="228">
        <v>2114.4</v>
      </c>
      <c r="M33" s="193">
        <f t="shared" si="0"/>
        <v>0</v>
      </c>
      <c r="N33" s="227">
        <v>4</v>
      </c>
      <c r="O33" s="228">
        <v>4581.2</v>
      </c>
      <c r="P33" s="228">
        <v>4581.2</v>
      </c>
      <c r="Q33" s="228">
        <f t="shared" si="1"/>
        <v>0</v>
      </c>
      <c r="R33" s="6"/>
    </row>
    <row r="34" spans="1:18" ht="25.5" x14ac:dyDescent="0.25">
      <c r="A34" s="229">
        <v>26</v>
      </c>
      <c r="B34" s="195" t="s">
        <v>343</v>
      </c>
      <c r="C34" s="194" t="s">
        <v>62</v>
      </c>
      <c r="D34" s="194"/>
      <c r="E34" s="134" t="s">
        <v>74</v>
      </c>
      <c r="F34" s="226" t="s">
        <v>433</v>
      </c>
      <c r="G34" s="136" t="s">
        <v>409</v>
      </c>
      <c r="H34" s="227">
        <v>8</v>
      </c>
      <c r="I34" s="227">
        <v>2</v>
      </c>
      <c r="J34" s="227">
        <v>2</v>
      </c>
      <c r="K34" s="228">
        <v>2114.4</v>
      </c>
      <c r="L34" s="228">
        <v>0</v>
      </c>
      <c r="M34" s="193">
        <f t="shared" si="0"/>
        <v>2114.4</v>
      </c>
      <c r="N34" s="227">
        <v>0</v>
      </c>
      <c r="O34" s="228">
        <v>0</v>
      </c>
      <c r="P34" s="228">
        <v>0</v>
      </c>
      <c r="Q34" s="228">
        <f t="shared" si="1"/>
        <v>0</v>
      </c>
      <c r="R34" s="6"/>
    </row>
    <row r="35" spans="1:18" ht="25.5" x14ac:dyDescent="0.25">
      <c r="A35" s="229">
        <v>27</v>
      </c>
      <c r="B35" s="195" t="s">
        <v>290</v>
      </c>
      <c r="C35" s="194" t="s">
        <v>62</v>
      </c>
      <c r="D35" s="194"/>
      <c r="E35" s="226" t="s">
        <v>371</v>
      </c>
      <c r="F35" s="226" t="s">
        <v>434</v>
      </c>
      <c r="G35" s="136" t="s">
        <v>409</v>
      </c>
      <c r="H35" s="227">
        <v>3</v>
      </c>
      <c r="I35" s="227">
        <v>0</v>
      </c>
      <c r="J35" s="227">
        <v>0</v>
      </c>
      <c r="K35" s="228">
        <v>0</v>
      </c>
      <c r="L35" s="228">
        <v>0</v>
      </c>
      <c r="M35" s="193">
        <f t="shared" si="0"/>
        <v>0</v>
      </c>
      <c r="N35" s="227">
        <v>0</v>
      </c>
      <c r="O35" s="228">
        <v>0</v>
      </c>
      <c r="P35" s="228">
        <v>0</v>
      </c>
      <c r="Q35" s="228">
        <f t="shared" si="1"/>
        <v>0</v>
      </c>
      <c r="R35" s="6"/>
    </row>
    <row r="36" spans="1:18" ht="25.5" x14ac:dyDescent="0.25">
      <c r="A36" s="229">
        <v>28</v>
      </c>
      <c r="B36" s="195" t="s">
        <v>315</v>
      </c>
      <c r="C36" s="194" t="s">
        <v>62</v>
      </c>
      <c r="D36" s="194"/>
      <c r="E36" s="134" t="s">
        <v>74</v>
      </c>
      <c r="F36" s="226" t="s">
        <v>435</v>
      </c>
      <c r="G36" s="136" t="s">
        <v>409</v>
      </c>
      <c r="H36" s="227">
        <v>12</v>
      </c>
      <c r="I36" s="227">
        <v>0</v>
      </c>
      <c r="J36" s="227">
        <v>0</v>
      </c>
      <c r="K36" s="228">
        <v>0</v>
      </c>
      <c r="L36" s="228">
        <v>0</v>
      </c>
      <c r="M36" s="193">
        <f t="shared" si="0"/>
        <v>0</v>
      </c>
      <c r="N36" s="227">
        <v>4</v>
      </c>
      <c r="O36" s="228">
        <v>5622.22</v>
      </c>
      <c r="P36" s="228">
        <v>1386.2</v>
      </c>
      <c r="Q36" s="228">
        <f t="shared" si="1"/>
        <v>4236.0200000000004</v>
      </c>
      <c r="R36" s="6"/>
    </row>
    <row r="37" spans="1:18" ht="25.5" x14ac:dyDescent="0.25">
      <c r="A37" s="229">
        <v>29</v>
      </c>
      <c r="B37" s="195" t="s">
        <v>216</v>
      </c>
      <c r="C37" s="194" t="s">
        <v>67</v>
      </c>
      <c r="D37" s="194" t="s">
        <v>436</v>
      </c>
      <c r="E37" s="134" t="s">
        <v>74</v>
      </c>
      <c r="F37" s="226" t="s">
        <v>437</v>
      </c>
      <c r="G37" s="136" t="s">
        <v>409</v>
      </c>
      <c r="H37" s="227">
        <v>15</v>
      </c>
      <c r="I37" s="227">
        <v>3</v>
      </c>
      <c r="J37" s="227">
        <v>3</v>
      </c>
      <c r="K37" s="228">
        <v>5141.1499999999996</v>
      </c>
      <c r="L37" s="228">
        <v>0</v>
      </c>
      <c r="M37" s="193">
        <f t="shared" si="0"/>
        <v>5141.1499999999996</v>
      </c>
      <c r="N37" s="227">
        <v>0</v>
      </c>
      <c r="O37" s="228">
        <v>0</v>
      </c>
      <c r="P37" s="228">
        <v>0</v>
      </c>
      <c r="Q37" s="228">
        <f t="shared" si="1"/>
        <v>0</v>
      </c>
      <c r="R37" s="6"/>
    </row>
    <row r="38" spans="1:18" ht="25.5" x14ac:dyDescent="0.25">
      <c r="A38" s="229">
        <v>30</v>
      </c>
      <c r="B38" s="195" t="s">
        <v>438</v>
      </c>
      <c r="C38" s="194" t="s">
        <v>62</v>
      </c>
      <c r="D38" s="194"/>
      <c r="E38" s="134" t="s">
        <v>74</v>
      </c>
      <c r="F38" s="226" t="s">
        <v>439</v>
      </c>
      <c r="G38" s="136" t="s">
        <v>409</v>
      </c>
      <c r="H38" s="227">
        <v>6</v>
      </c>
      <c r="I38" s="227">
        <v>0</v>
      </c>
      <c r="J38" s="227">
        <v>0</v>
      </c>
      <c r="K38" s="228">
        <v>0</v>
      </c>
      <c r="L38" s="228">
        <v>0</v>
      </c>
      <c r="M38" s="193">
        <f t="shared" si="0"/>
        <v>0</v>
      </c>
      <c r="N38" s="227">
        <v>0</v>
      </c>
      <c r="O38" s="228">
        <v>0</v>
      </c>
      <c r="P38" s="228">
        <v>0</v>
      </c>
      <c r="Q38" s="228">
        <f t="shared" si="1"/>
        <v>0</v>
      </c>
      <c r="R38" s="6"/>
    </row>
    <row r="39" spans="1:18" ht="25.5" x14ac:dyDescent="0.25">
      <c r="A39" s="229">
        <v>31</v>
      </c>
      <c r="B39" s="195" t="s">
        <v>440</v>
      </c>
      <c r="C39" s="194" t="s">
        <v>62</v>
      </c>
      <c r="D39" s="194"/>
      <c r="E39" s="134" t="s">
        <v>74</v>
      </c>
      <c r="F39" s="226" t="s">
        <v>441</v>
      </c>
      <c r="G39" s="136" t="s">
        <v>409</v>
      </c>
      <c r="H39" s="227">
        <v>7</v>
      </c>
      <c r="I39" s="227">
        <v>3</v>
      </c>
      <c r="J39" s="227">
        <v>3</v>
      </c>
      <c r="K39" s="228">
        <v>3171.6</v>
      </c>
      <c r="L39" s="228">
        <v>0</v>
      </c>
      <c r="M39" s="193">
        <f t="shared" si="0"/>
        <v>3171.6</v>
      </c>
      <c r="N39" s="227">
        <v>0</v>
      </c>
      <c r="O39" s="228">
        <v>0</v>
      </c>
      <c r="P39" s="228">
        <v>0</v>
      </c>
      <c r="Q39" s="228">
        <f t="shared" si="1"/>
        <v>0</v>
      </c>
      <c r="R39" s="6"/>
    </row>
    <row r="40" spans="1:18" ht="26.25" x14ac:dyDescent="0.25">
      <c r="A40" s="229">
        <v>32</v>
      </c>
      <c r="B40" s="195" t="s">
        <v>222</v>
      </c>
      <c r="C40" s="194" t="s">
        <v>64</v>
      </c>
      <c r="D40" s="196" t="s">
        <v>442</v>
      </c>
      <c r="E40" s="134" t="s">
        <v>74</v>
      </c>
      <c r="F40" s="226" t="s">
        <v>443</v>
      </c>
      <c r="G40" s="136" t="s">
        <v>409</v>
      </c>
      <c r="H40" s="227">
        <v>0</v>
      </c>
      <c r="I40" s="227">
        <v>0</v>
      </c>
      <c r="J40" s="227">
        <v>0</v>
      </c>
      <c r="K40" s="228">
        <v>0</v>
      </c>
      <c r="L40" s="228">
        <v>0</v>
      </c>
      <c r="M40" s="193">
        <f t="shared" si="0"/>
        <v>0</v>
      </c>
      <c r="N40" s="227">
        <v>0</v>
      </c>
      <c r="O40" s="228">
        <v>0</v>
      </c>
      <c r="P40" s="228">
        <v>0</v>
      </c>
      <c r="Q40" s="228">
        <f t="shared" si="1"/>
        <v>0</v>
      </c>
      <c r="R40" s="6"/>
    </row>
    <row r="41" spans="1:18" ht="25.5" x14ac:dyDescent="0.25">
      <c r="A41" s="229">
        <v>33</v>
      </c>
      <c r="B41" s="195" t="s">
        <v>444</v>
      </c>
      <c r="C41" s="194" t="s">
        <v>62</v>
      </c>
      <c r="D41" s="194"/>
      <c r="E41" s="134" t="s">
        <v>74</v>
      </c>
      <c r="F41" s="226" t="s">
        <v>445</v>
      </c>
      <c r="G41" s="136" t="s">
        <v>409</v>
      </c>
      <c r="H41" s="227">
        <v>5</v>
      </c>
      <c r="I41" s="227">
        <v>2</v>
      </c>
      <c r="J41" s="227">
        <v>2</v>
      </c>
      <c r="K41" s="228">
        <v>1409.6</v>
      </c>
      <c r="L41" s="228">
        <v>0</v>
      </c>
      <c r="M41" s="193">
        <f t="shared" si="0"/>
        <v>1409.6</v>
      </c>
      <c r="N41" s="227">
        <v>0</v>
      </c>
      <c r="O41" s="228">
        <v>0</v>
      </c>
      <c r="P41" s="228">
        <v>0</v>
      </c>
      <c r="Q41" s="228">
        <f t="shared" si="1"/>
        <v>0</v>
      </c>
      <c r="R41" s="6"/>
    </row>
    <row r="42" spans="1:18" ht="25.5" x14ac:dyDescent="0.25">
      <c r="A42" s="229">
        <v>34</v>
      </c>
      <c r="B42" s="195" t="s">
        <v>129</v>
      </c>
      <c r="C42" s="194" t="s">
        <v>62</v>
      </c>
      <c r="D42" s="194"/>
      <c r="E42" s="134" t="s">
        <v>74</v>
      </c>
      <c r="F42" s="226" t="s">
        <v>446</v>
      </c>
      <c r="G42" s="136" t="s">
        <v>409</v>
      </c>
      <c r="H42" s="227">
        <v>4</v>
      </c>
      <c r="I42" s="227">
        <v>3</v>
      </c>
      <c r="J42" s="227">
        <v>3</v>
      </c>
      <c r="K42" s="228">
        <v>3015.4</v>
      </c>
      <c r="L42" s="228">
        <v>1948.2</v>
      </c>
      <c r="M42" s="193">
        <f t="shared" si="0"/>
        <v>1067.2</v>
      </c>
      <c r="N42" s="227">
        <v>8</v>
      </c>
      <c r="O42" s="228">
        <v>12201.18</v>
      </c>
      <c r="P42" s="228">
        <v>7342.3</v>
      </c>
      <c r="Q42" s="228">
        <f t="shared" si="1"/>
        <v>4858.88</v>
      </c>
      <c r="R42" s="6"/>
    </row>
    <row r="43" spans="1:18" ht="25.5" x14ac:dyDescent="0.25">
      <c r="A43" s="229">
        <v>35</v>
      </c>
      <c r="B43" s="197" t="s">
        <v>104</v>
      </c>
      <c r="C43" s="194" t="s">
        <v>62</v>
      </c>
      <c r="D43" s="194"/>
      <c r="E43" s="134" t="s">
        <v>105</v>
      </c>
      <c r="F43" s="226" t="s">
        <v>447</v>
      </c>
      <c r="G43" s="136" t="s">
        <v>409</v>
      </c>
      <c r="H43" s="227">
        <v>0</v>
      </c>
      <c r="I43" s="227">
        <v>0</v>
      </c>
      <c r="J43" s="227">
        <v>0</v>
      </c>
      <c r="K43" s="228">
        <v>0</v>
      </c>
      <c r="L43" s="228">
        <v>0</v>
      </c>
      <c r="M43" s="193">
        <f t="shared" si="0"/>
        <v>0</v>
      </c>
      <c r="N43" s="227">
        <v>7</v>
      </c>
      <c r="O43" s="228">
        <v>5726.5</v>
      </c>
      <c r="P43" s="228">
        <v>5726.5</v>
      </c>
      <c r="Q43" s="228">
        <f t="shared" si="1"/>
        <v>0</v>
      </c>
      <c r="R43" s="6"/>
    </row>
    <row r="44" spans="1:18" ht="25.5" x14ac:dyDescent="0.25">
      <c r="A44" s="226">
        <v>36</v>
      </c>
      <c r="B44" s="194" t="s">
        <v>156</v>
      </c>
      <c r="C44" s="194" t="s">
        <v>67</v>
      </c>
      <c r="D44" s="194" t="s">
        <v>501</v>
      </c>
      <c r="E44" s="134" t="s">
        <v>74</v>
      </c>
      <c r="F44" s="226" t="s">
        <v>502</v>
      </c>
      <c r="G44" s="136" t="s">
        <v>409</v>
      </c>
      <c r="H44" s="227">
        <v>3</v>
      </c>
      <c r="I44" s="227">
        <v>0</v>
      </c>
      <c r="J44" s="227">
        <v>0</v>
      </c>
      <c r="K44" s="228">
        <v>0</v>
      </c>
      <c r="L44" s="228">
        <v>0</v>
      </c>
      <c r="M44" s="193">
        <f t="shared" si="0"/>
        <v>0</v>
      </c>
      <c r="N44" s="227">
        <v>3</v>
      </c>
      <c r="O44" s="228">
        <v>6167</v>
      </c>
      <c r="P44" s="228">
        <v>4757.3999999999996</v>
      </c>
      <c r="Q44" s="228">
        <f t="shared" si="1"/>
        <v>1409.6000000000004</v>
      </c>
      <c r="R44" s="6"/>
    </row>
    <row r="45" spans="1:18" ht="25.5" x14ac:dyDescent="0.25">
      <c r="A45" s="226">
        <v>37</v>
      </c>
      <c r="B45" s="194" t="s">
        <v>133</v>
      </c>
      <c r="C45" s="194" t="s">
        <v>67</v>
      </c>
      <c r="D45" s="194" t="s">
        <v>397</v>
      </c>
      <c r="E45" s="134" t="s">
        <v>74</v>
      </c>
      <c r="F45" s="226" t="s">
        <v>503</v>
      </c>
      <c r="G45" s="136" t="s">
        <v>409</v>
      </c>
      <c r="H45" s="227">
        <v>8</v>
      </c>
      <c r="I45" s="227">
        <v>0</v>
      </c>
      <c r="J45" s="227">
        <v>0</v>
      </c>
      <c r="K45" s="228">
        <v>0</v>
      </c>
      <c r="L45" s="228">
        <v>0</v>
      </c>
      <c r="M45" s="193">
        <f t="shared" si="0"/>
        <v>0</v>
      </c>
      <c r="N45" s="227">
        <v>8</v>
      </c>
      <c r="O45" s="228">
        <v>21929.06</v>
      </c>
      <c r="P45" s="228">
        <v>14551.26</v>
      </c>
      <c r="Q45" s="228">
        <f t="shared" si="1"/>
        <v>7377.8000000000011</v>
      </c>
      <c r="R45" s="6"/>
    </row>
    <row r="46" spans="1:18" ht="25.5" x14ac:dyDescent="0.25">
      <c r="A46" s="226">
        <v>38</v>
      </c>
      <c r="B46" s="194" t="s">
        <v>114</v>
      </c>
      <c r="C46" s="194" t="s">
        <v>62</v>
      </c>
      <c r="D46" s="194"/>
      <c r="E46" s="134" t="s">
        <v>115</v>
      </c>
      <c r="F46" s="226" t="s">
        <v>504</v>
      </c>
      <c r="G46" s="136" t="s">
        <v>409</v>
      </c>
      <c r="H46" s="227">
        <v>0</v>
      </c>
      <c r="I46" s="227">
        <v>0</v>
      </c>
      <c r="J46" s="227">
        <v>0</v>
      </c>
      <c r="K46" s="228">
        <v>0</v>
      </c>
      <c r="L46" s="228">
        <v>0</v>
      </c>
      <c r="M46" s="193">
        <f t="shared" si="0"/>
        <v>0</v>
      </c>
      <c r="N46" s="227">
        <v>2</v>
      </c>
      <c r="O46" s="228">
        <v>1762</v>
      </c>
      <c r="P46" s="228">
        <v>0</v>
      </c>
      <c r="Q46" s="228">
        <f t="shared" si="1"/>
        <v>1762</v>
      </c>
      <c r="R46" s="6"/>
    </row>
    <row r="47" spans="1:18" ht="25.5" x14ac:dyDescent="0.25">
      <c r="A47" s="226">
        <v>39</v>
      </c>
      <c r="B47" s="194" t="s">
        <v>505</v>
      </c>
      <c r="C47" s="194" t="s">
        <v>62</v>
      </c>
      <c r="D47" s="194"/>
      <c r="E47" s="134" t="s">
        <v>74</v>
      </c>
      <c r="F47" s="226" t="s">
        <v>506</v>
      </c>
      <c r="G47" s="136" t="s">
        <v>409</v>
      </c>
      <c r="H47" s="227">
        <v>1</v>
      </c>
      <c r="I47" s="227">
        <v>0</v>
      </c>
      <c r="J47" s="227">
        <v>0</v>
      </c>
      <c r="K47" s="228">
        <v>0</v>
      </c>
      <c r="L47" s="228">
        <v>0</v>
      </c>
      <c r="M47" s="193">
        <f t="shared" si="0"/>
        <v>0</v>
      </c>
      <c r="N47" s="227">
        <v>0</v>
      </c>
      <c r="O47" s="228">
        <v>0</v>
      </c>
      <c r="P47" s="228">
        <v>0</v>
      </c>
      <c r="Q47" s="228">
        <f t="shared" si="1"/>
        <v>0</v>
      </c>
      <c r="R47" s="6"/>
    </row>
    <row r="48" spans="1:18" ht="25.5" x14ac:dyDescent="0.25">
      <c r="A48" s="226">
        <v>40</v>
      </c>
      <c r="B48" s="194" t="s">
        <v>473</v>
      </c>
      <c r="C48" s="194" t="s">
        <v>62</v>
      </c>
      <c r="D48" s="194"/>
      <c r="E48" s="226" t="s">
        <v>74</v>
      </c>
      <c r="F48" s="226" t="s">
        <v>558</v>
      </c>
      <c r="G48" s="136" t="s">
        <v>409</v>
      </c>
      <c r="H48" s="227">
        <v>0</v>
      </c>
      <c r="I48" s="227">
        <v>0</v>
      </c>
      <c r="J48" s="227">
        <v>0</v>
      </c>
      <c r="K48" s="228">
        <v>0</v>
      </c>
      <c r="L48" s="228">
        <v>0</v>
      </c>
      <c r="M48" s="193">
        <f t="shared" si="0"/>
        <v>0</v>
      </c>
      <c r="N48" s="227">
        <v>0</v>
      </c>
      <c r="O48" s="228">
        <v>0</v>
      </c>
      <c r="P48" s="228">
        <v>0</v>
      </c>
      <c r="Q48" s="228">
        <f t="shared" si="1"/>
        <v>0</v>
      </c>
      <c r="R48" s="6"/>
    </row>
    <row r="49" spans="1:18" ht="25.5" x14ac:dyDescent="0.25">
      <c r="A49" s="226">
        <v>41</v>
      </c>
      <c r="B49" s="194" t="s">
        <v>376</v>
      </c>
      <c r="C49" s="194" t="s">
        <v>62</v>
      </c>
      <c r="D49" s="194"/>
      <c r="E49" s="226" t="s">
        <v>74</v>
      </c>
      <c r="F49" s="226" t="s">
        <v>559</v>
      </c>
      <c r="G49" s="136" t="s">
        <v>409</v>
      </c>
      <c r="H49" s="227">
        <v>0</v>
      </c>
      <c r="I49" s="227">
        <v>0</v>
      </c>
      <c r="J49" s="227">
        <v>0</v>
      </c>
      <c r="K49" s="228">
        <v>0</v>
      </c>
      <c r="L49" s="228">
        <v>0</v>
      </c>
      <c r="M49" s="193">
        <f t="shared" si="0"/>
        <v>0</v>
      </c>
      <c r="N49" s="227">
        <v>0</v>
      </c>
      <c r="O49" s="228">
        <v>0</v>
      </c>
      <c r="P49" s="228">
        <v>0</v>
      </c>
      <c r="Q49" s="228">
        <f t="shared" si="1"/>
        <v>0</v>
      </c>
      <c r="R49" s="6"/>
    </row>
    <row r="50" spans="1:18" ht="25.5" x14ac:dyDescent="0.25">
      <c r="A50" s="226">
        <v>42</v>
      </c>
      <c r="B50" s="194" t="s">
        <v>119</v>
      </c>
      <c r="C50" s="194" t="s">
        <v>62</v>
      </c>
      <c r="D50" s="194"/>
      <c r="E50" s="226" t="s">
        <v>74</v>
      </c>
      <c r="F50" s="226" t="s">
        <v>560</v>
      </c>
      <c r="G50" s="136" t="s">
        <v>409</v>
      </c>
      <c r="H50" s="227">
        <v>4</v>
      </c>
      <c r="I50" s="227">
        <v>1</v>
      </c>
      <c r="J50" s="227">
        <v>1</v>
      </c>
      <c r="K50" s="228">
        <v>1691.52</v>
      </c>
      <c r="L50" s="228">
        <v>0</v>
      </c>
      <c r="M50" s="193">
        <f t="shared" si="0"/>
        <v>1691.52</v>
      </c>
      <c r="N50" s="227">
        <v>8</v>
      </c>
      <c r="O50" s="228">
        <v>12443.1</v>
      </c>
      <c r="P50" s="228">
        <v>0</v>
      </c>
      <c r="Q50" s="228">
        <f t="shared" si="1"/>
        <v>12443.1</v>
      </c>
      <c r="R50" s="6"/>
    </row>
    <row r="51" spans="1:18" ht="25.5" x14ac:dyDescent="0.25">
      <c r="A51" s="226">
        <v>43</v>
      </c>
      <c r="B51" s="194" t="s">
        <v>47</v>
      </c>
      <c r="C51" s="194" t="s">
        <v>62</v>
      </c>
      <c r="D51" s="194"/>
      <c r="E51" s="226" t="s">
        <v>141</v>
      </c>
      <c r="F51" s="226" t="s">
        <v>589</v>
      </c>
      <c r="G51" s="136" t="s">
        <v>409</v>
      </c>
      <c r="H51" s="227">
        <v>0</v>
      </c>
      <c r="I51" s="227">
        <v>0</v>
      </c>
      <c r="J51" s="227">
        <v>0</v>
      </c>
      <c r="K51" s="228">
        <v>0</v>
      </c>
      <c r="L51" s="228">
        <v>0</v>
      </c>
      <c r="M51" s="193">
        <f t="shared" si="0"/>
        <v>0</v>
      </c>
      <c r="N51" s="227">
        <v>0</v>
      </c>
      <c r="O51" s="228">
        <v>0</v>
      </c>
      <c r="P51" s="228">
        <v>0</v>
      </c>
      <c r="Q51" s="228">
        <f t="shared" si="1"/>
        <v>0</v>
      </c>
      <c r="R51" s="6"/>
    </row>
    <row r="52" spans="1:18" ht="25.5" x14ac:dyDescent="0.25">
      <c r="A52" s="226">
        <v>44</v>
      </c>
      <c r="B52" s="194" t="s">
        <v>37</v>
      </c>
      <c r="C52" s="194" t="s">
        <v>62</v>
      </c>
      <c r="D52" s="226"/>
      <c r="E52" s="226" t="s">
        <v>74</v>
      </c>
      <c r="F52" s="226" t="s">
        <v>590</v>
      </c>
      <c r="G52" s="136" t="s">
        <v>409</v>
      </c>
      <c r="H52" s="227">
        <v>0</v>
      </c>
      <c r="I52" s="227">
        <v>0</v>
      </c>
      <c r="J52" s="227">
        <v>0</v>
      </c>
      <c r="K52" s="228">
        <v>0</v>
      </c>
      <c r="L52" s="228">
        <v>0</v>
      </c>
      <c r="M52" s="193">
        <f t="shared" si="0"/>
        <v>0</v>
      </c>
      <c r="N52" s="227">
        <v>0</v>
      </c>
      <c r="O52" s="228">
        <v>0</v>
      </c>
      <c r="P52" s="228">
        <v>0</v>
      </c>
      <c r="Q52" s="228">
        <f t="shared" si="1"/>
        <v>0</v>
      </c>
      <c r="R52" s="6"/>
    </row>
    <row r="53" spans="1:18" ht="25.5" x14ac:dyDescent="0.25">
      <c r="A53" s="226">
        <v>45</v>
      </c>
      <c r="B53" s="194" t="s">
        <v>97</v>
      </c>
      <c r="C53" s="194" t="s">
        <v>62</v>
      </c>
      <c r="D53" s="226"/>
      <c r="E53" s="226" t="s">
        <v>74</v>
      </c>
      <c r="F53" s="226" t="s">
        <v>591</v>
      </c>
      <c r="G53" s="136" t="s">
        <v>409</v>
      </c>
      <c r="H53" s="227">
        <v>3</v>
      </c>
      <c r="I53" s="227">
        <v>0</v>
      </c>
      <c r="J53" s="227">
        <v>0</v>
      </c>
      <c r="K53" s="228">
        <v>0</v>
      </c>
      <c r="L53" s="228">
        <v>0</v>
      </c>
      <c r="M53" s="193">
        <f t="shared" si="0"/>
        <v>0</v>
      </c>
      <c r="N53" s="227">
        <v>0</v>
      </c>
      <c r="O53" s="228">
        <v>0</v>
      </c>
      <c r="P53" s="228">
        <v>0</v>
      </c>
      <c r="Q53" s="228">
        <f t="shared" si="1"/>
        <v>0</v>
      </c>
      <c r="R53" s="6"/>
    </row>
    <row r="54" spans="1:18" x14ac:dyDescent="0.25">
      <c r="A54" s="171">
        <v>1</v>
      </c>
      <c r="B54" s="172" t="s">
        <v>146</v>
      </c>
      <c r="C54" s="173" t="s">
        <v>62</v>
      </c>
      <c r="D54" s="173"/>
      <c r="E54" s="173" t="s">
        <v>74</v>
      </c>
      <c r="F54" s="172" t="s">
        <v>325</v>
      </c>
      <c r="G54" s="174" t="s">
        <v>326</v>
      </c>
      <c r="H54" s="174">
        <v>13</v>
      </c>
      <c r="I54" s="174">
        <v>3</v>
      </c>
      <c r="J54" s="174">
        <v>3</v>
      </c>
      <c r="K54" s="175">
        <f>2643+2466.8</f>
        <v>5109.8</v>
      </c>
      <c r="L54" s="175">
        <f>5109.8</f>
        <v>5109.8</v>
      </c>
      <c r="M54" s="175">
        <f>K54-L54</f>
        <v>0</v>
      </c>
      <c r="N54" s="176">
        <v>6</v>
      </c>
      <c r="O54" s="175">
        <v>5374.1</v>
      </c>
      <c r="P54" s="177">
        <f>2378.7+2995.4</f>
        <v>5374.1</v>
      </c>
      <c r="Q54" s="177">
        <f>O54-P54</f>
        <v>0</v>
      </c>
      <c r="R54" s="6"/>
    </row>
    <row r="55" spans="1:18" x14ac:dyDescent="0.25">
      <c r="A55" s="171">
        <v>2</v>
      </c>
      <c r="B55" s="172" t="s">
        <v>166</v>
      </c>
      <c r="C55" s="173" t="s">
        <v>62</v>
      </c>
      <c r="D55" s="173"/>
      <c r="E55" s="173" t="s">
        <v>158</v>
      </c>
      <c r="F55" s="172" t="s">
        <v>327</v>
      </c>
      <c r="G55" s="172" t="s">
        <v>326</v>
      </c>
      <c r="H55" s="174">
        <v>3</v>
      </c>
      <c r="I55" s="174">
        <v>2</v>
      </c>
      <c r="J55" s="174">
        <v>2</v>
      </c>
      <c r="K55" s="175">
        <f>1233.4+4228.8</f>
        <v>5462.2000000000007</v>
      </c>
      <c r="L55" s="175">
        <f>73.95+1159.45</f>
        <v>1233.4000000000001</v>
      </c>
      <c r="M55" s="175">
        <f>K55-L55</f>
        <v>4228.8000000000011</v>
      </c>
      <c r="N55" s="176">
        <v>0</v>
      </c>
      <c r="O55" s="175">
        <v>0</v>
      </c>
      <c r="P55" s="177">
        <v>0</v>
      </c>
      <c r="Q55" s="177">
        <f>O55-P55</f>
        <v>0</v>
      </c>
      <c r="R55" s="6"/>
    </row>
    <row r="56" spans="1:18" x14ac:dyDescent="0.25">
      <c r="A56" s="171">
        <v>3</v>
      </c>
      <c r="B56" s="172" t="s">
        <v>173</v>
      </c>
      <c r="C56" s="173" t="s">
        <v>67</v>
      </c>
      <c r="D56" s="173" t="s">
        <v>328</v>
      </c>
      <c r="E56" s="173" t="s">
        <v>158</v>
      </c>
      <c r="F56" s="172" t="s">
        <v>329</v>
      </c>
      <c r="G56" s="172" t="s">
        <v>326</v>
      </c>
      <c r="H56" s="174">
        <v>6</v>
      </c>
      <c r="I56" s="174">
        <v>1</v>
      </c>
      <c r="J56" s="174">
        <v>1</v>
      </c>
      <c r="K56" s="175">
        <f>704.8</f>
        <v>704.8</v>
      </c>
      <c r="L56" s="175">
        <f>704.8</f>
        <v>704.8</v>
      </c>
      <c r="M56" s="175">
        <f>K56-L56</f>
        <v>0</v>
      </c>
      <c r="N56" s="176">
        <v>0</v>
      </c>
      <c r="O56" s="175">
        <v>0</v>
      </c>
      <c r="P56" s="177">
        <v>0</v>
      </c>
      <c r="Q56" s="177">
        <f>O56-P56</f>
        <v>0</v>
      </c>
      <c r="R56" s="6"/>
    </row>
    <row r="57" spans="1:18" x14ac:dyDescent="0.25">
      <c r="A57" s="171">
        <v>4</v>
      </c>
      <c r="B57" s="172" t="s">
        <v>330</v>
      </c>
      <c r="C57" s="173" t="s">
        <v>62</v>
      </c>
      <c r="D57" s="173"/>
      <c r="E57" s="173" t="s">
        <v>158</v>
      </c>
      <c r="F57" s="172" t="s">
        <v>331</v>
      </c>
      <c r="G57" s="172" t="s">
        <v>326</v>
      </c>
      <c r="H57" s="174">
        <v>15</v>
      </c>
      <c r="I57" s="174">
        <v>9</v>
      </c>
      <c r="J57" s="174">
        <v>9</v>
      </c>
      <c r="K57" s="175">
        <f>704.8+11276.8</f>
        <v>11981.599999999999</v>
      </c>
      <c r="L57" s="175">
        <f>704.8+11276.8</f>
        <v>11981.599999999999</v>
      </c>
      <c r="M57" s="175">
        <f>K57-L57</f>
        <v>0</v>
      </c>
      <c r="N57" s="176">
        <v>0</v>
      </c>
      <c r="O57" s="175">
        <v>0</v>
      </c>
      <c r="P57" s="177">
        <v>0</v>
      </c>
      <c r="Q57" s="177">
        <f>O57-P57</f>
        <v>0</v>
      </c>
      <c r="R57" s="6"/>
    </row>
    <row r="58" spans="1:18" x14ac:dyDescent="0.25">
      <c r="A58" s="171">
        <v>5</v>
      </c>
      <c r="B58" s="172" t="s">
        <v>147</v>
      </c>
      <c r="C58" s="173" t="s">
        <v>62</v>
      </c>
      <c r="D58" s="178"/>
      <c r="E58" s="173" t="s">
        <v>74</v>
      </c>
      <c r="F58" s="172" t="s">
        <v>332</v>
      </c>
      <c r="G58" s="172" t="s">
        <v>326</v>
      </c>
      <c r="H58" s="179">
        <v>13</v>
      </c>
      <c r="I58" s="179">
        <v>4</v>
      </c>
      <c r="J58" s="179">
        <v>4</v>
      </c>
      <c r="K58" s="180">
        <f>1409.6+1762+3347.8</f>
        <v>6519.4</v>
      </c>
      <c r="L58" s="175">
        <f>1409.6+1762</f>
        <v>3171.6</v>
      </c>
      <c r="M58" s="175">
        <f>K58-L58</f>
        <v>3347.7999999999997</v>
      </c>
      <c r="N58" s="176">
        <v>3</v>
      </c>
      <c r="O58" s="181">
        <v>4757.3999999999996</v>
      </c>
      <c r="P58" s="182">
        <f>4052.6+704.8</f>
        <v>4757.3999999999996</v>
      </c>
      <c r="Q58" s="177">
        <f>O58-P58</f>
        <v>0</v>
      </c>
      <c r="R58" s="6"/>
    </row>
    <row r="59" spans="1:18" ht="45" x14ac:dyDescent="0.25">
      <c r="A59" s="171">
        <v>6</v>
      </c>
      <c r="B59" s="172" t="s">
        <v>554</v>
      </c>
      <c r="C59" s="173" t="s">
        <v>67</v>
      </c>
      <c r="D59" s="183" t="s">
        <v>555</v>
      </c>
      <c r="E59" s="173" t="s">
        <v>74</v>
      </c>
      <c r="F59" s="172" t="s">
        <v>556</v>
      </c>
      <c r="G59" s="172" t="s">
        <v>326</v>
      </c>
      <c r="H59" s="179">
        <v>1</v>
      </c>
      <c r="I59" s="179">
        <v>0</v>
      </c>
      <c r="J59" s="179">
        <v>0</v>
      </c>
      <c r="K59" s="180"/>
      <c r="L59" s="175"/>
      <c r="M59" s="175"/>
      <c r="N59" s="176">
        <v>0</v>
      </c>
      <c r="O59" s="181"/>
      <c r="P59" s="182"/>
      <c r="Q59" s="177"/>
      <c r="R59" s="6"/>
    </row>
    <row r="60" spans="1:18" x14ac:dyDescent="0.25">
      <c r="A60" s="171">
        <v>7</v>
      </c>
      <c r="B60" s="172" t="s">
        <v>88</v>
      </c>
      <c r="C60" s="173" t="s">
        <v>62</v>
      </c>
      <c r="D60" s="178"/>
      <c r="E60" s="173" t="s">
        <v>74</v>
      </c>
      <c r="F60" s="172" t="s">
        <v>333</v>
      </c>
      <c r="G60" s="172" t="s">
        <v>326</v>
      </c>
      <c r="H60" s="179">
        <v>2</v>
      </c>
      <c r="I60" s="179">
        <v>2</v>
      </c>
      <c r="J60" s="179">
        <v>2</v>
      </c>
      <c r="K60" s="180">
        <f>704.8+1585.8</f>
        <v>2290.6</v>
      </c>
      <c r="L60" s="175">
        <f>704.8+1585.8</f>
        <v>2290.6</v>
      </c>
      <c r="M60" s="175">
        <f t="shared" ref="M60:M81" si="2">K60-L60</f>
        <v>0</v>
      </c>
      <c r="N60" s="176">
        <v>1</v>
      </c>
      <c r="O60" s="181">
        <v>1145.3</v>
      </c>
      <c r="P60" s="177">
        <v>1145.3</v>
      </c>
      <c r="Q60" s="177">
        <f t="shared" ref="Q60:Q66" si="3">O60-P60</f>
        <v>0</v>
      </c>
      <c r="R60" s="6"/>
    </row>
    <row r="61" spans="1:18" x14ac:dyDescent="0.25">
      <c r="A61" s="171">
        <v>8</v>
      </c>
      <c r="B61" s="172" t="s">
        <v>182</v>
      </c>
      <c r="C61" s="173" t="s">
        <v>62</v>
      </c>
      <c r="D61" s="178"/>
      <c r="E61" s="173" t="s">
        <v>158</v>
      </c>
      <c r="F61" s="172" t="s">
        <v>334</v>
      </c>
      <c r="G61" s="172" t="s">
        <v>326</v>
      </c>
      <c r="H61" s="179">
        <v>5</v>
      </c>
      <c r="I61" s="179">
        <v>1</v>
      </c>
      <c r="J61" s="179">
        <v>1</v>
      </c>
      <c r="K61" s="180">
        <f>1233.4</f>
        <v>1233.4000000000001</v>
      </c>
      <c r="L61" s="175">
        <f>1233.4</f>
        <v>1233.4000000000001</v>
      </c>
      <c r="M61" s="175">
        <f t="shared" si="2"/>
        <v>0</v>
      </c>
      <c r="N61" s="176">
        <v>0</v>
      </c>
      <c r="O61" s="181"/>
      <c r="P61" s="177">
        <v>0</v>
      </c>
      <c r="Q61" s="177">
        <f t="shared" si="3"/>
        <v>0</v>
      </c>
      <c r="R61" s="6"/>
    </row>
    <row r="62" spans="1:18" x14ac:dyDescent="0.25">
      <c r="A62" s="171">
        <v>9</v>
      </c>
      <c r="B62" s="172" t="s">
        <v>335</v>
      </c>
      <c r="C62" s="173" t="s">
        <v>62</v>
      </c>
      <c r="D62" s="184"/>
      <c r="E62" s="173" t="s">
        <v>74</v>
      </c>
      <c r="F62" s="172" t="s">
        <v>336</v>
      </c>
      <c r="G62" s="172" t="s">
        <v>326</v>
      </c>
      <c r="H62" s="179">
        <v>14</v>
      </c>
      <c r="I62" s="179">
        <v>3</v>
      </c>
      <c r="J62" s="179">
        <v>3</v>
      </c>
      <c r="K62" s="180">
        <f>3700.2+704.8</f>
        <v>4405</v>
      </c>
      <c r="L62" s="175">
        <f>3700.2+704.8</f>
        <v>4405</v>
      </c>
      <c r="M62" s="175">
        <f t="shared" si="2"/>
        <v>0</v>
      </c>
      <c r="N62" s="176">
        <v>7</v>
      </c>
      <c r="O62" s="175">
        <f>3435.9+3171.6+132.15</f>
        <v>6739.65</v>
      </c>
      <c r="P62" s="177">
        <f>3435.9+3171.6+132.15</f>
        <v>6739.65</v>
      </c>
      <c r="Q62" s="177">
        <f t="shared" si="3"/>
        <v>0</v>
      </c>
      <c r="R62" s="6"/>
    </row>
    <row r="63" spans="1:18" x14ac:dyDescent="0.25">
      <c r="A63" s="171">
        <v>10</v>
      </c>
      <c r="B63" s="172" t="s">
        <v>27</v>
      </c>
      <c r="C63" s="173" t="s">
        <v>62</v>
      </c>
      <c r="D63" s="178"/>
      <c r="E63" s="173" t="s">
        <v>158</v>
      </c>
      <c r="F63" s="172" t="s">
        <v>337</v>
      </c>
      <c r="G63" s="172" t="s">
        <v>326</v>
      </c>
      <c r="H63" s="179">
        <v>13</v>
      </c>
      <c r="I63" s="179">
        <v>10</v>
      </c>
      <c r="J63" s="179">
        <v>10</v>
      </c>
      <c r="K63" s="180">
        <f>5638.4+2819.2</f>
        <v>8457.5999999999985</v>
      </c>
      <c r="L63" s="175">
        <f>1233.4+4405+2819.2</f>
        <v>8457.5999999999985</v>
      </c>
      <c r="M63" s="175">
        <f t="shared" si="2"/>
        <v>0</v>
      </c>
      <c r="N63" s="176">
        <v>0</v>
      </c>
      <c r="O63" s="181"/>
      <c r="P63" s="182">
        <v>0</v>
      </c>
      <c r="Q63" s="177">
        <f t="shared" si="3"/>
        <v>0</v>
      </c>
      <c r="R63" s="6"/>
    </row>
    <row r="64" spans="1:18" x14ac:dyDescent="0.25">
      <c r="A64" s="185">
        <v>11</v>
      </c>
      <c r="B64" s="172" t="s">
        <v>190</v>
      </c>
      <c r="C64" s="173" t="s">
        <v>62</v>
      </c>
      <c r="D64" s="178"/>
      <c r="E64" s="173" t="s">
        <v>338</v>
      </c>
      <c r="F64" s="172" t="s">
        <v>339</v>
      </c>
      <c r="G64" s="172" t="s">
        <v>326</v>
      </c>
      <c r="H64" s="179">
        <v>14</v>
      </c>
      <c r="I64" s="179">
        <v>6</v>
      </c>
      <c r="J64" s="179">
        <v>6</v>
      </c>
      <c r="K64" s="180">
        <f>1938.2+2819.2+2819.2+2290.6</f>
        <v>9867.1999999999989</v>
      </c>
      <c r="L64" s="175">
        <f>704.8+704.8+528.6+2819.2+2819.2</f>
        <v>7576.5999999999995</v>
      </c>
      <c r="M64" s="175">
        <f t="shared" si="2"/>
        <v>2290.5999999999995</v>
      </c>
      <c r="N64" s="176">
        <v>0</v>
      </c>
      <c r="O64" s="181"/>
      <c r="P64" s="177">
        <v>0</v>
      </c>
      <c r="Q64" s="177">
        <f t="shared" si="3"/>
        <v>0</v>
      </c>
      <c r="R64" s="6"/>
    </row>
    <row r="65" spans="1:18" x14ac:dyDescent="0.25">
      <c r="A65" s="185">
        <v>12</v>
      </c>
      <c r="B65" s="172" t="s">
        <v>89</v>
      </c>
      <c r="C65" s="173" t="s">
        <v>62</v>
      </c>
      <c r="D65" s="178"/>
      <c r="E65" s="173" t="s">
        <v>74</v>
      </c>
      <c r="F65" s="172" t="s">
        <v>340</v>
      </c>
      <c r="G65" s="172" t="s">
        <v>326</v>
      </c>
      <c r="H65" s="179">
        <v>5</v>
      </c>
      <c r="I65" s="179">
        <v>4</v>
      </c>
      <c r="J65" s="179">
        <v>4</v>
      </c>
      <c r="K65" s="180">
        <f>1762+3876.4</f>
        <v>5638.4</v>
      </c>
      <c r="L65" s="175">
        <f>1762+3876.4</f>
        <v>5638.4</v>
      </c>
      <c r="M65" s="175">
        <f t="shared" si="2"/>
        <v>0</v>
      </c>
      <c r="N65" s="176">
        <v>3</v>
      </c>
      <c r="O65" s="181">
        <f>440.5+5990.8</f>
        <v>6431.3</v>
      </c>
      <c r="P65" s="177">
        <f>440.5+5990.8</f>
        <v>6431.3</v>
      </c>
      <c r="Q65" s="177">
        <f t="shared" si="3"/>
        <v>0</v>
      </c>
      <c r="R65" s="6"/>
    </row>
    <row r="66" spans="1:18" x14ac:dyDescent="0.25">
      <c r="A66" s="185">
        <v>13</v>
      </c>
      <c r="B66" s="172" t="s">
        <v>196</v>
      </c>
      <c r="C66" s="173" t="s">
        <v>62</v>
      </c>
      <c r="D66" s="178"/>
      <c r="E66" s="173" t="s">
        <v>341</v>
      </c>
      <c r="F66" s="172" t="s">
        <v>342</v>
      </c>
      <c r="G66" s="172" t="s">
        <v>326</v>
      </c>
      <c r="H66" s="179">
        <v>7</v>
      </c>
      <c r="I66" s="179">
        <v>5</v>
      </c>
      <c r="J66" s="179">
        <v>5</v>
      </c>
      <c r="K66" s="180">
        <v>4933.6000000000004</v>
      </c>
      <c r="L66" s="175">
        <f>4933.6</f>
        <v>4933.6000000000004</v>
      </c>
      <c r="M66" s="175">
        <f t="shared" si="2"/>
        <v>0</v>
      </c>
      <c r="N66" s="176">
        <v>0</v>
      </c>
      <c r="O66" s="181"/>
      <c r="P66" s="177">
        <v>0</v>
      </c>
      <c r="Q66" s="177">
        <f t="shared" si="3"/>
        <v>0</v>
      </c>
      <c r="R66" s="6"/>
    </row>
    <row r="67" spans="1:18" x14ac:dyDescent="0.25">
      <c r="A67" s="185">
        <v>14</v>
      </c>
      <c r="B67" s="172" t="s">
        <v>343</v>
      </c>
      <c r="C67" s="173" t="s">
        <v>62</v>
      </c>
      <c r="D67" s="178"/>
      <c r="E67" s="173" t="s">
        <v>74</v>
      </c>
      <c r="F67" s="172" t="s">
        <v>344</v>
      </c>
      <c r="G67" s="172" t="s">
        <v>326</v>
      </c>
      <c r="H67" s="179">
        <v>9</v>
      </c>
      <c r="I67" s="179">
        <v>2</v>
      </c>
      <c r="J67" s="179">
        <v>2</v>
      </c>
      <c r="K67" s="180">
        <f>2466.8</f>
        <v>2466.8000000000002</v>
      </c>
      <c r="L67" s="175"/>
      <c r="M67" s="175">
        <f t="shared" si="2"/>
        <v>2466.8000000000002</v>
      </c>
      <c r="N67" s="176">
        <v>0</v>
      </c>
      <c r="O67" s="181"/>
      <c r="P67" s="177"/>
      <c r="Q67" s="177"/>
      <c r="R67" s="6"/>
    </row>
    <row r="68" spans="1:18" x14ac:dyDescent="0.25">
      <c r="A68" s="185">
        <v>15</v>
      </c>
      <c r="B68" s="172" t="s">
        <v>154</v>
      </c>
      <c r="C68" s="173" t="s">
        <v>62</v>
      </c>
      <c r="D68" s="178"/>
      <c r="E68" s="173" t="s">
        <v>74</v>
      </c>
      <c r="F68" s="172" t="s">
        <v>345</v>
      </c>
      <c r="G68" s="172" t="s">
        <v>326</v>
      </c>
      <c r="H68" s="179">
        <v>4</v>
      </c>
      <c r="I68" s="179">
        <v>2</v>
      </c>
      <c r="J68" s="179">
        <v>2</v>
      </c>
      <c r="K68" s="180">
        <f>1497.7</f>
        <v>1497.7</v>
      </c>
      <c r="L68" s="175">
        <f>1497.7</f>
        <v>1497.7</v>
      </c>
      <c r="M68" s="175">
        <f t="shared" si="2"/>
        <v>0</v>
      </c>
      <c r="N68" s="176">
        <v>5</v>
      </c>
      <c r="O68" s="181">
        <f>4228.8+3700.2</f>
        <v>7929</v>
      </c>
      <c r="P68" s="182">
        <f>4228.8+3700.2</f>
        <v>7929</v>
      </c>
      <c r="Q68" s="177">
        <f t="shared" ref="Q68:Q78" si="4">O68-P68</f>
        <v>0</v>
      </c>
      <c r="R68" s="6"/>
    </row>
    <row r="69" spans="1:18" x14ac:dyDescent="0.25">
      <c r="A69" s="185">
        <v>16</v>
      </c>
      <c r="B69" s="172" t="s">
        <v>346</v>
      </c>
      <c r="C69" s="173" t="s">
        <v>62</v>
      </c>
      <c r="D69" s="178"/>
      <c r="E69" s="173" t="s">
        <v>158</v>
      </c>
      <c r="F69" s="172" t="s">
        <v>347</v>
      </c>
      <c r="G69" s="172" t="s">
        <v>326</v>
      </c>
      <c r="H69" s="179">
        <v>2</v>
      </c>
      <c r="I69" s="179">
        <v>0</v>
      </c>
      <c r="J69" s="179">
        <v>0</v>
      </c>
      <c r="K69" s="180"/>
      <c r="L69" s="175">
        <v>0</v>
      </c>
      <c r="M69" s="175">
        <f t="shared" si="2"/>
        <v>0</v>
      </c>
      <c r="N69" s="176">
        <v>0</v>
      </c>
      <c r="O69" s="181"/>
      <c r="P69" s="177">
        <v>0</v>
      </c>
      <c r="Q69" s="177">
        <f t="shared" si="4"/>
        <v>0</v>
      </c>
      <c r="R69" s="6"/>
    </row>
    <row r="70" spans="1:18" x14ac:dyDescent="0.25">
      <c r="A70" s="185">
        <v>17</v>
      </c>
      <c r="B70" s="172" t="s">
        <v>348</v>
      </c>
      <c r="C70" s="173" t="s">
        <v>62</v>
      </c>
      <c r="D70" s="178"/>
      <c r="E70" s="173" t="s">
        <v>158</v>
      </c>
      <c r="F70" s="172" t="s">
        <v>349</v>
      </c>
      <c r="G70" s="172" t="s">
        <v>326</v>
      </c>
      <c r="H70" s="179">
        <v>5</v>
      </c>
      <c r="I70" s="179">
        <v>0</v>
      </c>
      <c r="J70" s="179">
        <v>0</v>
      </c>
      <c r="K70" s="180"/>
      <c r="L70" s="175">
        <v>0</v>
      </c>
      <c r="M70" s="175">
        <f t="shared" si="2"/>
        <v>0</v>
      </c>
      <c r="N70" s="176">
        <v>0</v>
      </c>
      <c r="O70" s="181"/>
      <c r="P70" s="177">
        <v>0</v>
      </c>
      <c r="Q70" s="177">
        <f t="shared" si="4"/>
        <v>0</v>
      </c>
      <c r="R70" s="6"/>
    </row>
    <row r="71" spans="1:18" x14ac:dyDescent="0.25">
      <c r="A71" s="185">
        <v>18</v>
      </c>
      <c r="B71" s="172" t="s">
        <v>350</v>
      </c>
      <c r="C71" s="173" t="s">
        <v>62</v>
      </c>
      <c r="D71" s="178"/>
      <c r="E71" s="173" t="s">
        <v>74</v>
      </c>
      <c r="F71" s="172" t="s">
        <v>351</v>
      </c>
      <c r="G71" s="172" t="s">
        <v>326</v>
      </c>
      <c r="H71" s="179">
        <v>1</v>
      </c>
      <c r="I71" s="179">
        <v>1</v>
      </c>
      <c r="J71" s="179">
        <v>1</v>
      </c>
      <c r="K71" s="180">
        <f>528.6</f>
        <v>528.6</v>
      </c>
      <c r="L71" s="175">
        <v>0</v>
      </c>
      <c r="M71" s="175">
        <f t="shared" si="2"/>
        <v>528.6</v>
      </c>
      <c r="N71" s="176">
        <v>4</v>
      </c>
      <c r="O71" s="181">
        <v>5065.75</v>
      </c>
      <c r="P71" s="177">
        <f>1894.15+3171.6</f>
        <v>5065.75</v>
      </c>
      <c r="Q71" s="177">
        <f t="shared" si="4"/>
        <v>0</v>
      </c>
      <c r="R71" s="6"/>
    </row>
    <row r="72" spans="1:18" ht="60" x14ac:dyDescent="0.25">
      <c r="A72" s="186">
        <v>19</v>
      </c>
      <c r="B72" s="172" t="s">
        <v>222</v>
      </c>
      <c r="C72" s="173" t="s">
        <v>64</v>
      </c>
      <c r="D72" s="230" t="s">
        <v>352</v>
      </c>
      <c r="E72" s="173" t="s">
        <v>158</v>
      </c>
      <c r="F72" s="172" t="s">
        <v>353</v>
      </c>
      <c r="G72" s="172" t="s">
        <v>326</v>
      </c>
      <c r="H72" s="179">
        <v>6</v>
      </c>
      <c r="I72" s="179">
        <v>2</v>
      </c>
      <c r="J72" s="179">
        <v>2</v>
      </c>
      <c r="K72" s="180">
        <f>1233.4+2290.6</f>
        <v>3524</v>
      </c>
      <c r="L72" s="175">
        <f>1233.4+2290.6</f>
        <v>3524</v>
      </c>
      <c r="M72" s="175">
        <f t="shared" si="2"/>
        <v>0</v>
      </c>
      <c r="N72" s="176">
        <v>0</v>
      </c>
      <c r="O72" s="181"/>
      <c r="P72" s="177">
        <v>0</v>
      </c>
      <c r="Q72" s="177">
        <f t="shared" si="4"/>
        <v>0</v>
      </c>
      <c r="R72" s="6"/>
    </row>
    <row r="73" spans="1:18" x14ac:dyDescent="0.25">
      <c r="A73" s="185">
        <v>20</v>
      </c>
      <c r="B73" s="172" t="s">
        <v>238</v>
      </c>
      <c r="C73" s="173" t="s">
        <v>62</v>
      </c>
      <c r="D73" s="178"/>
      <c r="E73" s="173" t="s">
        <v>158</v>
      </c>
      <c r="F73" s="172" t="s">
        <v>354</v>
      </c>
      <c r="G73" s="172" t="s">
        <v>326</v>
      </c>
      <c r="H73" s="179">
        <v>6</v>
      </c>
      <c r="I73" s="179">
        <v>5</v>
      </c>
      <c r="J73" s="179">
        <v>5</v>
      </c>
      <c r="K73" s="180">
        <f>2466.8+4581.2</f>
        <v>7048</v>
      </c>
      <c r="L73" s="175">
        <f>1233.4+1233.4</f>
        <v>2466.8000000000002</v>
      </c>
      <c r="M73" s="175">
        <f t="shared" si="2"/>
        <v>4581.2</v>
      </c>
      <c r="N73" s="176">
        <v>0</v>
      </c>
      <c r="O73" s="181"/>
      <c r="P73" s="177">
        <v>0</v>
      </c>
      <c r="Q73" s="177">
        <f t="shared" si="4"/>
        <v>0</v>
      </c>
      <c r="R73" s="6"/>
    </row>
    <row r="74" spans="1:18" x14ac:dyDescent="0.25">
      <c r="A74" s="185">
        <v>21</v>
      </c>
      <c r="B74" s="172" t="s">
        <v>355</v>
      </c>
      <c r="C74" s="173" t="s">
        <v>62</v>
      </c>
      <c r="D74" s="178"/>
      <c r="E74" s="173" t="s">
        <v>158</v>
      </c>
      <c r="F74" s="172" t="s">
        <v>356</v>
      </c>
      <c r="G74" s="172" t="s">
        <v>326</v>
      </c>
      <c r="H74" s="179">
        <v>7</v>
      </c>
      <c r="I74" s="179">
        <v>2</v>
      </c>
      <c r="J74" s="179">
        <v>2</v>
      </c>
      <c r="K74" s="180">
        <v>1762</v>
      </c>
      <c r="L74" s="175">
        <f>1233.4+528.6</f>
        <v>1762</v>
      </c>
      <c r="M74" s="175">
        <f t="shared" si="2"/>
        <v>0</v>
      </c>
      <c r="N74" s="176">
        <v>0</v>
      </c>
      <c r="O74" s="181"/>
      <c r="P74" s="177">
        <v>0</v>
      </c>
      <c r="Q74" s="177">
        <f t="shared" si="4"/>
        <v>0</v>
      </c>
      <c r="R74" s="6"/>
    </row>
    <row r="75" spans="1:18" ht="38.25" x14ac:dyDescent="0.25">
      <c r="A75" s="186">
        <v>22</v>
      </c>
      <c r="B75" s="172" t="s">
        <v>357</v>
      </c>
      <c r="C75" s="173" t="s">
        <v>64</v>
      </c>
      <c r="D75" s="171" t="s">
        <v>358</v>
      </c>
      <c r="E75" s="173" t="s">
        <v>158</v>
      </c>
      <c r="F75" s="173" t="s">
        <v>507</v>
      </c>
      <c r="G75" s="172" t="s">
        <v>326</v>
      </c>
      <c r="H75" s="179">
        <v>1</v>
      </c>
      <c r="I75" s="184">
        <v>0</v>
      </c>
      <c r="J75" s="184">
        <v>0</v>
      </c>
      <c r="K75" s="180"/>
      <c r="L75" s="175">
        <v>0</v>
      </c>
      <c r="M75" s="175">
        <f t="shared" si="2"/>
        <v>0</v>
      </c>
      <c r="N75" s="176">
        <v>0</v>
      </c>
      <c r="O75" s="181"/>
      <c r="P75" s="177">
        <v>0</v>
      </c>
      <c r="Q75" s="177">
        <f t="shared" si="4"/>
        <v>0</v>
      </c>
      <c r="R75" s="6"/>
    </row>
    <row r="76" spans="1:18" x14ac:dyDescent="0.25">
      <c r="A76" s="185">
        <v>23</v>
      </c>
      <c r="B76" s="172" t="s">
        <v>359</v>
      </c>
      <c r="C76" s="173" t="s">
        <v>62</v>
      </c>
      <c r="D76" s="171"/>
      <c r="E76" s="173" t="s">
        <v>158</v>
      </c>
      <c r="F76" s="173" t="s">
        <v>360</v>
      </c>
      <c r="G76" s="172" t="s">
        <v>326</v>
      </c>
      <c r="H76" s="179">
        <v>5</v>
      </c>
      <c r="I76" s="179">
        <v>5</v>
      </c>
      <c r="J76" s="179">
        <v>5</v>
      </c>
      <c r="K76" s="180">
        <f>1409.6+704.8+528.6+2290.6</f>
        <v>4933.5999999999995</v>
      </c>
      <c r="L76" s="175">
        <f>704.8+704.8+704.8+9.97+518.63</f>
        <v>2642.9999999999995</v>
      </c>
      <c r="M76" s="175">
        <f t="shared" si="2"/>
        <v>2290.6</v>
      </c>
      <c r="N76" s="176">
        <v>0</v>
      </c>
      <c r="O76" s="181"/>
      <c r="P76" s="182">
        <v>0</v>
      </c>
      <c r="Q76" s="177">
        <f t="shared" si="4"/>
        <v>0</v>
      </c>
      <c r="R76" s="6"/>
    </row>
    <row r="77" spans="1:18" x14ac:dyDescent="0.25">
      <c r="A77" s="185">
        <v>24</v>
      </c>
      <c r="B77" s="172" t="s">
        <v>118</v>
      </c>
      <c r="C77" s="173" t="s">
        <v>62</v>
      </c>
      <c r="D77" s="178"/>
      <c r="E77" s="173" t="s">
        <v>338</v>
      </c>
      <c r="F77" s="172" t="s">
        <v>361</v>
      </c>
      <c r="G77" s="172" t="s">
        <v>326</v>
      </c>
      <c r="H77" s="179">
        <v>1</v>
      </c>
      <c r="I77" s="179">
        <v>0</v>
      </c>
      <c r="J77" s="179">
        <v>0</v>
      </c>
      <c r="K77" s="180"/>
      <c r="L77" s="175">
        <v>0</v>
      </c>
      <c r="M77" s="175">
        <f t="shared" si="2"/>
        <v>0</v>
      </c>
      <c r="N77" s="176">
        <v>0</v>
      </c>
      <c r="O77" s="181"/>
      <c r="P77" s="177">
        <v>0</v>
      </c>
      <c r="Q77" s="177">
        <f t="shared" si="4"/>
        <v>0</v>
      </c>
      <c r="R77" s="6"/>
    </row>
    <row r="78" spans="1:18" x14ac:dyDescent="0.25">
      <c r="A78" s="185">
        <v>25</v>
      </c>
      <c r="B78" s="172" t="s">
        <v>246</v>
      </c>
      <c r="C78" s="173" t="s">
        <v>62</v>
      </c>
      <c r="D78" s="178"/>
      <c r="E78" s="173" t="s">
        <v>158</v>
      </c>
      <c r="F78" s="172" t="s">
        <v>362</v>
      </c>
      <c r="G78" s="172" t="s">
        <v>326</v>
      </c>
      <c r="H78" s="179">
        <v>4</v>
      </c>
      <c r="I78" s="179">
        <v>1</v>
      </c>
      <c r="J78" s="179">
        <v>1</v>
      </c>
      <c r="K78" s="180">
        <f>1233.4</f>
        <v>1233.4000000000001</v>
      </c>
      <c r="L78" s="175">
        <f>1233.4</f>
        <v>1233.4000000000001</v>
      </c>
      <c r="M78" s="175">
        <f t="shared" si="2"/>
        <v>0</v>
      </c>
      <c r="N78" s="176">
        <v>0</v>
      </c>
      <c r="O78" s="181"/>
      <c r="P78" s="177">
        <v>0</v>
      </c>
      <c r="Q78" s="177">
        <f t="shared" si="4"/>
        <v>0</v>
      </c>
      <c r="R78" s="6"/>
    </row>
    <row r="79" spans="1:18" x14ac:dyDescent="0.25">
      <c r="A79" s="185">
        <v>26</v>
      </c>
      <c r="B79" s="172" t="s">
        <v>43</v>
      </c>
      <c r="C79" s="173" t="s">
        <v>62</v>
      </c>
      <c r="D79" s="178"/>
      <c r="E79" s="173" t="s">
        <v>74</v>
      </c>
      <c r="F79" s="172" t="s">
        <v>363</v>
      </c>
      <c r="G79" s="172" t="s">
        <v>326</v>
      </c>
      <c r="H79" s="179">
        <v>3</v>
      </c>
      <c r="I79" s="179">
        <v>1</v>
      </c>
      <c r="J79" s="179">
        <v>1</v>
      </c>
      <c r="K79" s="180">
        <v>660.75</v>
      </c>
      <c r="L79" s="175"/>
      <c r="M79" s="175">
        <f t="shared" si="2"/>
        <v>660.75</v>
      </c>
      <c r="N79" s="176">
        <v>0</v>
      </c>
      <c r="O79" s="181"/>
      <c r="P79" s="177"/>
      <c r="Q79" s="177"/>
      <c r="R79" s="6"/>
    </row>
    <row r="80" spans="1:18" x14ac:dyDescent="0.25">
      <c r="A80" s="185">
        <v>27</v>
      </c>
      <c r="B80" s="172" t="s">
        <v>364</v>
      </c>
      <c r="C80" s="173" t="s">
        <v>62</v>
      </c>
      <c r="D80" s="178"/>
      <c r="E80" s="173" t="s">
        <v>74</v>
      </c>
      <c r="F80" s="172" t="s">
        <v>365</v>
      </c>
      <c r="G80" s="172" t="s">
        <v>326</v>
      </c>
      <c r="H80" s="179">
        <v>8</v>
      </c>
      <c r="I80" s="179">
        <v>2</v>
      </c>
      <c r="J80" s="179">
        <v>2</v>
      </c>
      <c r="K80" s="180">
        <v>2466.8000000000002</v>
      </c>
      <c r="L80" s="175">
        <v>2466.8000000000002</v>
      </c>
      <c r="M80" s="175">
        <f t="shared" si="2"/>
        <v>0</v>
      </c>
      <c r="N80" s="176">
        <v>2</v>
      </c>
      <c r="O80" s="181">
        <v>3524</v>
      </c>
      <c r="P80" s="177">
        <v>3524</v>
      </c>
      <c r="Q80" s="177">
        <f>O80-P80</f>
        <v>0</v>
      </c>
      <c r="R80" s="6"/>
    </row>
    <row r="81" spans="1:18" x14ac:dyDescent="0.25">
      <c r="A81" s="185">
        <v>28</v>
      </c>
      <c r="B81" s="172" t="s">
        <v>46</v>
      </c>
      <c r="C81" s="173" t="s">
        <v>62</v>
      </c>
      <c r="D81" s="178"/>
      <c r="E81" s="173" t="s">
        <v>366</v>
      </c>
      <c r="F81" s="172" t="s">
        <v>367</v>
      </c>
      <c r="G81" s="172" t="s">
        <v>326</v>
      </c>
      <c r="H81" s="179">
        <v>0</v>
      </c>
      <c r="I81" s="179">
        <v>0</v>
      </c>
      <c r="J81" s="179">
        <v>0</v>
      </c>
      <c r="K81" s="180"/>
      <c r="L81" s="175">
        <v>0</v>
      </c>
      <c r="M81" s="175">
        <f t="shared" si="2"/>
        <v>0</v>
      </c>
      <c r="N81" s="176">
        <v>1</v>
      </c>
      <c r="O81" s="181">
        <f>4140.7+528.6</f>
        <v>4669.3</v>
      </c>
      <c r="P81" s="182">
        <f>4140.7+528.6</f>
        <v>4669.3</v>
      </c>
      <c r="Q81" s="177">
        <f>O81-P81</f>
        <v>0</v>
      </c>
      <c r="R81" s="6"/>
    </row>
    <row r="82" spans="1:18" x14ac:dyDescent="0.25">
      <c r="A82" s="185">
        <v>29</v>
      </c>
      <c r="B82" s="172" t="s">
        <v>270</v>
      </c>
      <c r="C82" s="173" t="s">
        <v>62</v>
      </c>
      <c r="D82" s="178"/>
      <c r="E82" s="173" t="s">
        <v>74</v>
      </c>
      <c r="F82" s="172" t="s">
        <v>539</v>
      </c>
      <c r="G82" s="172" t="s">
        <v>326</v>
      </c>
      <c r="H82" s="179">
        <v>2</v>
      </c>
      <c r="I82" s="179">
        <v>0</v>
      </c>
      <c r="J82" s="179">
        <v>0</v>
      </c>
      <c r="K82" s="180"/>
      <c r="L82" s="175"/>
      <c r="M82" s="175"/>
      <c r="N82" s="176">
        <v>0</v>
      </c>
      <c r="O82" s="181"/>
      <c r="P82" s="182"/>
      <c r="Q82" s="177"/>
      <c r="R82" s="6"/>
    </row>
    <row r="83" spans="1:18" x14ac:dyDescent="0.25">
      <c r="A83" s="185">
        <v>30</v>
      </c>
      <c r="B83" s="172" t="s">
        <v>96</v>
      </c>
      <c r="C83" s="173" t="s">
        <v>62</v>
      </c>
      <c r="D83" s="178"/>
      <c r="E83" s="173" t="s">
        <v>98</v>
      </c>
      <c r="F83" s="172" t="s">
        <v>540</v>
      </c>
      <c r="G83" s="172" t="s">
        <v>326</v>
      </c>
      <c r="H83" s="179">
        <v>1</v>
      </c>
      <c r="I83" s="179">
        <v>0</v>
      </c>
      <c r="J83" s="179">
        <v>0</v>
      </c>
      <c r="K83" s="180"/>
      <c r="L83" s="175"/>
      <c r="M83" s="175"/>
      <c r="N83" s="176">
        <v>1</v>
      </c>
      <c r="O83" s="181"/>
      <c r="P83" s="182"/>
      <c r="Q83" s="177"/>
      <c r="R83" s="6"/>
    </row>
    <row r="84" spans="1:18" x14ac:dyDescent="0.25">
      <c r="A84" s="185">
        <v>31</v>
      </c>
      <c r="B84" s="172" t="s">
        <v>124</v>
      </c>
      <c r="C84" s="173" t="s">
        <v>62</v>
      </c>
      <c r="D84" s="178"/>
      <c r="E84" s="173" t="s">
        <v>74</v>
      </c>
      <c r="F84" s="172" t="s">
        <v>368</v>
      </c>
      <c r="G84" s="172" t="s">
        <v>326</v>
      </c>
      <c r="H84" s="179">
        <v>22</v>
      </c>
      <c r="I84" s="179">
        <v>10</v>
      </c>
      <c r="J84" s="179">
        <v>10</v>
      </c>
      <c r="K84" s="180">
        <f>6343.2+3700.2</f>
        <v>10043.4</v>
      </c>
      <c r="L84" s="175">
        <f>1762+1762+2819.2</f>
        <v>6343.2</v>
      </c>
      <c r="M84" s="175">
        <f t="shared" ref="M84:M89" si="5">K84-L84</f>
        <v>3700.2</v>
      </c>
      <c r="N84" s="176">
        <v>8</v>
      </c>
      <c r="O84" s="181">
        <f>3171.6+88+1493.8-704.8+704.8</f>
        <v>4753.3999999999996</v>
      </c>
      <c r="P84" s="177">
        <f>1765.8+1493.8+789</f>
        <v>4048.6</v>
      </c>
      <c r="Q84" s="175">
        <f>O84-P84</f>
        <v>704.79999999999973</v>
      </c>
      <c r="R84" s="6"/>
    </row>
    <row r="85" spans="1:18" x14ac:dyDescent="0.25">
      <c r="A85" s="185">
        <v>32</v>
      </c>
      <c r="B85" s="172" t="s">
        <v>51</v>
      </c>
      <c r="C85" s="173" t="s">
        <v>62</v>
      </c>
      <c r="D85" s="178"/>
      <c r="E85" s="173" t="s">
        <v>74</v>
      </c>
      <c r="F85" s="172" t="s">
        <v>369</v>
      </c>
      <c r="G85" s="172" t="s">
        <v>326</v>
      </c>
      <c r="H85" s="179">
        <v>0</v>
      </c>
      <c r="I85" s="179">
        <v>0</v>
      </c>
      <c r="J85" s="179">
        <v>0</v>
      </c>
      <c r="K85" s="180"/>
      <c r="L85" s="175">
        <v>0</v>
      </c>
      <c r="M85" s="175">
        <f t="shared" si="5"/>
        <v>0</v>
      </c>
      <c r="N85" s="176">
        <v>1</v>
      </c>
      <c r="O85" s="181">
        <v>2290.6</v>
      </c>
      <c r="P85" s="177">
        <v>2290.6</v>
      </c>
      <c r="Q85" s="177">
        <f>O85-P85</f>
        <v>0</v>
      </c>
      <c r="R85" s="6"/>
    </row>
    <row r="86" spans="1:18" x14ac:dyDescent="0.25">
      <c r="A86" s="185">
        <v>33</v>
      </c>
      <c r="B86" s="172" t="s">
        <v>286</v>
      </c>
      <c r="C86" s="173" t="s">
        <v>62</v>
      </c>
      <c r="D86" s="178"/>
      <c r="E86" s="173" t="s">
        <v>74</v>
      </c>
      <c r="F86" s="172" t="s">
        <v>476</v>
      </c>
      <c r="G86" s="172" t="s">
        <v>326</v>
      </c>
      <c r="H86" s="179">
        <v>6</v>
      </c>
      <c r="I86" s="179">
        <v>3</v>
      </c>
      <c r="J86" s="179">
        <v>3</v>
      </c>
      <c r="K86" s="180">
        <f>1233.4+1409.6</f>
        <v>2643</v>
      </c>
      <c r="L86" s="175">
        <f>1233.4</f>
        <v>1233.4000000000001</v>
      </c>
      <c r="M86" s="175">
        <f t="shared" si="5"/>
        <v>1409.6</v>
      </c>
      <c r="N86" s="176">
        <v>0</v>
      </c>
      <c r="O86" s="181"/>
      <c r="P86" s="177"/>
      <c r="Q86" s="177"/>
      <c r="R86" s="6"/>
    </row>
    <row r="87" spans="1:18" x14ac:dyDescent="0.25">
      <c r="A87" s="185">
        <v>34</v>
      </c>
      <c r="B87" s="172" t="s">
        <v>290</v>
      </c>
      <c r="C87" s="173" t="s">
        <v>62</v>
      </c>
      <c r="D87" s="178"/>
      <c r="E87" s="173" t="s">
        <v>371</v>
      </c>
      <c r="F87" s="172" t="s">
        <v>372</v>
      </c>
      <c r="G87" s="172" t="s">
        <v>326</v>
      </c>
      <c r="H87" s="179">
        <v>6</v>
      </c>
      <c r="I87" s="179">
        <v>3</v>
      </c>
      <c r="J87" s="179">
        <v>3</v>
      </c>
      <c r="K87" s="180">
        <f>1409.6+704.8</f>
        <v>2114.3999999999996</v>
      </c>
      <c r="L87" s="175">
        <f>1409.6+704.8</f>
        <v>2114.3999999999996</v>
      </c>
      <c r="M87" s="175">
        <f t="shared" si="5"/>
        <v>0</v>
      </c>
      <c r="N87" s="176">
        <v>0</v>
      </c>
      <c r="O87" s="181"/>
      <c r="P87" s="182">
        <v>0</v>
      </c>
      <c r="Q87" s="177">
        <f>O87-P87</f>
        <v>0</v>
      </c>
      <c r="R87" s="6"/>
    </row>
    <row r="88" spans="1:18" x14ac:dyDescent="0.25">
      <c r="A88" s="185">
        <v>35</v>
      </c>
      <c r="B88" s="172" t="s">
        <v>134</v>
      </c>
      <c r="C88" s="173" t="s">
        <v>62</v>
      </c>
      <c r="D88" s="178"/>
      <c r="E88" s="173" t="s">
        <v>74</v>
      </c>
      <c r="F88" s="172" t="s">
        <v>373</v>
      </c>
      <c r="G88" s="172" t="s">
        <v>326</v>
      </c>
      <c r="H88" s="179">
        <v>3</v>
      </c>
      <c r="I88" s="179">
        <v>1</v>
      </c>
      <c r="J88" s="179">
        <v>1</v>
      </c>
      <c r="K88" s="180">
        <f>1938.2</f>
        <v>1938.2</v>
      </c>
      <c r="L88" s="175">
        <v>1938.2</v>
      </c>
      <c r="M88" s="175">
        <f t="shared" si="5"/>
        <v>0</v>
      </c>
      <c r="N88" s="176">
        <v>2</v>
      </c>
      <c r="O88" s="181">
        <v>2643</v>
      </c>
      <c r="P88" s="177">
        <f>881+1762</f>
        <v>2643</v>
      </c>
      <c r="Q88" s="177">
        <f>O88-P88</f>
        <v>0</v>
      </c>
      <c r="R88" s="6"/>
    </row>
    <row r="89" spans="1:18" x14ac:dyDescent="0.25">
      <c r="A89" s="185">
        <v>36</v>
      </c>
      <c r="B89" s="172" t="s">
        <v>135</v>
      </c>
      <c r="C89" s="173" t="s">
        <v>62</v>
      </c>
      <c r="D89" s="178"/>
      <c r="E89" s="173" t="s">
        <v>74</v>
      </c>
      <c r="F89" s="172" t="s">
        <v>374</v>
      </c>
      <c r="G89" s="172" t="s">
        <v>326</v>
      </c>
      <c r="H89" s="179">
        <v>17</v>
      </c>
      <c r="I89" s="179">
        <v>4</v>
      </c>
      <c r="J89" s="179">
        <v>4</v>
      </c>
      <c r="K89" s="180">
        <f>5109.8+881</f>
        <v>5990.8</v>
      </c>
      <c r="L89" s="175">
        <f>2290.6+2819.2+881</f>
        <v>5990.7999999999993</v>
      </c>
      <c r="M89" s="175">
        <f t="shared" si="5"/>
        <v>0</v>
      </c>
      <c r="N89" s="176">
        <v>35</v>
      </c>
      <c r="O89" s="181">
        <f>15109.16+9717+2845.2</f>
        <v>27671.360000000001</v>
      </c>
      <c r="P89" s="177">
        <f>14228.16+881+9717+2845.2</f>
        <v>27671.360000000001</v>
      </c>
      <c r="Q89" s="175">
        <f>O89-P89</f>
        <v>0</v>
      </c>
      <c r="R89" s="6"/>
    </row>
    <row r="90" spans="1:18" ht="25.5" x14ac:dyDescent="0.25">
      <c r="A90" s="186">
        <v>37</v>
      </c>
      <c r="B90" s="172" t="s">
        <v>508</v>
      </c>
      <c r="C90" s="173" t="s">
        <v>64</v>
      </c>
      <c r="D90" s="171" t="s">
        <v>509</v>
      </c>
      <c r="E90" s="173" t="s">
        <v>74</v>
      </c>
      <c r="F90" s="172" t="s">
        <v>510</v>
      </c>
      <c r="G90" s="172" t="s">
        <v>326</v>
      </c>
      <c r="H90" s="179">
        <v>3</v>
      </c>
      <c r="I90" s="179">
        <v>0</v>
      </c>
      <c r="J90" s="179">
        <v>0</v>
      </c>
      <c r="K90" s="180"/>
      <c r="L90" s="175"/>
      <c r="M90" s="175"/>
      <c r="N90" s="176">
        <v>0</v>
      </c>
      <c r="O90" s="181"/>
      <c r="P90" s="177"/>
      <c r="Q90" s="177"/>
      <c r="R90" s="6"/>
    </row>
    <row r="91" spans="1:18" x14ac:dyDescent="0.25">
      <c r="A91" s="185">
        <v>38</v>
      </c>
      <c r="B91" s="172" t="s">
        <v>299</v>
      </c>
      <c r="C91" s="173" t="s">
        <v>62</v>
      </c>
      <c r="D91" s="178"/>
      <c r="E91" s="173" t="s">
        <v>158</v>
      </c>
      <c r="F91" s="172" t="s">
        <v>375</v>
      </c>
      <c r="G91" s="172" t="s">
        <v>326</v>
      </c>
      <c r="H91" s="179">
        <v>3</v>
      </c>
      <c r="I91" s="179">
        <v>1</v>
      </c>
      <c r="J91" s="179">
        <v>1</v>
      </c>
      <c r="K91" s="180">
        <f>704.8</f>
        <v>704.8</v>
      </c>
      <c r="L91" s="175">
        <f>704.8</f>
        <v>704.8</v>
      </c>
      <c r="M91" s="175">
        <f t="shared" ref="M91:M97" si="6">K91-L91</f>
        <v>0</v>
      </c>
      <c r="N91" s="176">
        <v>0</v>
      </c>
      <c r="O91" s="181"/>
      <c r="P91" s="177">
        <v>0</v>
      </c>
      <c r="Q91" s="177">
        <f>O91-P91</f>
        <v>0</v>
      </c>
      <c r="R91" s="6"/>
    </row>
    <row r="92" spans="1:18" x14ac:dyDescent="0.25">
      <c r="A92" s="185">
        <v>39</v>
      </c>
      <c r="B92" s="172" t="s">
        <v>376</v>
      </c>
      <c r="C92" s="173" t="s">
        <v>62</v>
      </c>
      <c r="D92" s="178"/>
      <c r="E92" s="173" t="s">
        <v>74</v>
      </c>
      <c r="F92" s="172" t="s">
        <v>377</v>
      </c>
      <c r="G92" s="172" t="s">
        <v>326</v>
      </c>
      <c r="H92" s="179">
        <v>4</v>
      </c>
      <c r="I92" s="179">
        <v>3</v>
      </c>
      <c r="J92" s="179">
        <v>3</v>
      </c>
      <c r="K92" s="180">
        <f>1409.6+2643</f>
        <v>4052.6</v>
      </c>
      <c r="L92" s="175">
        <v>1409.6</v>
      </c>
      <c r="M92" s="175">
        <f t="shared" si="6"/>
        <v>2643</v>
      </c>
      <c r="N92" s="176">
        <v>0</v>
      </c>
      <c r="O92" s="181"/>
      <c r="P92" s="177"/>
      <c r="Q92" s="177"/>
      <c r="R92" s="6"/>
    </row>
    <row r="93" spans="1:18" x14ac:dyDescent="0.25">
      <c r="A93" s="185">
        <v>40</v>
      </c>
      <c r="B93" s="172" t="s">
        <v>129</v>
      </c>
      <c r="C93" s="173" t="s">
        <v>62</v>
      </c>
      <c r="D93" s="178"/>
      <c r="E93" s="173" t="s">
        <v>74</v>
      </c>
      <c r="F93" s="172" t="s">
        <v>378</v>
      </c>
      <c r="G93" s="172" t="s">
        <v>326</v>
      </c>
      <c r="H93" s="179">
        <v>32</v>
      </c>
      <c r="I93" s="179">
        <v>13</v>
      </c>
      <c r="J93" s="179">
        <v>13</v>
      </c>
      <c r="K93" s="180">
        <f>7355.96+1306.55+4415.93+5710.35</f>
        <v>18788.79</v>
      </c>
      <c r="L93" s="175">
        <f>3615.96+5046.55+4415.93+2821.97</f>
        <v>15900.41</v>
      </c>
      <c r="M93" s="175">
        <f t="shared" si="6"/>
        <v>2888.380000000001</v>
      </c>
      <c r="N93" s="176">
        <v>24</v>
      </c>
      <c r="O93" s="181">
        <f>28417.04+2923.96+3402.23+528.6+3259.4</f>
        <v>38531.230000000003</v>
      </c>
      <c r="P93" s="182">
        <f>22002.43+5101.53+1313.08+2923.96+3402.23+528.6+3259.4</f>
        <v>38531.230000000003</v>
      </c>
      <c r="Q93" s="177">
        <f>O93-P93</f>
        <v>0</v>
      </c>
      <c r="R93" s="6"/>
    </row>
    <row r="94" spans="1:18" x14ac:dyDescent="0.25">
      <c r="A94" s="185">
        <v>41</v>
      </c>
      <c r="B94" s="172" t="s">
        <v>379</v>
      </c>
      <c r="C94" s="173" t="s">
        <v>62</v>
      </c>
      <c r="D94" s="178"/>
      <c r="E94" s="173" t="s">
        <v>158</v>
      </c>
      <c r="F94" s="172" t="s">
        <v>380</v>
      </c>
      <c r="G94" s="172" t="s">
        <v>326</v>
      </c>
      <c r="H94" s="179">
        <v>2</v>
      </c>
      <c r="I94" s="179">
        <v>1</v>
      </c>
      <c r="J94" s="179">
        <v>1</v>
      </c>
      <c r="K94" s="180">
        <v>704.8</v>
      </c>
      <c r="L94" s="175">
        <f>704.8</f>
        <v>704.8</v>
      </c>
      <c r="M94" s="175">
        <f t="shared" si="6"/>
        <v>0</v>
      </c>
      <c r="N94" s="176">
        <v>0</v>
      </c>
      <c r="O94" s="181"/>
      <c r="P94" s="177">
        <v>0</v>
      </c>
      <c r="Q94" s="177">
        <f>O94-P94</f>
        <v>0</v>
      </c>
      <c r="R94" s="6"/>
    </row>
    <row r="95" spans="1:18" x14ac:dyDescent="0.25">
      <c r="A95" s="185">
        <v>42</v>
      </c>
      <c r="B95" s="172" t="s">
        <v>130</v>
      </c>
      <c r="C95" s="173" t="s">
        <v>62</v>
      </c>
      <c r="D95" s="178"/>
      <c r="E95" s="173" t="s">
        <v>74</v>
      </c>
      <c r="F95" s="172" t="s">
        <v>557</v>
      </c>
      <c r="G95" s="172" t="s">
        <v>326</v>
      </c>
      <c r="H95" s="179">
        <v>1</v>
      </c>
      <c r="I95" s="179">
        <v>0</v>
      </c>
      <c r="J95" s="179">
        <v>0</v>
      </c>
      <c r="K95" s="180"/>
      <c r="L95" s="175"/>
      <c r="M95" s="175">
        <f t="shared" si="6"/>
        <v>0</v>
      </c>
      <c r="N95" s="176">
        <v>2</v>
      </c>
      <c r="O95" s="181">
        <f>3700.2</f>
        <v>3700.2</v>
      </c>
      <c r="P95" s="177">
        <v>0</v>
      </c>
      <c r="Q95" s="177">
        <f>O95-P95</f>
        <v>3700.2</v>
      </c>
      <c r="R95" s="6"/>
    </row>
    <row r="96" spans="1:18" x14ac:dyDescent="0.25">
      <c r="A96" s="185">
        <v>43</v>
      </c>
      <c r="B96" s="172" t="s">
        <v>382</v>
      </c>
      <c r="C96" s="173" t="s">
        <v>62</v>
      </c>
      <c r="D96" s="178"/>
      <c r="E96" s="173" t="s">
        <v>383</v>
      </c>
      <c r="F96" s="172" t="s">
        <v>384</v>
      </c>
      <c r="G96" s="172" t="s">
        <v>326</v>
      </c>
      <c r="H96" s="179">
        <v>1</v>
      </c>
      <c r="I96" s="179">
        <v>1</v>
      </c>
      <c r="J96" s="179">
        <v>1</v>
      </c>
      <c r="K96" s="180">
        <v>704.8</v>
      </c>
      <c r="L96" s="175">
        <f>187.75+517.05</f>
        <v>704.8</v>
      </c>
      <c r="M96" s="175">
        <f t="shared" si="6"/>
        <v>0</v>
      </c>
      <c r="N96" s="176">
        <v>0</v>
      </c>
      <c r="O96" s="181"/>
      <c r="P96" s="177">
        <v>0</v>
      </c>
      <c r="Q96" s="177">
        <f>O96-P96</f>
        <v>0</v>
      </c>
      <c r="R96" s="6"/>
    </row>
    <row r="97" spans="1:18" x14ac:dyDescent="0.25">
      <c r="A97" s="185">
        <v>44</v>
      </c>
      <c r="B97" s="172" t="s">
        <v>385</v>
      </c>
      <c r="C97" s="173" t="s">
        <v>62</v>
      </c>
      <c r="D97" s="178"/>
      <c r="E97" s="178" t="s">
        <v>145</v>
      </c>
      <c r="F97" s="172" t="s">
        <v>386</v>
      </c>
      <c r="G97" s="172" t="s">
        <v>326</v>
      </c>
      <c r="H97" s="179">
        <v>11</v>
      </c>
      <c r="I97" s="179">
        <v>2</v>
      </c>
      <c r="J97" s="179">
        <v>2</v>
      </c>
      <c r="K97" s="180">
        <v>1762</v>
      </c>
      <c r="L97" s="175">
        <f>1057.2+704.8</f>
        <v>1762</v>
      </c>
      <c r="M97" s="175">
        <f t="shared" si="6"/>
        <v>0</v>
      </c>
      <c r="N97" s="176">
        <v>18</v>
      </c>
      <c r="O97" s="181">
        <v>9602.9</v>
      </c>
      <c r="P97" s="182">
        <f>9074.3+528.6</f>
        <v>9602.9</v>
      </c>
      <c r="Q97" s="177">
        <f>O97-P97</f>
        <v>0</v>
      </c>
      <c r="R97" s="6"/>
    </row>
    <row r="98" spans="1:18" x14ac:dyDescent="0.25">
      <c r="A98" s="185">
        <v>45</v>
      </c>
      <c r="B98" s="172" t="s">
        <v>150</v>
      </c>
      <c r="C98" s="173" t="s">
        <v>62</v>
      </c>
      <c r="D98" s="178"/>
      <c r="E98" s="173" t="s">
        <v>74</v>
      </c>
      <c r="F98" s="172" t="s">
        <v>370</v>
      </c>
      <c r="G98" s="172" t="s">
        <v>326</v>
      </c>
      <c r="H98" s="179">
        <v>0</v>
      </c>
      <c r="I98" s="179">
        <v>0</v>
      </c>
      <c r="J98" s="179">
        <v>0</v>
      </c>
      <c r="K98" s="180"/>
      <c r="L98" s="175">
        <v>0</v>
      </c>
      <c r="M98" s="175">
        <v>0</v>
      </c>
      <c r="N98" s="176">
        <v>0</v>
      </c>
      <c r="O98" s="181"/>
      <c r="P98" s="182">
        <v>0</v>
      </c>
      <c r="Q98" s="177">
        <v>0</v>
      </c>
      <c r="R98" s="6"/>
    </row>
    <row r="99" spans="1:18" x14ac:dyDescent="0.25">
      <c r="A99" s="185">
        <v>46</v>
      </c>
      <c r="B99" s="172" t="s">
        <v>387</v>
      </c>
      <c r="C99" s="173" t="s">
        <v>62</v>
      </c>
      <c r="D99" s="178"/>
      <c r="E99" s="173" t="s">
        <v>157</v>
      </c>
      <c r="F99" s="172" t="s">
        <v>388</v>
      </c>
      <c r="G99" s="172" t="s">
        <v>326</v>
      </c>
      <c r="H99" s="179">
        <v>0</v>
      </c>
      <c r="I99" s="179">
        <v>0</v>
      </c>
      <c r="J99" s="179">
        <v>0</v>
      </c>
      <c r="K99" s="187"/>
      <c r="L99" s="175">
        <v>0</v>
      </c>
      <c r="M99" s="175">
        <f>K99-L99</f>
        <v>0</v>
      </c>
      <c r="N99" s="176">
        <v>0</v>
      </c>
      <c r="O99" s="181"/>
      <c r="P99" s="177">
        <v>0</v>
      </c>
      <c r="Q99" s="177">
        <f>O99-P99</f>
        <v>0</v>
      </c>
      <c r="R99" s="6"/>
    </row>
    <row r="100" spans="1:18" x14ac:dyDescent="0.25">
      <c r="A100" s="185">
        <v>47</v>
      </c>
      <c r="B100" s="172" t="s">
        <v>54</v>
      </c>
      <c r="C100" s="173" t="s">
        <v>62</v>
      </c>
      <c r="D100" s="178"/>
      <c r="E100" s="173" t="s">
        <v>338</v>
      </c>
      <c r="F100" s="172" t="s">
        <v>391</v>
      </c>
      <c r="G100" s="172" t="s">
        <v>326</v>
      </c>
      <c r="H100" s="179">
        <v>0</v>
      </c>
      <c r="I100" s="179">
        <v>0</v>
      </c>
      <c r="J100" s="178">
        <v>0</v>
      </c>
      <c r="K100" s="187"/>
      <c r="L100" s="175">
        <v>0</v>
      </c>
      <c r="M100" s="175">
        <f>K100-L100</f>
        <v>0</v>
      </c>
      <c r="N100" s="176">
        <v>0</v>
      </c>
      <c r="O100" s="181"/>
      <c r="P100" s="182">
        <v>0</v>
      </c>
      <c r="Q100" s="177">
        <f>O100-P100</f>
        <v>0</v>
      </c>
      <c r="R100" s="6"/>
    </row>
    <row r="101" spans="1:18" ht="39" x14ac:dyDescent="0.25">
      <c r="A101" s="186">
        <v>48</v>
      </c>
      <c r="B101" s="172" t="s">
        <v>131</v>
      </c>
      <c r="C101" s="173" t="s">
        <v>64</v>
      </c>
      <c r="D101" s="188" t="s">
        <v>392</v>
      </c>
      <c r="E101" s="173" t="s">
        <v>158</v>
      </c>
      <c r="F101" s="174" t="s">
        <v>393</v>
      </c>
      <c r="G101" s="172" t="s">
        <v>326</v>
      </c>
      <c r="H101" s="179">
        <v>0</v>
      </c>
      <c r="I101" s="179">
        <v>0</v>
      </c>
      <c r="J101" s="184">
        <v>0</v>
      </c>
      <c r="K101" s="178"/>
      <c r="L101" s="177">
        <v>0</v>
      </c>
      <c r="M101" s="177">
        <f>K101-L101</f>
        <v>0</v>
      </c>
      <c r="N101" s="174">
        <v>0</v>
      </c>
      <c r="O101" s="182"/>
      <c r="P101" s="177">
        <v>0</v>
      </c>
      <c r="Q101" s="177">
        <f>O101-P101</f>
        <v>0</v>
      </c>
      <c r="R101" s="6"/>
    </row>
    <row r="102" spans="1:18" ht="25.5" x14ac:dyDescent="0.25">
      <c r="A102" s="63">
        <v>1</v>
      </c>
      <c r="B102" s="100" t="s">
        <v>21</v>
      </c>
      <c r="C102" s="231" t="s">
        <v>62</v>
      </c>
      <c r="D102" s="63"/>
      <c r="E102" s="100" t="s">
        <v>157</v>
      </c>
      <c r="F102" s="100" t="s">
        <v>523</v>
      </c>
      <c r="G102" s="100" t="s">
        <v>524</v>
      </c>
      <c r="H102" s="234">
        <v>1</v>
      </c>
      <c r="I102" s="234">
        <v>0</v>
      </c>
      <c r="J102" s="234">
        <v>0</v>
      </c>
      <c r="K102" s="215">
        <v>0</v>
      </c>
      <c r="L102" s="215">
        <v>0</v>
      </c>
      <c r="M102" s="215">
        <v>0</v>
      </c>
      <c r="N102" s="234">
        <v>1</v>
      </c>
      <c r="O102" s="215">
        <v>1233.4000000000001</v>
      </c>
      <c r="P102" s="215">
        <v>1233.4000000000001</v>
      </c>
      <c r="Q102" s="215">
        <v>934.54</v>
      </c>
      <c r="R102" s="6"/>
    </row>
    <row r="103" spans="1:18" ht="25.5" x14ac:dyDescent="0.25">
      <c r="A103" s="63">
        <v>2</v>
      </c>
      <c r="B103" s="100" t="s">
        <v>147</v>
      </c>
      <c r="C103" s="231" t="s">
        <v>62</v>
      </c>
      <c r="D103" s="63"/>
      <c r="E103" s="100" t="s">
        <v>158</v>
      </c>
      <c r="F103" s="100" t="s">
        <v>525</v>
      </c>
      <c r="G103" s="100" t="s">
        <v>524</v>
      </c>
      <c r="H103" s="234">
        <v>1</v>
      </c>
      <c r="I103" s="234">
        <v>1</v>
      </c>
      <c r="J103" s="234">
        <v>1</v>
      </c>
      <c r="K103" s="215">
        <v>1762</v>
      </c>
      <c r="L103" s="215">
        <v>1762</v>
      </c>
      <c r="M103" s="215">
        <v>0</v>
      </c>
      <c r="N103" s="234">
        <v>2</v>
      </c>
      <c r="O103" s="215">
        <v>10751.3</v>
      </c>
      <c r="P103" s="215">
        <v>10751.3</v>
      </c>
      <c r="Q103" s="215">
        <v>7312.36</v>
      </c>
      <c r="R103" s="6"/>
    </row>
    <row r="104" spans="1:18" ht="25.5" x14ac:dyDescent="0.25">
      <c r="A104" s="63">
        <v>3</v>
      </c>
      <c r="B104" s="232" t="s">
        <v>526</v>
      </c>
      <c r="C104" s="231" t="s">
        <v>62</v>
      </c>
      <c r="D104" s="63"/>
      <c r="E104" s="100" t="s">
        <v>527</v>
      </c>
      <c r="F104" s="100" t="s">
        <v>528</v>
      </c>
      <c r="G104" s="100" t="s">
        <v>524</v>
      </c>
      <c r="H104" s="234">
        <v>0</v>
      </c>
      <c r="I104" s="234">
        <v>0</v>
      </c>
      <c r="J104" s="234">
        <v>0</v>
      </c>
      <c r="K104" s="215">
        <v>0</v>
      </c>
      <c r="L104" s="215">
        <v>0</v>
      </c>
      <c r="M104" s="215">
        <v>0</v>
      </c>
      <c r="N104" s="234">
        <v>0</v>
      </c>
      <c r="O104" s="218">
        <v>0</v>
      </c>
      <c r="P104" s="215">
        <v>0</v>
      </c>
      <c r="Q104" s="215">
        <v>0</v>
      </c>
      <c r="R104" s="6"/>
    </row>
    <row r="105" spans="1:18" ht="25.5" x14ac:dyDescent="0.25">
      <c r="A105" s="63">
        <v>4</v>
      </c>
      <c r="B105" s="100" t="s">
        <v>529</v>
      </c>
      <c r="C105" s="231" t="s">
        <v>62</v>
      </c>
      <c r="D105" s="63"/>
      <c r="E105" s="100" t="s">
        <v>530</v>
      </c>
      <c r="F105" s="100" t="s">
        <v>531</v>
      </c>
      <c r="G105" s="100" t="s">
        <v>524</v>
      </c>
      <c r="H105" s="234">
        <v>4</v>
      </c>
      <c r="I105" s="234">
        <v>2</v>
      </c>
      <c r="J105" s="234">
        <v>2</v>
      </c>
      <c r="K105" s="215">
        <v>2820.2</v>
      </c>
      <c r="L105" s="215">
        <v>2820.2</v>
      </c>
      <c r="M105" s="215">
        <v>0</v>
      </c>
      <c r="N105" s="234">
        <v>0</v>
      </c>
      <c r="O105" s="215">
        <v>0</v>
      </c>
      <c r="P105" s="215">
        <v>0</v>
      </c>
      <c r="Q105" s="215">
        <v>0</v>
      </c>
      <c r="R105" s="6"/>
    </row>
    <row r="106" spans="1:18" ht="25.5" x14ac:dyDescent="0.25">
      <c r="A106" s="63">
        <v>5</v>
      </c>
      <c r="B106" s="100" t="s">
        <v>407</v>
      </c>
      <c r="C106" s="231" t="s">
        <v>62</v>
      </c>
      <c r="D106" s="63"/>
      <c r="E106" s="100" t="s">
        <v>530</v>
      </c>
      <c r="F106" s="100" t="s">
        <v>532</v>
      </c>
      <c r="G106" s="100" t="s">
        <v>524</v>
      </c>
      <c r="H106" s="234">
        <v>4</v>
      </c>
      <c r="I106" s="234">
        <v>0</v>
      </c>
      <c r="J106" s="234">
        <v>0</v>
      </c>
      <c r="K106" s="215">
        <v>0</v>
      </c>
      <c r="L106" s="215">
        <v>0</v>
      </c>
      <c r="M106" s="215">
        <v>0</v>
      </c>
      <c r="N106" s="234">
        <v>0</v>
      </c>
      <c r="O106" s="215">
        <v>0</v>
      </c>
      <c r="P106" s="215">
        <v>0</v>
      </c>
      <c r="Q106" s="215">
        <v>0</v>
      </c>
      <c r="R106" s="6"/>
    </row>
    <row r="107" spans="1:18" ht="25.5" x14ac:dyDescent="0.25">
      <c r="A107" s="63">
        <v>6</v>
      </c>
      <c r="B107" s="100" t="s">
        <v>185</v>
      </c>
      <c r="C107" s="231" t="s">
        <v>62</v>
      </c>
      <c r="D107" s="63"/>
      <c r="E107" s="100" t="s">
        <v>530</v>
      </c>
      <c r="F107" s="100" t="s">
        <v>533</v>
      </c>
      <c r="G107" s="100" t="s">
        <v>524</v>
      </c>
      <c r="H107" s="234">
        <v>4</v>
      </c>
      <c r="I107" s="234">
        <v>0</v>
      </c>
      <c r="J107" s="234">
        <v>0</v>
      </c>
      <c r="K107" s="215">
        <v>0</v>
      </c>
      <c r="L107" s="215">
        <v>0</v>
      </c>
      <c r="M107" s="215">
        <v>0</v>
      </c>
      <c r="N107" s="234">
        <v>0</v>
      </c>
      <c r="O107" s="215">
        <v>0</v>
      </c>
      <c r="P107" s="215">
        <v>0</v>
      </c>
      <c r="Q107" s="215">
        <v>0</v>
      </c>
      <c r="R107" s="6"/>
    </row>
    <row r="108" spans="1:18" ht="25.5" x14ac:dyDescent="0.25">
      <c r="A108" s="63">
        <v>7</v>
      </c>
      <c r="B108" s="100" t="s">
        <v>534</v>
      </c>
      <c r="C108" s="231" t="s">
        <v>62</v>
      </c>
      <c r="D108" s="63"/>
      <c r="E108" s="100" t="s">
        <v>530</v>
      </c>
      <c r="F108" s="100" t="s">
        <v>535</v>
      </c>
      <c r="G108" s="100" t="s">
        <v>524</v>
      </c>
      <c r="H108" s="234">
        <v>1</v>
      </c>
      <c r="I108" s="234">
        <v>0</v>
      </c>
      <c r="J108" s="234">
        <v>0</v>
      </c>
      <c r="K108" s="215">
        <v>0</v>
      </c>
      <c r="L108" s="215">
        <v>0</v>
      </c>
      <c r="M108" s="215">
        <v>0</v>
      </c>
      <c r="N108" s="234">
        <v>0</v>
      </c>
      <c r="O108" s="215">
        <v>0</v>
      </c>
      <c r="P108" s="215">
        <v>0</v>
      </c>
      <c r="Q108" s="215">
        <v>0</v>
      </c>
      <c r="R108" s="6"/>
    </row>
    <row r="109" spans="1:18" ht="25.5" x14ac:dyDescent="0.25">
      <c r="A109" s="67">
        <v>8</v>
      </c>
      <c r="B109" s="100" t="s">
        <v>104</v>
      </c>
      <c r="C109" s="231" t="s">
        <v>62</v>
      </c>
      <c r="D109" s="63"/>
      <c r="E109" s="100" t="s">
        <v>158</v>
      </c>
      <c r="F109" s="233" t="s">
        <v>536</v>
      </c>
      <c r="G109" s="100" t="s">
        <v>524</v>
      </c>
      <c r="H109" s="234">
        <v>0</v>
      </c>
      <c r="I109" s="234">
        <v>0</v>
      </c>
      <c r="J109" s="234">
        <v>0</v>
      </c>
      <c r="K109" s="215">
        <v>0</v>
      </c>
      <c r="L109" s="215">
        <v>0</v>
      </c>
      <c r="M109" s="215">
        <v>0</v>
      </c>
      <c r="N109" s="234">
        <v>0</v>
      </c>
      <c r="O109" s="215">
        <v>0</v>
      </c>
      <c r="P109" s="215">
        <v>0</v>
      </c>
      <c r="Q109" s="215">
        <v>0</v>
      </c>
      <c r="R109" s="6"/>
    </row>
    <row r="110" spans="1:18" ht="25.5" x14ac:dyDescent="0.25">
      <c r="A110" s="67">
        <v>9</v>
      </c>
      <c r="B110" s="100" t="s">
        <v>30</v>
      </c>
      <c r="C110" s="231" t="s">
        <v>62</v>
      </c>
      <c r="D110" s="63"/>
      <c r="E110" s="100" t="s">
        <v>537</v>
      </c>
      <c r="F110" s="100" t="s">
        <v>592</v>
      </c>
      <c r="G110" s="100" t="s">
        <v>524</v>
      </c>
      <c r="H110" s="234">
        <v>0</v>
      </c>
      <c r="I110" s="234">
        <v>0</v>
      </c>
      <c r="J110" s="234">
        <v>0</v>
      </c>
      <c r="K110" s="215">
        <v>0</v>
      </c>
      <c r="L110" s="215">
        <v>0</v>
      </c>
      <c r="M110" s="215">
        <v>0</v>
      </c>
      <c r="N110" s="234">
        <v>0</v>
      </c>
      <c r="O110" s="215">
        <v>0</v>
      </c>
      <c r="P110" s="215">
        <v>0</v>
      </c>
      <c r="Q110" s="215">
        <v>0</v>
      </c>
      <c r="R110" s="6"/>
    </row>
    <row r="111" spans="1:18" x14ac:dyDescent="0.25">
      <c r="A111" s="235">
        <v>1</v>
      </c>
      <c r="B111" s="243" t="s">
        <v>47</v>
      </c>
      <c r="C111" s="243" t="s">
        <v>62</v>
      </c>
      <c r="D111" s="244"/>
      <c r="E111" s="243" t="s">
        <v>141</v>
      </c>
      <c r="F111" s="243" t="s">
        <v>448</v>
      </c>
      <c r="G111" s="243" t="s">
        <v>142</v>
      </c>
      <c r="H111" s="237">
        <v>6</v>
      </c>
      <c r="I111" s="237">
        <v>1</v>
      </c>
      <c r="J111" s="237">
        <v>1</v>
      </c>
      <c r="K111" s="240">
        <v>1233.4000000000001</v>
      </c>
      <c r="L111" s="240">
        <v>1233.4000000000001</v>
      </c>
      <c r="M111" s="240">
        <v>0</v>
      </c>
      <c r="N111" s="237">
        <v>17</v>
      </c>
      <c r="O111" s="240">
        <v>24659.43</v>
      </c>
      <c r="P111" s="240">
        <v>24659.43</v>
      </c>
      <c r="Q111" s="240">
        <v>0</v>
      </c>
      <c r="R111" s="6"/>
    </row>
    <row r="112" spans="1:18" x14ac:dyDescent="0.25">
      <c r="A112" s="235">
        <f>A111+1</f>
        <v>2</v>
      </c>
      <c r="B112" s="243" t="s">
        <v>55</v>
      </c>
      <c r="C112" s="243" t="s">
        <v>62</v>
      </c>
      <c r="D112" s="244"/>
      <c r="E112" s="243" t="s">
        <v>141</v>
      </c>
      <c r="F112" s="243" t="s">
        <v>449</v>
      </c>
      <c r="G112" s="243" t="s">
        <v>142</v>
      </c>
      <c r="H112" s="237">
        <v>8</v>
      </c>
      <c r="I112" s="237">
        <v>3</v>
      </c>
      <c r="J112" s="237">
        <v>3</v>
      </c>
      <c r="K112" s="240">
        <v>2995.4</v>
      </c>
      <c r="L112" s="240">
        <v>2995.4</v>
      </c>
      <c r="M112" s="240">
        <v>0</v>
      </c>
      <c r="N112" s="237">
        <v>11</v>
      </c>
      <c r="O112" s="240">
        <v>21232.1</v>
      </c>
      <c r="P112" s="240">
        <v>21232.1</v>
      </c>
      <c r="Q112" s="240">
        <v>0</v>
      </c>
      <c r="R112" s="6"/>
    </row>
    <row r="113" spans="1:18" x14ac:dyDescent="0.25">
      <c r="A113" s="235">
        <f>A112+1</f>
        <v>3</v>
      </c>
      <c r="B113" s="243" t="s">
        <v>122</v>
      </c>
      <c r="C113" s="243" t="s">
        <v>62</v>
      </c>
      <c r="D113" s="244"/>
      <c r="E113" s="243" t="s">
        <v>143</v>
      </c>
      <c r="F113" s="243" t="s">
        <v>450</v>
      </c>
      <c r="G113" s="243" t="s">
        <v>142</v>
      </c>
      <c r="H113" s="237">
        <v>5</v>
      </c>
      <c r="I113" s="237">
        <v>0</v>
      </c>
      <c r="J113" s="237">
        <v>0</v>
      </c>
      <c r="K113" s="240">
        <v>0</v>
      </c>
      <c r="L113" s="240">
        <v>0</v>
      </c>
      <c r="M113" s="240">
        <v>0</v>
      </c>
      <c r="N113" s="237">
        <v>4</v>
      </c>
      <c r="O113" s="240">
        <v>8841.5400000000009</v>
      </c>
      <c r="P113" s="240">
        <v>8841.5400000000009</v>
      </c>
      <c r="Q113" s="240">
        <v>0</v>
      </c>
      <c r="R113" s="6"/>
    </row>
    <row r="114" spans="1:18" x14ac:dyDescent="0.25">
      <c r="A114" s="235">
        <f>A113+1</f>
        <v>4</v>
      </c>
      <c r="B114" s="243" t="s">
        <v>144</v>
      </c>
      <c r="C114" s="243" t="s">
        <v>62</v>
      </c>
      <c r="D114" s="244"/>
      <c r="E114" s="243" t="s">
        <v>141</v>
      </c>
      <c r="F114" s="243" t="s">
        <v>451</v>
      </c>
      <c r="G114" s="243" t="s">
        <v>142</v>
      </c>
      <c r="H114" s="237">
        <v>7</v>
      </c>
      <c r="I114" s="237">
        <v>5</v>
      </c>
      <c r="J114" s="237">
        <v>5</v>
      </c>
      <c r="K114" s="240">
        <v>6096.52</v>
      </c>
      <c r="L114" s="240">
        <v>6096.52</v>
      </c>
      <c r="M114" s="240">
        <v>0</v>
      </c>
      <c r="N114" s="237">
        <v>2</v>
      </c>
      <c r="O114" s="240">
        <v>1938.2</v>
      </c>
      <c r="P114" s="240">
        <v>1938.2</v>
      </c>
      <c r="Q114" s="240">
        <v>0</v>
      </c>
      <c r="R114" s="6"/>
    </row>
    <row r="115" spans="1:18" ht="25.5" x14ac:dyDescent="0.25">
      <c r="A115" s="235">
        <f>A114+1</f>
        <v>5</v>
      </c>
      <c r="B115" s="243" t="s">
        <v>46</v>
      </c>
      <c r="C115" s="243" t="s">
        <v>62</v>
      </c>
      <c r="D115" s="243"/>
      <c r="E115" s="243" t="s">
        <v>452</v>
      </c>
      <c r="F115" s="243" t="s">
        <v>453</v>
      </c>
      <c r="G115" s="243" t="s">
        <v>142</v>
      </c>
      <c r="H115" s="237">
        <v>0</v>
      </c>
      <c r="I115" s="237">
        <v>0</v>
      </c>
      <c r="J115" s="237">
        <v>0</v>
      </c>
      <c r="K115" s="240">
        <v>0</v>
      </c>
      <c r="L115" s="240">
        <v>0</v>
      </c>
      <c r="M115" s="240">
        <v>0</v>
      </c>
      <c r="N115" s="237">
        <v>0</v>
      </c>
      <c r="O115" s="240">
        <v>0</v>
      </c>
      <c r="P115" s="240">
        <v>0</v>
      </c>
      <c r="Q115" s="240">
        <v>0</v>
      </c>
      <c r="R115" s="6"/>
    </row>
    <row r="116" spans="1:18" x14ac:dyDescent="0.25">
      <c r="A116" s="236">
        <v>6</v>
      </c>
      <c r="B116" s="245" t="s">
        <v>133</v>
      </c>
      <c r="C116" s="245" t="s">
        <v>67</v>
      </c>
      <c r="D116" s="245" t="s">
        <v>397</v>
      </c>
      <c r="E116" s="245" t="s">
        <v>74</v>
      </c>
      <c r="F116" s="245" t="s">
        <v>593</v>
      </c>
      <c r="G116" s="243" t="s">
        <v>142</v>
      </c>
      <c r="H116" s="238">
        <v>0</v>
      </c>
      <c r="I116" s="239">
        <v>0</v>
      </c>
      <c r="J116" s="239">
        <v>0</v>
      </c>
      <c r="K116" s="242">
        <v>0</v>
      </c>
      <c r="L116" s="242">
        <v>0</v>
      </c>
      <c r="M116" s="242">
        <v>0</v>
      </c>
      <c r="N116" s="238">
        <v>0</v>
      </c>
      <c r="O116" s="241">
        <v>0</v>
      </c>
      <c r="P116" s="241">
        <v>0</v>
      </c>
      <c r="Q116" s="241">
        <v>0</v>
      </c>
      <c r="R116" s="6"/>
    </row>
    <row r="117" spans="1:18" x14ac:dyDescent="0.25">
      <c r="A117" s="236">
        <v>7</v>
      </c>
      <c r="B117" s="245" t="s">
        <v>176</v>
      </c>
      <c r="C117" s="245" t="s">
        <v>62</v>
      </c>
      <c r="D117" s="245"/>
      <c r="E117" s="245" t="s">
        <v>141</v>
      </c>
      <c r="F117" s="245" t="s">
        <v>455</v>
      </c>
      <c r="G117" s="245" t="s">
        <v>142</v>
      </c>
      <c r="H117" s="238">
        <v>9</v>
      </c>
      <c r="I117" s="238">
        <v>7</v>
      </c>
      <c r="J117" s="238">
        <v>7</v>
      </c>
      <c r="K117" s="241">
        <v>8598.56</v>
      </c>
      <c r="L117" s="241">
        <v>8598.56</v>
      </c>
      <c r="M117" s="241">
        <v>0</v>
      </c>
      <c r="N117" s="238">
        <v>0</v>
      </c>
      <c r="O117" s="241">
        <v>0</v>
      </c>
      <c r="P117" s="241">
        <v>0</v>
      </c>
      <c r="Q117" s="241">
        <v>0</v>
      </c>
      <c r="R117" s="6"/>
    </row>
    <row r="118" spans="1:18" x14ac:dyDescent="0.25">
      <c r="A118" s="236">
        <v>8</v>
      </c>
      <c r="B118" s="245" t="s">
        <v>235</v>
      </c>
      <c r="C118" s="245" t="s">
        <v>62</v>
      </c>
      <c r="D118" s="245"/>
      <c r="E118" s="245" t="s">
        <v>456</v>
      </c>
      <c r="F118" s="245" t="s">
        <v>457</v>
      </c>
      <c r="G118" s="245" t="s">
        <v>142</v>
      </c>
      <c r="H118" s="239">
        <v>3</v>
      </c>
      <c r="I118" s="239">
        <v>0</v>
      </c>
      <c r="J118" s="239">
        <v>0</v>
      </c>
      <c r="K118" s="242">
        <v>0</v>
      </c>
      <c r="L118" s="242">
        <v>0</v>
      </c>
      <c r="M118" s="242">
        <v>0</v>
      </c>
      <c r="N118" s="238">
        <v>0</v>
      </c>
      <c r="O118" s="241">
        <v>0</v>
      </c>
      <c r="P118" s="241">
        <v>0</v>
      </c>
      <c r="Q118" s="241">
        <v>0</v>
      </c>
      <c r="R118" s="6"/>
    </row>
    <row r="119" spans="1:18" x14ac:dyDescent="0.25">
      <c r="A119" s="236">
        <v>9</v>
      </c>
      <c r="B119" s="245" t="s">
        <v>251</v>
      </c>
      <c r="C119" s="245" t="s">
        <v>62</v>
      </c>
      <c r="D119" s="245"/>
      <c r="E119" s="245" t="s">
        <v>141</v>
      </c>
      <c r="F119" s="245" t="s">
        <v>458</v>
      </c>
      <c r="G119" s="245" t="s">
        <v>142</v>
      </c>
      <c r="H119" s="238">
        <v>5</v>
      </c>
      <c r="I119" s="238">
        <v>2</v>
      </c>
      <c r="J119" s="238">
        <v>2</v>
      </c>
      <c r="K119" s="241">
        <v>1409.6</v>
      </c>
      <c r="L119" s="241">
        <v>1409.6</v>
      </c>
      <c r="M119" s="241">
        <v>0</v>
      </c>
      <c r="N119" s="238">
        <v>0</v>
      </c>
      <c r="O119" s="241">
        <v>0</v>
      </c>
      <c r="P119" s="241">
        <v>0</v>
      </c>
      <c r="Q119" s="241">
        <v>0</v>
      </c>
      <c r="R119" s="6"/>
    </row>
    <row r="120" spans="1:18" x14ac:dyDescent="0.25">
      <c r="A120" s="236">
        <v>10</v>
      </c>
      <c r="B120" s="245" t="s">
        <v>30</v>
      </c>
      <c r="C120" s="245" t="s">
        <v>62</v>
      </c>
      <c r="D120" s="245"/>
      <c r="E120" s="245" t="s">
        <v>459</v>
      </c>
      <c r="F120" s="245" t="s">
        <v>460</v>
      </c>
      <c r="G120" s="245" t="s">
        <v>142</v>
      </c>
      <c r="H120" s="238">
        <v>1</v>
      </c>
      <c r="I120" s="238">
        <v>0</v>
      </c>
      <c r="J120" s="238">
        <v>0</v>
      </c>
      <c r="K120" s="241">
        <v>0</v>
      </c>
      <c r="L120" s="241">
        <v>0</v>
      </c>
      <c r="M120" s="241">
        <v>0</v>
      </c>
      <c r="N120" s="238">
        <v>0</v>
      </c>
      <c r="O120" s="241">
        <v>0</v>
      </c>
      <c r="P120" s="241">
        <v>0</v>
      </c>
      <c r="Q120" s="241">
        <v>0</v>
      </c>
      <c r="R120" s="6"/>
    </row>
    <row r="121" spans="1:18" x14ac:dyDescent="0.25">
      <c r="A121" s="236">
        <v>11</v>
      </c>
      <c r="B121" s="245" t="s">
        <v>35</v>
      </c>
      <c r="C121" s="245" t="s">
        <v>62</v>
      </c>
      <c r="D121" s="245"/>
      <c r="E121" s="245" t="s">
        <v>461</v>
      </c>
      <c r="F121" s="245" t="s">
        <v>462</v>
      </c>
      <c r="G121" s="245" t="s">
        <v>142</v>
      </c>
      <c r="H121" s="238">
        <v>1</v>
      </c>
      <c r="I121" s="238">
        <v>0</v>
      </c>
      <c r="J121" s="238">
        <v>0</v>
      </c>
      <c r="K121" s="241">
        <v>0</v>
      </c>
      <c r="L121" s="241">
        <v>0</v>
      </c>
      <c r="M121" s="241">
        <v>0</v>
      </c>
      <c r="N121" s="238">
        <v>0</v>
      </c>
      <c r="O121" s="241">
        <v>0</v>
      </c>
      <c r="P121" s="241">
        <v>0</v>
      </c>
      <c r="Q121" s="241">
        <v>0</v>
      </c>
      <c r="R121" s="6"/>
    </row>
    <row r="122" spans="1:18" x14ac:dyDescent="0.25">
      <c r="A122" s="80">
        <v>1</v>
      </c>
      <c r="B122" s="81" t="s">
        <v>19</v>
      </c>
      <c r="C122" s="81" t="s">
        <v>62</v>
      </c>
      <c r="D122" s="82"/>
      <c r="E122" s="81" t="s">
        <v>71</v>
      </c>
      <c r="F122" s="81" t="s">
        <v>394</v>
      </c>
      <c r="G122" s="82" t="s">
        <v>395</v>
      </c>
      <c r="H122" s="82">
        <v>1</v>
      </c>
      <c r="I122" s="246">
        <v>0</v>
      </c>
      <c r="J122" s="247">
        <v>0</v>
      </c>
      <c r="K122" s="87">
        <v>0</v>
      </c>
      <c r="L122" s="87">
        <v>0</v>
      </c>
      <c r="M122" s="87">
        <v>0</v>
      </c>
      <c r="N122" s="198">
        <v>0</v>
      </c>
      <c r="O122" s="199">
        <v>0</v>
      </c>
      <c r="P122" s="199">
        <v>0</v>
      </c>
      <c r="Q122" s="248">
        <f t="shared" ref="Q122:Q129" si="7">O122-P122</f>
        <v>0</v>
      </c>
      <c r="R122" s="6"/>
    </row>
    <row r="123" spans="1:18" ht="51" x14ac:dyDescent="0.25">
      <c r="A123" s="69">
        <f>A122+1</f>
        <v>2</v>
      </c>
      <c r="B123" s="81" t="s">
        <v>90</v>
      </c>
      <c r="C123" s="81" t="s">
        <v>62</v>
      </c>
      <c r="D123" s="81" t="s">
        <v>63</v>
      </c>
      <c r="E123" s="81" t="s">
        <v>205</v>
      </c>
      <c r="F123" s="81" t="s">
        <v>396</v>
      </c>
      <c r="G123" s="91" t="s">
        <v>395</v>
      </c>
      <c r="H123" s="91">
        <v>20</v>
      </c>
      <c r="I123" s="91">
        <v>6</v>
      </c>
      <c r="J123" s="91">
        <v>6</v>
      </c>
      <c r="K123" s="87">
        <v>7400.4</v>
      </c>
      <c r="L123" s="87">
        <v>5814.6</v>
      </c>
      <c r="M123" s="87">
        <f t="shared" ref="M123:M129" si="8">K123-L123</f>
        <v>1585.7999999999993</v>
      </c>
      <c r="N123" s="91">
        <v>15</v>
      </c>
      <c r="O123" s="87">
        <v>23170.3</v>
      </c>
      <c r="P123" s="87">
        <v>23170.3</v>
      </c>
      <c r="Q123" s="248">
        <f t="shared" si="7"/>
        <v>0</v>
      </c>
      <c r="R123" s="6"/>
    </row>
    <row r="124" spans="1:18" x14ac:dyDescent="0.25">
      <c r="A124" s="69">
        <f>A123+1</f>
        <v>3</v>
      </c>
      <c r="B124" s="82" t="s">
        <v>133</v>
      </c>
      <c r="C124" s="82" t="s">
        <v>67</v>
      </c>
      <c r="D124" s="82" t="s">
        <v>397</v>
      </c>
      <c r="E124" s="82" t="s">
        <v>74</v>
      </c>
      <c r="F124" s="81" t="s">
        <v>398</v>
      </c>
      <c r="G124" s="91" t="s">
        <v>395</v>
      </c>
      <c r="H124" s="91">
        <v>7</v>
      </c>
      <c r="I124" s="91">
        <v>1</v>
      </c>
      <c r="J124" s="91">
        <v>1</v>
      </c>
      <c r="K124" s="87">
        <v>1057.2</v>
      </c>
      <c r="L124" s="87">
        <v>0</v>
      </c>
      <c r="M124" s="87">
        <f t="shared" si="8"/>
        <v>1057.2</v>
      </c>
      <c r="N124" s="91">
        <v>8</v>
      </c>
      <c r="O124" s="87">
        <v>11920.73</v>
      </c>
      <c r="P124" s="87">
        <v>7630.79</v>
      </c>
      <c r="Q124" s="248">
        <f t="shared" si="7"/>
        <v>4289.9399999999996</v>
      </c>
      <c r="R124" s="6"/>
    </row>
    <row r="125" spans="1:18" ht="25.5" x14ac:dyDescent="0.25">
      <c r="A125" s="69">
        <v>4</v>
      </c>
      <c r="B125" s="81" t="s">
        <v>399</v>
      </c>
      <c r="C125" s="81" t="s">
        <v>62</v>
      </c>
      <c r="D125" s="81"/>
      <c r="E125" s="81" t="s">
        <v>400</v>
      </c>
      <c r="F125" s="81" t="s">
        <v>401</v>
      </c>
      <c r="G125" s="91" t="s">
        <v>395</v>
      </c>
      <c r="H125" s="91">
        <v>20</v>
      </c>
      <c r="I125" s="91">
        <v>2</v>
      </c>
      <c r="J125" s="91">
        <v>2</v>
      </c>
      <c r="K125" s="87">
        <v>1762</v>
      </c>
      <c r="L125" s="87">
        <v>1762</v>
      </c>
      <c r="M125" s="87">
        <f t="shared" si="8"/>
        <v>0</v>
      </c>
      <c r="N125" s="91">
        <v>0</v>
      </c>
      <c r="O125" s="87">
        <v>0</v>
      </c>
      <c r="P125" s="87">
        <v>0</v>
      </c>
      <c r="Q125" s="248">
        <f t="shared" si="7"/>
        <v>0</v>
      </c>
      <c r="R125" s="6"/>
    </row>
    <row r="126" spans="1:18" x14ac:dyDescent="0.25">
      <c r="A126" s="69">
        <v>5</v>
      </c>
      <c r="B126" s="81" t="s">
        <v>402</v>
      </c>
      <c r="C126" s="81" t="s">
        <v>62</v>
      </c>
      <c r="D126" s="81"/>
      <c r="E126" s="82" t="s">
        <v>74</v>
      </c>
      <c r="F126" s="81" t="s">
        <v>403</v>
      </c>
      <c r="G126" s="91" t="s">
        <v>395</v>
      </c>
      <c r="H126" s="91">
        <v>2</v>
      </c>
      <c r="I126" s="91">
        <v>2</v>
      </c>
      <c r="J126" s="91">
        <v>2</v>
      </c>
      <c r="K126" s="87">
        <v>0</v>
      </c>
      <c r="L126" s="87">
        <v>0</v>
      </c>
      <c r="M126" s="87">
        <f t="shared" si="8"/>
        <v>0</v>
      </c>
      <c r="N126" s="91">
        <v>0</v>
      </c>
      <c r="O126" s="87">
        <v>0</v>
      </c>
      <c r="P126" s="87">
        <v>0</v>
      </c>
      <c r="Q126" s="248">
        <f t="shared" si="7"/>
        <v>0</v>
      </c>
      <c r="R126" s="6"/>
    </row>
    <row r="127" spans="1:18" ht="25.5" x14ac:dyDescent="0.25">
      <c r="A127" s="69">
        <v>6</v>
      </c>
      <c r="B127" s="81" t="s">
        <v>48</v>
      </c>
      <c r="C127" s="81" t="s">
        <v>62</v>
      </c>
      <c r="D127" s="81"/>
      <c r="E127" s="81" t="s">
        <v>81</v>
      </c>
      <c r="F127" s="81" t="s">
        <v>404</v>
      </c>
      <c r="G127" s="91" t="s">
        <v>395</v>
      </c>
      <c r="H127" s="91">
        <v>16</v>
      </c>
      <c r="I127" s="91">
        <v>3</v>
      </c>
      <c r="J127" s="91">
        <v>3</v>
      </c>
      <c r="K127" s="87">
        <v>528.6</v>
      </c>
      <c r="L127" s="87">
        <v>528.6</v>
      </c>
      <c r="M127" s="87">
        <f t="shared" si="8"/>
        <v>0</v>
      </c>
      <c r="N127" s="91">
        <v>13</v>
      </c>
      <c r="O127" s="87">
        <v>13919.8</v>
      </c>
      <c r="P127" s="87">
        <v>9609.61</v>
      </c>
      <c r="Q127" s="248">
        <f t="shared" si="7"/>
        <v>4310.1899999999987</v>
      </c>
      <c r="R127" s="6"/>
    </row>
    <row r="128" spans="1:18" x14ac:dyDescent="0.25">
      <c r="A128" s="69">
        <v>7</v>
      </c>
      <c r="B128" s="81" t="s">
        <v>39</v>
      </c>
      <c r="C128" s="81" t="s">
        <v>62</v>
      </c>
      <c r="D128" s="81"/>
      <c r="E128" s="81" t="s">
        <v>77</v>
      </c>
      <c r="F128" s="81" t="s">
        <v>405</v>
      </c>
      <c r="G128" s="91" t="s">
        <v>395</v>
      </c>
      <c r="H128" s="91">
        <v>23</v>
      </c>
      <c r="I128" s="91">
        <v>0</v>
      </c>
      <c r="J128" s="91">
        <v>0</v>
      </c>
      <c r="K128" s="87">
        <v>0</v>
      </c>
      <c r="L128" s="87">
        <v>0</v>
      </c>
      <c r="M128" s="87">
        <f t="shared" si="8"/>
        <v>0</v>
      </c>
      <c r="N128" s="91">
        <v>12</v>
      </c>
      <c r="O128" s="87">
        <v>15858</v>
      </c>
      <c r="P128" s="87">
        <v>13919.8</v>
      </c>
      <c r="Q128" s="248">
        <f t="shared" si="7"/>
        <v>1938.2000000000007</v>
      </c>
      <c r="R128" s="6"/>
    </row>
    <row r="129" spans="1:18" x14ac:dyDescent="0.25">
      <c r="A129" s="69">
        <v>8</v>
      </c>
      <c r="B129" s="1" t="s">
        <v>127</v>
      </c>
      <c r="C129" s="81" t="s">
        <v>62</v>
      </c>
      <c r="D129" s="1"/>
      <c r="E129" s="82" t="s">
        <v>74</v>
      </c>
      <c r="F129" s="1" t="s">
        <v>406</v>
      </c>
      <c r="G129" s="91" t="s">
        <v>395</v>
      </c>
      <c r="H129" s="91">
        <v>0</v>
      </c>
      <c r="I129" s="91">
        <v>0</v>
      </c>
      <c r="J129" s="91">
        <v>0</v>
      </c>
      <c r="K129" s="87">
        <v>0</v>
      </c>
      <c r="L129" s="87">
        <v>0</v>
      </c>
      <c r="M129" s="87">
        <f t="shared" si="8"/>
        <v>0</v>
      </c>
      <c r="N129" s="91">
        <v>1</v>
      </c>
      <c r="O129" s="87">
        <v>264.3</v>
      </c>
      <c r="P129" s="87">
        <v>264.3</v>
      </c>
      <c r="Q129" s="248">
        <f t="shared" si="7"/>
        <v>0</v>
      </c>
      <c r="R129" s="6"/>
    </row>
    <row r="130" spans="1:18" ht="25.5" x14ac:dyDescent="0.25">
      <c r="A130" s="69">
        <v>9</v>
      </c>
      <c r="B130" s="81" t="s">
        <v>561</v>
      </c>
      <c r="C130" s="81" t="s">
        <v>62</v>
      </c>
      <c r="D130" s="81"/>
      <c r="E130" s="81" t="s">
        <v>81</v>
      </c>
      <c r="F130" s="81" t="s">
        <v>562</v>
      </c>
      <c r="G130" s="91" t="s">
        <v>395</v>
      </c>
      <c r="H130" s="91">
        <v>30</v>
      </c>
      <c r="I130" s="91">
        <v>0</v>
      </c>
      <c r="J130" s="91">
        <v>0</v>
      </c>
      <c r="K130" s="87">
        <v>0</v>
      </c>
      <c r="L130" s="87">
        <v>0</v>
      </c>
      <c r="M130" s="87">
        <v>0</v>
      </c>
      <c r="N130" s="91">
        <v>0</v>
      </c>
      <c r="O130" s="87">
        <v>0</v>
      </c>
      <c r="P130" s="87">
        <v>0</v>
      </c>
      <c r="Q130" s="87">
        <v>0</v>
      </c>
      <c r="R130" s="6"/>
    </row>
    <row r="131" spans="1:18" ht="25.5" x14ac:dyDescent="0.25">
      <c r="A131" s="69">
        <v>10</v>
      </c>
      <c r="B131" s="81" t="s">
        <v>563</v>
      </c>
      <c r="C131" s="81" t="s">
        <v>62</v>
      </c>
      <c r="D131" s="81"/>
      <c r="E131" s="81" t="s">
        <v>81</v>
      </c>
      <c r="F131" s="81" t="s">
        <v>564</v>
      </c>
      <c r="G131" s="91" t="s">
        <v>395</v>
      </c>
      <c r="H131" s="91">
        <v>20</v>
      </c>
      <c r="I131" s="91">
        <v>0</v>
      </c>
      <c r="J131" s="91">
        <v>0</v>
      </c>
      <c r="K131" s="87">
        <v>0</v>
      </c>
      <c r="L131" s="87">
        <v>0</v>
      </c>
      <c r="M131" s="87">
        <v>0</v>
      </c>
      <c r="N131" s="91">
        <v>0</v>
      </c>
      <c r="O131" s="87">
        <v>0</v>
      </c>
      <c r="P131" s="87">
        <v>0</v>
      </c>
      <c r="Q131" s="87">
        <v>0</v>
      </c>
      <c r="R131" s="6"/>
    </row>
    <row r="132" spans="1:18" ht="25.5" x14ac:dyDescent="0.25">
      <c r="A132" s="56">
        <v>1</v>
      </c>
      <c r="B132" s="3" t="s">
        <v>159</v>
      </c>
      <c r="C132" s="3" t="s">
        <v>62</v>
      </c>
      <c r="D132" s="3" t="s">
        <v>63</v>
      </c>
      <c r="E132" s="3" t="s">
        <v>121</v>
      </c>
      <c r="F132" s="3" t="s">
        <v>160</v>
      </c>
      <c r="G132" s="4" t="s">
        <v>85</v>
      </c>
      <c r="H132" s="4">
        <v>3</v>
      </c>
      <c r="I132" s="4">
        <v>3</v>
      </c>
      <c r="J132" s="4">
        <v>3</v>
      </c>
      <c r="K132" s="5">
        <v>1493.3</v>
      </c>
      <c r="L132" s="5">
        <v>1493.3</v>
      </c>
      <c r="M132" s="5">
        <v>0</v>
      </c>
      <c r="N132" s="4">
        <v>7</v>
      </c>
      <c r="O132" s="5">
        <f>28053.94-1632.32</f>
        <v>26421.62</v>
      </c>
      <c r="P132" s="5">
        <f>28053.94-1632.32</f>
        <v>26421.62</v>
      </c>
      <c r="Q132" s="5">
        <v>0</v>
      </c>
      <c r="R132" s="6"/>
    </row>
    <row r="133" spans="1:18" x14ac:dyDescent="0.25">
      <c r="A133" s="36">
        <f>A132+1</f>
        <v>2</v>
      </c>
      <c r="B133" s="3" t="s">
        <v>581</v>
      </c>
      <c r="C133" s="3" t="s">
        <v>62</v>
      </c>
      <c r="D133" s="3" t="s">
        <v>63</v>
      </c>
      <c r="E133" s="3" t="s">
        <v>74</v>
      </c>
      <c r="F133" s="3" t="s">
        <v>582</v>
      </c>
      <c r="G133" s="4" t="s">
        <v>85</v>
      </c>
      <c r="H133" s="4">
        <v>0</v>
      </c>
      <c r="I133" s="4">
        <v>0</v>
      </c>
      <c r="J133" s="4">
        <v>0</v>
      </c>
      <c r="K133" s="5">
        <v>0</v>
      </c>
      <c r="L133" s="5">
        <v>0</v>
      </c>
      <c r="M133" s="5">
        <v>0</v>
      </c>
      <c r="N133" s="4">
        <v>1</v>
      </c>
      <c r="O133" s="5">
        <v>0</v>
      </c>
      <c r="P133" s="5">
        <v>0</v>
      </c>
      <c r="Q133" s="5">
        <v>0</v>
      </c>
      <c r="R133" s="6"/>
    </row>
    <row r="134" spans="1:18" ht="25.5" x14ac:dyDescent="0.25">
      <c r="A134" s="36">
        <f t="shared" ref="A134:A197" si="9">A133+1</f>
        <v>3</v>
      </c>
      <c r="B134" s="3" t="s">
        <v>18</v>
      </c>
      <c r="C134" s="3" t="s">
        <v>62</v>
      </c>
      <c r="D134" s="3" t="s">
        <v>63</v>
      </c>
      <c r="E134" s="3" t="s">
        <v>70</v>
      </c>
      <c r="F134" s="3" t="s">
        <v>99</v>
      </c>
      <c r="G134" s="4" t="s">
        <v>85</v>
      </c>
      <c r="H134" s="4">
        <v>2</v>
      </c>
      <c r="I134" s="4">
        <v>0</v>
      </c>
      <c r="J134" s="4">
        <v>0</v>
      </c>
      <c r="K134" s="5">
        <v>0</v>
      </c>
      <c r="L134" s="5">
        <v>0</v>
      </c>
      <c r="M134" s="5">
        <v>0</v>
      </c>
      <c r="N134" s="4">
        <v>1</v>
      </c>
      <c r="O134" s="5">
        <v>0</v>
      </c>
      <c r="P134" s="5">
        <v>0</v>
      </c>
      <c r="Q134" s="5">
        <v>0</v>
      </c>
      <c r="R134" s="6"/>
    </row>
    <row r="135" spans="1:18" x14ac:dyDescent="0.25">
      <c r="A135" s="36">
        <f t="shared" si="9"/>
        <v>4</v>
      </c>
      <c r="B135" s="3" t="s">
        <v>19</v>
      </c>
      <c r="C135" s="3" t="s">
        <v>62</v>
      </c>
      <c r="D135" s="3" t="s">
        <v>63</v>
      </c>
      <c r="E135" s="3" t="s">
        <v>71</v>
      </c>
      <c r="F135" s="3" t="s">
        <v>162</v>
      </c>
      <c r="G135" s="4" t="s">
        <v>85</v>
      </c>
      <c r="H135" s="4">
        <v>67</v>
      </c>
      <c r="I135" s="4">
        <v>55</v>
      </c>
      <c r="J135" s="4">
        <v>72</v>
      </c>
      <c r="K135" s="5">
        <v>48258.25</v>
      </c>
      <c r="L135" s="5">
        <v>48258.25</v>
      </c>
      <c r="M135" s="5">
        <v>0</v>
      </c>
      <c r="N135" s="4">
        <v>22</v>
      </c>
      <c r="O135" s="5">
        <v>60549.22</v>
      </c>
      <c r="P135" s="5">
        <v>60549.22</v>
      </c>
      <c r="Q135" s="5">
        <v>0</v>
      </c>
      <c r="R135" s="6"/>
    </row>
    <row r="136" spans="1:18" x14ac:dyDescent="0.25">
      <c r="A136" s="36">
        <f t="shared" si="9"/>
        <v>5</v>
      </c>
      <c r="B136" s="3" t="s">
        <v>86</v>
      </c>
      <c r="C136" s="3" t="s">
        <v>62</v>
      </c>
      <c r="D136" s="3" t="s">
        <v>63</v>
      </c>
      <c r="E136" s="3" t="s">
        <v>74</v>
      </c>
      <c r="F136" s="3" t="s">
        <v>165</v>
      </c>
      <c r="G136" s="4" t="s">
        <v>85</v>
      </c>
      <c r="H136" s="4">
        <v>39</v>
      </c>
      <c r="I136" s="4">
        <v>25</v>
      </c>
      <c r="J136" s="4">
        <v>27</v>
      </c>
      <c r="K136" s="5">
        <v>20362.900000000001</v>
      </c>
      <c r="L136" s="5">
        <v>20362.900000000001</v>
      </c>
      <c r="M136" s="5">
        <v>0</v>
      </c>
      <c r="N136" s="4">
        <v>17</v>
      </c>
      <c r="O136" s="5">
        <v>41124.29</v>
      </c>
      <c r="P136" s="5">
        <v>41124.29</v>
      </c>
      <c r="Q136" s="5">
        <v>0</v>
      </c>
      <c r="R136" s="6"/>
    </row>
    <row r="137" spans="1:18" x14ac:dyDescent="0.25">
      <c r="A137" s="36">
        <f t="shared" si="9"/>
        <v>6</v>
      </c>
      <c r="B137" s="3" t="s">
        <v>166</v>
      </c>
      <c r="C137" s="3" t="s">
        <v>62</v>
      </c>
      <c r="D137" s="3"/>
      <c r="E137" s="3" t="s">
        <v>63</v>
      </c>
      <c r="F137" s="3" t="s">
        <v>167</v>
      </c>
      <c r="G137" s="4" t="s">
        <v>85</v>
      </c>
      <c r="H137" s="4">
        <v>11</v>
      </c>
      <c r="I137" s="4">
        <v>10</v>
      </c>
      <c r="J137" s="4">
        <v>10</v>
      </c>
      <c r="K137" s="5">
        <v>3373.58</v>
      </c>
      <c r="L137" s="5">
        <v>3373.58</v>
      </c>
      <c r="M137" s="5">
        <v>0</v>
      </c>
      <c r="N137" s="4">
        <v>0</v>
      </c>
      <c r="O137" s="5">
        <v>0</v>
      </c>
      <c r="P137" s="5">
        <v>0</v>
      </c>
      <c r="Q137" s="5">
        <v>0</v>
      </c>
      <c r="R137" s="6"/>
    </row>
    <row r="138" spans="1:18" x14ac:dyDescent="0.25">
      <c r="A138" s="36">
        <f t="shared" si="9"/>
        <v>7</v>
      </c>
      <c r="B138" s="3" t="s">
        <v>168</v>
      </c>
      <c r="C138" s="3" t="s">
        <v>62</v>
      </c>
      <c r="D138" s="3"/>
      <c r="E138" s="3" t="s">
        <v>63</v>
      </c>
      <c r="F138" s="3" t="s">
        <v>169</v>
      </c>
      <c r="G138" s="4" t="s">
        <v>85</v>
      </c>
      <c r="H138" s="4">
        <v>19</v>
      </c>
      <c r="I138" s="4">
        <v>11</v>
      </c>
      <c r="J138" s="4">
        <v>13</v>
      </c>
      <c r="K138" s="5">
        <v>3017.04</v>
      </c>
      <c r="L138" s="5">
        <v>3017.04</v>
      </c>
      <c r="M138" s="5">
        <v>0</v>
      </c>
      <c r="N138" s="4">
        <v>0</v>
      </c>
      <c r="O138" s="5">
        <v>0</v>
      </c>
      <c r="P138" s="5">
        <v>0</v>
      </c>
      <c r="Q138" s="5">
        <v>0</v>
      </c>
      <c r="R138" s="6"/>
    </row>
    <row r="139" spans="1:18" x14ac:dyDescent="0.25">
      <c r="A139" s="36">
        <f t="shared" si="9"/>
        <v>8</v>
      </c>
      <c r="B139" s="3" t="s">
        <v>21</v>
      </c>
      <c r="C139" s="3" t="s">
        <v>62</v>
      </c>
      <c r="D139" s="3" t="s">
        <v>63</v>
      </c>
      <c r="E139" s="3" t="s">
        <v>73</v>
      </c>
      <c r="F139" s="3" t="s">
        <v>170</v>
      </c>
      <c r="G139" s="4" t="s">
        <v>85</v>
      </c>
      <c r="H139" s="4">
        <v>39</v>
      </c>
      <c r="I139" s="4">
        <v>36</v>
      </c>
      <c r="J139" s="4">
        <v>42</v>
      </c>
      <c r="K139" s="5">
        <v>35579.82</v>
      </c>
      <c r="L139" s="5">
        <v>35579.82</v>
      </c>
      <c r="M139" s="5">
        <v>0</v>
      </c>
      <c r="N139" s="4">
        <v>36</v>
      </c>
      <c r="O139" s="5">
        <v>55974.63</v>
      </c>
      <c r="P139" s="5">
        <v>55974.63</v>
      </c>
      <c r="Q139" s="5">
        <v>0</v>
      </c>
      <c r="R139" s="6"/>
    </row>
    <row r="140" spans="1:18" x14ac:dyDescent="0.25">
      <c r="A140" s="36">
        <f t="shared" si="9"/>
        <v>9</v>
      </c>
      <c r="B140" s="3" t="s">
        <v>22</v>
      </c>
      <c r="C140" s="3" t="s">
        <v>62</v>
      </c>
      <c r="D140" s="3" t="s">
        <v>63</v>
      </c>
      <c r="E140" s="3" t="s">
        <v>74</v>
      </c>
      <c r="F140" s="3" t="s">
        <v>171</v>
      </c>
      <c r="G140" s="4" t="s">
        <v>85</v>
      </c>
      <c r="H140" s="4">
        <v>27</v>
      </c>
      <c r="I140" s="4">
        <v>20</v>
      </c>
      <c r="J140" s="4">
        <v>25</v>
      </c>
      <c r="K140" s="5">
        <v>31389.19</v>
      </c>
      <c r="L140" s="5">
        <v>31389.19</v>
      </c>
      <c r="M140" s="5">
        <v>0</v>
      </c>
      <c r="N140" s="4">
        <v>37</v>
      </c>
      <c r="O140" s="5">
        <v>32673.99</v>
      </c>
      <c r="P140" s="5">
        <v>32673.99</v>
      </c>
      <c r="Q140" s="5">
        <v>0</v>
      </c>
      <c r="R140" s="6"/>
    </row>
    <row r="141" spans="1:18" ht="25.5" x14ac:dyDescent="0.25">
      <c r="A141" s="36">
        <f t="shared" si="9"/>
        <v>10</v>
      </c>
      <c r="B141" s="3" t="s">
        <v>20</v>
      </c>
      <c r="C141" s="3" t="s">
        <v>62</v>
      </c>
      <c r="D141" s="3" t="s">
        <v>63</v>
      </c>
      <c r="E141" s="3" t="s">
        <v>72</v>
      </c>
      <c r="F141" s="3" t="s">
        <v>163</v>
      </c>
      <c r="G141" s="4" t="s">
        <v>85</v>
      </c>
      <c r="H141" s="4">
        <v>0</v>
      </c>
      <c r="I141" s="4">
        <v>0</v>
      </c>
      <c r="J141" s="4">
        <v>0</v>
      </c>
      <c r="K141" s="5">
        <v>0</v>
      </c>
      <c r="L141" s="5">
        <v>0</v>
      </c>
      <c r="M141" s="5">
        <v>0</v>
      </c>
      <c r="N141" s="4">
        <v>0</v>
      </c>
      <c r="O141" s="5">
        <v>6138.73</v>
      </c>
      <c r="P141" s="5">
        <v>6138.73</v>
      </c>
      <c r="Q141" s="5">
        <v>0</v>
      </c>
      <c r="R141" s="6"/>
    </row>
    <row r="142" spans="1:18" ht="25.5" x14ac:dyDescent="0.25">
      <c r="A142" s="36">
        <f t="shared" si="9"/>
        <v>11</v>
      </c>
      <c r="B142" s="3" t="s">
        <v>100</v>
      </c>
      <c r="C142" s="3" t="s">
        <v>62</v>
      </c>
      <c r="D142" s="3" t="s">
        <v>63</v>
      </c>
      <c r="E142" s="3" t="s">
        <v>101</v>
      </c>
      <c r="F142" s="3" t="s">
        <v>164</v>
      </c>
      <c r="G142" s="4" t="s">
        <v>85</v>
      </c>
      <c r="H142" s="4">
        <v>13</v>
      </c>
      <c r="I142" s="4">
        <v>12</v>
      </c>
      <c r="J142" s="4">
        <v>14</v>
      </c>
      <c r="K142" s="5">
        <v>14609.17</v>
      </c>
      <c r="L142" s="5">
        <v>4979.45</v>
      </c>
      <c r="M142" s="5">
        <v>9629.7199999999993</v>
      </c>
      <c r="N142" s="4">
        <v>12</v>
      </c>
      <c r="O142" s="5">
        <v>18846.22</v>
      </c>
      <c r="P142" s="5">
        <v>14560.86</v>
      </c>
      <c r="Q142" s="5">
        <v>4285.3599999999997</v>
      </c>
      <c r="R142" s="6"/>
    </row>
    <row r="143" spans="1:18" ht="25.5" x14ac:dyDescent="0.25">
      <c r="A143" s="36">
        <f t="shared" si="9"/>
        <v>12</v>
      </c>
      <c r="B143" s="3" t="s">
        <v>23</v>
      </c>
      <c r="C143" s="3" t="s">
        <v>62</v>
      </c>
      <c r="D143" s="3" t="s">
        <v>63</v>
      </c>
      <c r="E143" s="3" t="s">
        <v>75</v>
      </c>
      <c r="F143" s="3" t="s">
        <v>136</v>
      </c>
      <c r="G143" s="4" t="s">
        <v>85</v>
      </c>
      <c r="H143" s="4">
        <v>2</v>
      </c>
      <c r="I143" s="4">
        <v>0</v>
      </c>
      <c r="J143" s="4">
        <v>0</v>
      </c>
      <c r="K143" s="5">
        <v>0</v>
      </c>
      <c r="L143" s="5">
        <v>0</v>
      </c>
      <c r="M143" s="5">
        <v>0</v>
      </c>
      <c r="N143" s="4">
        <v>0</v>
      </c>
      <c r="O143" s="5">
        <v>0</v>
      </c>
      <c r="P143" s="5">
        <v>0</v>
      </c>
      <c r="Q143" s="5">
        <v>0</v>
      </c>
      <c r="R143" s="6"/>
    </row>
    <row r="144" spans="1:18" x14ac:dyDescent="0.25">
      <c r="A144" s="36">
        <f t="shared" si="9"/>
        <v>13</v>
      </c>
      <c r="B144" s="3" t="s">
        <v>24</v>
      </c>
      <c r="C144" s="3" t="s">
        <v>62</v>
      </c>
      <c r="D144" s="3" t="s">
        <v>63</v>
      </c>
      <c r="E144" s="3" t="s">
        <v>74</v>
      </c>
      <c r="F144" s="3" t="s">
        <v>172</v>
      </c>
      <c r="G144" s="4" t="s">
        <v>85</v>
      </c>
      <c r="H144" s="4">
        <v>29</v>
      </c>
      <c r="I144" s="4">
        <v>22</v>
      </c>
      <c r="J144" s="4">
        <v>27</v>
      </c>
      <c r="K144" s="5">
        <v>17924.09</v>
      </c>
      <c r="L144" s="5">
        <v>13896.45</v>
      </c>
      <c r="M144" s="5">
        <v>4027.64</v>
      </c>
      <c r="N144" s="4">
        <v>22</v>
      </c>
      <c r="O144" s="5">
        <v>62054.37</v>
      </c>
      <c r="P144" s="5">
        <v>40694.49</v>
      </c>
      <c r="Q144" s="5">
        <v>21359.88</v>
      </c>
      <c r="R144" s="6"/>
    </row>
    <row r="145" spans="1:18" ht="25.5" x14ac:dyDescent="0.25">
      <c r="A145" s="36">
        <f t="shared" si="9"/>
        <v>14</v>
      </c>
      <c r="B145" s="3" t="s">
        <v>102</v>
      </c>
      <c r="C145" s="3" t="s">
        <v>67</v>
      </c>
      <c r="D145" s="3" t="s">
        <v>594</v>
      </c>
      <c r="E145" s="3" t="s">
        <v>74</v>
      </c>
      <c r="F145" s="3" t="s">
        <v>477</v>
      </c>
      <c r="G145" s="4" t="s">
        <v>85</v>
      </c>
      <c r="H145" s="4">
        <v>2</v>
      </c>
      <c r="I145" s="4">
        <v>1</v>
      </c>
      <c r="J145" s="4">
        <v>1</v>
      </c>
      <c r="K145" s="5">
        <v>528.6</v>
      </c>
      <c r="L145" s="5">
        <v>528.6</v>
      </c>
      <c r="M145" s="5">
        <v>0</v>
      </c>
      <c r="N145" s="4">
        <v>4</v>
      </c>
      <c r="O145" s="5">
        <v>9770.18</v>
      </c>
      <c r="P145" s="5">
        <v>5219.82</v>
      </c>
      <c r="Q145" s="5">
        <v>4550.3599999999997</v>
      </c>
      <c r="R145" s="6"/>
    </row>
    <row r="146" spans="1:18" ht="25.5" x14ac:dyDescent="0.25">
      <c r="A146" s="36">
        <f t="shared" si="9"/>
        <v>15</v>
      </c>
      <c r="B146" s="3" t="s">
        <v>173</v>
      </c>
      <c r="C146" s="3" t="s">
        <v>67</v>
      </c>
      <c r="D146" s="3" t="s">
        <v>478</v>
      </c>
      <c r="E146" s="3" t="s">
        <v>174</v>
      </c>
      <c r="F146" s="3" t="s">
        <v>175</v>
      </c>
      <c r="G146" s="4" t="s">
        <v>85</v>
      </c>
      <c r="H146" s="4">
        <v>18</v>
      </c>
      <c r="I146" s="4">
        <v>14</v>
      </c>
      <c r="J146" s="4">
        <v>14</v>
      </c>
      <c r="K146" s="5">
        <v>5014.49</v>
      </c>
      <c r="L146" s="5">
        <v>5014.49</v>
      </c>
      <c r="M146" s="5">
        <v>0</v>
      </c>
      <c r="N146" s="4">
        <v>0</v>
      </c>
      <c r="O146" s="5">
        <v>0</v>
      </c>
      <c r="P146" s="5">
        <v>0</v>
      </c>
      <c r="Q146" s="5">
        <v>0</v>
      </c>
      <c r="R146" s="6"/>
    </row>
    <row r="147" spans="1:18" ht="25.5" x14ac:dyDescent="0.25">
      <c r="A147" s="36">
        <f t="shared" si="9"/>
        <v>16</v>
      </c>
      <c r="B147" s="3" t="s">
        <v>595</v>
      </c>
      <c r="C147" s="3" t="s">
        <v>64</v>
      </c>
      <c r="D147" s="3" t="s">
        <v>596</v>
      </c>
      <c r="E147" s="3" t="s">
        <v>597</v>
      </c>
      <c r="F147" s="3" t="s">
        <v>598</v>
      </c>
      <c r="G147" s="4" t="s">
        <v>85</v>
      </c>
      <c r="H147" s="4">
        <v>1</v>
      </c>
      <c r="I147" s="4">
        <v>1</v>
      </c>
      <c r="J147" s="4">
        <v>1</v>
      </c>
      <c r="K147" s="5">
        <v>0</v>
      </c>
      <c r="L147" s="5">
        <v>0</v>
      </c>
      <c r="M147" s="5">
        <v>0</v>
      </c>
      <c r="N147" s="4">
        <v>0</v>
      </c>
      <c r="O147" s="5">
        <v>0</v>
      </c>
      <c r="P147" s="5">
        <v>0</v>
      </c>
      <c r="Q147" s="5">
        <v>0</v>
      </c>
      <c r="R147" s="6"/>
    </row>
    <row r="148" spans="1:18" ht="25.5" x14ac:dyDescent="0.25">
      <c r="A148" s="36">
        <f t="shared" si="9"/>
        <v>17</v>
      </c>
      <c r="B148" s="3" t="s">
        <v>25</v>
      </c>
      <c r="C148" s="3" t="s">
        <v>62</v>
      </c>
      <c r="D148" s="3" t="s">
        <v>63</v>
      </c>
      <c r="E148" s="3" t="s">
        <v>76</v>
      </c>
      <c r="F148" s="3" t="s">
        <v>599</v>
      </c>
      <c r="G148" s="4" t="s">
        <v>85</v>
      </c>
      <c r="H148" s="4">
        <v>30</v>
      </c>
      <c r="I148" s="4">
        <v>0</v>
      </c>
      <c r="J148" s="4">
        <v>0</v>
      </c>
      <c r="K148" s="5">
        <v>0</v>
      </c>
      <c r="L148" s="5">
        <v>0</v>
      </c>
      <c r="M148" s="5">
        <v>0</v>
      </c>
      <c r="N148" s="4">
        <v>0</v>
      </c>
      <c r="O148" s="5">
        <v>0</v>
      </c>
      <c r="P148" s="5">
        <v>0</v>
      </c>
      <c r="Q148" s="5">
        <v>0</v>
      </c>
      <c r="R148" s="6"/>
    </row>
    <row r="149" spans="1:18" ht="25.5" x14ac:dyDescent="0.25">
      <c r="A149" s="36">
        <f t="shared" si="9"/>
        <v>18</v>
      </c>
      <c r="B149" s="3" t="s">
        <v>600</v>
      </c>
      <c r="C149" s="3" t="s">
        <v>62</v>
      </c>
      <c r="D149" s="3" t="s">
        <v>63</v>
      </c>
      <c r="E149" s="3" t="s">
        <v>75</v>
      </c>
      <c r="F149" s="3" t="s">
        <v>103</v>
      </c>
      <c r="G149" s="4" t="s">
        <v>85</v>
      </c>
      <c r="H149" s="4">
        <v>0</v>
      </c>
      <c r="I149" s="4">
        <v>0</v>
      </c>
      <c r="J149" s="4">
        <v>0</v>
      </c>
      <c r="K149" s="5">
        <v>0</v>
      </c>
      <c r="L149" s="5">
        <v>0</v>
      </c>
      <c r="M149" s="5">
        <v>0</v>
      </c>
      <c r="N149" s="4">
        <v>9</v>
      </c>
      <c r="O149" s="5">
        <v>62481.86</v>
      </c>
      <c r="P149" s="5">
        <v>11308.01</v>
      </c>
      <c r="Q149" s="5">
        <v>51173.85</v>
      </c>
      <c r="R149" s="6"/>
    </row>
    <row r="150" spans="1:18" ht="25.5" x14ac:dyDescent="0.25">
      <c r="A150" s="36">
        <f t="shared" si="9"/>
        <v>19</v>
      </c>
      <c r="B150" s="3" t="s">
        <v>479</v>
      </c>
      <c r="C150" s="3" t="s">
        <v>67</v>
      </c>
      <c r="D150" s="3" t="s">
        <v>480</v>
      </c>
      <c r="E150" s="3" t="s">
        <v>271</v>
      </c>
      <c r="F150" s="3" t="s">
        <v>481</v>
      </c>
      <c r="G150" s="4" t="s">
        <v>85</v>
      </c>
      <c r="H150" s="4">
        <v>11</v>
      </c>
      <c r="I150" s="4">
        <v>3</v>
      </c>
      <c r="J150" s="4">
        <v>3</v>
      </c>
      <c r="K150" s="5">
        <v>0</v>
      </c>
      <c r="L150" s="5">
        <v>0</v>
      </c>
      <c r="M150" s="5">
        <v>0</v>
      </c>
      <c r="N150" s="4">
        <v>0</v>
      </c>
      <c r="O150" s="5">
        <v>0</v>
      </c>
      <c r="P150" s="5">
        <v>0</v>
      </c>
      <c r="Q150" s="5">
        <v>0</v>
      </c>
      <c r="R150" s="6"/>
    </row>
    <row r="151" spans="1:18" ht="25.5" x14ac:dyDescent="0.25">
      <c r="A151" s="36">
        <f t="shared" si="9"/>
        <v>20</v>
      </c>
      <c r="B151" s="3" t="s">
        <v>176</v>
      </c>
      <c r="C151" s="3" t="s">
        <v>62</v>
      </c>
      <c r="D151" s="3"/>
      <c r="E151" s="3" t="s">
        <v>177</v>
      </c>
      <c r="F151" s="3" t="s">
        <v>178</v>
      </c>
      <c r="G151" s="4" t="s">
        <v>85</v>
      </c>
      <c r="H151" s="4">
        <v>10</v>
      </c>
      <c r="I151" s="4">
        <v>5</v>
      </c>
      <c r="J151" s="4">
        <v>6</v>
      </c>
      <c r="K151" s="5">
        <v>5215.5200000000004</v>
      </c>
      <c r="L151" s="5">
        <v>5215.5200000000004</v>
      </c>
      <c r="M151" s="5">
        <v>0</v>
      </c>
      <c r="N151" s="4">
        <v>0</v>
      </c>
      <c r="O151" s="5">
        <v>0</v>
      </c>
      <c r="P151" s="5">
        <v>0</v>
      </c>
      <c r="Q151" s="5">
        <v>0</v>
      </c>
      <c r="R151" s="6"/>
    </row>
    <row r="152" spans="1:18" x14ac:dyDescent="0.25">
      <c r="A152" s="36">
        <f t="shared" si="9"/>
        <v>21</v>
      </c>
      <c r="B152" s="3" t="s">
        <v>152</v>
      </c>
      <c r="C152" s="3" t="s">
        <v>62</v>
      </c>
      <c r="D152" s="3" t="s">
        <v>63</v>
      </c>
      <c r="E152" s="3" t="s">
        <v>63</v>
      </c>
      <c r="F152" s="3" t="s">
        <v>179</v>
      </c>
      <c r="G152" s="4" t="s">
        <v>85</v>
      </c>
      <c r="H152" s="4">
        <v>24</v>
      </c>
      <c r="I152" s="4">
        <v>8</v>
      </c>
      <c r="J152" s="4">
        <v>9</v>
      </c>
      <c r="K152" s="5">
        <v>3385.94</v>
      </c>
      <c r="L152" s="5">
        <v>3385.94</v>
      </c>
      <c r="M152" s="5">
        <v>0</v>
      </c>
      <c r="N152" s="4">
        <v>12</v>
      </c>
      <c r="O152" s="5">
        <v>10033.950000000001</v>
      </c>
      <c r="P152" s="5">
        <v>10033.950000000001</v>
      </c>
      <c r="Q152" s="5">
        <v>0</v>
      </c>
      <c r="R152" s="6"/>
    </row>
    <row r="153" spans="1:18" x14ac:dyDescent="0.25">
      <c r="A153" s="36">
        <f t="shared" si="9"/>
        <v>22</v>
      </c>
      <c r="B153" s="3" t="s">
        <v>88</v>
      </c>
      <c r="C153" s="3" t="s">
        <v>62</v>
      </c>
      <c r="D153" s="3" t="s">
        <v>63</v>
      </c>
      <c r="E153" s="3" t="s">
        <v>74</v>
      </c>
      <c r="F153" s="3" t="s">
        <v>180</v>
      </c>
      <c r="G153" s="4" t="s">
        <v>85</v>
      </c>
      <c r="H153" s="4">
        <v>9</v>
      </c>
      <c r="I153" s="4">
        <v>2</v>
      </c>
      <c r="J153" s="4">
        <v>2</v>
      </c>
      <c r="K153" s="5">
        <v>2706.43</v>
      </c>
      <c r="L153" s="5">
        <v>2706.43</v>
      </c>
      <c r="M153" s="5">
        <v>0</v>
      </c>
      <c r="N153" s="4">
        <v>2</v>
      </c>
      <c r="O153" s="5">
        <v>2692.05</v>
      </c>
      <c r="P153" s="5">
        <v>2692.05</v>
      </c>
      <c r="Q153" s="5">
        <v>0</v>
      </c>
      <c r="R153" s="6"/>
    </row>
    <row r="154" spans="1:18" x14ac:dyDescent="0.25">
      <c r="A154" s="36">
        <f t="shared" si="9"/>
        <v>23</v>
      </c>
      <c r="B154" s="3" t="s">
        <v>26</v>
      </c>
      <c r="C154" s="3" t="s">
        <v>62</v>
      </c>
      <c r="D154" s="3" t="s">
        <v>63</v>
      </c>
      <c r="E154" s="3" t="s">
        <v>74</v>
      </c>
      <c r="F154" s="3" t="s">
        <v>181</v>
      </c>
      <c r="G154" s="4" t="s">
        <v>85</v>
      </c>
      <c r="H154" s="4">
        <v>21</v>
      </c>
      <c r="I154" s="4">
        <v>16</v>
      </c>
      <c r="J154" s="4">
        <v>22</v>
      </c>
      <c r="K154" s="5">
        <v>35238.32</v>
      </c>
      <c r="L154" s="5">
        <v>31624.46</v>
      </c>
      <c r="M154" s="5">
        <v>3613.86</v>
      </c>
      <c r="N154" s="4">
        <v>11</v>
      </c>
      <c r="O154" s="5">
        <v>21569.8</v>
      </c>
      <c r="P154" s="5">
        <v>18637.830000000002</v>
      </c>
      <c r="Q154" s="5">
        <v>2931.97</v>
      </c>
      <c r="R154" s="6"/>
    </row>
    <row r="155" spans="1:18" ht="25.5" x14ac:dyDescent="0.25">
      <c r="A155" s="36">
        <f t="shared" si="9"/>
        <v>24</v>
      </c>
      <c r="B155" s="3" t="s">
        <v>182</v>
      </c>
      <c r="C155" s="3" t="s">
        <v>62</v>
      </c>
      <c r="D155" s="3"/>
      <c r="E155" s="3" t="s">
        <v>174</v>
      </c>
      <c r="F155" s="3" t="s">
        <v>183</v>
      </c>
      <c r="G155" s="4" t="s">
        <v>85</v>
      </c>
      <c r="H155" s="4">
        <v>26</v>
      </c>
      <c r="I155" s="4">
        <v>21</v>
      </c>
      <c r="J155" s="4">
        <v>24</v>
      </c>
      <c r="K155" s="5">
        <v>17543.240000000002</v>
      </c>
      <c r="L155" s="5">
        <v>17543.240000000002</v>
      </c>
      <c r="M155" s="5">
        <v>0</v>
      </c>
      <c r="N155" s="4">
        <v>0</v>
      </c>
      <c r="O155" s="5">
        <v>0</v>
      </c>
      <c r="P155" s="5">
        <v>0</v>
      </c>
      <c r="Q155" s="5">
        <v>0</v>
      </c>
      <c r="R155" s="6"/>
    </row>
    <row r="156" spans="1:18" ht="25.5" x14ac:dyDescent="0.25">
      <c r="A156" s="36">
        <f t="shared" si="9"/>
        <v>25</v>
      </c>
      <c r="B156" s="3" t="s">
        <v>137</v>
      </c>
      <c r="C156" s="3" t="s">
        <v>62</v>
      </c>
      <c r="D156" s="3" t="s">
        <v>63</v>
      </c>
      <c r="E156" s="3" t="s">
        <v>78</v>
      </c>
      <c r="F156" s="3" t="s">
        <v>184</v>
      </c>
      <c r="G156" s="4" t="s">
        <v>85</v>
      </c>
      <c r="H156" s="4">
        <v>8</v>
      </c>
      <c r="I156" s="4">
        <v>3</v>
      </c>
      <c r="J156" s="4">
        <v>3</v>
      </c>
      <c r="K156" s="5">
        <v>2678.24</v>
      </c>
      <c r="L156" s="5">
        <v>2678.24</v>
      </c>
      <c r="M156" s="5">
        <v>0</v>
      </c>
      <c r="N156" s="4">
        <v>4</v>
      </c>
      <c r="O156" s="5">
        <v>6101.8</v>
      </c>
      <c r="P156" s="5">
        <v>6101.8</v>
      </c>
      <c r="Q156" s="5">
        <v>0</v>
      </c>
      <c r="R156" s="6"/>
    </row>
    <row r="157" spans="1:18" ht="25.5" x14ac:dyDescent="0.25">
      <c r="A157" s="36">
        <f t="shared" si="9"/>
        <v>26</v>
      </c>
      <c r="B157" s="3" t="s">
        <v>185</v>
      </c>
      <c r="C157" s="3" t="s">
        <v>62</v>
      </c>
      <c r="D157" s="3"/>
      <c r="E157" s="3" t="s">
        <v>186</v>
      </c>
      <c r="F157" s="3" t="s">
        <v>463</v>
      </c>
      <c r="G157" s="4" t="s">
        <v>85</v>
      </c>
      <c r="H157" s="4">
        <v>9</v>
      </c>
      <c r="I157" s="4">
        <v>5</v>
      </c>
      <c r="J157" s="4">
        <v>6</v>
      </c>
      <c r="K157" s="5">
        <v>1409.6</v>
      </c>
      <c r="L157" s="5">
        <v>1409.6</v>
      </c>
      <c r="M157" s="5">
        <v>0</v>
      </c>
      <c r="N157" s="4">
        <v>0</v>
      </c>
      <c r="O157" s="5">
        <v>0</v>
      </c>
      <c r="P157" s="5">
        <v>0</v>
      </c>
      <c r="Q157" s="5">
        <v>0</v>
      </c>
      <c r="R157" s="6"/>
    </row>
    <row r="158" spans="1:18" x14ac:dyDescent="0.25">
      <c r="A158" s="36">
        <f t="shared" si="9"/>
        <v>27</v>
      </c>
      <c r="B158" s="3" t="s">
        <v>27</v>
      </c>
      <c r="C158" s="3" t="s">
        <v>62</v>
      </c>
      <c r="D158" s="3" t="s">
        <v>63</v>
      </c>
      <c r="E158" s="3" t="s">
        <v>74</v>
      </c>
      <c r="F158" s="3" t="s">
        <v>187</v>
      </c>
      <c r="G158" s="4" t="s">
        <v>85</v>
      </c>
      <c r="H158" s="4">
        <v>11</v>
      </c>
      <c r="I158" s="4">
        <v>6</v>
      </c>
      <c r="J158" s="4">
        <v>7</v>
      </c>
      <c r="K158" s="5">
        <v>4493.07</v>
      </c>
      <c r="L158" s="5">
        <v>2039.94</v>
      </c>
      <c r="M158" s="5">
        <v>2453.13</v>
      </c>
      <c r="N158" s="4">
        <v>5</v>
      </c>
      <c r="O158" s="5">
        <v>29814.94</v>
      </c>
      <c r="P158" s="5">
        <v>29814.94</v>
      </c>
      <c r="Q158" s="5">
        <v>0</v>
      </c>
      <c r="R158" s="6"/>
    </row>
    <row r="159" spans="1:18" x14ac:dyDescent="0.25">
      <c r="A159" s="36">
        <f t="shared" si="9"/>
        <v>28</v>
      </c>
      <c r="B159" s="3" t="s">
        <v>601</v>
      </c>
      <c r="C159" s="3" t="s">
        <v>62</v>
      </c>
      <c r="D159" s="3" t="s">
        <v>63</v>
      </c>
      <c r="E159" s="3" t="s">
        <v>366</v>
      </c>
      <c r="F159" s="3" t="s">
        <v>602</v>
      </c>
      <c r="G159" s="4" t="s">
        <v>85</v>
      </c>
      <c r="H159" s="4">
        <v>1</v>
      </c>
      <c r="I159" s="4">
        <v>0</v>
      </c>
      <c r="J159" s="4">
        <v>0</v>
      </c>
      <c r="K159" s="5">
        <v>0</v>
      </c>
      <c r="L159" s="5">
        <v>0</v>
      </c>
      <c r="M159" s="5">
        <v>0</v>
      </c>
      <c r="N159" s="4">
        <v>0</v>
      </c>
      <c r="O159" s="5">
        <v>0</v>
      </c>
      <c r="P159" s="5">
        <v>0</v>
      </c>
      <c r="Q159" s="5">
        <v>0</v>
      </c>
      <c r="R159" s="6"/>
    </row>
    <row r="160" spans="1:18" ht="25.5" x14ac:dyDescent="0.25">
      <c r="A160" s="36">
        <f t="shared" si="9"/>
        <v>29</v>
      </c>
      <c r="B160" s="3" t="s">
        <v>482</v>
      </c>
      <c r="C160" s="3" t="s">
        <v>64</v>
      </c>
      <c r="D160" s="3" t="s">
        <v>483</v>
      </c>
      <c r="E160" s="3" t="s">
        <v>313</v>
      </c>
      <c r="F160" s="3" t="s">
        <v>484</v>
      </c>
      <c r="G160" s="4" t="s">
        <v>85</v>
      </c>
      <c r="H160" s="4">
        <v>9</v>
      </c>
      <c r="I160" s="4">
        <v>0</v>
      </c>
      <c r="J160" s="4">
        <v>0</v>
      </c>
      <c r="K160" s="5">
        <v>0</v>
      </c>
      <c r="L160" s="5">
        <v>0</v>
      </c>
      <c r="M160" s="5">
        <v>0</v>
      </c>
      <c r="N160" s="4">
        <v>0</v>
      </c>
      <c r="O160" s="5">
        <v>0</v>
      </c>
      <c r="P160" s="5">
        <v>0</v>
      </c>
      <c r="Q160" s="5">
        <v>0</v>
      </c>
      <c r="R160" s="6"/>
    </row>
    <row r="161" spans="1:18" ht="25.5" x14ac:dyDescent="0.25">
      <c r="A161" s="36">
        <f t="shared" si="9"/>
        <v>30</v>
      </c>
      <c r="B161" s="3" t="s">
        <v>104</v>
      </c>
      <c r="C161" s="3" t="s">
        <v>62</v>
      </c>
      <c r="D161" s="3" t="s">
        <v>63</v>
      </c>
      <c r="E161" s="3" t="s">
        <v>105</v>
      </c>
      <c r="F161" s="3" t="s">
        <v>188</v>
      </c>
      <c r="G161" s="4" t="s">
        <v>85</v>
      </c>
      <c r="H161" s="4">
        <v>9</v>
      </c>
      <c r="I161" s="4">
        <v>7</v>
      </c>
      <c r="J161" s="4">
        <v>8</v>
      </c>
      <c r="K161" s="5">
        <v>2130.2600000000002</v>
      </c>
      <c r="L161" s="5">
        <v>2130.2600000000002</v>
      </c>
      <c r="M161" s="5">
        <v>0</v>
      </c>
      <c r="N161" s="4">
        <v>22</v>
      </c>
      <c r="O161" s="5">
        <f>29623.1+4863.12</f>
        <v>34486.22</v>
      </c>
      <c r="P161" s="5">
        <f>29623.1+4863.12</f>
        <v>34486.22</v>
      </c>
      <c r="Q161" s="5">
        <v>0</v>
      </c>
      <c r="R161" s="6"/>
    </row>
    <row r="162" spans="1:18" ht="25.5" x14ac:dyDescent="0.25">
      <c r="A162" s="36">
        <f t="shared" si="9"/>
        <v>31</v>
      </c>
      <c r="B162" s="3" t="s">
        <v>517</v>
      </c>
      <c r="C162" s="3" t="s">
        <v>62</v>
      </c>
      <c r="D162" s="3"/>
      <c r="E162" s="3" t="s">
        <v>239</v>
      </c>
      <c r="F162" s="3" t="s">
        <v>603</v>
      </c>
      <c r="G162" s="4" t="s">
        <v>85</v>
      </c>
      <c r="H162" s="4">
        <v>10</v>
      </c>
      <c r="I162" s="4">
        <v>6</v>
      </c>
      <c r="J162" s="4">
        <v>3</v>
      </c>
      <c r="K162" s="5">
        <v>0</v>
      </c>
      <c r="L162" s="5">
        <v>0</v>
      </c>
      <c r="M162" s="5">
        <v>0</v>
      </c>
      <c r="N162" s="4">
        <v>0</v>
      </c>
      <c r="O162" s="5">
        <v>0</v>
      </c>
      <c r="P162" s="5">
        <v>0</v>
      </c>
      <c r="Q162" s="5">
        <v>0</v>
      </c>
      <c r="R162" s="6"/>
    </row>
    <row r="163" spans="1:18" x14ac:dyDescent="0.25">
      <c r="A163" s="36">
        <f t="shared" si="9"/>
        <v>32</v>
      </c>
      <c r="B163" s="3" t="s">
        <v>28</v>
      </c>
      <c r="C163" s="3" t="s">
        <v>62</v>
      </c>
      <c r="D163" s="3" t="s">
        <v>63</v>
      </c>
      <c r="E163" s="3" t="s">
        <v>74</v>
      </c>
      <c r="F163" s="3" t="s">
        <v>189</v>
      </c>
      <c r="G163" s="4" t="s">
        <v>85</v>
      </c>
      <c r="H163" s="4">
        <v>6</v>
      </c>
      <c r="I163" s="4">
        <v>5</v>
      </c>
      <c r="J163" s="4">
        <v>5</v>
      </c>
      <c r="K163" s="5">
        <v>581.46</v>
      </c>
      <c r="L163" s="5">
        <v>581.46</v>
      </c>
      <c r="M163" s="5">
        <v>0</v>
      </c>
      <c r="N163" s="4">
        <v>6</v>
      </c>
      <c r="O163" s="5">
        <v>6953.99</v>
      </c>
      <c r="P163" s="5">
        <v>6953.99</v>
      </c>
      <c r="Q163" s="5">
        <v>0</v>
      </c>
      <c r="R163" s="6"/>
    </row>
    <row r="164" spans="1:18" x14ac:dyDescent="0.25">
      <c r="A164" s="36">
        <f t="shared" si="9"/>
        <v>33</v>
      </c>
      <c r="B164" s="3" t="s">
        <v>190</v>
      </c>
      <c r="C164" s="3" t="s">
        <v>62</v>
      </c>
      <c r="D164" s="3"/>
      <c r="E164" s="3" t="s">
        <v>63</v>
      </c>
      <c r="F164" s="3" t="s">
        <v>191</v>
      </c>
      <c r="G164" s="4" t="s">
        <v>85</v>
      </c>
      <c r="H164" s="4">
        <v>12</v>
      </c>
      <c r="I164" s="4">
        <v>8</v>
      </c>
      <c r="J164" s="4">
        <v>8</v>
      </c>
      <c r="K164" s="5">
        <v>6494.16</v>
      </c>
      <c r="L164" s="5">
        <v>6494.16</v>
      </c>
      <c r="M164" s="5">
        <v>0</v>
      </c>
      <c r="N164" s="4">
        <v>0</v>
      </c>
      <c r="O164" s="5">
        <v>0</v>
      </c>
      <c r="P164" s="5">
        <v>0</v>
      </c>
      <c r="Q164" s="5">
        <v>0</v>
      </c>
      <c r="R164" s="6"/>
    </row>
    <row r="165" spans="1:18" ht="38.25" x14ac:dyDescent="0.25">
      <c r="A165" s="36">
        <f t="shared" si="9"/>
        <v>34</v>
      </c>
      <c r="B165" s="3" t="s">
        <v>192</v>
      </c>
      <c r="C165" s="3" t="s">
        <v>64</v>
      </c>
      <c r="D165" s="3" t="s">
        <v>604</v>
      </c>
      <c r="E165" s="3" t="s">
        <v>74</v>
      </c>
      <c r="F165" s="3" t="s">
        <v>194</v>
      </c>
      <c r="G165" s="4" t="s">
        <v>85</v>
      </c>
      <c r="H165" s="4">
        <v>1</v>
      </c>
      <c r="I165" s="4">
        <v>0</v>
      </c>
      <c r="J165" s="4">
        <v>0</v>
      </c>
      <c r="K165" s="5">
        <v>0</v>
      </c>
      <c r="L165" s="5">
        <v>0</v>
      </c>
      <c r="M165" s="5">
        <v>0</v>
      </c>
      <c r="N165" s="4">
        <v>0</v>
      </c>
      <c r="O165" s="5">
        <v>0</v>
      </c>
      <c r="P165" s="5">
        <v>0</v>
      </c>
      <c r="Q165" s="5">
        <v>0</v>
      </c>
      <c r="R165" s="6"/>
    </row>
    <row r="166" spans="1:18" x14ac:dyDescent="0.25">
      <c r="A166" s="36">
        <f t="shared" si="9"/>
        <v>35</v>
      </c>
      <c r="B166" s="3" t="s">
        <v>89</v>
      </c>
      <c r="C166" s="3" t="s">
        <v>62</v>
      </c>
      <c r="D166" s="3" t="s">
        <v>63</v>
      </c>
      <c r="E166" s="3" t="s">
        <v>74</v>
      </c>
      <c r="F166" s="3" t="s">
        <v>195</v>
      </c>
      <c r="G166" s="4" t="s">
        <v>85</v>
      </c>
      <c r="H166" s="4">
        <v>25</v>
      </c>
      <c r="I166" s="4">
        <v>17</v>
      </c>
      <c r="J166" s="4">
        <v>18</v>
      </c>
      <c r="K166" s="5">
        <v>12234.98</v>
      </c>
      <c r="L166" s="5">
        <v>12234.98</v>
      </c>
      <c r="M166" s="5">
        <v>0</v>
      </c>
      <c r="N166" s="4">
        <v>5</v>
      </c>
      <c r="O166" s="5">
        <v>27163.93</v>
      </c>
      <c r="P166" s="5">
        <v>27163.93</v>
      </c>
      <c r="Q166" s="5">
        <v>0</v>
      </c>
      <c r="R166" s="6"/>
    </row>
    <row r="167" spans="1:18" ht="25.5" x14ac:dyDescent="0.25">
      <c r="A167" s="36">
        <f t="shared" si="9"/>
        <v>36</v>
      </c>
      <c r="B167" s="3" t="s">
        <v>196</v>
      </c>
      <c r="C167" s="3" t="s">
        <v>62</v>
      </c>
      <c r="D167" s="3"/>
      <c r="E167" s="3" t="s">
        <v>197</v>
      </c>
      <c r="F167" s="3" t="s">
        <v>198</v>
      </c>
      <c r="G167" s="4" t="s">
        <v>85</v>
      </c>
      <c r="H167" s="4">
        <v>18</v>
      </c>
      <c r="I167" s="4">
        <v>10</v>
      </c>
      <c r="J167" s="4">
        <v>10</v>
      </c>
      <c r="K167" s="5">
        <v>4212.17</v>
      </c>
      <c r="L167" s="5">
        <v>4212.17</v>
      </c>
      <c r="M167" s="5">
        <v>0</v>
      </c>
      <c r="N167" s="4">
        <v>0</v>
      </c>
      <c r="O167" s="5">
        <v>0</v>
      </c>
      <c r="P167" s="5">
        <v>0</v>
      </c>
      <c r="Q167" s="5">
        <v>0</v>
      </c>
      <c r="R167" s="6"/>
    </row>
    <row r="168" spans="1:18" x14ac:dyDescent="0.25">
      <c r="A168" s="36">
        <f t="shared" si="9"/>
        <v>37</v>
      </c>
      <c r="B168" s="3" t="s">
        <v>106</v>
      </c>
      <c r="C168" s="3" t="s">
        <v>62</v>
      </c>
      <c r="D168" s="3" t="s">
        <v>63</v>
      </c>
      <c r="E168" s="3" t="s">
        <v>74</v>
      </c>
      <c r="F168" s="3" t="s">
        <v>199</v>
      </c>
      <c r="G168" s="4" t="s">
        <v>85</v>
      </c>
      <c r="H168" s="4">
        <v>38</v>
      </c>
      <c r="I168" s="4">
        <v>24</v>
      </c>
      <c r="J168" s="4">
        <v>29</v>
      </c>
      <c r="K168" s="5">
        <v>30877.81</v>
      </c>
      <c r="L168" s="5">
        <v>27774.51</v>
      </c>
      <c r="M168" s="5">
        <v>3103.3</v>
      </c>
      <c r="N168" s="4">
        <v>24</v>
      </c>
      <c r="O168" s="5">
        <v>98821.22</v>
      </c>
      <c r="P168" s="5">
        <v>61804.6</v>
      </c>
      <c r="Q168" s="5">
        <v>37016.620000000003</v>
      </c>
      <c r="R168" s="6"/>
    </row>
    <row r="169" spans="1:18" x14ac:dyDescent="0.25">
      <c r="A169" s="36">
        <f t="shared" si="9"/>
        <v>38</v>
      </c>
      <c r="B169" s="3" t="s">
        <v>107</v>
      </c>
      <c r="C169" s="3" t="s">
        <v>62</v>
      </c>
      <c r="D169" s="3" t="s">
        <v>63</v>
      </c>
      <c r="E169" s="3" t="s">
        <v>74</v>
      </c>
      <c r="F169" s="3" t="s">
        <v>138</v>
      </c>
      <c r="G169" s="4" t="s">
        <v>85</v>
      </c>
      <c r="H169" s="4">
        <v>2</v>
      </c>
      <c r="I169" s="4">
        <v>0</v>
      </c>
      <c r="J169" s="4">
        <v>0</v>
      </c>
      <c r="K169" s="5">
        <v>0</v>
      </c>
      <c r="L169" s="5">
        <v>0</v>
      </c>
      <c r="M169" s="5">
        <v>0</v>
      </c>
      <c r="N169" s="4">
        <v>0</v>
      </c>
      <c r="O169" s="5">
        <v>0</v>
      </c>
      <c r="P169" s="5">
        <v>0</v>
      </c>
      <c r="Q169" s="5">
        <v>0</v>
      </c>
      <c r="R169" s="6"/>
    </row>
    <row r="170" spans="1:18" x14ac:dyDescent="0.25">
      <c r="A170" s="36">
        <f t="shared" si="9"/>
        <v>39</v>
      </c>
      <c r="B170" s="3" t="s">
        <v>29</v>
      </c>
      <c r="C170" s="3" t="s">
        <v>62</v>
      </c>
      <c r="D170" s="3" t="s">
        <v>63</v>
      </c>
      <c r="E170" s="3" t="s">
        <v>74</v>
      </c>
      <c r="F170" s="3" t="s">
        <v>200</v>
      </c>
      <c r="G170" s="4" t="s">
        <v>85</v>
      </c>
      <c r="H170" s="4">
        <v>22</v>
      </c>
      <c r="I170" s="4">
        <v>19</v>
      </c>
      <c r="J170" s="4">
        <v>28</v>
      </c>
      <c r="K170" s="5">
        <v>31780.73</v>
      </c>
      <c r="L170" s="5">
        <v>31780.73</v>
      </c>
      <c r="M170" s="5">
        <v>0</v>
      </c>
      <c r="N170" s="4">
        <v>17</v>
      </c>
      <c r="O170" s="5">
        <v>26326.38</v>
      </c>
      <c r="P170" s="5">
        <v>20228.03</v>
      </c>
      <c r="Q170" s="5">
        <v>6098.35</v>
      </c>
      <c r="R170" s="6"/>
    </row>
    <row r="171" spans="1:18" x14ac:dyDescent="0.25">
      <c r="A171" s="36">
        <f t="shared" si="9"/>
        <v>40</v>
      </c>
      <c r="B171" s="3" t="s">
        <v>201</v>
      </c>
      <c r="C171" s="3" t="s">
        <v>67</v>
      </c>
      <c r="D171" s="3" t="s">
        <v>485</v>
      </c>
      <c r="E171" s="3" t="s">
        <v>74</v>
      </c>
      <c r="F171" s="3" t="s">
        <v>202</v>
      </c>
      <c r="G171" s="4" t="s">
        <v>85</v>
      </c>
      <c r="H171" s="4">
        <v>16</v>
      </c>
      <c r="I171" s="4">
        <v>11</v>
      </c>
      <c r="J171" s="4">
        <v>11</v>
      </c>
      <c r="K171" s="5">
        <v>8297.66</v>
      </c>
      <c r="L171" s="5">
        <v>8297.66</v>
      </c>
      <c r="M171" s="5">
        <v>0</v>
      </c>
      <c r="N171" s="4">
        <v>1</v>
      </c>
      <c r="O171" s="5">
        <v>1717.95</v>
      </c>
      <c r="P171" s="5">
        <v>1717.95</v>
      </c>
      <c r="Q171" s="5">
        <v>0</v>
      </c>
      <c r="R171" s="6"/>
    </row>
    <row r="172" spans="1:18" x14ac:dyDescent="0.25">
      <c r="A172" s="36">
        <f t="shared" si="9"/>
        <v>41</v>
      </c>
      <c r="B172" s="3" t="s">
        <v>95</v>
      </c>
      <c r="C172" s="3" t="s">
        <v>62</v>
      </c>
      <c r="D172" s="3" t="s">
        <v>63</v>
      </c>
      <c r="E172" s="3" t="s">
        <v>74</v>
      </c>
      <c r="F172" s="3" t="s">
        <v>161</v>
      </c>
      <c r="G172" s="4" t="s">
        <v>85</v>
      </c>
      <c r="H172" s="4">
        <v>32</v>
      </c>
      <c r="I172" s="4">
        <v>26</v>
      </c>
      <c r="J172" s="4">
        <v>35</v>
      </c>
      <c r="K172" s="5">
        <v>43171.46</v>
      </c>
      <c r="L172" s="5">
        <f>29308.96+3740.42</f>
        <v>33049.379999999997</v>
      </c>
      <c r="M172" s="5">
        <f>13862.5-3740.42</f>
        <v>10122.08</v>
      </c>
      <c r="N172" s="4">
        <v>20</v>
      </c>
      <c r="O172" s="5">
        <v>65252.01</v>
      </c>
      <c r="P172" s="5">
        <v>57450.400000000001</v>
      </c>
      <c r="Q172" s="5">
        <v>7801.61</v>
      </c>
      <c r="R172" s="6"/>
    </row>
    <row r="173" spans="1:18" ht="25.5" x14ac:dyDescent="0.25">
      <c r="A173" s="36">
        <f t="shared" si="9"/>
        <v>42</v>
      </c>
      <c r="B173" s="3" t="s">
        <v>30</v>
      </c>
      <c r="C173" s="3" t="s">
        <v>62</v>
      </c>
      <c r="D173" s="3" t="s">
        <v>63</v>
      </c>
      <c r="E173" s="3" t="s">
        <v>203</v>
      </c>
      <c r="F173" s="3" t="s">
        <v>204</v>
      </c>
      <c r="G173" s="4" t="s">
        <v>85</v>
      </c>
      <c r="H173" s="4">
        <v>17</v>
      </c>
      <c r="I173" s="4">
        <v>13</v>
      </c>
      <c r="J173" s="4">
        <v>17</v>
      </c>
      <c r="K173" s="5">
        <v>15082.45</v>
      </c>
      <c r="L173" s="5">
        <v>15082.45</v>
      </c>
      <c r="M173" s="5">
        <v>0</v>
      </c>
      <c r="N173" s="4">
        <v>16</v>
      </c>
      <c r="O173" s="5">
        <v>44825.3</v>
      </c>
      <c r="P173" s="5">
        <v>44825.3</v>
      </c>
      <c r="Q173" s="5">
        <v>0</v>
      </c>
      <c r="R173" s="6"/>
    </row>
    <row r="174" spans="1:18" x14ac:dyDescent="0.25">
      <c r="A174" s="36">
        <f t="shared" si="9"/>
        <v>43</v>
      </c>
      <c r="B174" s="3" t="s">
        <v>31</v>
      </c>
      <c r="C174" s="3" t="s">
        <v>62</v>
      </c>
      <c r="D174" s="3" t="s">
        <v>63</v>
      </c>
      <c r="E174" s="3" t="s">
        <v>74</v>
      </c>
      <c r="F174" s="3" t="s">
        <v>206</v>
      </c>
      <c r="G174" s="4" t="s">
        <v>85</v>
      </c>
      <c r="H174" s="4">
        <v>33</v>
      </c>
      <c r="I174" s="4">
        <v>26</v>
      </c>
      <c r="J174" s="4">
        <v>31</v>
      </c>
      <c r="K174" s="5">
        <v>57521.09</v>
      </c>
      <c r="L174" s="5">
        <v>52104.95</v>
      </c>
      <c r="M174" s="5">
        <v>5416.14</v>
      </c>
      <c r="N174" s="4">
        <v>19</v>
      </c>
      <c r="O174" s="5">
        <v>74965.509999999995</v>
      </c>
      <c r="P174" s="5">
        <v>66805.69</v>
      </c>
      <c r="Q174" s="5">
        <v>8159.82</v>
      </c>
      <c r="R174" s="6"/>
    </row>
    <row r="175" spans="1:18" ht="25.5" x14ac:dyDescent="0.25">
      <c r="A175" s="36">
        <f t="shared" si="9"/>
        <v>44</v>
      </c>
      <c r="B175" s="3" t="s">
        <v>605</v>
      </c>
      <c r="C175" s="3" t="s">
        <v>62</v>
      </c>
      <c r="D175" s="3" t="s">
        <v>63</v>
      </c>
      <c r="E175" s="3" t="s">
        <v>108</v>
      </c>
      <c r="F175" s="3" t="s">
        <v>606</v>
      </c>
      <c r="G175" s="4" t="s">
        <v>85</v>
      </c>
      <c r="H175" s="4">
        <v>0</v>
      </c>
      <c r="I175" s="4">
        <v>0</v>
      </c>
      <c r="J175" s="4">
        <v>0</v>
      </c>
      <c r="K175" s="5">
        <v>0</v>
      </c>
      <c r="L175" s="5">
        <v>0</v>
      </c>
      <c r="M175" s="5">
        <v>0</v>
      </c>
      <c r="N175" s="4">
        <v>0</v>
      </c>
      <c r="O175" s="5">
        <v>1200.69</v>
      </c>
      <c r="P175" s="5">
        <v>1200.69</v>
      </c>
      <c r="Q175" s="5">
        <v>0</v>
      </c>
      <c r="R175" s="6"/>
    </row>
    <row r="176" spans="1:18" ht="51" x14ac:dyDescent="0.25">
      <c r="A176" s="36">
        <f t="shared" si="9"/>
        <v>45</v>
      </c>
      <c r="B176" s="3" t="s">
        <v>90</v>
      </c>
      <c r="C176" s="3" t="s">
        <v>62</v>
      </c>
      <c r="D176" s="3" t="s">
        <v>63</v>
      </c>
      <c r="E176" s="3" t="s">
        <v>205</v>
      </c>
      <c r="F176" s="3" t="s">
        <v>464</v>
      </c>
      <c r="G176" s="4" t="s">
        <v>85</v>
      </c>
      <c r="H176" s="4">
        <v>17</v>
      </c>
      <c r="I176" s="4">
        <v>8</v>
      </c>
      <c r="J176" s="4">
        <v>13</v>
      </c>
      <c r="K176" s="5">
        <v>9495.06</v>
      </c>
      <c r="L176" s="5">
        <v>8099.56</v>
      </c>
      <c r="M176" s="5">
        <v>1395.5</v>
      </c>
      <c r="N176" s="4">
        <v>17</v>
      </c>
      <c r="O176" s="5">
        <v>21084.5</v>
      </c>
      <c r="P176" s="5">
        <v>18831.080000000002</v>
      </c>
      <c r="Q176" s="5">
        <v>2253.42</v>
      </c>
      <c r="R176" s="6"/>
    </row>
    <row r="177" spans="1:18" x14ac:dyDescent="0.25">
      <c r="A177" s="36">
        <f t="shared" si="9"/>
        <v>46</v>
      </c>
      <c r="B177" s="3" t="s">
        <v>91</v>
      </c>
      <c r="C177" s="3" t="s">
        <v>62</v>
      </c>
      <c r="D177" s="3" t="s">
        <v>63</v>
      </c>
      <c r="E177" s="3" t="s">
        <v>63</v>
      </c>
      <c r="F177" s="3" t="s">
        <v>208</v>
      </c>
      <c r="G177" s="4" t="s">
        <v>85</v>
      </c>
      <c r="H177" s="4">
        <v>14</v>
      </c>
      <c r="I177" s="4">
        <v>9</v>
      </c>
      <c r="J177" s="4">
        <v>9</v>
      </c>
      <c r="K177" s="5">
        <v>5992.57</v>
      </c>
      <c r="L177" s="5">
        <v>5992.57</v>
      </c>
      <c r="M177" s="5">
        <v>0</v>
      </c>
      <c r="N177" s="4">
        <v>2</v>
      </c>
      <c r="O177" s="5">
        <v>5514.15</v>
      </c>
      <c r="P177" s="5">
        <v>5514.15</v>
      </c>
      <c r="Q177" s="5">
        <v>0</v>
      </c>
      <c r="R177" s="6"/>
    </row>
    <row r="178" spans="1:18" x14ac:dyDescent="0.25">
      <c r="A178" s="36">
        <f t="shared" si="9"/>
        <v>47</v>
      </c>
      <c r="B178" s="3" t="s">
        <v>33</v>
      </c>
      <c r="C178" s="3" t="s">
        <v>62</v>
      </c>
      <c r="D178" s="3" t="s">
        <v>63</v>
      </c>
      <c r="E178" s="3" t="s">
        <v>74</v>
      </c>
      <c r="F178" s="3" t="s">
        <v>209</v>
      </c>
      <c r="G178" s="4" t="s">
        <v>85</v>
      </c>
      <c r="H178" s="4">
        <v>30</v>
      </c>
      <c r="I178" s="4">
        <v>22</v>
      </c>
      <c r="J178" s="4">
        <v>26</v>
      </c>
      <c r="K178" s="5">
        <v>31117.84</v>
      </c>
      <c r="L178" s="5">
        <v>31117.84</v>
      </c>
      <c r="M178" s="5">
        <v>0</v>
      </c>
      <c r="N178" s="4">
        <v>34</v>
      </c>
      <c r="O178" s="5">
        <v>81981.710000000006</v>
      </c>
      <c r="P178" s="5">
        <v>71790.759999999995</v>
      </c>
      <c r="Q178" s="5">
        <v>10190.950000000001</v>
      </c>
      <c r="R178" s="6"/>
    </row>
    <row r="179" spans="1:18" x14ac:dyDescent="0.25">
      <c r="A179" s="36">
        <f t="shared" si="9"/>
        <v>48</v>
      </c>
      <c r="B179" s="3" t="s">
        <v>32</v>
      </c>
      <c r="C179" s="3" t="s">
        <v>62</v>
      </c>
      <c r="D179" s="3" t="s">
        <v>63</v>
      </c>
      <c r="E179" s="3" t="s">
        <v>74</v>
      </c>
      <c r="F179" s="3" t="s">
        <v>207</v>
      </c>
      <c r="G179" s="4" t="s">
        <v>85</v>
      </c>
      <c r="H179" s="4">
        <v>33</v>
      </c>
      <c r="I179" s="4">
        <v>26</v>
      </c>
      <c r="J179" s="4">
        <v>28</v>
      </c>
      <c r="K179" s="5">
        <v>17066.91</v>
      </c>
      <c r="L179" s="5">
        <v>17066.91</v>
      </c>
      <c r="M179" s="5">
        <v>0</v>
      </c>
      <c r="N179" s="4">
        <v>32</v>
      </c>
      <c r="O179" s="5">
        <v>68847.38</v>
      </c>
      <c r="P179" s="5">
        <v>68847.38</v>
      </c>
      <c r="Q179" s="5">
        <v>0</v>
      </c>
      <c r="R179" s="6"/>
    </row>
    <row r="180" spans="1:18" ht="25.5" x14ac:dyDescent="0.25">
      <c r="A180" s="36">
        <f t="shared" si="9"/>
        <v>49</v>
      </c>
      <c r="B180" s="3" t="s">
        <v>541</v>
      </c>
      <c r="C180" s="3" t="s">
        <v>62</v>
      </c>
      <c r="D180" s="3"/>
      <c r="E180" s="3" t="s">
        <v>177</v>
      </c>
      <c r="F180" s="3" t="s">
        <v>542</v>
      </c>
      <c r="G180" s="4" t="s">
        <v>85</v>
      </c>
      <c r="H180" s="4">
        <v>12</v>
      </c>
      <c r="I180" s="4">
        <v>4</v>
      </c>
      <c r="J180" s="4">
        <v>5</v>
      </c>
      <c r="K180" s="5">
        <v>0</v>
      </c>
      <c r="L180" s="5">
        <v>0</v>
      </c>
      <c r="M180" s="5">
        <v>0</v>
      </c>
      <c r="N180" s="4">
        <v>0</v>
      </c>
      <c r="O180" s="5">
        <v>0</v>
      </c>
      <c r="P180" s="5">
        <v>0</v>
      </c>
      <c r="Q180" s="5">
        <v>0</v>
      </c>
      <c r="R180" s="6"/>
    </row>
    <row r="181" spans="1:18" x14ac:dyDescent="0.25">
      <c r="A181" s="36">
        <f t="shared" si="9"/>
        <v>50</v>
      </c>
      <c r="B181" s="3" t="s">
        <v>34</v>
      </c>
      <c r="C181" s="3" t="s">
        <v>62</v>
      </c>
      <c r="D181" s="3" t="s">
        <v>63</v>
      </c>
      <c r="E181" s="3" t="s">
        <v>74</v>
      </c>
      <c r="F181" s="3" t="s">
        <v>211</v>
      </c>
      <c r="G181" s="4" t="s">
        <v>85</v>
      </c>
      <c r="H181" s="4">
        <v>13</v>
      </c>
      <c r="I181" s="4">
        <v>8</v>
      </c>
      <c r="J181" s="4">
        <v>8</v>
      </c>
      <c r="K181" s="5">
        <v>3933.44</v>
      </c>
      <c r="L181" s="5">
        <v>3933.44</v>
      </c>
      <c r="M181" s="5">
        <v>0</v>
      </c>
      <c r="N181" s="4">
        <v>24</v>
      </c>
      <c r="O181" s="5">
        <v>66328.38</v>
      </c>
      <c r="P181" s="5">
        <v>66328.38</v>
      </c>
      <c r="Q181" s="5">
        <v>0</v>
      </c>
      <c r="R181" s="6"/>
    </row>
    <row r="182" spans="1:18" ht="25.5" x14ac:dyDescent="0.25">
      <c r="A182" s="36">
        <f t="shared" si="9"/>
        <v>51</v>
      </c>
      <c r="B182" s="3" t="s">
        <v>154</v>
      </c>
      <c r="C182" s="3" t="s">
        <v>62</v>
      </c>
      <c r="D182" s="3" t="s">
        <v>63</v>
      </c>
      <c r="E182" s="3" t="s">
        <v>72</v>
      </c>
      <c r="F182" s="3" t="s">
        <v>212</v>
      </c>
      <c r="G182" s="4" t="s">
        <v>85</v>
      </c>
      <c r="H182" s="4">
        <v>5</v>
      </c>
      <c r="I182" s="4">
        <v>0</v>
      </c>
      <c r="J182" s="4">
        <v>0</v>
      </c>
      <c r="K182" s="5">
        <v>0</v>
      </c>
      <c r="L182" s="5">
        <v>0</v>
      </c>
      <c r="M182" s="5">
        <v>0</v>
      </c>
      <c r="N182" s="4">
        <v>1</v>
      </c>
      <c r="O182" s="5">
        <v>4636.17</v>
      </c>
      <c r="P182" s="5">
        <v>4636.17</v>
      </c>
      <c r="Q182" s="5">
        <v>0</v>
      </c>
      <c r="R182" s="6"/>
    </row>
    <row r="183" spans="1:18" x14ac:dyDescent="0.25">
      <c r="A183" s="36">
        <f t="shared" si="9"/>
        <v>52</v>
      </c>
      <c r="B183" s="3" t="s">
        <v>153</v>
      </c>
      <c r="C183" s="3" t="s">
        <v>62</v>
      </c>
      <c r="D183" s="3" t="s">
        <v>63</v>
      </c>
      <c r="E183" s="3" t="s">
        <v>74</v>
      </c>
      <c r="F183" s="3" t="s">
        <v>210</v>
      </c>
      <c r="G183" s="4" t="s">
        <v>85</v>
      </c>
      <c r="H183" s="4">
        <v>0</v>
      </c>
      <c r="I183" s="4">
        <v>0</v>
      </c>
      <c r="J183" s="4">
        <v>0</v>
      </c>
      <c r="K183" s="5">
        <v>0</v>
      </c>
      <c r="L183" s="5">
        <v>0</v>
      </c>
      <c r="M183" s="5">
        <v>0</v>
      </c>
      <c r="N183" s="4">
        <v>3</v>
      </c>
      <c r="O183" s="5">
        <v>9709.0400000000009</v>
      </c>
      <c r="P183" s="5">
        <v>9709.0400000000009</v>
      </c>
      <c r="Q183" s="5">
        <v>0</v>
      </c>
      <c r="R183" s="6"/>
    </row>
    <row r="184" spans="1:18" x14ac:dyDescent="0.25">
      <c r="A184" s="36">
        <f t="shared" si="9"/>
        <v>53</v>
      </c>
      <c r="B184" s="3" t="s">
        <v>109</v>
      </c>
      <c r="C184" s="3" t="s">
        <v>62</v>
      </c>
      <c r="D184" s="3" t="s">
        <v>63</v>
      </c>
      <c r="E184" s="3" t="s">
        <v>74</v>
      </c>
      <c r="F184" s="3" t="s">
        <v>213</v>
      </c>
      <c r="G184" s="4" t="s">
        <v>85</v>
      </c>
      <c r="H184" s="4">
        <v>0</v>
      </c>
      <c r="I184" s="4">
        <v>0</v>
      </c>
      <c r="J184" s="4">
        <v>0</v>
      </c>
      <c r="K184" s="5">
        <v>0</v>
      </c>
      <c r="L184" s="5">
        <v>0</v>
      </c>
      <c r="M184" s="5">
        <v>0</v>
      </c>
      <c r="N184" s="4">
        <v>2</v>
      </c>
      <c r="O184" s="5">
        <v>0</v>
      </c>
      <c r="P184" s="5">
        <v>0</v>
      </c>
      <c r="Q184" s="5">
        <v>0</v>
      </c>
      <c r="R184" s="6"/>
    </row>
    <row r="185" spans="1:18" x14ac:dyDescent="0.25">
      <c r="A185" s="36">
        <f t="shared" si="9"/>
        <v>54</v>
      </c>
      <c r="B185" s="3" t="s">
        <v>110</v>
      </c>
      <c r="C185" s="3" t="s">
        <v>62</v>
      </c>
      <c r="D185" s="3" t="s">
        <v>63</v>
      </c>
      <c r="E185" s="3" t="s">
        <v>74</v>
      </c>
      <c r="F185" s="3" t="s">
        <v>214</v>
      </c>
      <c r="G185" s="4" t="s">
        <v>85</v>
      </c>
      <c r="H185" s="4">
        <v>0</v>
      </c>
      <c r="I185" s="4">
        <v>0</v>
      </c>
      <c r="J185" s="4">
        <v>0</v>
      </c>
      <c r="K185" s="5">
        <v>0</v>
      </c>
      <c r="L185" s="5">
        <v>0</v>
      </c>
      <c r="M185" s="5">
        <v>0</v>
      </c>
      <c r="N185" s="4">
        <v>0</v>
      </c>
      <c r="O185" s="5">
        <v>12489.14</v>
      </c>
      <c r="P185" s="5">
        <v>12489.14</v>
      </c>
      <c r="Q185" s="5">
        <v>0</v>
      </c>
      <c r="R185" s="6"/>
    </row>
    <row r="186" spans="1:18" x14ac:dyDescent="0.25">
      <c r="A186" s="36">
        <f t="shared" si="9"/>
        <v>55</v>
      </c>
      <c r="B186" s="3" t="s">
        <v>111</v>
      </c>
      <c r="C186" s="3" t="s">
        <v>112</v>
      </c>
      <c r="D186" s="3" t="s">
        <v>113</v>
      </c>
      <c r="E186" s="3" t="s">
        <v>63</v>
      </c>
      <c r="F186" s="3" t="s">
        <v>139</v>
      </c>
      <c r="G186" s="4" t="s">
        <v>85</v>
      </c>
      <c r="H186" s="4">
        <v>1</v>
      </c>
      <c r="I186" s="4">
        <v>0</v>
      </c>
      <c r="J186" s="4">
        <v>0</v>
      </c>
      <c r="K186" s="5">
        <v>0</v>
      </c>
      <c r="L186" s="5">
        <v>0</v>
      </c>
      <c r="M186" s="5">
        <v>0</v>
      </c>
      <c r="N186" s="4">
        <v>0</v>
      </c>
      <c r="O186" s="5">
        <v>0</v>
      </c>
      <c r="P186" s="5">
        <v>0</v>
      </c>
      <c r="Q186" s="5">
        <v>0</v>
      </c>
      <c r="R186" s="6"/>
    </row>
    <row r="187" spans="1:18" x14ac:dyDescent="0.25">
      <c r="A187" s="36">
        <f t="shared" si="9"/>
        <v>56</v>
      </c>
      <c r="B187" s="3" t="s">
        <v>92</v>
      </c>
      <c r="C187" s="3" t="s">
        <v>62</v>
      </c>
      <c r="D187" s="3" t="s">
        <v>63</v>
      </c>
      <c r="E187" s="3" t="s">
        <v>74</v>
      </c>
      <c r="F187" s="3" t="s">
        <v>215</v>
      </c>
      <c r="G187" s="4" t="s">
        <v>85</v>
      </c>
      <c r="H187" s="4">
        <v>29</v>
      </c>
      <c r="I187" s="4">
        <v>25</v>
      </c>
      <c r="J187" s="4">
        <v>29</v>
      </c>
      <c r="K187" s="5">
        <v>17600.349999999999</v>
      </c>
      <c r="L187" s="5">
        <v>17600.349999999999</v>
      </c>
      <c r="M187" s="5">
        <v>0</v>
      </c>
      <c r="N187" s="4">
        <v>10</v>
      </c>
      <c r="O187" s="5">
        <v>18181.04</v>
      </c>
      <c r="P187" s="5">
        <v>18181.04</v>
      </c>
      <c r="Q187" s="5">
        <v>0</v>
      </c>
      <c r="R187" s="6"/>
    </row>
    <row r="188" spans="1:18" ht="25.5" x14ac:dyDescent="0.25">
      <c r="A188" s="36">
        <f t="shared" si="9"/>
        <v>57</v>
      </c>
      <c r="B188" s="3" t="s">
        <v>216</v>
      </c>
      <c r="C188" s="3" t="s">
        <v>67</v>
      </c>
      <c r="D188" s="3" t="s">
        <v>436</v>
      </c>
      <c r="E188" s="3" t="s">
        <v>217</v>
      </c>
      <c r="F188" s="3" t="s">
        <v>218</v>
      </c>
      <c r="G188" s="4" t="s">
        <v>85</v>
      </c>
      <c r="H188" s="4">
        <v>9</v>
      </c>
      <c r="I188" s="4">
        <v>6</v>
      </c>
      <c r="J188" s="4">
        <v>5</v>
      </c>
      <c r="K188" s="5">
        <v>3386.04</v>
      </c>
      <c r="L188" s="5">
        <v>3386.04</v>
      </c>
      <c r="M188" s="5">
        <v>0</v>
      </c>
      <c r="N188" s="4">
        <v>0</v>
      </c>
      <c r="O188" s="5">
        <v>0</v>
      </c>
      <c r="P188" s="5">
        <v>0</v>
      </c>
      <c r="Q188" s="5">
        <v>0</v>
      </c>
      <c r="R188" s="6"/>
    </row>
    <row r="189" spans="1:18" ht="25.5" x14ac:dyDescent="0.25">
      <c r="A189" s="36">
        <f t="shared" si="9"/>
        <v>58</v>
      </c>
      <c r="B189" s="3" t="s">
        <v>35</v>
      </c>
      <c r="C189" s="3" t="s">
        <v>62</v>
      </c>
      <c r="D189" s="3" t="s">
        <v>63</v>
      </c>
      <c r="E189" s="3" t="s">
        <v>219</v>
      </c>
      <c r="F189" s="3" t="s">
        <v>220</v>
      </c>
      <c r="G189" s="4" t="s">
        <v>85</v>
      </c>
      <c r="H189" s="4">
        <v>41</v>
      </c>
      <c r="I189" s="4">
        <v>39</v>
      </c>
      <c r="J189" s="4">
        <v>44</v>
      </c>
      <c r="K189" s="5">
        <v>31130.07</v>
      </c>
      <c r="L189" s="5">
        <v>20431.93</v>
      </c>
      <c r="M189" s="5">
        <v>10698.14</v>
      </c>
      <c r="N189" s="4">
        <v>29</v>
      </c>
      <c r="O189" s="5">
        <v>52287.51</v>
      </c>
      <c r="P189" s="5">
        <v>51090.74</v>
      </c>
      <c r="Q189" s="5">
        <v>1196.77</v>
      </c>
      <c r="R189" s="6"/>
    </row>
    <row r="190" spans="1:18" ht="25.5" x14ac:dyDescent="0.25">
      <c r="A190" s="36">
        <f t="shared" si="9"/>
        <v>59</v>
      </c>
      <c r="B190" s="3" t="s">
        <v>114</v>
      </c>
      <c r="C190" s="3" t="s">
        <v>62</v>
      </c>
      <c r="D190" s="3" t="s">
        <v>63</v>
      </c>
      <c r="E190" s="3" t="s">
        <v>115</v>
      </c>
      <c r="F190" s="3" t="s">
        <v>221</v>
      </c>
      <c r="G190" s="4" t="s">
        <v>85</v>
      </c>
      <c r="H190" s="4">
        <v>5</v>
      </c>
      <c r="I190" s="4">
        <v>0</v>
      </c>
      <c r="J190" s="4">
        <v>0</v>
      </c>
      <c r="K190" s="5">
        <v>0</v>
      </c>
      <c r="L190" s="5">
        <v>0</v>
      </c>
      <c r="M190" s="5">
        <v>0</v>
      </c>
      <c r="N190" s="4">
        <v>0</v>
      </c>
      <c r="O190" s="5">
        <v>1108.48</v>
      </c>
      <c r="P190" s="5">
        <v>1108.48</v>
      </c>
      <c r="Q190" s="5">
        <v>0</v>
      </c>
      <c r="R190" s="6"/>
    </row>
    <row r="191" spans="1:18" ht="25.5" x14ac:dyDescent="0.25">
      <c r="A191" s="36">
        <f t="shared" si="9"/>
        <v>60</v>
      </c>
      <c r="B191" s="3" t="s">
        <v>222</v>
      </c>
      <c r="C191" s="3" t="s">
        <v>64</v>
      </c>
      <c r="D191" s="3" t="s">
        <v>607</v>
      </c>
      <c r="E191" s="3" t="s">
        <v>223</v>
      </c>
      <c r="F191" s="3" t="s">
        <v>224</v>
      </c>
      <c r="G191" s="4" t="s">
        <v>85</v>
      </c>
      <c r="H191" s="4">
        <v>14</v>
      </c>
      <c r="I191" s="4">
        <v>10</v>
      </c>
      <c r="J191" s="4">
        <v>12</v>
      </c>
      <c r="K191" s="5">
        <v>10358.92</v>
      </c>
      <c r="L191" s="5">
        <v>10358.92</v>
      </c>
      <c r="M191" s="5">
        <v>0</v>
      </c>
      <c r="N191" s="4">
        <v>0</v>
      </c>
      <c r="O191" s="5">
        <v>0</v>
      </c>
      <c r="P191" s="5">
        <v>0</v>
      </c>
      <c r="Q191" s="5">
        <v>0</v>
      </c>
      <c r="R191" s="6"/>
    </row>
    <row r="192" spans="1:18" x14ac:dyDescent="0.25">
      <c r="A192" s="36">
        <f t="shared" si="9"/>
        <v>61</v>
      </c>
      <c r="B192" s="3" t="s">
        <v>93</v>
      </c>
      <c r="C192" s="3" t="s">
        <v>62</v>
      </c>
      <c r="D192" s="3" t="s">
        <v>63</v>
      </c>
      <c r="E192" s="3" t="s">
        <v>74</v>
      </c>
      <c r="F192" s="3" t="s">
        <v>225</v>
      </c>
      <c r="G192" s="4" t="s">
        <v>85</v>
      </c>
      <c r="H192" s="4">
        <v>11</v>
      </c>
      <c r="I192" s="4">
        <v>3</v>
      </c>
      <c r="J192" s="4">
        <v>3</v>
      </c>
      <c r="K192" s="5">
        <v>1233.4000000000001</v>
      </c>
      <c r="L192" s="5">
        <v>1233.4000000000001</v>
      </c>
      <c r="M192" s="5">
        <v>0</v>
      </c>
      <c r="N192" s="4">
        <v>6</v>
      </c>
      <c r="O192" s="5">
        <v>3194.66</v>
      </c>
      <c r="P192" s="5">
        <v>3194.66</v>
      </c>
      <c r="Q192" s="5">
        <v>0</v>
      </c>
      <c r="R192" s="6"/>
    </row>
    <row r="193" spans="1:18" ht="25.5" x14ac:dyDescent="0.25">
      <c r="A193" s="36">
        <f t="shared" si="9"/>
        <v>62</v>
      </c>
      <c r="B193" s="3" t="s">
        <v>226</v>
      </c>
      <c r="C193" s="3" t="s">
        <v>62</v>
      </c>
      <c r="D193" s="3"/>
      <c r="E193" s="3" t="s">
        <v>174</v>
      </c>
      <c r="F193" s="3" t="s">
        <v>227</v>
      </c>
      <c r="G193" s="4" t="s">
        <v>85</v>
      </c>
      <c r="H193" s="4">
        <v>15</v>
      </c>
      <c r="I193" s="4">
        <v>11</v>
      </c>
      <c r="J193" s="4">
        <v>10</v>
      </c>
      <c r="K193" s="5">
        <v>16022.52</v>
      </c>
      <c r="L193" s="5">
        <v>16022.52</v>
      </c>
      <c r="M193" s="5">
        <v>0</v>
      </c>
      <c r="N193" s="4">
        <v>0</v>
      </c>
      <c r="O193" s="5">
        <v>0</v>
      </c>
      <c r="P193" s="5">
        <v>0</v>
      </c>
      <c r="Q193" s="5">
        <v>0</v>
      </c>
      <c r="R193" s="6"/>
    </row>
    <row r="194" spans="1:18" ht="25.5" x14ac:dyDescent="0.25">
      <c r="A194" s="36">
        <f t="shared" si="9"/>
        <v>63</v>
      </c>
      <c r="B194" s="3" t="s">
        <v>228</v>
      </c>
      <c r="C194" s="3" t="s">
        <v>62</v>
      </c>
      <c r="D194" s="3"/>
      <c r="E194" s="3" t="s">
        <v>229</v>
      </c>
      <c r="F194" s="3" t="s">
        <v>230</v>
      </c>
      <c r="G194" s="4" t="s">
        <v>85</v>
      </c>
      <c r="H194" s="4">
        <v>20</v>
      </c>
      <c r="I194" s="4">
        <v>6</v>
      </c>
      <c r="J194" s="4">
        <v>6</v>
      </c>
      <c r="K194" s="5">
        <v>0</v>
      </c>
      <c r="L194" s="5">
        <v>0</v>
      </c>
      <c r="M194" s="5">
        <v>0</v>
      </c>
      <c r="N194" s="4">
        <v>0</v>
      </c>
      <c r="O194" s="5">
        <v>0</v>
      </c>
      <c r="P194" s="5">
        <v>0</v>
      </c>
      <c r="Q194" s="5">
        <v>0</v>
      </c>
      <c r="R194" s="6"/>
    </row>
    <row r="195" spans="1:18" ht="25.5" x14ac:dyDescent="0.25">
      <c r="A195" s="36">
        <f t="shared" si="9"/>
        <v>64</v>
      </c>
      <c r="B195" s="3" t="s">
        <v>232</v>
      </c>
      <c r="C195" s="3" t="s">
        <v>62</v>
      </c>
      <c r="D195" s="3"/>
      <c r="E195" s="3" t="s">
        <v>174</v>
      </c>
      <c r="F195" s="3" t="s">
        <v>233</v>
      </c>
      <c r="G195" s="4" t="s">
        <v>85</v>
      </c>
      <c r="H195" s="4">
        <v>8</v>
      </c>
      <c r="I195" s="4">
        <v>6</v>
      </c>
      <c r="J195" s="4">
        <v>7</v>
      </c>
      <c r="K195" s="5">
        <v>0</v>
      </c>
      <c r="L195" s="5">
        <v>0</v>
      </c>
      <c r="M195" s="5">
        <v>0</v>
      </c>
      <c r="N195" s="4">
        <v>0</v>
      </c>
      <c r="O195" s="5">
        <v>0</v>
      </c>
      <c r="P195" s="5">
        <v>0</v>
      </c>
      <c r="Q195" s="5">
        <v>0</v>
      </c>
      <c r="R195" s="6"/>
    </row>
    <row r="196" spans="1:18" ht="25.5" x14ac:dyDescent="0.25">
      <c r="A196" s="36">
        <f t="shared" si="9"/>
        <v>65</v>
      </c>
      <c r="B196" s="3" t="s">
        <v>487</v>
      </c>
      <c r="C196" s="3" t="s">
        <v>62</v>
      </c>
      <c r="D196" s="3"/>
      <c r="E196" s="3" t="s">
        <v>282</v>
      </c>
      <c r="F196" s="3" t="s">
        <v>488</v>
      </c>
      <c r="G196" s="4" t="s">
        <v>85</v>
      </c>
      <c r="H196" s="4">
        <v>8</v>
      </c>
      <c r="I196" s="4">
        <v>0</v>
      </c>
      <c r="J196" s="4">
        <v>0</v>
      </c>
      <c r="K196" s="5">
        <v>0</v>
      </c>
      <c r="L196" s="5">
        <v>0</v>
      </c>
      <c r="M196" s="5">
        <v>0</v>
      </c>
      <c r="N196" s="4">
        <v>0</v>
      </c>
      <c r="O196" s="5">
        <v>0</v>
      </c>
      <c r="P196" s="5">
        <v>0</v>
      </c>
      <c r="Q196" s="5">
        <v>0</v>
      </c>
      <c r="R196" s="6"/>
    </row>
    <row r="197" spans="1:18" x14ac:dyDescent="0.25">
      <c r="A197" s="36">
        <f t="shared" si="9"/>
        <v>66</v>
      </c>
      <c r="B197" s="3" t="s">
        <v>116</v>
      </c>
      <c r="C197" s="3" t="s">
        <v>62</v>
      </c>
      <c r="D197" s="3" t="s">
        <v>63</v>
      </c>
      <c r="E197" s="3" t="s">
        <v>74</v>
      </c>
      <c r="F197" s="3" t="s">
        <v>231</v>
      </c>
      <c r="G197" s="4" t="s">
        <v>85</v>
      </c>
      <c r="H197" s="4">
        <v>26</v>
      </c>
      <c r="I197" s="4">
        <v>16</v>
      </c>
      <c r="J197" s="4">
        <v>18</v>
      </c>
      <c r="K197" s="5">
        <v>29296.92</v>
      </c>
      <c r="L197" s="5">
        <v>29296.92</v>
      </c>
      <c r="M197" s="5">
        <v>0</v>
      </c>
      <c r="N197" s="4">
        <v>3</v>
      </c>
      <c r="O197" s="5">
        <v>5058.49</v>
      </c>
      <c r="P197" s="5">
        <v>5058.49</v>
      </c>
      <c r="Q197" s="5">
        <v>0</v>
      </c>
      <c r="R197" s="6"/>
    </row>
    <row r="198" spans="1:18" ht="25.5" x14ac:dyDescent="0.25">
      <c r="A198" s="36">
        <f t="shared" ref="A198:A261" si="10">A197+1</f>
        <v>67</v>
      </c>
      <c r="B198" s="3" t="s">
        <v>37</v>
      </c>
      <c r="C198" s="3" t="s">
        <v>62</v>
      </c>
      <c r="D198" s="3" t="s">
        <v>63</v>
      </c>
      <c r="E198" s="3" t="s">
        <v>70</v>
      </c>
      <c r="F198" s="3" t="s">
        <v>234</v>
      </c>
      <c r="G198" s="4" t="s">
        <v>85</v>
      </c>
      <c r="H198" s="4">
        <v>15</v>
      </c>
      <c r="I198" s="4">
        <v>9</v>
      </c>
      <c r="J198" s="4">
        <v>9</v>
      </c>
      <c r="K198" s="5">
        <v>3700.2</v>
      </c>
      <c r="L198" s="5">
        <v>3700.2</v>
      </c>
      <c r="M198" s="5">
        <v>0</v>
      </c>
      <c r="N198" s="4">
        <v>3</v>
      </c>
      <c r="O198" s="5">
        <v>2111.7399999999998</v>
      </c>
      <c r="P198" s="5">
        <v>2111.7399999999998</v>
      </c>
      <c r="Q198" s="5">
        <v>0</v>
      </c>
      <c r="R198" s="6"/>
    </row>
    <row r="199" spans="1:18" ht="38.25" x14ac:dyDescent="0.25">
      <c r="A199" s="36">
        <f t="shared" si="10"/>
        <v>68</v>
      </c>
      <c r="B199" s="3" t="s">
        <v>235</v>
      </c>
      <c r="C199" s="3" t="s">
        <v>62</v>
      </c>
      <c r="D199" s="3"/>
      <c r="E199" s="3" t="s">
        <v>236</v>
      </c>
      <c r="F199" s="3" t="s">
        <v>237</v>
      </c>
      <c r="G199" s="4" t="s">
        <v>85</v>
      </c>
      <c r="H199" s="4">
        <v>5</v>
      </c>
      <c r="I199" s="4">
        <v>3</v>
      </c>
      <c r="J199" s="4">
        <v>4</v>
      </c>
      <c r="K199" s="5">
        <v>528.6</v>
      </c>
      <c r="L199" s="5">
        <v>528.6</v>
      </c>
      <c r="M199" s="5">
        <v>0</v>
      </c>
      <c r="N199" s="4">
        <v>0</v>
      </c>
      <c r="O199" s="5">
        <v>0</v>
      </c>
      <c r="P199" s="5">
        <v>0</v>
      </c>
      <c r="Q199" s="5">
        <v>0</v>
      </c>
      <c r="R199" s="6"/>
    </row>
    <row r="200" spans="1:18" ht="25.5" x14ac:dyDescent="0.25">
      <c r="A200" s="36">
        <f t="shared" si="10"/>
        <v>69</v>
      </c>
      <c r="B200" s="3" t="s">
        <v>238</v>
      </c>
      <c r="C200" s="3" t="s">
        <v>62</v>
      </c>
      <c r="D200" s="3"/>
      <c r="E200" s="3" t="s">
        <v>239</v>
      </c>
      <c r="F200" s="3" t="s">
        <v>240</v>
      </c>
      <c r="G200" s="4" t="s">
        <v>85</v>
      </c>
      <c r="H200" s="4">
        <v>9</v>
      </c>
      <c r="I200" s="4">
        <v>8</v>
      </c>
      <c r="J200" s="4">
        <v>9</v>
      </c>
      <c r="K200" s="5">
        <v>8493.5499999999993</v>
      </c>
      <c r="L200" s="5">
        <v>8493.5499999999993</v>
      </c>
      <c r="M200" s="5">
        <v>0</v>
      </c>
      <c r="N200" s="4">
        <v>0</v>
      </c>
      <c r="O200" s="5">
        <v>0</v>
      </c>
      <c r="P200" s="5">
        <v>0</v>
      </c>
      <c r="Q200" s="5">
        <v>0</v>
      </c>
      <c r="R200" s="6"/>
    </row>
    <row r="201" spans="1:18" ht="25.5" x14ac:dyDescent="0.25">
      <c r="A201" s="36">
        <f t="shared" si="10"/>
        <v>70</v>
      </c>
      <c r="B201" s="3" t="s">
        <v>357</v>
      </c>
      <c r="C201" s="3" t="s">
        <v>64</v>
      </c>
      <c r="D201" s="3" t="s">
        <v>608</v>
      </c>
      <c r="E201" s="3" t="s">
        <v>74</v>
      </c>
      <c r="F201" s="3" t="s">
        <v>586</v>
      </c>
      <c r="G201" s="4" t="s">
        <v>85</v>
      </c>
      <c r="H201" s="4">
        <v>0</v>
      </c>
      <c r="I201" s="4">
        <v>0</v>
      </c>
      <c r="J201" s="4">
        <v>0</v>
      </c>
      <c r="K201" s="5">
        <v>0</v>
      </c>
      <c r="L201" s="5">
        <v>0</v>
      </c>
      <c r="M201" s="5">
        <v>0</v>
      </c>
      <c r="N201" s="4">
        <v>1</v>
      </c>
      <c r="O201" s="5">
        <v>0</v>
      </c>
      <c r="P201" s="5">
        <v>0</v>
      </c>
      <c r="Q201" s="5">
        <v>0</v>
      </c>
      <c r="R201" s="6"/>
    </row>
    <row r="202" spans="1:18" x14ac:dyDescent="0.25">
      <c r="A202" s="36">
        <f t="shared" si="10"/>
        <v>71</v>
      </c>
      <c r="B202" s="3" t="s">
        <v>36</v>
      </c>
      <c r="C202" s="3" t="s">
        <v>62</v>
      </c>
      <c r="D202" s="3" t="s">
        <v>63</v>
      </c>
      <c r="E202" s="3" t="s">
        <v>74</v>
      </c>
      <c r="F202" s="3" t="s">
        <v>465</v>
      </c>
      <c r="G202" s="4" t="s">
        <v>85</v>
      </c>
      <c r="H202" s="4">
        <v>5</v>
      </c>
      <c r="I202" s="4">
        <v>1</v>
      </c>
      <c r="J202" s="4">
        <v>1</v>
      </c>
      <c r="K202" s="5">
        <v>0</v>
      </c>
      <c r="L202" s="5">
        <v>0</v>
      </c>
      <c r="M202" s="5">
        <v>0</v>
      </c>
      <c r="N202" s="4">
        <v>4</v>
      </c>
      <c r="O202" s="5">
        <f>2026.3+616.7</f>
        <v>2643</v>
      </c>
      <c r="P202" s="5">
        <f>2026.3+616.7</f>
        <v>2643</v>
      </c>
      <c r="Q202" s="5">
        <v>0</v>
      </c>
      <c r="R202" s="6"/>
    </row>
    <row r="203" spans="1:18" x14ac:dyDescent="0.25">
      <c r="A203" s="36">
        <f t="shared" si="10"/>
        <v>72</v>
      </c>
      <c r="B203" s="3" t="s">
        <v>39</v>
      </c>
      <c r="C203" s="3" t="s">
        <v>62</v>
      </c>
      <c r="D203" s="3" t="s">
        <v>63</v>
      </c>
      <c r="E203" s="3" t="s">
        <v>77</v>
      </c>
      <c r="F203" s="3" t="s">
        <v>466</v>
      </c>
      <c r="G203" s="4" t="s">
        <v>85</v>
      </c>
      <c r="H203" s="4">
        <v>64</v>
      </c>
      <c r="I203" s="4">
        <v>44</v>
      </c>
      <c r="J203" s="4">
        <v>49</v>
      </c>
      <c r="K203" s="5">
        <v>11589.93</v>
      </c>
      <c r="L203" s="5">
        <v>11589.93</v>
      </c>
      <c r="M203" s="5">
        <v>0</v>
      </c>
      <c r="N203" s="4">
        <v>7</v>
      </c>
      <c r="O203" s="5">
        <v>11533.38</v>
      </c>
      <c r="P203" s="5">
        <v>11533.38</v>
      </c>
      <c r="Q203" s="5">
        <v>0</v>
      </c>
      <c r="R203" s="6"/>
    </row>
    <row r="204" spans="1:18" ht="38.25" x14ac:dyDescent="0.25">
      <c r="A204" s="36">
        <f t="shared" si="10"/>
        <v>73</v>
      </c>
      <c r="B204" s="3" t="s">
        <v>40</v>
      </c>
      <c r="C204" s="3" t="s">
        <v>62</v>
      </c>
      <c r="D204" s="3" t="s">
        <v>63</v>
      </c>
      <c r="E204" s="3" t="s">
        <v>249</v>
      </c>
      <c r="F204" s="3" t="s">
        <v>250</v>
      </c>
      <c r="G204" s="4" t="s">
        <v>85</v>
      </c>
      <c r="H204" s="4">
        <v>20</v>
      </c>
      <c r="I204" s="4">
        <v>18</v>
      </c>
      <c r="J204" s="4">
        <v>24</v>
      </c>
      <c r="K204" s="5">
        <v>47627.72</v>
      </c>
      <c r="L204" s="5">
        <v>41183.26</v>
      </c>
      <c r="M204" s="5">
        <v>6444.46</v>
      </c>
      <c r="N204" s="4">
        <v>17</v>
      </c>
      <c r="O204" s="5">
        <v>44654.28</v>
      </c>
      <c r="P204" s="5">
        <v>44654.28</v>
      </c>
      <c r="Q204" s="5">
        <v>0</v>
      </c>
      <c r="R204" s="6"/>
    </row>
    <row r="205" spans="1:18" ht="25.5" x14ac:dyDescent="0.25">
      <c r="A205" s="36">
        <f t="shared" si="10"/>
        <v>74</v>
      </c>
      <c r="B205" s="3" t="s">
        <v>251</v>
      </c>
      <c r="C205" s="3" t="s">
        <v>62</v>
      </c>
      <c r="D205" s="3"/>
      <c r="E205" s="3" t="s">
        <v>177</v>
      </c>
      <c r="F205" s="3" t="s">
        <v>252</v>
      </c>
      <c r="G205" s="4" t="s">
        <v>85</v>
      </c>
      <c r="H205" s="4">
        <v>22</v>
      </c>
      <c r="I205" s="4">
        <v>13</v>
      </c>
      <c r="J205" s="4">
        <v>18</v>
      </c>
      <c r="K205" s="5">
        <v>26456.78</v>
      </c>
      <c r="L205" s="5">
        <v>24231.37</v>
      </c>
      <c r="M205" s="5">
        <v>2225.41</v>
      </c>
      <c r="N205" s="4">
        <v>0</v>
      </c>
      <c r="O205" s="5">
        <v>0</v>
      </c>
      <c r="P205" s="5">
        <v>0</v>
      </c>
      <c r="Q205" s="5">
        <v>0</v>
      </c>
      <c r="R205" s="6"/>
    </row>
    <row r="206" spans="1:18" x14ac:dyDescent="0.25">
      <c r="A206" s="36">
        <f t="shared" si="10"/>
        <v>75</v>
      </c>
      <c r="B206" s="3" t="s">
        <v>117</v>
      </c>
      <c r="C206" s="3" t="s">
        <v>62</v>
      </c>
      <c r="D206" s="3" t="s">
        <v>63</v>
      </c>
      <c r="E206" s="3" t="s">
        <v>74</v>
      </c>
      <c r="F206" s="3" t="s">
        <v>520</v>
      </c>
      <c r="G206" s="4" t="s">
        <v>85</v>
      </c>
      <c r="H206" s="4">
        <v>1</v>
      </c>
      <c r="I206" s="4">
        <v>1</v>
      </c>
      <c r="J206" s="4">
        <v>1</v>
      </c>
      <c r="K206" s="5">
        <v>2616.5700000000002</v>
      </c>
      <c r="L206" s="5">
        <v>2616.5700000000002</v>
      </c>
      <c r="M206" s="5">
        <v>0</v>
      </c>
      <c r="N206" s="4">
        <v>1</v>
      </c>
      <c r="O206" s="5">
        <v>581.46</v>
      </c>
      <c r="P206" s="5">
        <v>581.46</v>
      </c>
      <c r="Q206" s="5">
        <v>0</v>
      </c>
      <c r="R206" s="6"/>
    </row>
    <row r="207" spans="1:18" ht="25.5" x14ac:dyDescent="0.25">
      <c r="A207" s="36">
        <f t="shared" si="10"/>
        <v>76</v>
      </c>
      <c r="B207" s="3" t="s">
        <v>41</v>
      </c>
      <c r="C207" s="3" t="s">
        <v>64</v>
      </c>
      <c r="D207" s="3" t="s">
        <v>65</v>
      </c>
      <c r="E207" s="3" t="s">
        <v>72</v>
      </c>
      <c r="F207" s="3" t="s">
        <v>253</v>
      </c>
      <c r="G207" s="4" t="s">
        <v>85</v>
      </c>
      <c r="H207" s="4">
        <v>2</v>
      </c>
      <c r="I207" s="4">
        <v>2</v>
      </c>
      <c r="J207" s="4">
        <v>2</v>
      </c>
      <c r="K207" s="5">
        <v>1575.23</v>
      </c>
      <c r="L207" s="5">
        <v>1575.23</v>
      </c>
      <c r="M207" s="5">
        <v>0</v>
      </c>
      <c r="N207" s="4">
        <v>12</v>
      </c>
      <c r="O207" s="5">
        <v>33315.620000000003</v>
      </c>
      <c r="P207" s="5">
        <v>33315.620000000003</v>
      </c>
      <c r="Q207" s="5">
        <v>0</v>
      </c>
      <c r="R207" s="6"/>
    </row>
    <row r="208" spans="1:18" x14ac:dyDescent="0.25">
      <c r="A208" s="36">
        <f t="shared" si="10"/>
        <v>77</v>
      </c>
      <c r="B208" s="3" t="s">
        <v>118</v>
      </c>
      <c r="C208" s="3" t="s">
        <v>62</v>
      </c>
      <c r="D208" s="3" t="s">
        <v>63</v>
      </c>
      <c r="E208" s="3" t="s">
        <v>63</v>
      </c>
      <c r="F208" s="3" t="s">
        <v>467</v>
      </c>
      <c r="G208" s="4" t="s">
        <v>85</v>
      </c>
      <c r="H208" s="4">
        <v>4</v>
      </c>
      <c r="I208" s="4">
        <v>1</v>
      </c>
      <c r="J208" s="4">
        <v>1</v>
      </c>
      <c r="K208" s="5">
        <v>9832.0300000000007</v>
      </c>
      <c r="L208" s="5">
        <v>9832.0300000000007</v>
      </c>
      <c r="M208" s="5">
        <v>0</v>
      </c>
      <c r="N208" s="4">
        <v>0</v>
      </c>
      <c r="O208" s="250">
        <v>0</v>
      </c>
      <c r="P208" s="250">
        <v>0</v>
      </c>
      <c r="Q208" s="5">
        <v>0</v>
      </c>
      <c r="R208" s="6"/>
    </row>
    <row r="209" spans="1:18" ht="25.5" x14ac:dyDescent="0.25">
      <c r="A209" s="36">
        <f t="shared" si="10"/>
        <v>78</v>
      </c>
      <c r="B209" s="3" t="s">
        <v>548</v>
      </c>
      <c r="C209" s="3" t="s">
        <v>62</v>
      </c>
      <c r="D209" s="3"/>
      <c r="E209" s="3" t="s">
        <v>549</v>
      </c>
      <c r="F209" s="3" t="s">
        <v>550</v>
      </c>
      <c r="G209" s="4" t="s">
        <v>85</v>
      </c>
      <c r="H209" s="4">
        <v>3</v>
      </c>
      <c r="I209" s="4">
        <v>1</v>
      </c>
      <c r="J209" s="4">
        <v>1</v>
      </c>
      <c r="K209" s="5">
        <v>0</v>
      </c>
      <c r="L209" s="5">
        <v>0</v>
      </c>
      <c r="M209" s="5">
        <v>0</v>
      </c>
      <c r="N209" s="4">
        <v>0</v>
      </c>
      <c r="O209" s="5">
        <v>0</v>
      </c>
      <c r="P209" s="5">
        <v>0</v>
      </c>
      <c r="Q209" s="5">
        <v>0</v>
      </c>
      <c r="R209" s="6"/>
    </row>
    <row r="210" spans="1:18" ht="25.5" x14ac:dyDescent="0.25">
      <c r="A210" s="36">
        <f t="shared" si="10"/>
        <v>79</v>
      </c>
      <c r="B210" s="3" t="s">
        <v>254</v>
      </c>
      <c r="C210" s="3" t="s">
        <v>62</v>
      </c>
      <c r="D210" s="3"/>
      <c r="E210" s="3" t="s">
        <v>239</v>
      </c>
      <c r="F210" s="3" t="s">
        <v>255</v>
      </c>
      <c r="G210" s="4" t="s">
        <v>85</v>
      </c>
      <c r="H210" s="4">
        <v>7</v>
      </c>
      <c r="I210" s="4">
        <v>2</v>
      </c>
      <c r="J210" s="4">
        <v>2</v>
      </c>
      <c r="K210" s="5">
        <v>0</v>
      </c>
      <c r="L210" s="5">
        <v>0</v>
      </c>
      <c r="M210" s="5">
        <v>0</v>
      </c>
      <c r="N210" s="4">
        <v>0</v>
      </c>
      <c r="O210" s="5">
        <v>0</v>
      </c>
      <c r="P210" s="5">
        <v>0</v>
      </c>
      <c r="Q210" s="5">
        <v>0</v>
      </c>
      <c r="R210" s="6"/>
    </row>
    <row r="211" spans="1:18" x14ac:dyDescent="0.25">
      <c r="A211" s="36">
        <f t="shared" si="10"/>
        <v>80</v>
      </c>
      <c r="B211" s="3" t="s">
        <v>587</v>
      </c>
      <c r="C211" s="3" t="s">
        <v>62</v>
      </c>
      <c r="D211" s="3" t="s">
        <v>63</v>
      </c>
      <c r="E211" s="3" t="s">
        <v>63</v>
      </c>
      <c r="F211" s="3" t="s">
        <v>609</v>
      </c>
      <c r="G211" s="4" t="s">
        <v>85</v>
      </c>
      <c r="H211" s="4">
        <v>0</v>
      </c>
      <c r="I211" s="4">
        <v>0</v>
      </c>
      <c r="J211" s="4">
        <v>0</v>
      </c>
      <c r="K211" s="5">
        <v>0</v>
      </c>
      <c r="L211" s="5">
        <v>0</v>
      </c>
      <c r="M211" s="5">
        <v>0</v>
      </c>
      <c r="N211" s="4">
        <v>1</v>
      </c>
      <c r="O211" s="5">
        <v>0</v>
      </c>
      <c r="P211" s="5">
        <v>0</v>
      </c>
      <c r="Q211" s="5">
        <v>0</v>
      </c>
      <c r="R211" s="6"/>
    </row>
    <row r="212" spans="1:18" ht="25.5" x14ac:dyDescent="0.25">
      <c r="A212" s="36">
        <f t="shared" si="10"/>
        <v>81</v>
      </c>
      <c r="B212" s="3" t="s">
        <v>241</v>
      </c>
      <c r="C212" s="3" t="s">
        <v>62</v>
      </c>
      <c r="D212" s="3"/>
      <c r="E212" s="3" t="s">
        <v>242</v>
      </c>
      <c r="F212" s="3" t="s">
        <v>243</v>
      </c>
      <c r="G212" s="4" t="s">
        <v>85</v>
      </c>
      <c r="H212" s="4">
        <v>8</v>
      </c>
      <c r="I212" s="4">
        <v>6</v>
      </c>
      <c r="J212" s="4">
        <v>6</v>
      </c>
      <c r="K212" s="5">
        <v>3433.01</v>
      </c>
      <c r="L212" s="5">
        <v>3433.01</v>
      </c>
      <c r="M212" s="5">
        <v>0</v>
      </c>
      <c r="N212" s="4">
        <v>0</v>
      </c>
      <c r="O212" s="5">
        <v>0</v>
      </c>
      <c r="P212" s="5">
        <v>0</v>
      </c>
      <c r="Q212" s="5">
        <v>0</v>
      </c>
      <c r="R212" s="6"/>
    </row>
    <row r="213" spans="1:18" ht="38.25" x14ac:dyDescent="0.25">
      <c r="A213" s="36">
        <f t="shared" si="10"/>
        <v>82</v>
      </c>
      <c r="B213" s="3" t="s">
        <v>38</v>
      </c>
      <c r="C213" s="3" t="s">
        <v>62</v>
      </c>
      <c r="D213" s="3" t="s">
        <v>63</v>
      </c>
      <c r="E213" s="3" t="s">
        <v>244</v>
      </c>
      <c r="F213" s="3" t="s">
        <v>245</v>
      </c>
      <c r="G213" s="4" t="s">
        <v>85</v>
      </c>
      <c r="H213" s="4">
        <v>61</v>
      </c>
      <c r="I213" s="4">
        <v>49</v>
      </c>
      <c r="J213" s="4">
        <v>76</v>
      </c>
      <c r="K213" s="5">
        <v>119240.35</v>
      </c>
      <c r="L213" s="5">
        <v>88032.26</v>
      </c>
      <c r="M213" s="5">
        <v>31208.09</v>
      </c>
      <c r="N213" s="4">
        <v>75</v>
      </c>
      <c r="O213" s="5">
        <v>203043.36</v>
      </c>
      <c r="P213" s="5">
        <v>180429.03</v>
      </c>
      <c r="Q213" s="5">
        <v>22614.33</v>
      </c>
      <c r="R213" s="6"/>
    </row>
    <row r="214" spans="1:18" ht="25.5" x14ac:dyDescent="0.25">
      <c r="A214" s="36">
        <f t="shared" si="10"/>
        <v>83</v>
      </c>
      <c r="B214" s="3" t="s">
        <v>246</v>
      </c>
      <c r="C214" s="3" t="s">
        <v>62</v>
      </c>
      <c r="D214" s="3"/>
      <c r="E214" s="3" t="s">
        <v>247</v>
      </c>
      <c r="F214" s="3" t="s">
        <v>248</v>
      </c>
      <c r="G214" s="4" t="s">
        <v>85</v>
      </c>
      <c r="H214" s="4">
        <v>21</v>
      </c>
      <c r="I214" s="4">
        <v>13</v>
      </c>
      <c r="J214" s="4">
        <v>15</v>
      </c>
      <c r="K214" s="5">
        <v>6203.94</v>
      </c>
      <c r="L214" s="5">
        <v>6203.94</v>
      </c>
      <c r="M214" s="5">
        <v>0</v>
      </c>
      <c r="N214" s="4">
        <v>0</v>
      </c>
      <c r="O214" s="5">
        <v>0</v>
      </c>
      <c r="P214" s="5">
        <v>0</v>
      </c>
      <c r="Q214" s="5">
        <v>0</v>
      </c>
      <c r="R214" s="6"/>
    </row>
    <row r="215" spans="1:18" x14ac:dyDescent="0.25">
      <c r="A215" s="36">
        <f t="shared" si="10"/>
        <v>84</v>
      </c>
      <c r="B215" s="3" t="s">
        <v>256</v>
      </c>
      <c r="C215" s="3" t="s">
        <v>62</v>
      </c>
      <c r="D215" s="3"/>
      <c r="E215" s="3" t="s">
        <v>158</v>
      </c>
      <c r="F215" s="3" t="s">
        <v>257</v>
      </c>
      <c r="G215" s="4" t="s">
        <v>85</v>
      </c>
      <c r="H215" s="4">
        <v>6</v>
      </c>
      <c r="I215" s="4">
        <v>2</v>
      </c>
      <c r="J215" s="4">
        <v>2</v>
      </c>
      <c r="K215" s="5">
        <v>2079.16</v>
      </c>
      <c r="L215" s="5">
        <v>2079.16</v>
      </c>
      <c r="M215" s="5">
        <v>0</v>
      </c>
      <c r="N215" s="4">
        <v>0</v>
      </c>
      <c r="O215" s="5">
        <v>0</v>
      </c>
      <c r="P215" s="5">
        <v>0</v>
      </c>
      <c r="Q215" s="5">
        <v>0</v>
      </c>
      <c r="R215" s="6"/>
    </row>
    <row r="216" spans="1:18" ht="25.5" x14ac:dyDescent="0.25">
      <c r="A216" s="36">
        <f t="shared" si="10"/>
        <v>85</v>
      </c>
      <c r="B216" s="3" t="s">
        <v>258</v>
      </c>
      <c r="C216" s="3" t="s">
        <v>62</v>
      </c>
      <c r="D216" s="3"/>
      <c r="E216" s="3" t="s">
        <v>239</v>
      </c>
      <c r="F216" s="3" t="s">
        <v>259</v>
      </c>
      <c r="G216" s="4" t="s">
        <v>85</v>
      </c>
      <c r="H216" s="4">
        <v>11</v>
      </c>
      <c r="I216" s="4">
        <v>6</v>
      </c>
      <c r="J216" s="4">
        <v>6</v>
      </c>
      <c r="K216" s="5">
        <v>1347.43</v>
      </c>
      <c r="L216" s="5">
        <v>1347.43</v>
      </c>
      <c r="M216" s="5">
        <v>0</v>
      </c>
      <c r="N216" s="4">
        <v>0</v>
      </c>
      <c r="O216" s="5">
        <v>0</v>
      </c>
      <c r="P216" s="5">
        <v>0</v>
      </c>
      <c r="Q216" s="5">
        <v>0</v>
      </c>
      <c r="R216" s="6"/>
    </row>
    <row r="217" spans="1:18" ht="25.5" x14ac:dyDescent="0.25">
      <c r="A217" s="36">
        <f t="shared" si="10"/>
        <v>86</v>
      </c>
      <c r="B217" s="3" t="s">
        <v>42</v>
      </c>
      <c r="C217" s="3" t="s">
        <v>62</v>
      </c>
      <c r="D217" s="3" t="s">
        <v>63</v>
      </c>
      <c r="E217" s="3" t="s">
        <v>78</v>
      </c>
      <c r="F217" s="3" t="s">
        <v>260</v>
      </c>
      <c r="G217" s="4" t="s">
        <v>85</v>
      </c>
      <c r="H217" s="4">
        <v>32</v>
      </c>
      <c r="I217" s="4">
        <v>24</v>
      </c>
      <c r="J217" s="4">
        <v>29</v>
      </c>
      <c r="K217" s="5">
        <v>29428.3</v>
      </c>
      <c r="L217" s="5">
        <v>29428.3</v>
      </c>
      <c r="M217" s="5">
        <v>0</v>
      </c>
      <c r="N217" s="4">
        <v>28</v>
      </c>
      <c r="O217" s="5">
        <v>59860.09</v>
      </c>
      <c r="P217" s="5">
        <v>59860.09</v>
      </c>
      <c r="Q217" s="5">
        <v>0</v>
      </c>
      <c r="R217" s="6"/>
    </row>
    <row r="218" spans="1:18" ht="25.5" x14ac:dyDescent="0.25">
      <c r="A218" s="36">
        <f t="shared" si="10"/>
        <v>87</v>
      </c>
      <c r="B218" s="3" t="s">
        <v>43</v>
      </c>
      <c r="C218" s="3" t="s">
        <v>62</v>
      </c>
      <c r="D218" s="3" t="s">
        <v>63</v>
      </c>
      <c r="E218" s="3" t="s">
        <v>72</v>
      </c>
      <c r="F218" s="3" t="s">
        <v>261</v>
      </c>
      <c r="G218" s="4" t="s">
        <v>85</v>
      </c>
      <c r="H218" s="4">
        <v>17</v>
      </c>
      <c r="I218" s="4">
        <v>12</v>
      </c>
      <c r="J218" s="4">
        <v>17</v>
      </c>
      <c r="K218" s="5">
        <v>22770.03</v>
      </c>
      <c r="L218" s="5">
        <v>22770.03</v>
      </c>
      <c r="M218" s="5">
        <v>0</v>
      </c>
      <c r="N218" s="4">
        <v>35</v>
      </c>
      <c r="O218" s="5">
        <v>87291.33</v>
      </c>
      <c r="P218" s="5">
        <v>87291.33</v>
      </c>
      <c r="Q218" s="5">
        <v>0</v>
      </c>
      <c r="R218" s="6"/>
    </row>
    <row r="219" spans="1:18" x14ac:dyDescent="0.25">
      <c r="A219" s="36">
        <f t="shared" si="10"/>
        <v>88</v>
      </c>
      <c r="B219" s="3" t="s">
        <v>44</v>
      </c>
      <c r="C219" s="3" t="s">
        <v>62</v>
      </c>
      <c r="D219" s="3" t="s">
        <v>63</v>
      </c>
      <c r="E219" s="3" t="s">
        <v>74</v>
      </c>
      <c r="F219" s="3" t="s">
        <v>262</v>
      </c>
      <c r="G219" s="4" t="s">
        <v>85</v>
      </c>
      <c r="H219" s="4">
        <v>31</v>
      </c>
      <c r="I219" s="4">
        <v>20</v>
      </c>
      <c r="J219" s="4">
        <v>23</v>
      </c>
      <c r="K219" s="5">
        <v>12746.49</v>
      </c>
      <c r="L219" s="5">
        <v>9759.7199999999993</v>
      </c>
      <c r="M219" s="5">
        <v>2986.77</v>
      </c>
      <c r="N219" s="4">
        <v>27</v>
      </c>
      <c r="O219" s="5">
        <v>83628.98</v>
      </c>
      <c r="P219" s="5">
        <v>80034.320000000007</v>
      </c>
      <c r="Q219" s="5">
        <v>3594.66</v>
      </c>
      <c r="R219" s="6"/>
    </row>
    <row r="220" spans="1:18" ht="25.5" x14ac:dyDescent="0.25">
      <c r="A220" s="36">
        <f t="shared" si="10"/>
        <v>89</v>
      </c>
      <c r="B220" s="3" t="s">
        <v>45</v>
      </c>
      <c r="C220" s="3" t="s">
        <v>62</v>
      </c>
      <c r="D220" s="3" t="s">
        <v>63</v>
      </c>
      <c r="E220" s="3" t="s">
        <v>79</v>
      </c>
      <c r="F220" s="3" t="s">
        <v>263</v>
      </c>
      <c r="G220" s="4" t="s">
        <v>85</v>
      </c>
      <c r="H220" s="4">
        <v>9</v>
      </c>
      <c r="I220" s="4">
        <v>7</v>
      </c>
      <c r="J220" s="4">
        <v>11</v>
      </c>
      <c r="K220" s="5">
        <v>11874.43</v>
      </c>
      <c r="L220" s="5">
        <v>7644.39</v>
      </c>
      <c r="M220" s="5">
        <v>4230.04</v>
      </c>
      <c r="N220" s="4">
        <v>3</v>
      </c>
      <c r="O220" s="5">
        <v>17166.18</v>
      </c>
      <c r="P220" s="5">
        <v>17166.18</v>
      </c>
      <c r="Q220" s="5">
        <v>0</v>
      </c>
      <c r="R220" s="6"/>
    </row>
    <row r="221" spans="1:18" x14ac:dyDescent="0.25">
      <c r="A221" s="36">
        <f t="shared" si="10"/>
        <v>90</v>
      </c>
      <c r="B221" s="3" t="s">
        <v>264</v>
      </c>
      <c r="C221" s="3" t="s">
        <v>62</v>
      </c>
      <c r="D221" s="3" t="s">
        <v>63</v>
      </c>
      <c r="E221" s="3" t="s">
        <v>74</v>
      </c>
      <c r="F221" s="3" t="s">
        <v>265</v>
      </c>
      <c r="G221" s="4" t="s">
        <v>85</v>
      </c>
      <c r="H221" s="4">
        <v>20</v>
      </c>
      <c r="I221" s="4">
        <v>17</v>
      </c>
      <c r="J221" s="4">
        <v>19</v>
      </c>
      <c r="K221" s="5">
        <v>10073.64</v>
      </c>
      <c r="L221" s="5">
        <v>10073.64</v>
      </c>
      <c r="M221" s="5">
        <v>0</v>
      </c>
      <c r="N221" s="4">
        <v>0</v>
      </c>
      <c r="O221" s="5">
        <v>0</v>
      </c>
      <c r="P221" s="5">
        <v>0</v>
      </c>
      <c r="Q221" s="5">
        <v>0</v>
      </c>
      <c r="R221" s="6"/>
    </row>
    <row r="222" spans="1:18" ht="25.5" x14ac:dyDescent="0.25">
      <c r="A222" s="36">
        <f t="shared" si="10"/>
        <v>91</v>
      </c>
      <c r="B222" s="3" t="s">
        <v>119</v>
      </c>
      <c r="C222" s="3" t="s">
        <v>62</v>
      </c>
      <c r="D222" s="3" t="s">
        <v>63</v>
      </c>
      <c r="E222" s="3" t="s">
        <v>108</v>
      </c>
      <c r="F222" s="3" t="s">
        <v>266</v>
      </c>
      <c r="G222" s="4" t="s">
        <v>85</v>
      </c>
      <c r="H222" s="4">
        <v>16</v>
      </c>
      <c r="I222" s="4">
        <v>12</v>
      </c>
      <c r="J222" s="4">
        <v>14</v>
      </c>
      <c r="K222" s="5">
        <v>11504.81</v>
      </c>
      <c r="L222" s="5">
        <f>8738.09+251.21</f>
        <v>8989.2999999999993</v>
      </c>
      <c r="M222" s="5">
        <f>2766.72-251.21</f>
        <v>2515.5099999999998</v>
      </c>
      <c r="N222" s="4">
        <v>2</v>
      </c>
      <c r="O222" s="5">
        <v>1291.3499999999999</v>
      </c>
      <c r="P222" s="5">
        <v>1291.3499999999999</v>
      </c>
      <c r="Q222" s="5">
        <v>0</v>
      </c>
      <c r="R222" s="6"/>
    </row>
    <row r="223" spans="1:18" ht="38.25" x14ac:dyDescent="0.25">
      <c r="A223" s="36">
        <f t="shared" si="10"/>
        <v>92</v>
      </c>
      <c r="B223" s="3" t="s">
        <v>46</v>
      </c>
      <c r="C223" s="3" t="s">
        <v>62</v>
      </c>
      <c r="D223" s="3" t="s">
        <v>63</v>
      </c>
      <c r="E223" s="3" t="s">
        <v>267</v>
      </c>
      <c r="F223" s="3" t="s">
        <v>268</v>
      </c>
      <c r="G223" s="4" t="s">
        <v>85</v>
      </c>
      <c r="H223" s="4">
        <v>19</v>
      </c>
      <c r="I223" s="4">
        <v>14</v>
      </c>
      <c r="J223" s="4">
        <v>21</v>
      </c>
      <c r="K223" s="5">
        <v>28839.57</v>
      </c>
      <c r="L223" s="5">
        <v>19256.34</v>
      </c>
      <c r="M223" s="5">
        <v>9583.23</v>
      </c>
      <c r="N223" s="4">
        <v>20</v>
      </c>
      <c r="O223" s="5">
        <v>113001.33</v>
      </c>
      <c r="P223" s="5">
        <v>91463.84</v>
      </c>
      <c r="Q223" s="5">
        <v>21537.49</v>
      </c>
      <c r="R223" s="6"/>
    </row>
    <row r="224" spans="1:18" ht="25.5" x14ac:dyDescent="0.25">
      <c r="A224" s="36">
        <f t="shared" si="10"/>
        <v>93</v>
      </c>
      <c r="B224" s="3" t="s">
        <v>47</v>
      </c>
      <c r="C224" s="3" t="s">
        <v>62</v>
      </c>
      <c r="D224" s="3" t="s">
        <v>63</v>
      </c>
      <c r="E224" s="3" t="s">
        <v>80</v>
      </c>
      <c r="F224" s="3" t="s">
        <v>269</v>
      </c>
      <c r="G224" s="4" t="s">
        <v>85</v>
      </c>
      <c r="H224" s="4">
        <v>52</v>
      </c>
      <c r="I224" s="4">
        <v>34</v>
      </c>
      <c r="J224" s="4">
        <v>52</v>
      </c>
      <c r="K224" s="5">
        <v>83454.429999999993</v>
      </c>
      <c r="L224" s="5">
        <v>61380.47</v>
      </c>
      <c r="M224" s="5">
        <v>22073.96</v>
      </c>
      <c r="N224" s="4">
        <v>104</v>
      </c>
      <c r="O224" s="5">
        <v>380431.63</v>
      </c>
      <c r="P224" s="5">
        <v>295249.23</v>
      </c>
      <c r="Q224" s="5">
        <v>85182.399999999994</v>
      </c>
      <c r="R224" s="6"/>
    </row>
    <row r="225" spans="1:18" ht="25.5" x14ac:dyDescent="0.25">
      <c r="A225" s="36">
        <f t="shared" si="10"/>
        <v>94</v>
      </c>
      <c r="B225" s="3" t="s">
        <v>270</v>
      </c>
      <c r="C225" s="3" t="s">
        <v>62</v>
      </c>
      <c r="D225" s="3"/>
      <c r="E225" s="3" t="s">
        <v>271</v>
      </c>
      <c r="F225" s="3" t="s">
        <v>272</v>
      </c>
      <c r="G225" s="4" t="s">
        <v>85</v>
      </c>
      <c r="H225" s="4">
        <v>8</v>
      </c>
      <c r="I225" s="4">
        <v>5</v>
      </c>
      <c r="J225" s="4">
        <v>6</v>
      </c>
      <c r="K225" s="5">
        <v>6888.14</v>
      </c>
      <c r="L225" s="5">
        <v>6888.14</v>
      </c>
      <c r="M225" s="5">
        <v>0</v>
      </c>
      <c r="N225" s="4">
        <v>0</v>
      </c>
      <c r="O225" s="5">
        <v>0</v>
      </c>
      <c r="P225" s="5">
        <v>0</v>
      </c>
      <c r="Q225" s="5">
        <v>0</v>
      </c>
      <c r="R225" s="6"/>
    </row>
    <row r="226" spans="1:18" ht="25.5" x14ac:dyDescent="0.25">
      <c r="A226" s="36">
        <f t="shared" si="10"/>
        <v>95</v>
      </c>
      <c r="B226" s="3" t="s">
        <v>273</v>
      </c>
      <c r="C226" s="3" t="s">
        <v>62</v>
      </c>
      <c r="D226" s="3"/>
      <c r="E226" s="3" t="s">
        <v>186</v>
      </c>
      <c r="F226" s="3" t="s">
        <v>511</v>
      </c>
      <c r="G226" s="4" t="s">
        <v>85</v>
      </c>
      <c r="H226" s="4">
        <v>7</v>
      </c>
      <c r="I226" s="4">
        <v>0</v>
      </c>
      <c r="J226" s="4">
        <v>0</v>
      </c>
      <c r="K226" s="5">
        <v>0</v>
      </c>
      <c r="L226" s="5">
        <v>0</v>
      </c>
      <c r="M226" s="5">
        <v>0</v>
      </c>
      <c r="N226" s="4">
        <v>0</v>
      </c>
      <c r="O226" s="5">
        <v>0</v>
      </c>
      <c r="P226" s="5">
        <v>0</v>
      </c>
      <c r="Q226" s="5">
        <v>0</v>
      </c>
      <c r="R226" s="6"/>
    </row>
    <row r="227" spans="1:18" x14ac:dyDescent="0.25">
      <c r="A227" s="36">
        <f t="shared" si="10"/>
        <v>96</v>
      </c>
      <c r="B227" s="3" t="s">
        <v>490</v>
      </c>
      <c r="C227" s="3" t="s">
        <v>62</v>
      </c>
      <c r="D227" s="3"/>
      <c r="E227" s="3" t="s">
        <v>491</v>
      </c>
      <c r="F227" s="3" t="s">
        <v>492</v>
      </c>
      <c r="G227" s="4" t="s">
        <v>85</v>
      </c>
      <c r="H227" s="4">
        <v>7</v>
      </c>
      <c r="I227" s="4">
        <v>3</v>
      </c>
      <c r="J227" s="4">
        <v>5</v>
      </c>
      <c r="K227" s="5">
        <v>0</v>
      </c>
      <c r="L227" s="5">
        <v>0</v>
      </c>
      <c r="M227" s="5">
        <v>0</v>
      </c>
      <c r="N227" s="4">
        <v>0</v>
      </c>
      <c r="O227" s="5">
        <v>0</v>
      </c>
      <c r="P227" s="5">
        <v>0</v>
      </c>
      <c r="Q227" s="5">
        <v>0</v>
      </c>
      <c r="R227" s="6"/>
    </row>
    <row r="228" spans="1:18" x14ac:dyDescent="0.25">
      <c r="A228" s="36">
        <f t="shared" si="10"/>
        <v>97</v>
      </c>
      <c r="B228" s="3" t="s">
        <v>94</v>
      </c>
      <c r="C228" s="3" t="s">
        <v>62</v>
      </c>
      <c r="D228" s="3"/>
      <c r="E228" s="3" t="s">
        <v>74</v>
      </c>
      <c r="F228" s="3" t="s">
        <v>274</v>
      </c>
      <c r="G228" s="4" t="s">
        <v>85</v>
      </c>
      <c r="H228" s="4">
        <v>11</v>
      </c>
      <c r="I228" s="4">
        <v>1</v>
      </c>
      <c r="J228" s="4">
        <v>1</v>
      </c>
      <c r="K228" s="5">
        <v>1613.29</v>
      </c>
      <c r="L228" s="5">
        <v>1613.29</v>
      </c>
      <c r="M228" s="5">
        <v>0</v>
      </c>
      <c r="N228" s="4">
        <v>4</v>
      </c>
      <c r="O228" s="5">
        <v>4493.33</v>
      </c>
      <c r="P228" s="5">
        <v>4493.33</v>
      </c>
      <c r="Q228" s="5">
        <v>0</v>
      </c>
      <c r="R228" s="6"/>
    </row>
    <row r="229" spans="1:18" ht="25.5" x14ac:dyDescent="0.25">
      <c r="A229" s="36">
        <f t="shared" si="10"/>
        <v>98</v>
      </c>
      <c r="B229" s="3" t="s">
        <v>120</v>
      </c>
      <c r="C229" s="3" t="s">
        <v>67</v>
      </c>
      <c r="D229" s="3" t="s">
        <v>493</v>
      </c>
      <c r="E229" s="3" t="s">
        <v>121</v>
      </c>
      <c r="F229" s="3" t="s">
        <v>468</v>
      </c>
      <c r="G229" s="4" t="s">
        <v>85</v>
      </c>
      <c r="H229" s="4">
        <v>7</v>
      </c>
      <c r="I229" s="4">
        <v>5</v>
      </c>
      <c r="J229" s="4">
        <v>5</v>
      </c>
      <c r="K229" s="5">
        <v>2760</v>
      </c>
      <c r="L229" s="5">
        <v>2760</v>
      </c>
      <c r="M229" s="5">
        <v>0</v>
      </c>
      <c r="N229" s="4">
        <v>0</v>
      </c>
      <c r="O229" s="5">
        <v>0</v>
      </c>
      <c r="P229" s="5">
        <v>0</v>
      </c>
      <c r="Q229" s="5">
        <v>0</v>
      </c>
      <c r="R229" s="6"/>
    </row>
    <row r="230" spans="1:18" ht="25.5" x14ac:dyDescent="0.25">
      <c r="A230" s="36">
        <f t="shared" si="10"/>
        <v>99</v>
      </c>
      <c r="B230" s="3" t="s">
        <v>407</v>
      </c>
      <c r="C230" s="3" t="s">
        <v>62</v>
      </c>
      <c r="D230" s="3"/>
      <c r="E230" s="3" t="s">
        <v>186</v>
      </c>
      <c r="F230" s="3" t="s">
        <v>512</v>
      </c>
      <c r="G230" s="4" t="s">
        <v>85</v>
      </c>
      <c r="H230" s="4">
        <v>2</v>
      </c>
      <c r="I230" s="4">
        <v>0</v>
      </c>
      <c r="J230" s="4">
        <v>0</v>
      </c>
      <c r="K230" s="5">
        <v>0</v>
      </c>
      <c r="L230" s="5">
        <v>0</v>
      </c>
      <c r="M230" s="5">
        <v>0</v>
      </c>
      <c r="N230" s="4">
        <v>0</v>
      </c>
      <c r="O230" s="5">
        <v>0</v>
      </c>
      <c r="P230" s="5">
        <v>0</v>
      </c>
      <c r="Q230" s="5">
        <v>0</v>
      </c>
      <c r="R230" s="6"/>
    </row>
    <row r="231" spans="1:18" ht="25.5" x14ac:dyDescent="0.25">
      <c r="A231" s="36">
        <f t="shared" si="10"/>
        <v>100</v>
      </c>
      <c r="B231" s="3" t="s">
        <v>122</v>
      </c>
      <c r="C231" s="3" t="s">
        <v>62</v>
      </c>
      <c r="D231" s="3" t="s">
        <v>63</v>
      </c>
      <c r="E231" s="3" t="s">
        <v>275</v>
      </c>
      <c r="F231" s="3" t="s">
        <v>276</v>
      </c>
      <c r="G231" s="4" t="s">
        <v>85</v>
      </c>
      <c r="H231" s="4">
        <v>11</v>
      </c>
      <c r="I231" s="4">
        <v>5</v>
      </c>
      <c r="J231" s="4">
        <v>8</v>
      </c>
      <c r="K231" s="5">
        <v>5471.36</v>
      </c>
      <c r="L231" s="5">
        <v>5471.36</v>
      </c>
      <c r="M231" s="5">
        <v>0</v>
      </c>
      <c r="N231" s="4">
        <v>5</v>
      </c>
      <c r="O231" s="5">
        <v>7270.27</v>
      </c>
      <c r="P231" s="5">
        <v>7270.27</v>
      </c>
      <c r="Q231" s="5">
        <v>0</v>
      </c>
      <c r="R231" s="6"/>
    </row>
    <row r="232" spans="1:18" x14ac:dyDescent="0.25">
      <c r="A232" s="36">
        <f t="shared" si="10"/>
        <v>101</v>
      </c>
      <c r="B232" s="3" t="s">
        <v>133</v>
      </c>
      <c r="C232" s="3" t="s">
        <v>67</v>
      </c>
      <c r="D232" s="3" t="s">
        <v>494</v>
      </c>
      <c r="E232" s="3" t="s">
        <v>74</v>
      </c>
      <c r="F232" s="3" t="s">
        <v>577</v>
      </c>
      <c r="G232" s="4" t="s">
        <v>85</v>
      </c>
      <c r="H232" s="4">
        <v>8</v>
      </c>
      <c r="I232" s="4">
        <v>3</v>
      </c>
      <c r="J232" s="4">
        <v>5</v>
      </c>
      <c r="K232" s="5">
        <v>6859.43</v>
      </c>
      <c r="L232" s="5">
        <v>6859.43</v>
      </c>
      <c r="M232" s="5">
        <v>0</v>
      </c>
      <c r="N232" s="4">
        <v>0</v>
      </c>
      <c r="O232" s="5">
        <v>0</v>
      </c>
      <c r="P232" s="5">
        <v>0</v>
      </c>
      <c r="Q232" s="5">
        <v>0</v>
      </c>
      <c r="R232" s="6"/>
    </row>
    <row r="233" spans="1:18" x14ac:dyDescent="0.25">
      <c r="A233" s="36">
        <f t="shared" si="10"/>
        <v>102</v>
      </c>
      <c r="B233" s="3" t="s">
        <v>96</v>
      </c>
      <c r="C233" s="3" t="s">
        <v>62</v>
      </c>
      <c r="D233" s="3" t="s">
        <v>63</v>
      </c>
      <c r="E233" s="3" t="s">
        <v>98</v>
      </c>
      <c r="F233" s="3" t="s">
        <v>277</v>
      </c>
      <c r="G233" s="4" t="s">
        <v>85</v>
      </c>
      <c r="H233" s="4">
        <v>23</v>
      </c>
      <c r="I233" s="4">
        <v>9</v>
      </c>
      <c r="J233" s="4">
        <v>10</v>
      </c>
      <c r="K233" s="5">
        <v>7539.6</v>
      </c>
      <c r="L233" s="5">
        <v>7539.6</v>
      </c>
      <c r="M233" s="5">
        <v>0</v>
      </c>
      <c r="N233" s="4">
        <v>11</v>
      </c>
      <c r="O233" s="5">
        <v>18644</v>
      </c>
      <c r="P233" s="5">
        <v>18644</v>
      </c>
      <c r="Q233" s="5">
        <v>0</v>
      </c>
      <c r="R233" s="6"/>
    </row>
    <row r="234" spans="1:18" ht="25.5" x14ac:dyDescent="0.25">
      <c r="A234" s="36">
        <f t="shared" si="10"/>
        <v>103</v>
      </c>
      <c r="B234" s="3" t="s">
        <v>48</v>
      </c>
      <c r="C234" s="3" t="s">
        <v>62</v>
      </c>
      <c r="D234" s="3" t="s">
        <v>63</v>
      </c>
      <c r="E234" s="3" t="s">
        <v>81</v>
      </c>
      <c r="F234" s="3" t="s">
        <v>278</v>
      </c>
      <c r="G234" s="4" t="s">
        <v>85</v>
      </c>
      <c r="H234" s="4">
        <v>34</v>
      </c>
      <c r="I234" s="4">
        <v>26</v>
      </c>
      <c r="J234" s="4">
        <v>33</v>
      </c>
      <c r="K234" s="5">
        <v>24013.86</v>
      </c>
      <c r="L234" s="5">
        <v>11717.75</v>
      </c>
      <c r="M234" s="5">
        <v>12296.11</v>
      </c>
      <c r="N234" s="4">
        <v>10</v>
      </c>
      <c r="O234" s="5">
        <v>46120.75</v>
      </c>
      <c r="P234" s="5">
        <v>34796.1</v>
      </c>
      <c r="Q234" s="5">
        <v>11324.65</v>
      </c>
      <c r="R234" s="6"/>
    </row>
    <row r="235" spans="1:18" ht="25.5" x14ac:dyDescent="0.25">
      <c r="A235" s="36">
        <f t="shared" si="10"/>
        <v>104</v>
      </c>
      <c r="B235" s="3" t="s">
        <v>50</v>
      </c>
      <c r="C235" s="3" t="s">
        <v>67</v>
      </c>
      <c r="D235" s="3" t="s">
        <v>610</v>
      </c>
      <c r="E235" s="3" t="s">
        <v>82</v>
      </c>
      <c r="F235" s="3" t="s">
        <v>280</v>
      </c>
      <c r="G235" s="4" t="s">
        <v>85</v>
      </c>
      <c r="H235" s="4">
        <v>7</v>
      </c>
      <c r="I235" s="4">
        <v>1</v>
      </c>
      <c r="J235" s="4">
        <v>1</v>
      </c>
      <c r="K235" s="5">
        <v>0</v>
      </c>
      <c r="L235" s="5">
        <v>0</v>
      </c>
      <c r="M235" s="5">
        <v>0</v>
      </c>
      <c r="N235" s="4">
        <v>4</v>
      </c>
      <c r="O235" s="5">
        <v>7205.22</v>
      </c>
      <c r="P235" s="5">
        <v>7205.22</v>
      </c>
      <c r="Q235" s="5">
        <v>0</v>
      </c>
      <c r="R235" s="6"/>
    </row>
    <row r="236" spans="1:18" ht="25.5" x14ac:dyDescent="0.25">
      <c r="A236" s="36">
        <f t="shared" si="10"/>
        <v>105</v>
      </c>
      <c r="B236" s="3" t="s">
        <v>281</v>
      </c>
      <c r="C236" s="3" t="s">
        <v>611</v>
      </c>
      <c r="D236" s="3" t="s">
        <v>611</v>
      </c>
      <c r="E236" s="3" t="s">
        <v>282</v>
      </c>
      <c r="F236" s="3" t="s">
        <v>283</v>
      </c>
      <c r="G236" s="4" t="s">
        <v>85</v>
      </c>
      <c r="H236" s="4">
        <v>14</v>
      </c>
      <c r="I236" s="4">
        <v>5</v>
      </c>
      <c r="J236" s="4">
        <v>5</v>
      </c>
      <c r="K236" s="5">
        <v>0</v>
      </c>
      <c r="L236" s="5">
        <v>0</v>
      </c>
      <c r="M236" s="5">
        <v>0</v>
      </c>
      <c r="N236" s="4">
        <v>0</v>
      </c>
      <c r="O236" s="5">
        <v>0</v>
      </c>
      <c r="P236" s="5">
        <v>0</v>
      </c>
      <c r="Q236" s="5">
        <v>0</v>
      </c>
      <c r="R236" s="6"/>
    </row>
    <row r="237" spans="1:18" x14ac:dyDescent="0.25">
      <c r="A237" s="36">
        <f t="shared" si="10"/>
        <v>106</v>
      </c>
      <c r="B237" s="3" t="s">
        <v>49</v>
      </c>
      <c r="C237" s="3" t="s">
        <v>62</v>
      </c>
      <c r="D237" s="3" t="s">
        <v>63</v>
      </c>
      <c r="E237" s="3" t="s">
        <v>74</v>
      </c>
      <c r="F237" s="3" t="s">
        <v>279</v>
      </c>
      <c r="G237" s="4" t="s">
        <v>85</v>
      </c>
      <c r="H237" s="4">
        <v>22</v>
      </c>
      <c r="I237" s="4">
        <v>15</v>
      </c>
      <c r="J237" s="4">
        <v>16</v>
      </c>
      <c r="K237" s="5">
        <v>10483.14</v>
      </c>
      <c r="L237" s="5">
        <v>10483.14</v>
      </c>
      <c r="M237" s="5">
        <v>0</v>
      </c>
      <c r="N237" s="4">
        <v>5</v>
      </c>
      <c r="O237" s="5">
        <v>37590.26</v>
      </c>
      <c r="P237" s="5">
        <v>37590.26</v>
      </c>
      <c r="Q237" s="5">
        <v>0</v>
      </c>
      <c r="R237" s="6"/>
    </row>
    <row r="238" spans="1:18" x14ac:dyDescent="0.25">
      <c r="A238" s="36">
        <f t="shared" si="10"/>
        <v>107</v>
      </c>
      <c r="B238" s="3" t="s">
        <v>124</v>
      </c>
      <c r="C238" s="3" t="s">
        <v>62</v>
      </c>
      <c r="D238" s="3" t="s">
        <v>63</v>
      </c>
      <c r="E238" s="3" t="s">
        <v>63</v>
      </c>
      <c r="F238" s="3" t="s">
        <v>284</v>
      </c>
      <c r="G238" s="4" t="s">
        <v>85</v>
      </c>
      <c r="H238" s="4">
        <v>26</v>
      </c>
      <c r="I238" s="4">
        <v>22</v>
      </c>
      <c r="J238" s="4">
        <v>28</v>
      </c>
      <c r="K238" s="5">
        <v>22572.28</v>
      </c>
      <c r="L238" s="5">
        <v>18034.61</v>
      </c>
      <c r="M238" s="5">
        <v>4537.67</v>
      </c>
      <c r="N238" s="4">
        <v>15</v>
      </c>
      <c r="O238" s="5">
        <v>18186.439999999999</v>
      </c>
      <c r="P238" s="5">
        <v>18186.439999999999</v>
      </c>
      <c r="Q238" s="5">
        <v>0</v>
      </c>
      <c r="R238" s="6"/>
    </row>
    <row r="239" spans="1:18" x14ac:dyDescent="0.25">
      <c r="A239" s="36">
        <f t="shared" si="10"/>
        <v>108</v>
      </c>
      <c r="B239" s="3" t="s">
        <v>51</v>
      </c>
      <c r="C239" s="3" t="s">
        <v>62</v>
      </c>
      <c r="D239" s="3" t="s">
        <v>63</v>
      </c>
      <c r="E239" s="3" t="s">
        <v>74</v>
      </c>
      <c r="F239" s="3" t="s">
        <v>285</v>
      </c>
      <c r="G239" s="4" t="s">
        <v>85</v>
      </c>
      <c r="H239" s="4">
        <v>13</v>
      </c>
      <c r="I239" s="4">
        <v>10</v>
      </c>
      <c r="J239" s="4">
        <v>10</v>
      </c>
      <c r="K239" s="5">
        <v>2325.7399999999998</v>
      </c>
      <c r="L239" s="5">
        <v>2325.7399999999998</v>
      </c>
      <c r="M239" s="5">
        <v>0</v>
      </c>
      <c r="N239" s="4">
        <v>10</v>
      </c>
      <c r="O239" s="5">
        <v>1797.24</v>
      </c>
      <c r="P239" s="5">
        <v>1797.24</v>
      </c>
      <c r="Q239" s="5">
        <v>0</v>
      </c>
      <c r="R239" s="6"/>
    </row>
    <row r="240" spans="1:18" ht="25.5" x14ac:dyDescent="0.25">
      <c r="A240" s="36">
        <f t="shared" si="10"/>
        <v>109</v>
      </c>
      <c r="B240" s="3" t="s">
        <v>286</v>
      </c>
      <c r="C240" s="3" t="s">
        <v>62</v>
      </c>
      <c r="D240" s="3"/>
      <c r="E240" s="3" t="s">
        <v>174</v>
      </c>
      <c r="F240" s="3" t="s">
        <v>287</v>
      </c>
      <c r="G240" s="4" t="s">
        <v>85</v>
      </c>
      <c r="H240" s="4">
        <v>7</v>
      </c>
      <c r="I240" s="4">
        <v>5</v>
      </c>
      <c r="J240" s="4">
        <v>5</v>
      </c>
      <c r="K240" s="5">
        <v>1399.03</v>
      </c>
      <c r="L240" s="5">
        <v>1399.03</v>
      </c>
      <c r="M240" s="5">
        <v>0</v>
      </c>
      <c r="N240" s="4">
        <v>0</v>
      </c>
      <c r="O240" s="5">
        <v>0</v>
      </c>
      <c r="P240" s="5">
        <v>0</v>
      </c>
      <c r="Q240" s="5">
        <v>0</v>
      </c>
      <c r="R240" s="6"/>
    </row>
    <row r="241" spans="1:18" x14ac:dyDescent="0.25">
      <c r="A241" s="36">
        <f t="shared" si="10"/>
        <v>110</v>
      </c>
      <c r="B241" s="3" t="s">
        <v>52</v>
      </c>
      <c r="C241" s="3" t="s">
        <v>62</v>
      </c>
      <c r="D241" s="3" t="s">
        <v>63</v>
      </c>
      <c r="E241" s="3" t="s">
        <v>74</v>
      </c>
      <c r="F241" s="3" t="s">
        <v>125</v>
      </c>
      <c r="G241" s="4" t="s">
        <v>85</v>
      </c>
      <c r="H241" s="4">
        <v>3</v>
      </c>
      <c r="I241" s="4">
        <v>0</v>
      </c>
      <c r="J241" s="4">
        <v>0</v>
      </c>
      <c r="K241" s="5">
        <v>0</v>
      </c>
      <c r="L241" s="5">
        <v>0</v>
      </c>
      <c r="M241" s="5">
        <v>0</v>
      </c>
      <c r="N241" s="4">
        <v>0</v>
      </c>
      <c r="O241" s="5">
        <v>0</v>
      </c>
      <c r="P241" s="5">
        <v>0</v>
      </c>
      <c r="Q241" s="5">
        <v>0</v>
      </c>
      <c r="R241" s="6"/>
    </row>
    <row r="242" spans="1:18" x14ac:dyDescent="0.25">
      <c r="A242" s="36">
        <f t="shared" si="10"/>
        <v>111</v>
      </c>
      <c r="B242" s="3" t="s">
        <v>469</v>
      </c>
      <c r="C242" s="3" t="s">
        <v>62</v>
      </c>
      <c r="D242" s="3" t="s">
        <v>63</v>
      </c>
      <c r="E242" s="3" t="s">
        <v>74</v>
      </c>
      <c r="F242" s="3" t="s">
        <v>470</v>
      </c>
      <c r="G242" s="4" t="s">
        <v>85</v>
      </c>
      <c r="H242" s="4">
        <v>1</v>
      </c>
      <c r="I242" s="4">
        <v>0</v>
      </c>
      <c r="J242" s="4">
        <v>0</v>
      </c>
      <c r="K242" s="5">
        <v>0</v>
      </c>
      <c r="L242" s="5">
        <v>0</v>
      </c>
      <c r="M242" s="5">
        <v>0</v>
      </c>
      <c r="N242" s="4">
        <v>0</v>
      </c>
      <c r="O242" s="5">
        <v>0</v>
      </c>
      <c r="P242" s="5">
        <v>0</v>
      </c>
      <c r="Q242" s="5">
        <v>0</v>
      </c>
      <c r="R242" s="6"/>
    </row>
    <row r="243" spans="1:18" x14ac:dyDescent="0.25">
      <c r="A243" s="36">
        <f t="shared" si="10"/>
        <v>112</v>
      </c>
      <c r="B243" s="3" t="s">
        <v>53</v>
      </c>
      <c r="C243" s="3" t="s">
        <v>62</v>
      </c>
      <c r="D243" s="3" t="s">
        <v>63</v>
      </c>
      <c r="E243" s="3" t="s">
        <v>74</v>
      </c>
      <c r="F243" s="3" t="s">
        <v>126</v>
      </c>
      <c r="G243" s="4" t="s">
        <v>85</v>
      </c>
      <c r="H243" s="4">
        <v>8</v>
      </c>
      <c r="I243" s="4">
        <v>0</v>
      </c>
      <c r="J243" s="4">
        <v>0</v>
      </c>
      <c r="K243" s="5">
        <v>0</v>
      </c>
      <c r="L243" s="5">
        <v>0</v>
      </c>
      <c r="M243" s="5">
        <v>0</v>
      </c>
      <c r="N243" s="4">
        <v>0</v>
      </c>
      <c r="O243" s="5">
        <v>0</v>
      </c>
      <c r="P243" s="5">
        <v>0</v>
      </c>
      <c r="Q243" s="5">
        <v>0</v>
      </c>
      <c r="R243" s="6"/>
    </row>
    <row r="244" spans="1:18" x14ac:dyDescent="0.25">
      <c r="A244" s="36">
        <f t="shared" si="10"/>
        <v>113</v>
      </c>
      <c r="B244" s="3" t="s">
        <v>151</v>
      </c>
      <c r="C244" s="3" t="s">
        <v>62</v>
      </c>
      <c r="D244" s="3" t="s">
        <v>63</v>
      </c>
      <c r="E244" s="3" t="s">
        <v>74</v>
      </c>
      <c r="F244" s="3" t="s">
        <v>288</v>
      </c>
      <c r="G244" s="4" t="s">
        <v>85</v>
      </c>
      <c r="H244" s="4">
        <v>9</v>
      </c>
      <c r="I244" s="4">
        <v>6</v>
      </c>
      <c r="J244" s="4">
        <v>6</v>
      </c>
      <c r="K244" s="5">
        <v>974.39</v>
      </c>
      <c r="L244" s="5">
        <v>974.39</v>
      </c>
      <c r="M244" s="5">
        <v>0</v>
      </c>
      <c r="N244" s="4">
        <v>6</v>
      </c>
      <c r="O244" s="5">
        <v>4554.97</v>
      </c>
      <c r="P244" s="5">
        <v>4554.97</v>
      </c>
      <c r="Q244" s="5">
        <v>0</v>
      </c>
      <c r="R244" s="6"/>
    </row>
    <row r="245" spans="1:18" x14ac:dyDescent="0.25">
      <c r="A245" s="36">
        <f t="shared" si="10"/>
        <v>114</v>
      </c>
      <c r="B245" s="3" t="s">
        <v>155</v>
      </c>
      <c r="C245" s="3" t="s">
        <v>62</v>
      </c>
      <c r="D245" s="3" t="s">
        <v>63</v>
      </c>
      <c r="E245" s="3" t="s">
        <v>74</v>
      </c>
      <c r="F245" s="3" t="s">
        <v>289</v>
      </c>
      <c r="G245" s="4" t="s">
        <v>85</v>
      </c>
      <c r="H245" s="4">
        <v>10</v>
      </c>
      <c r="I245" s="4">
        <v>8</v>
      </c>
      <c r="J245" s="4">
        <v>11</v>
      </c>
      <c r="K245" s="5">
        <v>25762.27</v>
      </c>
      <c r="L245" s="5">
        <v>25762.27</v>
      </c>
      <c r="M245" s="5">
        <v>0</v>
      </c>
      <c r="N245" s="4">
        <v>2</v>
      </c>
      <c r="O245" s="5">
        <v>15810.55</v>
      </c>
      <c r="P245" s="5">
        <v>15810.55</v>
      </c>
      <c r="Q245" s="5">
        <v>0</v>
      </c>
      <c r="R245" s="6"/>
    </row>
    <row r="246" spans="1:18" x14ac:dyDescent="0.25">
      <c r="A246" s="36">
        <f t="shared" si="10"/>
        <v>115</v>
      </c>
      <c r="B246" s="3" t="s">
        <v>290</v>
      </c>
      <c r="C246" s="3" t="s">
        <v>62</v>
      </c>
      <c r="D246" s="3"/>
      <c r="E246" s="3" t="s">
        <v>291</v>
      </c>
      <c r="F246" s="3" t="s">
        <v>292</v>
      </c>
      <c r="G246" s="4" t="s">
        <v>85</v>
      </c>
      <c r="H246" s="4">
        <v>23</v>
      </c>
      <c r="I246" s="4">
        <v>17</v>
      </c>
      <c r="J246" s="4">
        <v>20</v>
      </c>
      <c r="K246" s="5">
        <v>2466.8000000000002</v>
      </c>
      <c r="L246" s="5">
        <v>2466.8000000000002</v>
      </c>
      <c r="M246" s="5">
        <v>0</v>
      </c>
      <c r="N246" s="4">
        <v>0</v>
      </c>
      <c r="O246" s="5">
        <v>0</v>
      </c>
      <c r="P246" s="5">
        <v>0</v>
      </c>
      <c r="Q246" s="5">
        <v>0</v>
      </c>
      <c r="R246" s="6"/>
    </row>
    <row r="247" spans="1:18" ht="25.5" x14ac:dyDescent="0.25">
      <c r="A247" s="36">
        <f t="shared" si="10"/>
        <v>116</v>
      </c>
      <c r="B247" s="3" t="s">
        <v>495</v>
      </c>
      <c r="C247" s="3" t="s">
        <v>62</v>
      </c>
      <c r="D247" s="3"/>
      <c r="E247" s="3" t="s">
        <v>313</v>
      </c>
      <c r="F247" s="3" t="s">
        <v>496</v>
      </c>
      <c r="G247" s="4" t="s">
        <v>85</v>
      </c>
      <c r="H247" s="4">
        <v>14</v>
      </c>
      <c r="I247" s="4">
        <v>3</v>
      </c>
      <c r="J247" s="4">
        <v>3</v>
      </c>
      <c r="K247" s="5">
        <v>0</v>
      </c>
      <c r="L247" s="5">
        <v>0</v>
      </c>
      <c r="M247" s="5">
        <v>0</v>
      </c>
      <c r="N247" s="4">
        <v>0</v>
      </c>
      <c r="O247" s="5">
        <v>0</v>
      </c>
      <c r="P247" s="5">
        <v>0</v>
      </c>
      <c r="Q247" s="5">
        <v>0</v>
      </c>
      <c r="R247" s="6"/>
    </row>
    <row r="248" spans="1:18" x14ac:dyDescent="0.25">
      <c r="A248" s="36">
        <f t="shared" si="10"/>
        <v>117</v>
      </c>
      <c r="B248" s="3" t="s">
        <v>134</v>
      </c>
      <c r="C248" s="3" t="s">
        <v>62</v>
      </c>
      <c r="D248" s="3" t="s">
        <v>63</v>
      </c>
      <c r="E248" s="3" t="s">
        <v>74</v>
      </c>
      <c r="F248" s="3" t="s">
        <v>293</v>
      </c>
      <c r="G248" s="4" t="s">
        <v>85</v>
      </c>
      <c r="H248" s="4">
        <v>1</v>
      </c>
      <c r="I248" s="4">
        <v>0</v>
      </c>
      <c r="J248" s="4">
        <v>0</v>
      </c>
      <c r="K248" s="5">
        <v>0</v>
      </c>
      <c r="L248" s="5">
        <v>0</v>
      </c>
      <c r="M248" s="5">
        <v>0</v>
      </c>
      <c r="N248" s="4">
        <v>1</v>
      </c>
      <c r="O248" s="5">
        <v>14690.98</v>
      </c>
      <c r="P248" s="5">
        <v>14690.98</v>
      </c>
      <c r="Q248" s="5">
        <v>0</v>
      </c>
      <c r="R248" s="6"/>
    </row>
    <row r="249" spans="1:18" x14ac:dyDescent="0.25">
      <c r="A249" s="36">
        <f t="shared" si="10"/>
        <v>118</v>
      </c>
      <c r="B249" s="3" t="s">
        <v>127</v>
      </c>
      <c r="C249" s="3" t="s">
        <v>62</v>
      </c>
      <c r="D249" s="3" t="s">
        <v>63</v>
      </c>
      <c r="E249" s="3" t="s">
        <v>74</v>
      </c>
      <c r="F249" s="3" t="s">
        <v>294</v>
      </c>
      <c r="G249" s="4" t="s">
        <v>85</v>
      </c>
      <c r="H249" s="4">
        <v>5</v>
      </c>
      <c r="I249" s="4">
        <v>2</v>
      </c>
      <c r="J249" s="4">
        <v>2</v>
      </c>
      <c r="K249" s="5">
        <v>0</v>
      </c>
      <c r="L249" s="5">
        <v>0</v>
      </c>
      <c r="M249" s="5">
        <v>0</v>
      </c>
      <c r="N249" s="4">
        <v>2</v>
      </c>
      <c r="O249" s="5">
        <v>748.88</v>
      </c>
      <c r="P249" s="5">
        <v>748.88</v>
      </c>
      <c r="Q249" s="5">
        <v>0</v>
      </c>
      <c r="R249" s="6"/>
    </row>
    <row r="250" spans="1:18" ht="25.5" x14ac:dyDescent="0.25">
      <c r="A250" s="36">
        <f t="shared" si="10"/>
        <v>119</v>
      </c>
      <c r="B250" s="3" t="s">
        <v>55</v>
      </c>
      <c r="C250" s="3" t="s">
        <v>64</v>
      </c>
      <c r="D250" s="3" t="s">
        <v>612</v>
      </c>
      <c r="E250" s="3" t="s">
        <v>80</v>
      </c>
      <c r="F250" s="3" t="s">
        <v>295</v>
      </c>
      <c r="G250" s="4" t="s">
        <v>85</v>
      </c>
      <c r="H250" s="4">
        <v>3</v>
      </c>
      <c r="I250" s="4">
        <v>1</v>
      </c>
      <c r="J250" s="4">
        <v>1</v>
      </c>
      <c r="K250" s="5">
        <v>528.6</v>
      </c>
      <c r="L250" s="5">
        <v>528.6</v>
      </c>
      <c r="M250" s="5">
        <v>0</v>
      </c>
      <c r="N250" s="4">
        <v>2</v>
      </c>
      <c r="O250" s="5">
        <v>555.72</v>
      </c>
      <c r="P250" s="5">
        <v>555.72</v>
      </c>
      <c r="Q250" s="5">
        <v>0</v>
      </c>
      <c r="R250" s="6"/>
    </row>
    <row r="251" spans="1:18" x14ac:dyDescent="0.25">
      <c r="A251" s="36">
        <f t="shared" si="10"/>
        <v>120</v>
      </c>
      <c r="B251" s="3" t="s">
        <v>135</v>
      </c>
      <c r="C251" s="3" t="s">
        <v>62</v>
      </c>
      <c r="D251" s="3" t="s">
        <v>63</v>
      </c>
      <c r="E251" s="3" t="s">
        <v>63</v>
      </c>
      <c r="F251" s="3" t="s">
        <v>296</v>
      </c>
      <c r="G251" s="4" t="s">
        <v>85</v>
      </c>
      <c r="H251" s="4">
        <v>5</v>
      </c>
      <c r="I251" s="4">
        <v>0</v>
      </c>
      <c r="J251" s="4">
        <v>0</v>
      </c>
      <c r="K251" s="5">
        <v>0</v>
      </c>
      <c r="L251" s="5">
        <v>0</v>
      </c>
      <c r="M251" s="5">
        <v>0</v>
      </c>
      <c r="N251" s="4">
        <v>8</v>
      </c>
      <c r="O251" s="5">
        <v>18103.64</v>
      </c>
      <c r="P251" s="5">
        <v>16686.990000000002</v>
      </c>
      <c r="Q251" s="5">
        <v>1416.65</v>
      </c>
      <c r="R251" s="6"/>
    </row>
    <row r="252" spans="1:18" x14ac:dyDescent="0.25">
      <c r="A252" s="36">
        <f t="shared" si="10"/>
        <v>121</v>
      </c>
      <c r="B252" s="3" t="s">
        <v>128</v>
      </c>
      <c r="C252" s="3" t="s">
        <v>62</v>
      </c>
      <c r="D252" s="3" t="s">
        <v>63</v>
      </c>
      <c r="E252" s="3" t="s">
        <v>74</v>
      </c>
      <c r="F252" s="3" t="s">
        <v>297</v>
      </c>
      <c r="G252" s="4" t="s">
        <v>85</v>
      </c>
      <c r="H252" s="4">
        <v>2</v>
      </c>
      <c r="I252" s="4">
        <v>2</v>
      </c>
      <c r="J252" s="4">
        <v>2</v>
      </c>
      <c r="K252" s="5">
        <v>0</v>
      </c>
      <c r="L252" s="5">
        <v>0</v>
      </c>
      <c r="M252" s="5">
        <v>0</v>
      </c>
      <c r="N252" s="4">
        <v>1</v>
      </c>
      <c r="O252" s="5">
        <v>264.3</v>
      </c>
      <c r="P252" s="5">
        <v>264.3</v>
      </c>
      <c r="Q252" s="5">
        <v>0</v>
      </c>
      <c r="R252" s="6"/>
    </row>
    <row r="253" spans="1:18" ht="25.5" x14ac:dyDescent="0.25">
      <c r="A253" s="36">
        <f t="shared" si="10"/>
        <v>122</v>
      </c>
      <c r="B253" s="3" t="s">
        <v>508</v>
      </c>
      <c r="C253" s="3" t="s">
        <v>64</v>
      </c>
      <c r="D253" s="3" t="s">
        <v>551</v>
      </c>
      <c r="E253" s="3" t="s">
        <v>282</v>
      </c>
      <c r="F253" s="3" t="s">
        <v>552</v>
      </c>
      <c r="G253" s="4" t="s">
        <v>85</v>
      </c>
      <c r="H253" s="4">
        <v>8</v>
      </c>
      <c r="I253" s="4">
        <v>0</v>
      </c>
      <c r="J253" s="4">
        <v>0</v>
      </c>
      <c r="K253" s="5">
        <v>0</v>
      </c>
      <c r="L253" s="5">
        <v>0</v>
      </c>
      <c r="M253" s="5">
        <v>0</v>
      </c>
      <c r="N253" s="4">
        <v>0</v>
      </c>
      <c r="O253" s="5">
        <v>0</v>
      </c>
      <c r="P253" s="5">
        <v>0</v>
      </c>
      <c r="Q253" s="5">
        <v>0</v>
      </c>
      <c r="R253" s="6"/>
    </row>
    <row r="254" spans="1:18" ht="25.5" x14ac:dyDescent="0.25">
      <c r="A254" s="36">
        <f t="shared" si="10"/>
        <v>123</v>
      </c>
      <c r="B254" s="3" t="s">
        <v>497</v>
      </c>
      <c r="C254" s="3" t="s">
        <v>62</v>
      </c>
      <c r="D254" s="3"/>
      <c r="E254" s="3" t="s">
        <v>313</v>
      </c>
      <c r="F254" s="3" t="s">
        <v>498</v>
      </c>
      <c r="G254" s="4" t="s">
        <v>85</v>
      </c>
      <c r="H254" s="4">
        <v>31</v>
      </c>
      <c r="I254" s="4">
        <v>9</v>
      </c>
      <c r="J254" s="4">
        <v>9</v>
      </c>
      <c r="K254" s="5">
        <v>5588.36</v>
      </c>
      <c r="L254" s="5">
        <v>5588.36</v>
      </c>
      <c r="M254" s="5">
        <v>0</v>
      </c>
      <c r="N254" s="4">
        <v>0</v>
      </c>
      <c r="O254" s="5">
        <v>0</v>
      </c>
      <c r="P254" s="5">
        <v>0</v>
      </c>
      <c r="Q254" s="5">
        <v>0</v>
      </c>
      <c r="R254" s="6"/>
    </row>
    <row r="255" spans="1:18" x14ac:dyDescent="0.25">
      <c r="A255" s="36">
        <f t="shared" si="10"/>
        <v>124</v>
      </c>
      <c r="B255" s="3" t="s">
        <v>56</v>
      </c>
      <c r="C255" s="3" t="s">
        <v>62</v>
      </c>
      <c r="D255" s="3" t="s">
        <v>63</v>
      </c>
      <c r="E255" s="3" t="s">
        <v>83</v>
      </c>
      <c r="F255" s="3" t="s">
        <v>298</v>
      </c>
      <c r="G255" s="4" t="s">
        <v>85</v>
      </c>
      <c r="H255" s="4">
        <v>52</v>
      </c>
      <c r="I255" s="4">
        <v>40</v>
      </c>
      <c r="J255" s="4">
        <v>54</v>
      </c>
      <c r="K255" s="5">
        <v>62018.080000000002</v>
      </c>
      <c r="L255" s="5">
        <v>50469.58</v>
      </c>
      <c r="M255" s="5">
        <v>11548.5</v>
      </c>
      <c r="N255" s="4">
        <v>29</v>
      </c>
      <c r="O255" s="5">
        <v>85217.78</v>
      </c>
      <c r="P255" s="5">
        <v>83636.210000000006</v>
      </c>
      <c r="Q255" s="5">
        <v>1581.57</v>
      </c>
      <c r="R255" s="6"/>
    </row>
    <row r="256" spans="1:18" ht="25.5" x14ac:dyDescent="0.25">
      <c r="A256" s="36">
        <f t="shared" si="10"/>
        <v>125</v>
      </c>
      <c r="B256" s="3" t="s">
        <v>299</v>
      </c>
      <c r="C256" s="3" t="s">
        <v>62</v>
      </c>
      <c r="D256" s="3"/>
      <c r="E256" s="3" t="s">
        <v>174</v>
      </c>
      <c r="F256" s="3" t="s">
        <v>300</v>
      </c>
      <c r="G256" s="4" t="s">
        <v>85</v>
      </c>
      <c r="H256" s="4">
        <v>18</v>
      </c>
      <c r="I256" s="4">
        <v>8</v>
      </c>
      <c r="J256" s="4">
        <v>8</v>
      </c>
      <c r="K256" s="5">
        <v>2924.92</v>
      </c>
      <c r="L256" s="5">
        <v>2924.92</v>
      </c>
      <c r="M256" s="5">
        <v>0</v>
      </c>
      <c r="N256" s="4">
        <v>0</v>
      </c>
      <c r="O256" s="5">
        <v>0</v>
      </c>
      <c r="P256" s="5">
        <v>0</v>
      </c>
      <c r="Q256" s="5">
        <v>0</v>
      </c>
      <c r="R256" s="6"/>
    </row>
    <row r="257" spans="1:18" x14ac:dyDescent="0.25">
      <c r="A257" s="36">
        <f t="shared" si="10"/>
        <v>126</v>
      </c>
      <c r="B257" s="3" t="s">
        <v>156</v>
      </c>
      <c r="C257" s="3" t="s">
        <v>67</v>
      </c>
      <c r="D257" s="3" t="s">
        <v>499</v>
      </c>
      <c r="E257" s="3" t="s">
        <v>74</v>
      </c>
      <c r="F257" s="3" t="s">
        <v>301</v>
      </c>
      <c r="G257" s="4" t="s">
        <v>85</v>
      </c>
      <c r="H257" s="4">
        <v>29</v>
      </c>
      <c r="I257" s="4">
        <v>24</v>
      </c>
      <c r="J257" s="4">
        <v>27</v>
      </c>
      <c r="K257" s="5">
        <v>19255.759999999998</v>
      </c>
      <c r="L257" s="5">
        <v>19255.759999999998</v>
      </c>
      <c r="M257" s="5">
        <v>0</v>
      </c>
      <c r="N257" s="4">
        <v>33</v>
      </c>
      <c r="O257" s="5">
        <v>51164.89</v>
      </c>
      <c r="P257" s="5">
        <v>51164.89</v>
      </c>
      <c r="Q257" s="5">
        <v>0</v>
      </c>
      <c r="R257" s="6"/>
    </row>
    <row r="258" spans="1:18" x14ac:dyDescent="0.25">
      <c r="A258" s="36">
        <f t="shared" si="10"/>
        <v>127</v>
      </c>
      <c r="B258" s="3" t="s">
        <v>302</v>
      </c>
      <c r="C258" s="3" t="s">
        <v>62</v>
      </c>
      <c r="D258" s="3"/>
      <c r="E258" s="3" t="s">
        <v>63</v>
      </c>
      <c r="F258" s="3" t="s">
        <v>303</v>
      </c>
      <c r="G258" s="4" t="s">
        <v>85</v>
      </c>
      <c r="H258" s="4">
        <v>7</v>
      </c>
      <c r="I258" s="4">
        <v>6</v>
      </c>
      <c r="J258" s="4">
        <v>6</v>
      </c>
      <c r="K258" s="5">
        <v>4060.97</v>
      </c>
      <c r="L258" s="5">
        <v>4060.97</v>
      </c>
      <c r="M258" s="5">
        <v>0</v>
      </c>
      <c r="N258" s="4">
        <v>0</v>
      </c>
      <c r="O258" s="5">
        <v>0</v>
      </c>
      <c r="P258" s="5">
        <v>0</v>
      </c>
      <c r="Q258" s="5">
        <v>0</v>
      </c>
      <c r="R258" s="6"/>
    </row>
    <row r="259" spans="1:18" x14ac:dyDescent="0.25">
      <c r="A259" s="36">
        <f t="shared" si="10"/>
        <v>128</v>
      </c>
      <c r="B259" s="3" t="s">
        <v>140</v>
      </c>
      <c r="C259" s="3" t="s">
        <v>62</v>
      </c>
      <c r="D259" s="3" t="s">
        <v>63</v>
      </c>
      <c r="E259" s="3" t="s">
        <v>74</v>
      </c>
      <c r="F259" s="3" t="s">
        <v>304</v>
      </c>
      <c r="G259" s="4" t="s">
        <v>85</v>
      </c>
      <c r="H259" s="4">
        <v>43</v>
      </c>
      <c r="I259" s="4">
        <v>33</v>
      </c>
      <c r="J259" s="4">
        <v>36</v>
      </c>
      <c r="K259" s="5">
        <v>33303.599999999999</v>
      </c>
      <c r="L259" s="5">
        <v>32753</v>
      </c>
      <c r="M259" s="5">
        <v>550.6</v>
      </c>
      <c r="N259" s="4">
        <v>18</v>
      </c>
      <c r="O259" s="5">
        <v>34005.660000000003</v>
      </c>
      <c r="P259" s="5">
        <v>28197.26</v>
      </c>
      <c r="Q259" s="5">
        <v>5808.4</v>
      </c>
      <c r="R259" s="6"/>
    </row>
    <row r="260" spans="1:18" ht="25.5" x14ac:dyDescent="0.25">
      <c r="A260" s="36">
        <f t="shared" si="10"/>
        <v>129</v>
      </c>
      <c r="B260" s="3" t="s">
        <v>305</v>
      </c>
      <c r="C260" s="3" t="s">
        <v>62</v>
      </c>
      <c r="D260" s="3"/>
      <c r="E260" s="3" t="s">
        <v>186</v>
      </c>
      <c r="F260" s="3" t="s">
        <v>513</v>
      </c>
      <c r="G260" s="4" t="s">
        <v>85</v>
      </c>
      <c r="H260" s="4">
        <v>10</v>
      </c>
      <c r="I260" s="4">
        <v>7</v>
      </c>
      <c r="J260" s="4">
        <v>8</v>
      </c>
      <c r="K260" s="5">
        <v>0</v>
      </c>
      <c r="L260" s="5">
        <v>0</v>
      </c>
      <c r="M260" s="5">
        <v>0</v>
      </c>
      <c r="N260" s="4">
        <v>0</v>
      </c>
      <c r="O260" s="5">
        <v>0</v>
      </c>
      <c r="P260" s="5">
        <v>0</v>
      </c>
      <c r="Q260" s="5">
        <v>0</v>
      </c>
      <c r="R260" s="6"/>
    </row>
    <row r="261" spans="1:18" x14ac:dyDescent="0.25">
      <c r="A261" s="36">
        <f t="shared" si="10"/>
        <v>130</v>
      </c>
      <c r="B261" s="3" t="s">
        <v>471</v>
      </c>
      <c r="C261" s="3" t="s">
        <v>64</v>
      </c>
      <c r="D261" s="3" t="s">
        <v>65</v>
      </c>
      <c r="E261" s="3" t="s">
        <v>74</v>
      </c>
      <c r="F261" s="3" t="s">
        <v>472</v>
      </c>
      <c r="G261" s="4" t="s">
        <v>85</v>
      </c>
      <c r="H261" s="4">
        <v>0</v>
      </c>
      <c r="I261" s="4">
        <v>0</v>
      </c>
      <c r="J261" s="4">
        <v>0</v>
      </c>
      <c r="K261" s="5">
        <v>0</v>
      </c>
      <c r="L261" s="5">
        <v>0</v>
      </c>
      <c r="M261" s="5">
        <v>0</v>
      </c>
      <c r="N261" s="4">
        <v>1</v>
      </c>
      <c r="O261" s="5">
        <v>0</v>
      </c>
      <c r="P261" s="5">
        <v>0</v>
      </c>
      <c r="Q261" s="5">
        <v>0</v>
      </c>
      <c r="R261" s="6"/>
    </row>
    <row r="262" spans="1:18" ht="38.25" x14ac:dyDescent="0.25">
      <c r="A262" s="36">
        <f t="shared" ref="A262:A276" si="11">A261+1</f>
        <v>131</v>
      </c>
      <c r="B262" s="3" t="s">
        <v>57</v>
      </c>
      <c r="C262" s="3" t="s">
        <v>62</v>
      </c>
      <c r="D262" s="3" t="s">
        <v>63</v>
      </c>
      <c r="E262" s="3" t="s">
        <v>244</v>
      </c>
      <c r="F262" s="3" t="s">
        <v>306</v>
      </c>
      <c r="G262" s="4" t="s">
        <v>85</v>
      </c>
      <c r="H262" s="4">
        <v>18</v>
      </c>
      <c r="I262" s="4">
        <v>8</v>
      </c>
      <c r="J262" s="4">
        <v>9</v>
      </c>
      <c r="K262" s="5">
        <v>10382.219999999999</v>
      </c>
      <c r="L262" s="5">
        <v>10382.219999999999</v>
      </c>
      <c r="M262" s="5">
        <v>0</v>
      </c>
      <c r="N262" s="4">
        <v>14</v>
      </c>
      <c r="O262" s="5">
        <v>68644.460000000006</v>
      </c>
      <c r="P262" s="5">
        <v>39538.47</v>
      </c>
      <c r="Q262" s="5">
        <v>29105.99</v>
      </c>
      <c r="R262" s="6"/>
    </row>
    <row r="263" spans="1:18" x14ac:dyDescent="0.25">
      <c r="A263" s="36">
        <f t="shared" si="11"/>
        <v>132</v>
      </c>
      <c r="B263" s="3" t="s">
        <v>473</v>
      </c>
      <c r="C263" s="3" t="s">
        <v>62</v>
      </c>
      <c r="D263" s="3"/>
      <c r="E263" s="3" t="s">
        <v>63</v>
      </c>
      <c r="F263" s="3" t="s">
        <v>500</v>
      </c>
      <c r="G263" s="4" t="s">
        <v>85</v>
      </c>
      <c r="H263" s="4">
        <v>10</v>
      </c>
      <c r="I263" s="4">
        <v>2</v>
      </c>
      <c r="J263" s="4">
        <v>3</v>
      </c>
      <c r="K263" s="5">
        <v>0</v>
      </c>
      <c r="L263" s="5">
        <v>0</v>
      </c>
      <c r="M263" s="5">
        <v>0</v>
      </c>
      <c r="N263" s="4">
        <v>3</v>
      </c>
      <c r="O263" s="5">
        <v>17280.25</v>
      </c>
      <c r="P263" s="5">
        <v>17280.25</v>
      </c>
      <c r="Q263" s="5">
        <v>0</v>
      </c>
      <c r="R263" s="6"/>
    </row>
    <row r="264" spans="1:18" x14ac:dyDescent="0.25">
      <c r="A264" s="36">
        <f t="shared" si="11"/>
        <v>133</v>
      </c>
      <c r="B264" s="3" t="s">
        <v>129</v>
      </c>
      <c r="C264" s="3" t="s">
        <v>62</v>
      </c>
      <c r="D264" s="3" t="s">
        <v>63</v>
      </c>
      <c r="E264" s="3" t="s">
        <v>74</v>
      </c>
      <c r="F264" s="3" t="s">
        <v>307</v>
      </c>
      <c r="G264" s="4" t="s">
        <v>85</v>
      </c>
      <c r="H264" s="4">
        <v>0</v>
      </c>
      <c r="I264" s="4">
        <v>0</v>
      </c>
      <c r="J264" s="4">
        <v>0</v>
      </c>
      <c r="K264" s="5">
        <v>0</v>
      </c>
      <c r="L264" s="5">
        <v>0</v>
      </c>
      <c r="M264" s="5">
        <v>0</v>
      </c>
      <c r="N264" s="4">
        <v>2</v>
      </c>
      <c r="O264" s="5">
        <v>2390.4699999999998</v>
      </c>
      <c r="P264" s="5">
        <v>2390.4699999999998</v>
      </c>
      <c r="Q264" s="5">
        <v>0</v>
      </c>
      <c r="R264" s="6"/>
    </row>
    <row r="265" spans="1:18" ht="25.5" x14ac:dyDescent="0.25">
      <c r="A265" s="36">
        <f t="shared" si="11"/>
        <v>134</v>
      </c>
      <c r="B265" s="3" t="s">
        <v>58</v>
      </c>
      <c r="C265" s="3" t="s">
        <v>62</v>
      </c>
      <c r="D265" s="3" t="s">
        <v>63</v>
      </c>
      <c r="E265" s="3" t="s">
        <v>84</v>
      </c>
      <c r="F265" s="3" t="s">
        <v>308</v>
      </c>
      <c r="G265" s="4" t="s">
        <v>85</v>
      </c>
      <c r="H265" s="4">
        <v>128</v>
      </c>
      <c r="I265" s="4">
        <v>109</v>
      </c>
      <c r="J265" s="4">
        <v>124</v>
      </c>
      <c r="K265" s="5">
        <v>111969.59</v>
      </c>
      <c r="L265" s="5">
        <v>76438.899999999994</v>
      </c>
      <c r="M265" s="5">
        <v>35530.69</v>
      </c>
      <c r="N265" s="4">
        <v>55</v>
      </c>
      <c r="O265" s="5">
        <v>155989.18</v>
      </c>
      <c r="P265" s="5">
        <f>130601.99-2475.07</f>
        <v>128126.92</v>
      </c>
      <c r="Q265" s="5">
        <f>25387.19+2475.07</f>
        <v>27862.26</v>
      </c>
      <c r="R265" s="6"/>
    </row>
    <row r="266" spans="1:18" ht="25.5" x14ac:dyDescent="0.25">
      <c r="A266" s="36">
        <f t="shared" si="11"/>
        <v>135</v>
      </c>
      <c r="B266" s="3" t="s">
        <v>59</v>
      </c>
      <c r="C266" s="3" t="s">
        <v>64</v>
      </c>
      <c r="D266" s="3" t="s">
        <v>612</v>
      </c>
      <c r="E266" s="3" t="s">
        <v>80</v>
      </c>
      <c r="F266" s="3" t="s">
        <v>309</v>
      </c>
      <c r="G266" s="4" t="s">
        <v>85</v>
      </c>
      <c r="H266" s="4">
        <v>32</v>
      </c>
      <c r="I266" s="4">
        <v>25</v>
      </c>
      <c r="J266" s="4">
        <v>31</v>
      </c>
      <c r="K266" s="5">
        <v>26899.22</v>
      </c>
      <c r="L266" s="5">
        <v>26899.22</v>
      </c>
      <c r="M266" s="5">
        <v>0</v>
      </c>
      <c r="N266" s="4">
        <v>24</v>
      </c>
      <c r="O266" s="5">
        <v>60246.84</v>
      </c>
      <c r="P266" s="5">
        <v>60246.84</v>
      </c>
      <c r="Q266" s="5">
        <v>0</v>
      </c>
      <c r="R266" s="6"/>
    </row>
    <row r="267" spans="1:18" x14ac:dyDescent="0.25">
      <c r="A267" s="36">
        <f t="shared" si="11"/>
        <v>136</v>
      </c>
      <c r="B267" s="3" t="s">
        <v>130</v>
      </c>
      <c r="C267" s="3" t="s">
        <v>62</v>
      </c>
      <c r="D267" s="3" t="s">
        <v>63</v>
      </c>
      <c r="E267" s="3" t="s">
        <v>74</v>
      </c>
      <c r="F267" s="3" t="s">
        <v>553</v>
      </c>
      <c r="G267" s="4" t="s">
        <v>85</v>
      </c>
      <c r="H267" s="4">
        <v>2</v>
      </c>
      <c r="I267" s="4">
        <v>1</v>
      </c>
      <c r="J267" s="4">
        <v>1</v>
      </c>
      <c r="K267" s="5">
        <v>299.54000000000002</v>
      </c>
      <c r="L267" s="5">
        <v>299.54000000000002</v>
      </c>
      <c r="M267" s="5">
        <v>0</v>
      </c>
      <c r="N267" s="4">
        <v>2</v>
      </c>
      <c r="O267" s="5">
        <v>1374.36</v>
      </c>
      <c r="P267" s="5">
        <v>1374.36</v>
      </c>
      <c r="Q267" s="5">
        <v>0</v>
      </c>
      <c r="R267" s="6"/>
    </row>
    <row r="268" spans="1:18" x14ac:dyDescent="0.25">
      <c r="A268" s="36">
        <f t="shared" si="11"/>
        <v>137</v>
      </c>
      <c r="B268" s="3" t="s">
        <v>97</v>
      </c>
      <c r="C268" s="3" t="s">
        <v>62</v>
      </c>
      <c r="D268" s="3" t="s">
        <v>63</v>
      </c>
      <c r="E268" s="3" t="s">
        <v>74</v>
      </c>
      <c r="F268" s="3" t="s">
        <v>310</v>
      </c>
      <c r="G268" s="4" t="s">
        <v>85</v>
      </c>
      <c r="H268" s="4">
        <v>6</v>
      </c>
      <c r="I268" s="4">
        <v>2</v>
      </c>
      <c r="J268" s="4">
        <v>2</v>
      </c>
      <c r="K268" s="5">
        <v>687.18</v>
      </c>
      <c r="L268" s="5">
        <v>687.18</v>
      </c>
      <c r="M268" s="5">
        <v>0</v>
      </c>
      <c r="N268" s="4">
        <v>1</v>
      </c>
      <c r="O268" s="5">
        <v>808.76</v>
      </c>
      <c r="P268" s="5">
        <v>808.76</v>
      </c>
      <c r="Q268" s="5">
        <v>0</v>
      </c>
      <c r="R268" s="6"/>
    </row>
    <row r="269" spans="1:18" ht="25.5" x14ac:dyDescent="0.25">
      <c r="A269" s="36">
        <f t="shared" si="11"/>
        <v>138</v>
      </c>
      <c r="B269" s="3" t="s">
        <v>514</v>
      </c>
      <c r="C269" s="3" t="s">
        <v>62</v>
      </c>
      <c r="D269" s="3"/>
      <c r="E269" s="3" t="s">
        <v>223</v>
      </c>
      <c r="F269" s="3" t="s">
        <v>515</v>
      </c>
      <c r="G269" s="4" t="s">
        <v>85</v>
      </c>
      <c r="H269" s="4">
        <v>11</v>
      </c>
      <c r="I269" s="4">
        <v>0</v>
      </c>
      <c r="J269" s="4">
        <v>0</v>
      </c>
      <c r="K269" s="5">
        <v>0</v>
      </c>
      <c r="L269" s="5">
        <v>0</v>
      </c>
      <c r="M269" s="5">
        <v>0</v>
      </c>
      <c r="N269" s="4">
        <v>0</v>
      </c>
      <c r="O269" s="5">
        <v>0</v>
      </c>
      <c r="P269" s="5">
        <v>0</v>
      </c>
      <c r="Q269" s="5">
        <v>0</v>
      </c>
      <c r="R269" s="6"/>
    </row>
    <row r="270" spans="1:18" x14ac:dyDescent="0.25">
      <c r="A270" s="36">
        <f t="shared" si="11"/>
        <v>139</v>
      </c>
      <c r="B270" s="3" t="s">
        <v>132</v>
      </c>
      <c r="C270" s="3" t="s">
        <v>62</v>
      </c>
      <c r="D270" s="3" t="s">
        <v>63</v>
      </c>
      <c r="E270" s="3" t="s">
        <v>74</v>
      </c>
      <c r="F270" s="3" t="s">
        <v>311</v>
      </c>
      <c r="G270" s="4" t="s">
        <v>85</v>
      </c>
      <c r="H270" s="4">
        <v>15</v>
      </c>
      <c r="I270" s="4">
        <v>6</v>
      </c>
      <c r="J270" s="4">
        <v>7</v>
      </c>
      <c r="K270" s="5">
        <v>422.88</v>
      </c>
      <c r="L270" s="5">
        <v>422.88</v>
      </c>
      <c r="M270" s="5">
        <v>0</v>
      </c>
      <c r="N270" s="4">
        <v>6</v>
      </c>
      <c r="O270" s="5">
        <v>5554.71</v>
      </c>
      <c r="P270" s="5">
        <v>5554.71</v>
      </c>
      <c r="Q270" s="5">
        <v>0</v>
      </c>
      <c r="R270" s="6"/>
    </row>
    <row r="271" spans="1:18" ht="25.5" x14ac:dyDescent="0.25">
      <c r="A271" s="36">
        <f t="shared" si="11"/>
        <v>140</v>
      </c>
      <c r="B271" s="3" t="s">
        <v>312</v>
      </c>
      <c r="C271" s="3" t="s">
        <v>62</v>
      </c>
      <c r="D271" s="3"/>
      <c r="E271" s="3" t="s">
        <v>313</v>
      </c>
      <c r="F271" s="3" t="s">
        <v>314</v>
      </c>
      <c r="G271" s="4" t="s">
        <v>85</v>
      </c>
      <c r="H271" s="4">
        <v>28</v>
      </c>
      <c r="I271" s="4">
        <v>1</v>
      </c>
      <c r="J271" s="4">
        <v>1</v>
      </c>
      <c r="K271" s="5">
        <v>0</v>
      </c>
      <c r="L271" s="5">
        <v>0</v>
      </c>
      <c r="M271" s="5">
        <v>0</v>
      </c>
      <c r="N271" s="4">
        <v>0</v>
      </c>
      <c r="O271" s="5">
        <v>0</v>
      </c>
      <c r="P271" s="5">
        <v>0</v>
      </c>
      <c r="Q271" s="5">
        <v>0</v>
      </c>
      <c r="R271" s="6"/>
    </row>
    <row r="272" spans="1:18" x14ac:dyDescent="0.25">
      <c r="A272" s="36">
        <f t="shared" si="11"/>
        <v>141</v>
      </c>
      <c r="B272" s="3" t="s">
        <v>315</v>
      </c>
      <c r="C272" s="3" t="s">
        <v>62</v>
      </c>
      <c r="D272" s="3" t="s">
        <v>63</v>
      </c>
      <c r="E272" s="3" t="s">
        <v>74</v>
      </c>
      <c r="F272" s="3" t="s">
        <v>316</v>
      </c>
      <c r="G272" s="4" t="s">
        <v>85</v>
      </c>
      <c r="H272" s="4">
        <v>14</v>
      </c>
      <c r="I272" s="4">
        <v>5</v>
      </c>
      <c r="J272" s="4">
        <v>6</v>
      </c>
      <c r="K272" s="5">
        <v>7088.53</v>
      </c>
      <c r="L272" s="5">
        <v>7088.53</v>
      </c>
      <c r="M272" s="5">
        <v>0</v>
      </c>
      <c r="N272" s="4">
        <v>2</v>
      </c>
      <c r="O272" s="5">
        <v>2596.64</v>
      </c>
      <c r="P272" s="5">
        <v>2596.64</v>
      </c>
      <c r="Q272" s="5">
        <v>0</v>
      </c>
      <c r="R272" s="6"/>
    </row>
    <row r="273" spans="1:18" x14ac:dyDescent="0.25">
      <c r="A273" s="36">
        <f t="shared" si="11"/>
        <v>142</v>
      </c>
      <c r="B273" s="3" t="s">
        <v>317</v>
      </c>
      <c r="C273" s="3" t="s">
        <v>62</v>
      </c>
      <c r="D273" s="3"/>
      <c r="E273" s="3" t="s">
        <v>158</v>
      </c>
      <c r="F273" s="3" t="s">
        <v>474</v>
      </c>
      <c r="G273" s="4" t="s">
        <v>85</v>
      </c>
      <c r="H273" s="4">
        <v>6</v>
      </c>
      <c r="I273" s="4">
        <v>0</v>
      </c>
      <c r="J273" s="4">
        <v>0</v>
      </c>
      <c r="K273" s="5">
        <v>0</v>
      </c>
      <c r="L273" s="5">
        <v>0</v>
      </c>
      <c r="M273" s="5">
        <v>0</v>
      </c>
      <c r="N273" s="4">
        <v>0</v>
      </c>
      <c r="O273" s="5">
        <v>0</v>
      </c>
      <c r="P273" s="5">
        <v>0</v>
      </c>
      <c r="Q273" s="5">
        <v>0</v>
      </c>
      <c r="R273" s="6"/>
    </row>
    <row r="274" spans="1:18" ht="25.5" x14ac:dyDescent="0.25">
      <c r="A274" s="36">
        <f t="shared" si="11"/>
        <v>143</v>
      </c>
      <c r="B274" s="3" t="s">
        <v>318</v>
      </c>
      <c r="C274" s="3" t="s">
        <v>62</v>
      </c>
      <c r="D274" s="3"/>
      <c r="E274" s="3" t="s">
        <v>174</v>
      </c>
      <c r="F274" s="3" t="s">
        <v>319</v>
      </c>
      <c r="G274" s="4" t="s">
        <v>85</v>
      </c>
      <c r="H274" s="4">
        <v>17</v>
      </c>
      <c r="I274" s="4">
        <v>13</v>
      </c>
      <c r="J274" s="4">
        <v>15</v>
      </c>
      <c r="K274" s="5">
        <v>6466.84</v>
      </c>
      <c r="L274" s="5">
        <v>6466.84</v>
      </c>
      <c r="M274" s="5">
        <v>0</v>
      </c>
      <c r="N274" s="4">
        <v>0</v>
      </c>
      <c r="O274" s="5">
        <v>0</v>
      </c>
      <c r="P274" s="5">
        <v>0</v>
      </c>
      <c r="Q274" s="5">
        <v>0</v>
      </c>
      <c r="R274" s="6"/>
    </row>
    <row r="275" spans="1:18" x14ac:dyDescent="0.25">
      <c r="A275" s="36">
        <f t="shared" si="11"/>
        <v>144</v>
      </c>
      <c r="B275" s="3" t="s">
        <v>60</v>
      </c>
      <c r="C275" s="3" t="s">
        <v>67</v>
      </c>
      <c r="D275" s="3" t="s">
        <v>68</v>
      </c>
      <c r="E275" s="3" t="s">
        <v>74</v>
      </c>
      <c r="F275" s="3" t="s">
        <v>320</v>
      </c>
      <c r="G275" s="4" t="s">
        <v>85</v>
      </c>
      <c r="H275" s="4">
        <v>47</v>
      </c>
      <c r="I275" s="4">
        <v>38</v>
      </c>
      <c r="J275" s="4">
        <v>57</v>
      </c>
      <c r="K275" s="5">
        <v>90670.16</v>
      </c>
      <c r="L275" s="5">
        <v>79197.17</v>
      </c>
      <c r="M275" s="5">
        <v>11472.99</v>
      </c>
      <c r="N275" s="4">
        <v>35</v>
      </c>
      <c r="O275" s="5">
        <v>71818.070000000007</v>
      </c>
      <c r="P275" s="5">
        <v>53586.82</v>
      </c>
      <c r="Q275" s="5">
        <v>18231.25</v>
      </c>
      <c r="R275" s="6"/>
    </row>
    <row r="276" spans="1:18" x14ac:dyDescent="0.25">
      <c r="A276" s="36">
        <f t="shared" si="11"/>
        <v>145</v>
      </c>
      <c r="B276" s="3" t="s">
        <v>61</v>
      </c>
      <c r="C276" s="3" t="s">
        <v>67</v>
      </c>
      <c r="D276" s="3" t="s">
        <v>69</v>
      </c>
      <c r="E276" s="3" t="s">
        <v>74</v>
      </c>
      <c r="F276" s="3" t="s">
        <v>321</v>
      </c>
      <c r="G276" s="4" t="s">
        <v>85</v>
      </c>
      <c r="H276" s="4">
        <v>6</v>
      </c>
      <c r="I276" s="4">
        <v>3</v>
      </c>
      <c r="J276" s="4">
        <v>3</v>
      </c>
      <c r="K276" s="5">
        <v>9051.74</v>
      </c>
      <c r="L276" s="5">
        <v>9051.74</v>
      </c>
      <c r="M276" s="5">
        <v>0</v>
      </c>
      <c r="N276" s="4">
        <v>7</v>
      </c>
      <c r="O276" s="5">
        <v>7602.26</v>
      </c>
      <c r="P276" s="5">
        <v>7602.26</v>
      </c>
      <c r="Q276" s="5">
        <v>0</v>
      </c>
      <c r="R276" s="6"/>
    </row>
  </sheetData>
  <autoFilter ref="A8:Q8"/>
  <mergeCells count="8">
    <mergeCell ref="B7:G7"/>
    <mergeCell ref="H7:M7"/>
    <mergeCell ref="N7:Q7"/>
    <mergeCell ref="O1:Q1"/>
    <mergeCell ref="A3:Q3"/>
    <mergeCell ref="A4:Q4"/>
    <mergeCell ref="A5:Q5"/>
    <mergeCell ref="A6:Q6"/>
  </mergeCells>
  <pageMargins left="0.31496062992125984" right="0.31496062992125984" top="0.55118110236220474" bottom="0.55118110236220474" header="0" footer="0"/>
  <pageSetup paperSize="9" scale="18" fitToWidth="2" orientation="landscape" horizontalDpi="300" verticalDpi="300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272"/>
  <sheetViews>
    <sheetView topLeftCell="C1" workbookViewId="0">
      <selection activeCell="A3" sqref="A3:Q3"/>
    </sheetView>
  </sheetViews>
  <sheetFormatPr defaultRowHeight="15" customHeight="1" x14ac:dyDescent="0.25"/>
  <cols>
    <col min="1" max="1" width="7.42578125" bestFit="1" customWidth="1"/>
    <col min="2" max="2" width="36.28515625" customWidth="1"/>
    <col min="3" max="3" width="11.28515625" customWidth="1"/>
    <col min="4" max="4" width="26.28515625" customWidth="1"/>
    <col min="5" max="5" width="15.7109375" customWidth="1"/>
    <col min="6" max="8" width="19.28515625" customWidth="1"/>
    <col min="9" max="9" width="11.85546875" customWidth="1"/>
    <col min="10" max="10" width="13.140625" customWidth="1"/>
    <col min="11" max="11" width="14.5703125" customWidth="1"/>
    <col min="12" max="12" width="13.42578125" customWidth="1"/>
    <col min="13" max="13" width="13.5703125" customWidth="1"/>
    <col min="14" max="14" width="13.28515625" customWidth="1"/>
    <col min="15" max="15" width="14.42578125" customWidth="1"/>
    <col min="16" max="17" width="13.42578125" customWidth="1"/>
  </cols>
  <sheetData>
    <row r="1" spans="1:18" x14ac:dyDescent="0.25">
      <c r="A1" s="133"/>
      <c r="B1" s="133"/>
      <c r="C1" s="133"/>
      <c r="D1" s="133"/>
      <c r="E1" s="133"/>
      <c r="F1" s="133"/>
      <c r="G1" s="133"/>
      <c r="H1" s="133"/>
      <c r="I1" s="133"/>
      <c r="J1" s="133"/>
      <c r="K1" s="7"/>
      <c r="L1" s="7"/>
      <c r="M1" s="7"/>
      <c r="N1" s="133"/>
      <c r="O1" s="620" t="s">
        <v>15</v>
      </c>
      <c r="P1" s="620"/>
      <c r="Q1" s="620"/>
      <c r="R1" s="6"/>
    </row>
    <row r="2" spans="1:18" x14ac:dyDescent="0.25">
      <c r="A2" s="133"/>
      <c r="B2" s="133"/>
      <c r="C2" s="133"/>
      <c r="D2" s="133"/>
      <c r="E2" s="133"/>
      <c r="F2" s="133"/>
      <c r="G2" s="133"/>
      <c r="H2" s="133"/>
      <c r="I2" s="133"/>
      <c r="J2" s="133"/>
      <c r="K2" s="7"/>
      <c r="L2" s="7"/>
      <c r="M2" s="7"/>
      <c r="N2" s="133"/>
      <c r="O2" s="7"/>
      <c r="P2" s="7"/>
      <c r="Q2" s="7"/>
      <c r="R2" s="6"/>
    </row>
    <row r="3" spans="1:18" x14ac:dyDescent="0.25">
      <c r="A3" s="621" t="s">
        <v>323</v>
      </c>
      <c r="B3" s="621"/>
      <c r="C3" s="621"/>
      <c r="D3" s="621"/>
      <c r="E3" s="621"/>
      <c r="F3" s="621"/>
      <c r="G3" s="621"/>
      <c r="H3" s="621"/>
      <c r="I3" s="621"/>
      <c r="J3" s="621"/>
      <c r="K3" s="621"/>
      <c r="L3" s="621"/>
      <c r="M3" s="621"/>
      <c r="N3" s="621"/>
      <c r="O3" s="621"/>
      <c r="P3" s="621"/>
      <c r="Q3" s="621"/>
      <c r="R3" s="6"/>
    </row>
    <row r="4" spans="1:18" ht="18.75" x14ac:dyDescent="0.25">
      <c r="A4" s="622" t="s">
        <v>16</v>
      </c>
      <c r="B4" s="622"/>
      <c r="C4" s="622"/>
      <c r="D4" s="622"/>
      <c r="E4" s="622"/>
      <c r="F4" s="622"/>
      <c r="G4" s="622"/>
      <c r="H4" s="622"/>
      <c r="I4" s="622"/>
      <c r="J4" s="622"/>
      <c r="K4" s="622"/>
      <c r="L4" s="622"/>
      <c r="M4" s="622"/>
      <c r="N4" s="622"/>
      <c r="O4" s="622"/>
      <c r="P4" s="622"/>
      <c r="Q4" s="622"/>
      <c r="R4" s="6"/>
    </row>
    <row r="5" spans="1:18" x14ac:dyDescent="0.25">
      <c r="A5" s="623" t="s">
        <v>14</v>
      </c>
      <c r="B5" s="623"/>
      <c r="C5" s="623"/>
      <c r="D5" s="623"/>
      <c r="E5" s="623"/>
      <c r="F5" s="623"/>
      <c r="G5" s="623"/>
      <c r="H5" s="623"/>
      <c r="I5" s="623"/>
      <c r="J5" s="623"/>
      <c r="K5" s="623"/>
      <c r="L5" s="623"/>
      <c r="M5" s="623"/>
      <c r="N5" s="623"/>
      <c r="O5" s="623"/>
      <c r="P5" s="623"/>
      <c r="Q5" s="623"/>
      <c r="R5" s="6"/>
    </row>
    <row r="6" spans="1:18" ht="21" x14ac:dyDescent="0.25">
      <c r="A6" s="624" t="s">
        <v>17</v>
      </c>
      <c r="B6" s="624"/>
      <c r="C6" s="624"/>
      <c r="D6" s="624"/>
      <c r="E6" s="624"/>
      <c r="F6" s="624"/>
      <c r="G6" s="624"/>
      <c r="H6" s="624"/>
      <c r="I6" s="624"/>
      <c r="J6" s="624"/>
      <c r="K6" s="624"/>
      <c r="L6" s="624"/>
      <c r="M6" s="624"/>
      <c r="N6" s="624"/>
      <c r="O6" s="624"/>
      <c r="P6" s="624"/>
      <c r="Q6" s="624"/>
      <c r="R6" s="6"/>
    </row>
    <row r="7" spans="1:18" x14ac:dyDescent="0.25">
      <c r="A7" s="9" t="s">
        <v>0</v>
      </c>
      <c r="B7" s="617" t="s">
        <v>10</v>
      </c>
      <c r="C7" s="618"/>
      <c r="D7" s="618"/>
      <c r="E7" s="618"/>
      <c r="F7" s="618"/>
      <c r="G7" s="619"/>
      <c r="H7" s="617" t="s">
        <v>322</v>
      </c>
      <c r="I7" s="618"/>
      <c r="J7" s="618"/>
      <c r="K7" s="618"/>
      <c r="L7" s="618"/>
      <c r="M7" s="618"/>
      <c r="N7" s="617" t="s">
        <v>324</v>
      </c>
      <c r="O7" s="618"/>
      <c r="P7" s="618"/>
      <c r="Q7" s="619"/>
      <c r="R7" s="6"/>
    </row>
    <row r="8" spans="1:18" ht="102" x14ac:dyDescent="0.25">
      <c r="A8" s="10"/>
      <c r="B8" s="11" t="s">
        <v>4</v>
      </c>
      <c r="C8" s="11" t="s">
        <v>1</v>
      </c>
      <c r="D8" s="11" t="s">
        <v>3</v>
      </c>
      <c r="E8" s="11" t="s">
        <v>2</v>
      </c>
      <c r="F8" s="11" t="s">
        <v>6</v>
      </c>
      <c r="G8" s="11" t="s">
        <v>5</v>
      </c>
      <c r="H8" s="12" t="s">
        <v>7</v>
      </c>
      <c r="I8" s="13" t="s">
        <v>8</v>
      </c>
      <c r="J8" s="13" t="s">
        <v>9</v>
      </c>
      <c r="K8" s="14" t="s">
        <v>11</v>
      </c>
      <c r="L8" s="14" t="s">
        <v>12</v>
      </c>
      <c r="M8" s="14" t="s">
        <v>13</v>
      </c>
      <c r="N8" s="13" t="s">
        <v>9</v>
      </c>
      <c r="O8" s="14" t="s">
        <v>11</v>
      </c>
      <c r="P8" s="14" t="s">
        <v>12</v>
      </c>
      <c r="Q8" s="15" t="s">
        <v>13</v>
      </c>
      <c r="R8" s="6"/>
    </row>
    <row r="9" spans="1:18" ht="15" customHeight="1" x14ac:dyDescent="0.25">
      <c r="A9" s="171">
        <v>1</v>
      </c>
      <c r="B9" s="172" t="s">
        <v>146</v>
      </c>
      <c r="C9" s="173" t="s">
        <v>62</v>
      </c>
      <c r="D9" s="173"/>
      <c r="E9" s="173" t="s">
        <v>74</v>
      </c>
      <c r="F9" s="172" t="s">
        <v>325</v>
      </c>
      <c r="G9" s="174" t="s">
        <v>326</v>
      </c>
      <c r="H9" s="174">
        <v>12</v>
      </c>
      <c r="I9" s="174">
        <v>3</v>
      </c>
      <c r="J9" s="174">
        <v>3</v>
      </c>
      <c r="K9" s="175">
        <f>2643+2466.8</f>
        <v>5109.8</v>
      </c>
      <c r="L9" s="175">
        <f>5109.8</f>
        <v>5109.8</v>
      </c>
      <c r="M9" s="175">
        <f>K9-L9</f>
        <v>0</v>
      </c>
      <c r="N9" s="176">
        <v>6</v>
      </c>
      <c r="O9" s="175">
        <v>5374.1</v>
      </c>
      <c r="P9" s="177">
        <f>2378.7+2995.4</f>
        <v>5374.1</v>
      </c>
      <c r="Q9" s="177">
        <f>O9-P9</f>
        <v>0</v>
      </c>
    </row>
    <row r="10" spans="1:18" ht="15" customHeight="1" x14ac:dyDescent="0.25">
      <c r="A10" s="171">
        <v>2</v>
      </c>
      <c r="B10" s="172" t="s">
        <v>166</v>
      </c>
      <c r="C10" s="173" t="s">
        <v>62</v>
      </c>
      <c r="D10" s="173"/>
      <c r="E10" s="173" t="s">
        <v>158</v>
      </c>
      <c r="F10" s="172" t="s">
        <v>327</v>
      </c>
      <c r="G10" s="172" t="s">
        <v>326</v>
      </c>
      <c r="H10" s="174">
        <v>3</v>
      </c>
      <c r="I10" s="174">
        <v>2</v>
      </c>
      <c r="J10" s="174">
        <v>2</v>
      </c>
      <c r="K10" s="175">
        <f>1233.4+4228.8</f>
        <v>5462.2000000000007</v>
      </c>
      <c r="L10" s="175">
        <f>73.95+1159.45</f>
        <v>1233.4000000000001</v>
      </c>
      <c r="M10" s="175">
        <f>K10-L10</f>
        <v>4228.8000000000011</v>
      </c>
      <c r="N10" s="176">
        <v>0</v>
      </c>
      <c r="O10" s="175">
        <v>0</v>
      </c>
      <c r="P10" s="177">
        <v>0</v>
      </c>
      <c r="Q10" s="177">
        <f>O10-P10</f>
        <v>0</v>
      </c>
    </row>
    <row r="11" spans="1:18" ht="15" customHeight="1" x14ac:dyDescent="0.25">
      <c r="A11" s="171">
        <v>3</v>
      </c>
      <c r="B11" s="172" t="s">
        <v>173</v>
      </c>
      <c r="C11" s="173" t="s">
        <v>67</v>
      </c>
      <c r="D11" s="173" t="s">
        <v>328</v>
      </c>
      <c r="E11" s="173" t="s">
        <v>158</v>
      </c>
      <c r="F11" s="172" t="s">
        <v>329</v>
      </c>
      <c r="G11" s="172" t="s">
        <v>326</v>
      </c>
      <c r="H11" s="174">
        <v>6</v>
      </c>
      <c r="I11" s="174">
        <v>1</v>
      </c>
      <c r="J11" s="174">
        <v>1</v>
      </c>
      <c r="K11" s="175">
        <f>704.8</f>
        <v>704.8</v>
      </c>
      <c r="L11" s="175">
        <f>704.8</f>
        <v>704.8</v>
      </c>
      <c r="M11" s="175">
        <f>K11-L11</f>
        <v>0</v>
      </c>
      <c r="N11" s="176">
        <v>0</v>
      </c>
      <c r="O11" s="175">
        <v>0</v>
      </c>
      <c r="P11" s="177">
        <v>0</v>
      </c>
      <c r="Q11" s="177">
        <f>O11-P11</f>
        <v>0</v>
      </c>
    </row>
    <row r="12" spans="1:18" ht="15" customHeight="1" x14ac:dyDescent="0.25">
      <c r="A12" s="171">
        <v>4</v>
      </c>
      <c r="B12" s="172" t="s">
        <v>330</v>
      </c>
      <c r="C12" s="173" t="s">
        <v>62</v>
      </c>
      <c r="D12" s="173"/>
      <c r="E12" s="173" t="s">
        <v>158</v>
      </c>
      <c r="F12" s="172" t="s">
        <v>331</v>
      </c>
      <c r="G12" s="172" t="s">
        <v>326</v>
      </c>
      <c r="H12" s="174">
        <v>15</v>
      </c>
      <c r="I12" s="174">
        <v>9</v>
      </c>
      <c r="J12" s="174">
        <v>9</v>
      </c>
      <c r="K12" s="175">
        <f>704.8+11276.8</f>
        <v>11981.599999999999</v>
      </c>
      <c r="L12" s="175">
        <f>704.8+11276.8</f>
        <v>11981.599999999999</v>
      </c>
      <c r="M12" s="175">
        <f>K12-L12</f>
        <v>0</v>
      </c>
      <c r="N12" s="176">
        <v>0</v>
      </c>
      <c r="O12" s="175">
        <v>0</v>
      </c>
      <c r="P12" s="177">
        <v>0</v>
      </c>
      <c r="Q12" s="177">
        <f>O12-P12</f>
        <v>0</v>
      </c>
    </row>
    <row r="13" spans="1:18" ht="15" customHeight="1" x14ac:dyDescent="0.25">
      <c r="A13" s="171">
        <v>5</v>
      </c>
      <c r="B13" s="172" t="s">
        <v>147</v>
      </c>
      <c r="C13" s="173" t="s">
        <v>62</v>
      </c>
      <c r="D13" s="178"/>
      <c r="E13" s="173" t="s">
        <v>74</v>
      </c>
      <c r="F13" s="172" t="s">
        <v>332</v>
      </c>
      <c r="G13" s="172" t="s">
        <v>326</v>
      </c>
      <c r="H13" s="179">
        <v>13</v>
      </c>
      <c r="I13" s="179">
        <v>4</v>
      </c>
      <c r="J13" s="179">
        <v>4</v>
      </c>
      <c r="K13" s="180">
        <f>1409.6+1762+3347.8</f>
        <v>6519.4</v>
      </c>
      <c r="L13" s="175">
        <f>1409.6+1762</f>
        <v>3171.6</v>
      </c>
      <c r="M13" s="175">
        <f>K13-L13</f>
        <v>3347.7999999999997</v>
      </c>
      <c r="N13" s="176">
        <v>3</v>
      </c>
      <c r="O13" s="181">
        <v>4757.3999999999996</v>
      </c>
      <c r="P13" s="182">
        <f>4052.6+704.8</f>
        <v>4757.3999999999996</v>
      </c>
      <c r="Q13" s="177">
        <f>O13-P13</f>
        <v>0</v>
      </c>
    </row>
    <row r="14" spans="1:18" ht="31.5" customHeight="1" x14ac:dyDescent="0.25">
      <c r="A14" s="171">
        <v>6</v>
      </c>
      <c r="B14" s="172" t="s">
        <v>554</v>
      </c>
      <c r="C14" s="173" t="s">
        <v>67</v>
      </c>
      <c r="D14" s="183" t="s">
        <v>555</v>
      </c>
      <c r="E14" s="173" t="s">
        <v>74</v>
      </c>
      <c r="F14" s="172" t="s">
        <v>556</v>
      </c>
      <c r="G14" s="172" t="s">
        <v>326</v>
      </c>
      <c r="H14" s="179">
        <v>1</v>
      </c>
      <c r="I14" s="179">
        <v>0</v>
      </c>
      <c r="J14" s="179">
        <v>0</v>
      </c>
      <c r="K14" s="180"/>
      <c r="L14" s="175"/>
      <c r="M14" s="175"/>
      <c r="N14" s="176">
        <v>0</v>
      </c>
      <c r="O14" s="181"/>
      <c r="P14" s="182"/>
      <c r="Q14" s="177"/>
    </row>
    <row r="15" spans="1:18" ht="15" customHeight="1" x14ac:dyDescent="0.25">
      <c r="A15" s="171">
        <v>7</v>
      </c>
      <c r="B15" s="172" t="s">
        <v>88</v>
      </c>
      <c r="C15" s="173" t="s">
        <v>62</v>
      </c>
      <c r="D15" s="178"/>
      <c r="E15" s="173" t="s">
        <v>74</v>
      </c>
      <c r="F15" s="172" t="s">
        <v>333</v>
      </c>
      <c r="G15" s="172" t="s">
        <v>326</v>
      </c>
      <c r="H15" s="179">
        <v>2</v>
      </c>
      <c r="I15" s="179">
        <v>2</v>
      </c>
      <c r="J15" s="179">
        <v>2</v>
      </c>
      <c r="K15" s="180">
        <f>704.8+1585.8</f>
        <v>2290.6</v>
      </c>
      <c r="L15" s="175">
        <f>704.8+1585.8</f>
        <v>2290.6</v>
      </c>
      <c r="M15" s="175">
        <f t="shared" ref="M15:M33" si="0">K15-L15</f>
        <v>0</v>
      </c>
      <c r="N15" s="176">
        <v>1</v>
      </c>
      <c r="O15" s="181">
        <v>1145.3</v>
      </c>
      <c r="P15" s="177">
        <v>1145.3</v>
      </c>
      <c r="Q15" s="177">
        <f t="shared" ref="Q15:Q21" si="1">O15-P15</f>
        <v>0</v>
      </c>
    </row>
    <row r="16" spans="1:18" ht="15" customHeight="1" x14ac:dyDescent="0.25">
      <c r="A16" s="171">
        <v>8</v>
      </c>
      <c r="B16" s="172" t="s">
        <v>182</v>
      </c>
      <c r="C16" s="173" t="s">
        <v>62</v>
      </c>
      <c r="D16" s="178"/>
      <c r="E16" s="173" t="s">
        <v>158</v>
      </c>
      <c r="F16" s="172" t="s">
        <v>334</v>
      </c>
      <c r="G16" s="172" t="s">
        <v>326</v>
      </c>
      <c r="H16" s="179">
        <v>5</v>
      </c>
      <c r="I16" s="179">
        <v>1</v>
      </c>
      <c r="J16" s="179">
        <v>1</v>
      </c>
      <c r="K16" s="180">
        <f>1233.4</f>
        <v>1233.4000000000001</v>
      </c>
      <c r="L16" s="175">
        <f>1233.4</f>
        <v>1233.4000000000001</v>
      </c>
      <c r="M16" s="175">
        <f t="shared" si="0"/>
        <v>0</v>
      </c>
      <c r="N16" s="176">
        <v>0</v>
      </c>
      <c r="O16" s="181"/>
      <c r="P16" s="177">
        <v>0</v>
      </c>
      <c r="Q16" s="177">
        <f t="shared" si="1"/>
        <v>0</v>
      </c>
    </row>
    <row r="17" spans="1:17" x14ac:dyDescent="0.25">
      <c r="A17" s="171">
        <v>9</v>
      </c>
      <c r="B17" s="172" t="s">
        <v>335</v>
      </c>
      <c r="C17" s="173" t="s">
        <v>62</v>
      </c>
      <c r="D17" s="184"/>
      <c r="E17" s="173" t="s">
        <v>74</v>
      </c>
      <c r="F17" s="172" t="s">
        <v>336</v>
      </c>
      <c r="G17" s="172" t="s">
        <v>326</v>
      </c>
      <c r="H17" s="179">
        <v>14</v>
      </c>
      <c r="I17" s="179">
        <v>3</v>
      </c>
      <c r="J17" s="179">
        <v>3</v>
      </c>
      <c r="K17" s="180">
        <f>3700.2+704.8</f>
        <v>4405</v>
      </c>
      <c r="L17" s="175">
        <f>3700.2+704.8</f>
        <v>4405</v>
      </c>
      <c r="M17" s="175">
        <f t="shared" si="0"/>
        <v>0</v>
      </c>
      <c r="N17" s="176">
        <v>7</v>
      </c>
      <c r="O17" s="175">
        <f>3435.9+3171.6+132.15</f>
        <v>6739.65</v>
      </c>
      <c r="P17" s="177">
        <f>3435.9+3171.6+132.15</f>
        <v>6739.65</v>
      </c>
      <c r="Q17" s="177">
        <f t="shared" si="1"/>
        <v>0</v>
      </c>
    </row>
    <row r="18" spans="1:17" ht="15" customHeight="1" x14ac:dyDescent="0.25">
      <c r="A18" s="171">
        <v>10</v>
      </c>
      <c r="B18" s="172" t="s">
        <v>27</v>
      </c>
      <c r="C18" s="173" t="s">
        <v>62</v>
      </c>
      <c r="D18" s="178"/>
      <c r="E18" s="173" t="s">
        <v>158</v>
      </c>
      <c r="F18" s="172" t="s">
        <v>337</v>
      </c>
      <c r="G18" s="172" t="s">
        <v>326</v>
      </c>
      <c r="H18" s="179">
        <v>13</v>
      </c>
      <c r="I18" s="179">
        <v>10</v>
      </c>
      <c r="J18" s="179">
        <v>10</v>
      </c>
      <c r="K18" s="180">
        <f>5638.4+2819.2</f>
        <v>8457.5999999999985</v>
      </c>
      <c r="L18" s="175">
        <f>1233.4+4405+2819.2</f>
        <v>8457.5999999999985</v>
      </c>
      <c r="M18" s="175">
        <f t="shared" si="0"/>
        <v>0</v>
      </c>
      <c r="N18" s="176">
        <v>0</v>
      </c>
      <c r="O18" s="181"/>
      <c r="P18" s="182">
        <v>0</v>
      </c>
      <c r="Q18" s="177">
        <f t="shared" si="1"/>
        <v>0</v>
      </c>
    </row>
    <row r="19" spans="1:17" ht="15" customHeight="1" x14ac:dyDescent="0.25">
      <c r="A19" s="185">
        <v>11</v>
      </c>
      <c r="B19" s="172" t="s">
        <v>190</v>
      </c>
      <c r="C19" s="173" t="s">
        <v>62</v>
      </c>
      <c r="D19" s="178"/>
      <c r="E19" s="173" t="s">
        <v>338</v>
      </c>
      <c r="F19" s="172" t="s">
        <v>339</v>
      </c>
      <c r="G19" s="172" t="s">
        <v>326</v>
      </c>
      <c r="H19" s="179">
        <v>13</v>
      </c>
      <c r="I19" s="179">
        <v>6</v>
      </c>
      <c r="J19" s="179">
        <v>6</v>
      </c>
      <c r="K19" s="180">
        <f>1938.2+2819.2+2819.2+2290.6</f>
        <v>9867.1999999999989</v>
      </c>
      <c r="L19" s="175">
        <f>704.8+704.8+528.6+2819.2+2819.2</f>
        <v>7576.5999999999995</v>
      </c>
      <c r="M19" s="175">
        <f t="shared" si="0"/>
        <v>2290.5999999999995</v>
      </c>
      <c r="N19" s="176">
        <v>0</v>
      </c>
      <c r="O19" s="181"/>
      <c r="P19" s="177">
        <v>0</v>
      </c>
      <c r="Q19" s="177">
        <f t="shared" si="1"/>
        <v>0</v>
      </c>
    </row>
    <row r="20" spans="1:17" ht="15" customHeight="1" x14ac:dyDescent="0.25">
      <c r="A20" s="185">
        <v>12</v>
      </c>
      <c r="B20" s="172" t="s">
        <v>89</v>
      </c>
      <c r="C20" s="173" t="s">
        <v>62</v>
      </c>
      <c r="D20" s="178"/>
      <c r="E20" s="173" t="s">
        <v>74</v>
      </c>
      <c r="F20" s="172" t="s">
        <v>340</v>
      </c>
      <c r="G20" s="172" t="s">
        <v>326</v>
      </c>
      <c r="H20" s="179">
        <v>5</v>
      </c>
      <c r="I20" s="179">
        <v>4</v>
      </c>
      <c r="J20" s="179">
        <v>4</v>
      </c>
      <c r="K20" s="180">
        <f>1762+3876.4</f>
        <v>5638.4</v>
      </c>
      <c r="L20" s="175">
        <f>1762+3876.4</f>
        <v>5638.4</v>
      </c>
      <c r="M20" s="175">
        <f t="shared" si="0"/>
        <v>0</v>
      </c>
      <c r="N20" s="176">
        <v>3</v>
      </c>
      <c r="O20" s="181">
        <f>440.5+5990.8</f>
        <v>6431.3</v>
      </c>
      <c r="P20" s="177">
        <f>440.5+5990.8</f>
        <v>6431.3</v>
      </c>
      <c r="Q20" s="177">
        <f t="shared" si="1"/>
        <v>0</v>
      </c>
    </row>
    <row r="21" spans="1:17" ht="15" customHeight="1" x14ac:dyDescent="0.25">
      <c r="A21" s="185">
        <v>13</v>
      </c>
      <c r="B21" s="172" t="s">
        <v>196</v>
      </c>
      <c r="C21" s="173" t="s">
        <v>62</v>
      </c>
      <c r="D21" s="178"/>
      <c r="E21" s="173" t="s">
        <v>341</v>
      </c>
      <c r="F21" s="172" t="s">
        <v>342</v>
      </c>
      <c r="G21" s="172" t="s">
        <v>326</v>
      </c>
      <c r="H21" s="179">
        <v>7</v>
      </c>
      <c r="I21" s="179">
        <v>5</v>
      </c>
      <c r="J21" s="179">
        <v>5</v>
      </c>
      <c r="K21" s="180">
        <v>4933.6000000000004</v>
      </c>
      <c r="L21" s="175">
        <f>4933.6</f>
        <v>4933.6000000000004</v>
      </c>
      <c r="M21" s="175">
        <f t="shared" si="0"/>
        <v>0</v>
      </c>
      <c r="N21" s="176">
        <v>0</v>
      </c>
      <c r="O21" s="181"/>
      <c r="P21" s="177">
        <v>0</v>
      </c>
      <c r="Q21" s="177">
        <f t="shared" si="1"/>
        <v>0</v>
      </c>
    </row>
    <row r="22" spans="1:17" ht="15" customHeight="1" x14ac:dyDescent="0.25">
      <c r="A22" s="185">
        <v>14</v>
      </c>
      <c r="B22" s="172" t="s">
        <v>343</v>
      </c>
      <c r="C22" s="173" t="s">
        <v>62</v>
      </c>
      <c r="D22" s="178"/>
      <c r="E22" s="173" t="s">
        <v>74</v>
      </c>
      <c r="F22" s="172" t="s">
        <v>344</v>
      </c>
      <c r="G22" s="172" t="s">
        <v>326</v>
      </c>
      <c r="H22" s="179">
        <v>9</v>
      </c>
      <c r="I22" s="179">
        <v>2</v>
      </c>
      <c r="J22" s="179">
        <v>2</v>
      </c>
      <c r="K22" s="180">
        <f>2466.8</f>
        <v>2466.8000000000002</v>
      </c>
      <c r="L22" s="175"/>
      <c r="M22" s="175">
        <f t="shared" si="0"/>
        <v>2466.8000000000002</v>
      </c>
      <c r="N22" s="176">
        <v>0</v>
      </c>
      <c r="O22" s="181"/>
      <c r="P22" s="177"/>
      <c r="Q22" s="177"/>
    </row>
    <row r="23" spans="1:17" ht="15" customHeight="1" x14ac:dyDescent="0.25">
      <c r="A23" s="185">
        <v>15</v>
      </c>
      <c r="B23" s="172" t="s">
        <v>154</v>
      </c>
      <c r="C23" s="173" t="s">
        <v>62</v>
      </c>
      <c r="D23" s="178"/>
      <c r="E23" s="173" t="s">
        <v>74</v>
      </c>
      <c r="F23" s="172" t="s">
        <v>345</v>
      </c>
      <c r="G23" s="172" t="s">
        <v>326</v>
      </c>
      <c r="H23" s="179">
        <v>4</v>
      </c>
      <c r="I23" s="179">
        <v>2</v>
      </c>
      <c r="J23" s="179">
        <v>2</v>
      </c>
      <c r="K23" s="180">
        <f>1497.7</f>
        <v>1497.7</v>
      </c>
      <c r="L23" s="175">
        <f>1497.7</f>
        <v>1497.7</v>
      </c>
      <c r="M23" s="175">
        <f t="shared" si="0"/>
        <v>0</v>
      </c>
      <c r="N23" s="176">
        <v>5</v>
      </c>
      <c r="O23" s="181">
        <f>4228.8+3700.2</f>
        <v>7929</v>
      </c>
      <c r="P23" s="182">
        <f>4228.8+3700.2</f>
        <v>7929</v>
      </c>
      <c r="Q23" s="177">
        <f t="shared" ref="Q23:Q33" si="2">O23-P23</f>
        <v>0</v>
      </c>
    </row>
    <row r="24" spans="1:17" ht="15" customHeight="1" x14ac:dyDescent="0.25">
      <c r="A24" s="185">
        <v>16</v>
      </c>
      <c r="B24" s="172" t="s">
        <v>346</v>
      </c>
      <c r="C24" s="173" t="s">
        <v>62</v>
      </c>
      <c r="D24" s="178"/>
      <c r="E24" s="173" t="s">
        <v>158</v>
      </c>
      <c r="F24" s="172" t="s">
        <v>347</v>
      </c>
      <c r="G24" s="172" t="s">
        <v>326</v>
      </c>
      <c r="H24" s="179">
        <v>2</v>
      </c>
      <c r="I24" s="179">
        <v>0</v>
      </c>
      <c r="J24" s="179">
        <v>0</v>
      </c>
      <c r="K24" s="180"/>
      <c r="L24" s="175">
        <v>0</v>
      </c>
      <c r="M24" s="175">
        <f t="shared" si="0"/>
        <v>0</v>
      </c>
      <c r="N24" s="176">
        <v>0</v>
      </c>
      <c r="O24" s="181"/>
      <c r="P24" s="177">
        <v>0</v>
      </c>
      <c r="Q24" s="177">
        <f t="shared" si="2"/>
        <v>0</v>
      </c>
    </row>
    <row r="25" spans="1:17" ht="15" customHeight="1" x14ac:dyDescent="0.25">
      <c r="A25" s="185">
        <v>17</v>
      </c>
      <c r="B25" s="172" t="s">
        <v>348</v>
      </c>
      <c r="C25" s="173" t="s">
        <v>62</v>
      </c>
      <c r="D25" s="178"/>
      <c r="E25" s="173" t="s">
        <v>158</v>
      </c>
      <c r="F25" s="172" t="s">
        <v>349</v>
      </c>
      <c r="G25" s="172" t="s">
        <v>326</v>
      </c>
      <c r="H25" s="179">
        <v>5</v>
      </c>
      <c r="I25" s="179">
        <v>0</v>
      </c>
      <c r="J25" s="179">
        <v>0</v>
      </c>
      <c r="K25" s="180"/>
      <c r="L25" s="175">
        <v>0</v>
      </c>
      <c r="M25" s="175">
        <f t="shared" si="0"/>
        <v>0</v>
      </c>
      <c r="N25" s="176">
        <v>0</v>
      </c>
      <c r="O25" s="181"/>
      <c r="P25" s="177">
        <v>0</v>
      </c>
      <c r="Q25" s="177">
        <f t="shared" si="2"/>
        <v>0</v>
      </c>
    </row>
    <row r="26" spans="1:17" ht="15" customHeight="1" x14ac:dyDescent="0.25">
      <c r="A26" s="185">
        <v>18</v>
      </c>
      <c r="B26" s="172" t="s">
        <v>350</v>
      </c>
      <c r="C26" s="173" t="s">
        <v>62</v>
      </c>
      <c r="D26" s="178"/>
      <c r="E26" s="173" t="s">
        <v>74</v>
      </c>
      <c r="F26" s="172" t="s">
        <v>351</v>
      </c>
      <c r="G26" s="172" t="s">
        <v>326</v>
      </c>
      <c r="H26" s="179">
        <v>1</v>
      </c>
      <c r="I26" s="179">
        <v>1</v>
      </c>
      <c r="J26" s="179">
        <v>1</v>
      </c>
      <c r="K26" s="180">
        <f>528.6</f>
        <v>528.6</v>
      </c>
      <c r="L26" s="175">
        <v>0</v>
      </c>
      <c r="M26" s="175">
        <f t="shared" si="0"/>
        <v>528.6</v>
      </c>
      <c r="N26" s="176">
        <v>4</v>
      </c>
      <c r="O26" s="181">
        <v>5065.75</v>
      </c>
      <c r="P26" s="177">
        <f>1894.15+3171.6</f>
        <v>5065.75</v>
      </c>
      <c r="Q26" s="177">
        <f t="shared" si="2"/>
        <v>0</v>
      </c>
    </row>
    <row r="27" spans="1:17" ht="41.45" customHeight="1" x14ac:dyDescent="0.25">
      <c r="A27" s="186">
        <v>19</v>
      </c>
      <c r="B27" s="172" t="s">
        <v>222</v>
      </c>
      <c r="C27" s="173" t="s">
        <v>64</v>
      </c>
      <c r="D27" s="221" t="s">
        <v>352</v>
      </c>
      <c r="E27" s="173" t="s">
        <v>158</v>
      </c>
      <c r="F27" s="172" t="s">
        <v>353</v>
      </c>
      <c r="G27" s="172" t="s">
        <v>326</v>
      </c>
      <c r="H27" s="179">
        <v>6</v>
      </c>
      <c r="I27" s="179">
        <v>2</v>
      </c>
      <c r="J27" s="179">
        <v>2</v>
      </c>
      <c r="K27" s="180">
        <f>1233.4+2290.6</f>
        <v>3524</v>
      </c>
      <c r="L27" s="175">
        <f>1233.4+2290.6</f>
        <v>3524</v>
      </c>
      <c r="M27" s="175">
        <f t="shared" si="0"/>
        <v>0</v>
      </c>
      <c r="N27" s="176">
        <v>0</v>
      </c>
      <c r="O27" s="181"/>
      <c r="P27" s="177">
        <v>0</v>
      </c>
      <c r="Q27" s="177">
        <f t="shared" si="2"/>
        <v>0</v>
      </c>
    </row>
    <row r="28" spans="1:17" ht="15" customHeight="1" x14ac:dyDescent="0.25">
      <c r="A28" s="185">
        <v>20</v>
      </c>
      <c r="B28" s="172" t="s">
        <v>238</v>
      </c>
      <c r="C28" s="173" t="s">
        <v>62</v>
      </c>
      <c r="D28" s="178"/>
      <c r="E28" s="173" t="s">
        <v>158</v>
      </c>
      <c r="F28" s="172" t="s">
        <v>354</v>
      </c>
      <c r="G28" s="172" t="s">
        <v>326</v>
      </c>
      <c r="H28" s="179">
        <v>6</v>
      </c>
      <c r="I28" s="179">
        <v>5</v>
      </c>
      <c r="J28" s="179">
        <v>5</v>
      </c>
      <c r="K28" s="180">
        <f>2466.8+4581.2</f>
        <v>7048</v>
      </c>
      <c r="L28" s="175">
        <f>1233.4+1233.4</f>
        <v>2466.8000000000002</v>
      </c>
      <c r="M28" s="175">
        <f t="shared" si="0"/>
        <v>4581.2</v>
      </c>
      <c r="N28" s="176">
        <v>0</v>
      </c>
      <c r="O28" s="181"/>
      <c r="P28" s="177">
        <v>0</v>
      </c>
      <c r="Q28" s="177">
        <f t="shared" si="2"/>
        <v>0</v>
      </c>
    </row>
    <row r="29" spans="1:17" ht="15" customHeight="1" x14ac:dyDescent="0.25">
      <c r="A29" s="185">
        <v>21</v>
      </c>
      <c r="B29" s="172" t="s">
        <v>355</v>
      </c>
      <c r="C29" s="173" t="s">
        <v>62</v>
      </c>
      <c r="D29" s="178"/>
      <c r="E29" s="173" t="s">
        <v>158</v>
      </c>
      <c r="F29" s="172" t="s">
        <v>356</v>
      </c>
      <c r="G29" s="172" t="s">
        <v>326</v>
      </c>
      <c r="H29" s="179">
        <v>7</v>
      </c>
      <c r="I29" s="179">
        <v>2</v>
      </c>
      <c r="J29" s="179">
        <v>2</v>
      </c>
      <c r="K29" s="180">
        <v>1762</v>
      </c>
      <c r="L29" s="175">
        <f>1233.4+528.6</f>
        <v>1762</v>
      </c>
      <c r="M29" s="175">
        <f t="shared" si="0"/>
        <v>0</v>
      </c>
      <c r="N29" s="176">
        <v>0</v>
      </c>
      <c r="O29" s="181"/>
      <c r="P29" s="177">
        <v>0</v>
      </c>
      <c r="Q29" s="177">
        <f t="shared" si="2"/>
        <v>0</v>
      </c>
    </row>
    <row r="30" spans="1:17" ht="63.75" customHeight="1" x14ac:dyDescent="0.25">
      <c r="A30" s="186">
        <v>22</v>
      </c>
      <c r="B30" s="172" t="s">
        <v>357</v>
      </c>
      <c r="C30" s="173" t="s">
        <v>64</v>
      </c>
      <c r="D30" s="172" t="s">
        <v>358</v>
      </c>
      <c r="E30" s="173" t="s">
        <v>158</v>
      </c>
      <c r="F30" s="173" t="s">
        <v>507</v>
      </c>
      <c r="G30" s="172" t="s">
        <v>326</v>
      </c>
      <c r="H30" s="179">
        <v>1</v>
      </c>
      <c r="I30" s="184">
        <v>0</v>
      </c>
      <c r="J30" s="184">
        <v>0</v>
      </c>
      <c r="K30" s="180"/>
      <c r="L30" s="175">
        <v>0</v>
      </c>
      <c r="M30" s="175">
        <f t="shared" si="0"/>
        <v>0</v>
      </c>
      <c r="N30" s="176">
        <v>0</v>
      </c>
      <c r="O30" s="181"/>
      <c r="P30" s="177">
        <v>0</v>
      </c>
      <c r="Q30" s="177">
        <f t="shared" si="2"/>
        <v>0</v>
      </c>
    </row>
    <row r="31" spans="1:17" ht="18" customHeight="1" x14ac:dyDescent="0.25">
      <c r="A31" s="185">
        <v>23</v>
      </c>
      <c r="B31" s="172" t="s">
        <v>359</v>
      </c>
      <c r="C31" s="173" t="s">
        <v>62</v>
      </c>
      <c r="D31" s="172"/>
      <c r="E31" s="173" t="s">
        <v>158</v>
      </c>
      <c r="F31" s="173" t="s">
        <v>360</v>
      </c>
      <c r="G31" s="172" t="s">
        <v>326</v>
      </c>
      <c r="H31" s="179">
        <v>5</v>
      </c>
      <c r="I31" s="179">
        <v>4</v>
      </c>
      <c r="J31" s="179">
        <v>4</v>
      </c>
      <c r="K31" s="180">
        <f>1409.6+704.8+528.6</f>
        <v>2642.9999999999995</v>
      </c>
      <c r="L31" s="175">
        <f>704.8+704.8+704.8+9.97</f>
        <v>2124.3699999999994</v>
      </c>
      <c r="M31" s="175">
        <f t="shared" si="0"/>
        <v>518.63000000000011</v>
      </c>
      <c r="N31" s="176">
        <v>0</v>
      </c>
      <c r="O31" s="181"/>
      <c r="P31" s="182">
        <v>0</v>
      </c>
      <c r="Q31" s="177">
        <f t="shared" si="2"/>
        <v>0</v>
      </c>
    </row>
    <row r="32" spans="1:17" ht="15" customHeight="1" x14ac:dyDescent="0.25">
      <c r="A32" s="185">
        <v>24</v>
      </c>
      <c r="B32" s="172" t="s">
        <v>118</v>
      </c>
      <c r="C32" s="173" t="s">
        <v>62</v>
      </c>
      <c r="D32" s="222"/>
      <c r="E32" s="173" t="s">
        <v>338</v>
      </c>
      <c r="F32" s="172" t="s">
        <v>361</v>
      </c>
      <c r="G32" s="172" t="s">
        <v>326</v>
      </c>
      <c r="H32" s="179">
        <v>1</v>
      </c>
      <c r="I32" s="179">
        <v>0</v>
      </c>
      <c r="J32" s="179">
        <v>0</v>
      </c>
      <c r="K32" s="180"/>
      <c r="L32" s="175">
        <v>0</v>
      </c>
      <c r="M32" s="175">
        <f t="shared" si="0"/>
        <v>0</v>
      </c>
      <c r="N32" s="176">
        <v>0</v>
      </c>
      <c r="O32" s="181"/>
      <c r="P32" s="177">
        <v>0</v>
      </c>
      <c r="Q32" s="177">
        <f t="shared" si="2"/>
        <v>0</v>
      </c>
    </row>
    <row r="33" spans="1:17" ht="15" customHeight="1" x14ac:dyDescent="0.25">
      <c r="A33" s="185">
        <v>25</v>
      </c>
      <c r="B33" s="172" t="s">
        <v>246</v>
      </c>
      <c r="C33" s="173" t="s">
        <v>62</v>
      </c>
      <c r="D33" s="222"/>
      <c r="E33" s="173" t="s">
        <v>158</v>
      </c>
      <c r="F33" s="172" t="s">
        <v>362</v>
      </c>
      <c r="G33" s="172" t="s">
        <v>326</v>
      </c>
      <c r="H33" s="179">
        <v>4</v>
      </c>
      <c r="I33" s="179">
        <v>1</v>
      </c>
      <c r="J33" s="179">
        <v>1</v>
      </c>
      <c r="K33" s="180">
        <f>1233.4</f>
        <v>1233.4000000000001</v>
      </c>
      <c r="L33" s="175">
        <f>1233.4</f>
        <v>1233.4000000000001</v>
      </c>
      <c r="M33" s="175">
        <f t="shared" si="0"/>
        <v>0</v>
      </c>
      <c r="N33" s="176">
        <v>0</v>
      </c>
      <c r="O33" s="181"/>
      <c r="P33" s="177">
        <v>0</v>
      </c>
      <c r="Q33" s="177">
        <f t="shared" si="2"/>
        <v>0</v>
      </c>
    </row>
    <row r="34" spans="1:17" ht="15" customHeight="1" x14ac:dyDescent="0.25">
      <c r="A34" s="185">
        <v>26</v>
      </c>
      <c r="B34" s="172" t="s">
        <v>43</v>
      </c>
      <c r="C34" s="173" t="s">
        <v>62</v>
      </c>
      <c r="D34" s="222"/>
      <c r="E34" s="173" t="s">
        <v>74</v>
      </c>
      <c r="F34" s="172" t="s">
        <v>363</v>
      </c>
      <c r="G34" s="172" t="s">
        <v>326</v>
      </c>
      <c r="H34" s="179">
        <v>3</v>
      </c>
      <c r="I34" s="179">
        <v>0</v>
      </c>
      <c r="J34" s="179">
        <v>0</v>
      </c>
      <c r="K34" s="180"/>
      <c r="L34" s="175"/>
      <c r="M34" s="175"/>
      <c r="N34" s="176">
        <v>0</v>
      </c>
      <c r="O34" s="181"/>
      <c r="P34" s="177"/>
      <c r="Q34" s="177"/>
    </row>
    <row r="35" spans="1:17" ht="15" customHeight="1" x14ac:dyDescent="0.25">
      <c r="A35" s="185">
        <v>27</v>
      </c>
      <c r="B35" s="172" t="s">
        <v>364</v>
      </c>
      <c r="C35" s="173" t="s">
        <v>62</v>
      </c>
      <c r="D35" s="222"/>
      <c r="E35" s="173" t="s">
        <v>74</v>
      </c>
      <c r="F35" s="172" t="s">
        <v>365</v>
      </c>
      <c r="G35" s="172" t="s">
        <v>326</v>
      </c>
      <c r="H35" s="179">
        <v>8</v>
      </c>
      <c r="I35" s="179">
        <v>2</v>
      </c>
      <c r="J35" s="179">
        <v>2</v>
      </c>
      <c r="K35" s="180">
        <v>2466.8000000000002</v>
      </c>
      <c r="L35" s="175">
        <v>2466.8000000000002</v>
      </c>
      <c r="M35" s="175">
        <f>K35-L35</f>
        <v>0</v>
      </c>
      <c r="N35" s="176">
        <v>2</v>
      </c>
      <c r="O35" s="181">
        <v>3524</v>
      </c>
      <c r="P35" s="177">
        <v>3524</v>
      </c>
      <c r="Q35" s="177">
        <f>O35-P35</f>
        <v>0</v>
      </c>
    </row>
    <row r="36" spans="1:17" ht="15" customHeight="1" x14ac:dyDescent="0.25">
      <c r="A36" s="185">
        <v>28</v>
      </c>
      <c r="B36" s="172" t="s">
        <v>46</v>
      </c>
      <c r="C36" s="173" t="s">
        <v>62</v>
      </c>
      <c r="D36" s="222"/>
      <c r="E36" s="173" t="s">
        <v>366</v>
      </c>
      <c r="F36" s="172" t="s">
        <v>367</v>
      </c>
      <c r="G36" s="172" t="s">
        <v>326</v>
      </c>
      <c r="H36" s="179">
        <v>0</v>
      </c>
      <c r="I36" s="179">
        <v>0</v>
      </c>
      <c r="J36" s="179">
        <v>0</v>
      </c>
      <c r="K36" s="180"/>
      <c r="L36" s="175">
        <v>0</v>
      </c>
      <c r="M36" s="175">
        <f>K36-L36</f>
        <v>0</v>
      </c>
      <c r="N36" s="176">
        <v>1</v>
      </c>
      <c r="O36" s="181">
        <f>4140.7+528.6</f>
        <v>4669.3</v>
      </c>
      <c r="P36" s="182">
        <f>4140.7+528.6</f>
        <v>4669.3</v>
      </c>
      <c r="Q36" s="177">
        <f>O36-P36</f>
        <v>0</v>
      </c>
    </row>
    <row r="37" spans="1:17" ht="15" customHeight="1" x14ac:dyDescent="0.25">
      <c r="A37" s="185">
        <v>29</v>
      </c>
      <c r="B37" s="172" t="s">
        <v>270</v>
      </c>
      <c r="C37" s="173" t="s">
        <v>62</v>
      </c>
      <c r="D37" s="222"/>
      <c r="E37" s="173" t="s">
        <v>74</v>
      </c>
      <c r="F37" s="172" t="s">
        <v>539</v>
      </c>
      <c r="G37" s="172" t="s">
        <v>326</v>
      </c>
      <c r="H37" s="179">
        <v>2</v>
      </c>
      <c r="I37" s="179">
        <v>0</v>
      </c>
      <c r="J37" s="179">
        <v>0</v>
      </c>
      <c r="K37" s="180"/>
      <c r="L37" s="175"/>
      <c r="M37" s="175"/>
      <c r="N37" s="176">
        <v>0</v>
      </c>
      <c r="O37" s="181"/>
      <c r="P37" s="182"/>
      <c r="Q37" s="177"/>
    </row>
    <row r="38" spans="1:17" ht="15" customHeight="1" x14ac:dyDescent="0.25">
      <c r="A38" s="185">
        <v>30</v>
      </c>
      <c r="B38" s="172" t="s">
        <v>96</v>
      </c>
      <c r="C38" s="173" t="s">
        <v>62</v>
      </c>
      <c r="D38" s="222"/>
      <c r="E38" s="173" t="s">
        <v>98</v>
      </c>
      <c r="F38" s="172" t="s">
        <v>540</v>
      </c>
      <c r="G38" s="172" t="s">
        <v>326</v>
      </c>
      <c r="H38" s="179">
        <v>1</v>
      </c>
      <c r="I38" s="179">
        <v>0</v>
      </c>
      <c r="J38" s="179">
        <v>0</v>
      </c>
      <c r="K38" s="180"/>
      <c r="L38" s="175"/>
      <c r="M38" s="175"/>
      <c r="N38" s="176">
        <v>1</v>
      </c>
      <c r="O38" s="181"/>
      <c r="P38" s="182"/>
      <c r="Q38" s="177"/>
    </row>
    <row r="39" spans="1:17" ht="15" customHeight="1" x14ac:dyDescent="0.25">
      <c r="A39" s="185">
        <v>31</v>
      </c>
      <c r="B39" s="172" t="s">
        <v>124</v>
      </c>
      <c r="C39" s="173" t="s">
        <v>62</v>
      </c>
      <c r="D39" s="222"/>
      <c r="E39" s="173" t="s">
        <v>74</v>
      </c>
      <c r="F39" s="172" t="s">
        <v>368</v>
      </c>
      <c r="G39" s="172" t="s">
        <v>326</v>
      </c>
      <c r="H39" s="179">
        <v>22</v>
      </c>
      <c r="I39" s="179">
        <v>10</v>
      </c>
      <c r="J39" s="179">
        <v>10</v>
      </c>
      <c r="K39" s="180">
        <f>6343.2+3700.2</f>
        <v>10043.4</v>
      </c>
      <c r="L39" s="175">
        <f>1762+1762+2819.2</f>
        <v>6343.2</v>
      </c>
      <c r="M39" s="175">
        <f t="shared" ref="M39:M44" si="3">K39-L39</f>
        <v>3700.2</v>
      </c>
      <c r="N39" s="176">
        <v>8</v>
      </c>
      <c r="O39" s="181">
        <f>3171.6+88+1493.8-704.8+704.8</f>
        <v>4753.3999999999996</v>
      </c>
      <c r="P39" s="177">
        <f>1765.8+1493.8+789</f>
        <v>4048.6</v>
      </c>
      <c r="Q39" s="175">
        <f>O39-P39</f>
        <v>704.79999999999973</v>
      </c>
    </row>
    <row r="40" spans="1:17" ht="15" customHeight="1" x14ac:dyDescent="0.25">
      <c r="A40" s="185">
        <v>32</v>
      </c>
      <c r="B40" s="172" t="s">
        <v>51</v>
      </c>
      <c r="C40" s="173" t="s">
        <v>62</v>
      </c>
      <c r="D40" s="222"/>
      <c r="E40" s="173" t="s">
        <v>74</v>
      </c>
      <c r="F40" s="172" t="s">
        <v>369</v>
      </c>
      <c r="G40" s="172" t="s">
        <v>326</v>
      </c>
      <c r="H40" s="179">
        <v>0</v>
      </c>
      <c r="I40" s="179">
        <v>0</v>
      </c>
      <c r="J40" s="179">
        <v>0</v>
      </c>
      <c r="K40" s="180"/>
      <c r="L40" s="175">
        <v>0</v>
      </c>
      <c r="M40" s="175">
        <f t="shared" si="3"/>
        <v>0</v>
      </c>
      <c r="N40" s="176">
        <v>1</v>
      </c>
      <c r="O40" s="181">
        <v>2290.6</v>
      </c>
      <c r="P40" s="177">
        <v>2290.6</v>
      </c>
      <c r="Q40" s="177">
        <f>O40-P40</f>
        <v>0</v>
      </c>
    </row>
    <row r="41" spans="1:17" ht="15" customHeight="1" x14ac:dyDescent="0.25">
      <c r="A41" s="185">
        <v>33</v>
      </c>
      <c r="B41" s="172" t="s">
        <v>286</v>
      </c>
      <c r="C41" s="173" t="s">
        <v>62</v>
      </c>
      <c r="D41" s="222"/>
      <c r="E41" s="173" t="s">
        <v>74</v>
      </c>
      <c r="F41" s="172" t="s">
        <v>476</v>
      </c>
      <c r="G41" s="172" t="s">
        <v>326</v>
      </c>
      <c r="H41" s="179">
        <v>4</v>
      </c>
      <c r="I41" s="179">
        <v>3</v>
      </c>
      <c r="J41" s="179">
        <v>3</v>
      </c>
      <c r="K41" s="180">
        <f>1233.4+1409.6</f>
        <v>2643</v>
      </c>
      <c r="L41" s="175">
        <f>1233.4</f>
        <v>1233.4000000000001</v>
      </c>
      <c r="M41" s="175">
        <f t="shared" si="3"/>
        <v>1409.6</v>
      </c>
      <c r="N41" s="176">
        <v>0</v>
      </c>
      <c r="O41" s="181"/>
      <c r="P41" s="177"/>
      <c r="Q41" s="177"/>
    </row>
    <row r="42" spans="1:17" ht="15" customHeight="1" x14ac:dyDescent="0.25">
      <c r="A42" s="185">
        <v>34</v>
      </c>
      <c r="B42" s="172" t="s">
        <v>290</v>
      </c>
      <c r="C42" s="173" t="s">
        <v>62</v>
      </c>
      <c r="D42" s="222"/>
      <c r="E42" s="173" t="s">
        <v>371</v>
      </c>
      <c r="F42" s="172" t="s">
        <v>372</v>
      </c>
      <c r="G42" s="172" t="s">
        <v>326</v>
      </c>
      <c r="H42" s="179">
        <v>6</v>
      </c>
      <c r="I42" s="179">
        <v>3</v>
      </c>
      <c r="J42" s="179">
        <v>3</v>
      </c>
      <c r="K42" s="180">
        <f>1409.6+704.8</f>
        <v>2114.3999999999996</v>
      </c>
      <c r="L42" s="175">
        <f>1409.6+704.8</f>
        <v>2114.3999999999996</v>
      </c>
      <c r="M42" s="175">
        <f t="shared" si="3"/>
        <v>0</v>
      </c>
      <c r="N42" s="176">
        <v>0</v>
      </c>
      <c r="O42" s="181"/>
      <c r="P42" s="182">
        <v>0</v>
      </c>
      <c r="Q42" s="177">
        <f>O42-P42</f>
        <v>0</v>
      </c>
    </row>
    <row r="43" spans="1:17" ht="15" customHeight="1" x14ac:dyDescent="0.25">
      <c r="A43" s="185">
        <v>35</v>
      </c>
      <c r="B43" s="172" t="s">
        <v>134</v>
      </c>
      <c r="C43" s="173" t="s">
        <v>62</v>
      </c>
      <c r="D43" s="222"/>
      <c r="E43" s="173" t="s">
        <v>74</v>
      </c>
      <c r="F43" s="172" t="s">
        <v>373</v>
      </c>
      <c r="G43" s="172" t="s">
        <v>326</v>
      </c>
      <c r="H43" s="179">
        <v>3</v>
      </c>
      <c r="I43" s="179">
        <v>1</v>
      </c>
      <c r="J43" s="179">
        <v>1</v>
      </c>
      <c r="K43" s="180">
        <f>1938.2</f>
        <v>1938.2</v>
      </c>
      <c r="L43" s="175">
        <v>1938.2</v>
      </c>
      <c r="M43" s="175">
        <f t="shared" si="3"/>
        <v>0</v>
      </c>
      <c r="N43" s="176">
        <v>2</v>
      </c>
      <c r="O43" s="181">
        <v>2643</v>
      </c>
      <c r="P43" s="177">
        <f>881+1762</f>
        <v>2643</v>
      </c>
      <c r="Q43" s="177">
        <f>O43-P43</f>
        <v>0</v>
      </c>
    </row>
    <row r="44" spans="1:17" ht="15" customHeight="1" x14ac:dyDescent="0.25">
      <c r="A44" s="185">
        <v>36</v>
      </c>
      <c r="B44" s="172" t="s">
        <v>135</v>
      </c>
      <c r="C44" s="173" t="s">
        <v>62</v>
      </c>
      <c r="D44" s="222"/>
      <c r="E44" s="173" t="s">
        <v>74</v>
      </c>
      <c r="F44" s="172" t="s">
        <v>374</v>
      </c>
      <c r="G44" s="172" t="s">
        <v>326</v>
      </c>
      <c r="H44" s="179">
        <v>17</v>
      </c>
      <c r="I44" s="179">
        <v>4</v>
      </c>
      <c r="J44" s="179">
        <v>4</v>
      </c>
      <c r="K44" s="180">
        <f>5109.8+881</f>
        <v>5990.8</v>
      </c>
      <c r="L44" s="175">
        <f>2290.6+2819.2+881</f>
        <v>5990.7999999999993</v>
      </c>
      <c r="M44" s="175">
        <f t="shared" si="3"/>
        <v>0</v>
      </c>
      <c r="N44" s="176">
        <v>35</v>
      </c>
      <c r="O44" s="181">
        <f>15109.16+9717+2845.2</f>
        <v>27671.360000000001</v>
      </c>
      <c r="P44" s="177">
        <f>14228.16+881+9717+2845.2</f>
        <v>27671.360000000001</v>
      </c>
      <c r="Q44" s="175">
        <f>O44-P44</f>
        <v>0</v>
      </c>
    </row>
    <row r="45" spans="1:17" ht="48" customHeight="1" x14ac:dyDescent="0.25">
      <c r="A45" s="186">
        <v>37</v>
      </c>
      <c r="B45" s="172" t="s">
        <v>508</v>
      </c>
      <c r="C45" s="173" t="s">
        <v>64</v>
      </c>
      <c r="D45" s="172" t="s">
        <v>509</v>
      </c>
      <c r="E45" s="173" t="s">
        <v>74</v>
      </c>
      <c r="F45" s="172" t="s">
        <v>510</v>
      </c>
      <c r="G45" s="172" t="s">
        <v>326</v>
      </c>
      <c r="H45" s="179">
        <v>3</v>
      </c>
      <c r="I45" s="179">
        <v>0</v>
      </c>
      <c r="J45" s="179">
        <v>0</v>
      </c>
      <c r="K45" s="180"/>
      <c r="L45" s="175"/>
      <c r="M45" s="175"/>
      <c r="N45" s="176">
        <v>0</v>
      </c>
      <c r="O45" s="181"/>
      <c r="P45" s="177"/>
      <c r="Q45" s="177"/>
    </row>
    <row r="46" spans="1:17" ht="15" customHeight="1" x14ac:dyDescent="0.25">
      <c r="A46" s="185">
        <v>38</v>
      </c>
      <c r="B46" s="172" t="s">
        <v>299</v>
      </c>
      <c r="C46" s="173" t="s">
        <v>62</v>
      </c>
      <c r="D46" s="222"/>
      <c r="E46" s="173" t="s">
        <v>158</v>
      </c>
      <c r="F46" s="172" t="s">
        <v>375</v>
      </c>
      <c r="G46" s="172" t="s">
        <v>326</v>
      </c>
      <c r="H46" s="179">
        <v>3</v>
      </c>
      <c r="I46" s="179">
        <v>1</v>
      </c>
      <c r="J46" s="179">
        <v>1</v>
      </c>
      <c r="K46" s="180">
        <f>704.8</f>
        <v>704.8</v>
      </c>
      <c r="L46" s="175">
        <f>704.8</f>
        <v>704.8</v>
      </c>
      <c r="M46" s="175">
        <f t="shared" ref="M46:M52" si="4">K46-L46</f>
        <v>0</v>
      </c>
      <c r="N46" s="176">
        <v>0</v>
      </c>
      <c r="O46" s="181"/>
      <c r="P46" s="177">
        <v>0</v>
      </c>
      <c r="Q46" s="177">
        <f>O46-P46</f>
        <v>0</v>
      </c>
    </row>
    <row r="47" spans="1:17" ht="15" customHeight="1" x14ac:dyDescent="0.25">
      <c r="A47" s="185">
        <v>39</v>
      </c>
      <c r="B47" s="172" t="s">
        <v>376</v>
      </c>
      <c r="C47" s="173" t="s">
        <v>62</v>
      </c>
      <c r="D47" s="222"/>
      <c r="E47" s="173" t="s">
        <v>74</v>
      </c>
      <c r="F47" s="172" t="s">
        <v>377</v>
      </c>
      <c r="G47" s="172" t="s">
        <v>326</v>
      </c>
      <c r="H47" s="179">
        <v>4</v>
      </c>
      <c r="I47" s="179">
        <v>3</v>
      </c>
      <c r="J47" s="179">
        <v>3</v>
      </c>
      <c r="K47" s="180">
        <f>1409.6+2643</f>
        <v>4052.6</v>
      </c>
      <c r="L47" s="175">
        <v>1409.6</v>
      </c>
      <c r="M47" s="175">
        <f t="shared" si="4"/>
        <v>2643</v>
      </c>
      <c r="N47" s="176">
        <v>0</v>
      </c>
      <c r="O47" s="181"/>
      <c r="P47" s="177"/>
      <c r="Q47" s="177"/>
    </row>
    <row r="48" spans="1:17" ht="15" customHeight="1" x14ac:dyDescent="0.25">
      <c r="A48" s="185">
        <v>40</v>
      </c>
      <c r="B48" s="172" t="s">
        <v>129</v>
      </c>
      <c r="C48" s="173" t="s">
        <v>62</v>
      </c>
      <c r="D48" s="222"/>
      <c r="E48" s="173" t="s">
        <v>74</v>
      </c>
      <c r="F48" s="172" t="s">
        <v>378</v>
      </c>
      <c r="G48" s="172" t="s">
        <v>326</v>
      </c>
      <c r="H48" s="179">
        <v>31</v>
      </c>
      <c r="I48" s="179">
        <v>13</v>
      </c>
      <c r="J48" s="179">
        <v>13</v>
      </c>
      <c r="K48" s="180">
        <f>7355.96+1306.55+4415.93+5710.35</f>
        <v>18788.79</v>
      </c>
      <c r="L48" s="175">
        <f>3615.96+5046.55+4415.93</f>
        <v>13078.44</v>
      </c>
      <c r="M48" s="175">
        <f t="shared" si="4"/>
        <v>5710.35</v>
      </c>
      <c r="N48" s="176">
        <v>24</v>
      </c>
      <c r="O48" s="181">
        <f>28417.04+2923.96+3402.23+528.6+3259.4</f>
        <v>38531.230000000003</v>
      </c>
      <c r="P48" s="182">
        <f>22002.43+5101.53+1313.08+2923.96+3402.23+528.6</f>
        <v>35271.83</v>
      </c>
      <c r="Q48" s="177">
        <f>O48-P48</f>
        <v>3259.4000000000015</v>
      </c>
    </row>
    <row r="49" spans="1:18" ht="15" customHeight="1" x14ac:dyDescent="0.25">
      <c r="A49" s="185">
        <v>41</v>
      </c>
      <c r="B49" s="172" t="s">
        <v>379</v>
      </c>
      <c r="C49" s="173" t="s">
        <v>62</v>
      </c>
      <c r="D49" s="222"/>
      <c r="E49" s="173" t="s">
        <v>158</v>
      </c>
      <c r="F49" s="172" t="s">
        <v>380</v>
      </c>
      <c r="G49" s="172" t="s">
        <v>326</v>
      </c>
      <c r="H49" s="179">
        <v>2</v>
      </c>
      <c r="I49" s="179">
        <v>1</v>
      </c>
      <c r="J49" s="179">
        <v>1</v>
      </c>
      <c r="K49" s="180">
        <v>704.8</v>
      </c>
      <c r="L49" s="175">
        <f>704.8</f>
        <v>704.8</v>
      </c>
      <c r="M49" s="175">
        <f t="shared" si="4"/>
        <v>0</v>
      </c>
      <c r="N49" s="176">
        <v>0</v>
      </c>
      <c r="O49" s="181"/>
      <c r="P49" s="177">
        <v>0</v>
      </c>
      <c r="Q49" s="177">
        <f>O49-P49</f>
        <v>0</v>
      </c>
    </row>
    <row r="50" spans="1:18" ht="15" customHeight="1" x14ac:dyDescent="0.25">
      <c r="A50" s="185">
        <v>42</v>
      </c>
      <c r="B50" s="172" t="s">
        <v>130</v>
      </c>
      <c r="C50" s="173" t="s">
        <v>62</v>
      </c>
      <c r="D50" s="222"/>
      <c r="E50" s="173" t="s">
        <v>74</v>
      </c>
      <c r="F50" s="172" t="s">
        <v>557</v>
      </c>
      <c r="G50" s="172" t="s">
        <v>326</v>
      </c>
      <c r="H50" s="179">
        <v>1</v>
      </c>
      <c r="I50" s="179">
        <v>0</v>
      </c>
      <c r="J50" s="179">
        <v>0</v>
      </c>
      <c r="K50" s="180"/>
      <c r="L50" s="175"/>
      <c r="M50" s="175">
        <f t="shared" si="4"/>
        <v>0</v>
      </c>
      <c r="N50" s="176">
        <v>2</v>
      </c>
      <c r="O50" s="181">
        <f>3700.2</f>
        <v>3700.2</v>
      </c>
      <c r="P50" s="177">
        <v>0</v>
      </c>
      <c r="Q50" s="177">
        <f>O50-P50</f>
        <v>3700.2</v>
      </c>
    </row>
    <row r="51" spans="1:18" ht="15" customHeight="1" x14ac:dyDescent="0.25">
      <c r="A51" s="185">
        <v>43</v>
      </c>
      <c r="B51" s="172" t="s">
        <v>382</v>
      </c>
      <c r="C51" s="173" t="s">
        <v>62</v>
      </c>
      <c r="D51" s="222"/>
      <c r="E51" s="173" t="s">
        <v>383</v>
      </c>
      <c r="F51" s="172" t="s">
        <v>384</v>
      </c>
      <c r="G51" s="172" t="s">
        <v>326</v>
      </c>
      <c r="H51" s="179">
        <v>1</v>
      </c>
      <c r="I51" s="179">
        <v>1</v>
      </c>
      <c r="J51" s="179">
        <v>1</v>
      </c>
      <c r="K51" s="180">
        <v>704.8</v>
      </c>
      <c r="L51" s="175">
        <f>187.75+517.05</f>
        <v>704.8</v>
      </c>
      <c r="M51" s="175">
        <f t="shared" si="4"/>
        <v>0</v>
      </c>
      <c r="N51" s="176">
        <v>0</v>
      </c>
      <c r="O51" s="181"/>
      <c r="P51" s="177">
        <v>0</v>
      </c>
      <c r="Q51" s="177">
        <f>O51-P51</f>
        <v>0</v>
      </c>
    </row>
    <row r="52" spans="1:18" ht="15" customHeight="1" x14ac:dyDescent="0.25">
      <c r="A52" s="185">
        <v>44</v>
      </c>
      <c r="B52" s="172" t="s">
        <v>385</v>
      </c>
      <c r="C52" s="173" t="s">
        <v>62</v>
      </c>
      <c r="D52" s="222"/>
      <c r="E52" s="178" t="s">
        <v>145</v>
      </c>
      <c r="F52" s="172" t="s">
        <v>386</v>
      </c>
      <c r="G52" s="172" t="s">
        <v>326</v>
      </c>
      <c r="H52" s="179">
        <v>11</v>
      </c>
      <c r="I52" s="179">
        <v>2</v>
      </c>
      <c r="J52" s="179">
        <v>2</v>
      </c>
      <c r="K52" s="180">
        <v>1762</v>
      </c>
      <c r="L52" s="175">
        <f>1057.2+704.8</f>
        <v>1762</v>
      </c>
      <c r="M52" s="175">
        <f t="shared" si="4"/>
        <v>0</v>
      </c>
      <c r="N52" s="176">
        <v>18</v>
      </c>
      <c r="O52" s="181">
        <v>9602.9</v>
      </c>
      <c r="P52" s="182">
        <f>9074.3+528.6</f>
        <v>9602.9</v>
      </c>
      <c r="Q52" s="177">
        <f>O52-P52</f>
        <v>0</v>
      </c>
    </row>
    <row r="53" spans="1:18" ht="15" customHeight="1" x14ac:dyDescent="0.25">
      <c r="A53" s="185">
        <v>45</v>
      </c>
      <c r="B53" s="172" t="s">
        <v>150</v>
      </c>
      <c r="C53" s="173" t="s">
        <v>62</v>
      </c>
      <c r="D53" s="222"/>
      <c r="E53" s="173" t="s">
        <v>74</v>
      </c>
      <c r="F53" s="172" t="s">
        <v>370</v>
      </c>
      <c r="G53" s="172" t="s">
        <v>326</v>
      </c>
      <c r="H53" s="179">
        <v>0</v>
      </c>
      <c r="I53" s="179">
        <v>0</v>
      </c>
      <c r="J53" s="179">
        <v>0</v>
      </c>
      <c r="K53" s="180"/>
      <c r="L53" s="175">
        <v>0</v>
      </c>
      <c r="M53" s="175">
        <v>0</v>
      </c>
      <c r="N53" s="176">
        <v>0</v>
      </c>
      <c r="O53" s="181"/>
      <c r="P53" s="182">
        <v>0</v>
      </c>
      <c r="Q53" s="177">
        <v>0</v>
      </c>
    </row>
    <row r="54" spans="1:18" ht="15" customHeight="1" x14ac:dyDescent="0.25">
      <c r="A54" s="185">
        <v>46</v>
      </c>
      <c r="B54" s="172" t="s">
        <v>387</v>
      </c>
      <c r="C54" s="173" t="s">
        <v>62</v>
      </c>
      <c r="D54" s="178"/>
      <c r="E54" s="173" t="s">
        <v>157</v>
      </c>
      <c r="F54" s="172" t="s">
        <v>388</v>
      </c>
      <c r="G54" s="172" t="s">
        <v>326</v>
      </c>
      <c r="H54" s="179">
        <v>0</v>
      </c>
      <c r="I54" s="179">
        <v>0</v>
      </c>
      <c r="J54" s="179">
        <v>0</v>
      </c>
      <c r="K54" s="187"/>
      <c r="L54" s="175">
        <v>0</v>
      </c>
      <c r="M54" s="175">
        <f>K54-L54</f>
        <v>0</v>
      </c>
      <c r="N54" s="176">
        <v>0</v>
      </c>
      <c r="O54" s="181"/>
      <c r="P54" s="177">
        <v>0</v>
      </c>
      <c r="Q54" s="177">
        <f>O54-P54</f>
        <v>0</v>
      </c>
    </row>
    <row r="55" spans="1:18" ht="15" customHeight="1" x14ac:dyDescent="0.25">
      <c r="A55" s="185">
        <v>47</v>
      </c>
      <c r="B55" s="172" t="s">
        <v>54</v>
      </c>
      <c r="C55" s="173" t="s">
        <v>62</v>
      </c>
      <c r="D55" s="178"/>
      <c r="E55" s="173" t="s">
        <v>338</v>
      </c>
      <c r="F55" s="172" t="s">
        <v>391</v>
      </c>
      <c r="G55" s="172" t="s">
        <v>326</v>
      </c>
      <c r="H55" s="179">
        <v>0</v>
      </c>
      <c r="I55" s="179">
        <v>0</v>
      </c>
      <c r="J55" s="178">
        <v>0</v>
      </c>
      <c r="K55" s="187"/>
      <c r="L55" s="175">
        <v>0</v>
      </c>
      <c r="M55" s="175">
        <f>K55-L55</f>
        <v>0</v>
      </c>
      <c r="N55" s="176">
        <v>0</v>
      </c>
      <c r="O55" s="181"/>
      <c r="P55" s="182">
        <v>0</v>
      </c>
      <c r="Q55" s="177">
        <f>O55-P55</f>
        <v>0</v>
      </c>
    </row>
    <row r="56" spans="1:18" ht="47.45" customHeight="1" x14ac:dyDescent="0.25">
      <c r="A56" s="186">
        <v>48</v>
      </c>
      <c r="B56" s="172" t="s">
        <v>131</v>
      </c>
      <c r="C56" s="173" t="s">
        <v>64</v>
      </c>
      <c r="D56" s="188" t="s">
        <v>392</v>
      </c>
      <c r="E56" s="173" t="s">
        <v>158</v>
      </c>
      <c r="F56" s="174" t="s">
        <v>393</v>
      </c>
      <c r="G56" s="172" t="s">
        <v>326</v>
      </c>
      <c r="H56" s="179">
        <v>0</v>
      </c>
      <c r="I56" s="179">
        <v>0</v>
      </c>
      <c r="J56" s="184">
        <v>0</v>
      </c>
      <c r="K56" s="178"/>
      <c r="L56" s="177">
        <v>0</v>
      </c>
      <c r="M56" s="177">
        <f>K56-L56</f>
        <v>0</v>
      </c>
      <c r="N56" s="174">
        <v>0</v>
      </c>
      <c r="O56" s="182"/>
      <c r="P56" s="177">
        <v>0</v>
      </c>
      <c r="Q56" s="177">
        <f>O56-P56</f>
        <v>0</v>
      </c>
    </row>
    <row r="57" spans="1:18" ht="25.5" x14ac:dyDescent="0.25">
      <c r="A57" s="190">
        <v>1</v>
      </c>
      <c r="B57" s="136" t="s">
        <v>134</v>
      </c>
      <c r="C57" s="136" t="s">
        <v>62</v>
      </c>
      <c r="D57" s="136"/>
      <c r="E57" s="136" t="s">
        <v>74</v>
      </c>
      <c r="F57" s="136" t="s">
        <v>408</v>
      </c>
      <c r="G57" s="136" t="s">
        <v>409</v>
      </c>
      <c r="H57" s="191">
        <v>24</v>
      </c>
      <c r="I57" s="191">
        <v>4</v>
      </c>
      <c r="J57" s="191">
        <v>4</v>
      </c>
      <c r="K57" s="192">
        <v>3910.4</v>
      </c>
      <c r="L57" s="192">
        <v>3910.4</v>
      </c>
      <c r="M57" s="193">
        <f t="shared" ref="M57:M99" si="5">K57-L57</f>
        <v>0</v>
      </c>
      <c r="N57" s="191">
        <v>5</v>
      </c>
      <c r="O57" s="192">
        <v>13457.2</v>
      </c>
      <c r="P57" s="192">
        <v>10109.4</v>
      </c>
      <c r="Q57" s="192">
        <f t="shared" ref="Q57:Q107" si="6">O57-P57</f>
        <v>3347.8000000000011</v>
      </c>
      <c r="R57" s="189"/>
    </row>
    <row r="58" spans="1:18" ht="25.5" x14ac:dyDescent="0.25">
      <c r="A58" s="190">
        <v>2</v>
      </c>
      <c r="B58" s="136" t="s">
        <v>335</v>
      </c>
      <c r="C58" s="136" t="s">
        <v>62</v>
      </c>
      <c r="D58" s="136"/>
      <c r="E58" s="136" t="s">
        <v>74</v>
      </c>
      <c r="F58" s="136" t="s">
        <v>410</v>
      </c>
      <c r="G58" s="136" t="s">
        <v>409</v>
      </c>
      <c r="H58" s="191">
        <v>9</v>
      </c>
      <c r="I58" s="191">
        <v>4</v>
      </c>
      <c r="J58" s="191">
        <v>4</v>
      </c>
      <c r="K58" s="192">
        <v>5146.8</v>
      </c>
      <c r="L58" s="192">
        <v>4089.6</v>
      </c>
      <c r="M58" s="193">
        <f t="shared" si="5"/>
        <v>1057.2000000000003</v>
      </c>
      <c r="N58" s="191">
        <v>8</v>
      </c>
      <c r="O58" s="192">
        <v>10652</v>
      </c>
      <c r="P58" s="192">
        <v>8185.2</v>
      </c>
      <c r="Q58" s="192">
        <f t="shared" si="6"/>
        <v>2466.8000000000002</v>
      </c>
      <c r="R58" s="189"/>
    </row>
    <row r="59" spans="1:18" ht="38.25" x14ac:dyDescent="0.25">
      <c r="A59" s="190">
        <v>3</v>
      </c>
      <c r="B59" s="136" t="s">
        <v>46</v>
      </c>
      <c r="C59" s="136" t="s">
        <v>62</v>
      </c>
      <c r="D59" s="136"/>
      <c r="E59" s="136" t="s">
        <v>267</v>
      </c>
      <c r="F59" s="136" t="s">
        <v>411</v>
      </c>
      <c r="G59" s="136" t="s">
        <v>409</v>
      </c>
      <c r="H59" s="191">
        <v>21</v>
      </c>
      <c r="I59" s="191">
        <v>7</v>
      </c>
      <c r="J59" s="191">
        <v>7</v>
      </c>
      <c r="K59" s="192">
        <v>9866.6</v>
      </c>
      <c r="L59" s="192">
        <v>4933.6000000000004</v>
      </c>
      <c r="M59" s="193">
        <f t="shared" si="5"/>
        <v>4933</v>
      </c>
      <c r="N59" s="191">
        <v>17</v>
      </c>
      <c r="O59" s="192">
        <v>25515.45</v>
      </c>
      <c r="P59" s="192">
        <v>14509.49</v>
      </c>
      <c r="Q59" s="192">
        <f t="shared" si="6"/>
        <v>11005.960000000001</v>
      </c>
      <c r="R59" s="189"/>
    </row>
    <row r="60" spans="1:18" ht="25.5" x14ac:dyDescent="0.25">
      <c r="A60" s="190">
        <v>4</v>
      </c>
      <c r="B60" s="136" t="s">
        <v>36</v>
      </c>
      <c r="C60" s="136" t="s">
        <v>62</v>
      </c>
      <c r="D60" s="136"/>
      <c r="E60" s="136" t="s">
        <v>74</v>
      </c>
      <c r="F60" s="136" t="s">
        <v>412</v>
      </c>
      <c r="G60" s="136" t="s">
        <v>409</v>
      </c>
      <c r="H60" s="191">
        <v>20</v>
      </c>
      <c r="I60" s="191">
        <v>10</v>
      </c>
      <c r="J60" s="191">
        <v>10</v>
      </c>
      <c r="K60" s="192">
        <v>14906.52</v>
      </c>
      <c r="L60" s="192">
        <v>7682.32</v>
      </c>
      <c r="M60" s="193">
        <f t="shared" si="5"/>
        <v>7224.2000000000007</v>
      </c>
      <c r="N60" s="191">
        <v>12</v>
      </c>
      <c r="O60" s="192">
        <v>34112.32</v>
      </c>
      <c r="P60" s="192">
        <v>22165.96</v>
      </c>
      <c r="Q60" s="192">
        <f t="shared" si="6"/>
        <v>11946.36</v>
      </c>
      <c r="R60" s="189"/>
    </row>
    <row r="61" spans="1:18" ht="25.5" x14ac:dyDescent="0.25">
      <c r="A61" s="190">
        <v>5</v>
      </c>
      <c r="B61" s="136" t="s">
        <v>27</v>
      </c>
      <c r="C61" s="136" t="s">
        <v>62</v>
      </c>
      <c r="D61" s="136"/>
      <c r="E61" s="136" t="s">
        <v>74</v>
      </c>
      <c r="F61" s="136" t="s">
        <v>413</v>
      </c>
      <c r="G61" s="136" t="s">
        <v>409</v>
      </c>
      <c r="H61" s="191">
        <v>8</v>
      </c>
      <c r="I61" s="191">
        <v>3</v>
      </c>
      <c r="J61" s="191">
        <v>3</v>
      </c>
      <c r="K61" s="192">
        <v>5051.82</v>
      </c>
      <c r="L61" s="192">
        <v>2761.22</v>
      </c>
      <c r="M61" s="193">
        <f t="shared" si="5"/>
        <v>2290.6</v>
      </c>
      <c r="N61" s="191">
        <v>8</v>
      </c>
      <c r="O61" s="192">
        <v>16676.7</v>
      </c>
      <c r="P61" s="192">
        <v>12712.3</v>
      </c>
      <c r="Q61" s="192">
        <f t="shared" si="6"/>
        <v>3964.4000000000015</v>
      </c>
      <c r="R61" s="189"/>
    </row>
    <row r="62" spans="1:18" ht="25.5" x14ac:dyDescent="0.25">
      <c r="A62" s="190">
        <v>6</v>
      </c>
      <c r="B62" s="136" t="s">
        <v>28</v>
      </c>
      <c r="C62" s="136" t="s">
        <v>62</v>
      </c>
      <c r="D62" s="136"/>
      <c r="E62" s="136" t="s">
        <v>74</v>
      </c>
      <c r="F62" s="136" t="s">
        <v>414</v>
      </c>
      <c r="G62" s="136" t="s">
        <v>409</v>
      </c>
      <c r="H62" s="191">
        <v>26</v>
      </c>
      <c r="I62" s="191">
        <v>7</v>
      </c>
      <c r="J62" s="191">
        <v>7</v>
      </c>
      <c r="K62" s="192">
        <v>7858.52</v>
      </c>
      <c r="L62" s="192">
        <v>7858.52</v>
      </c>
      <c r="M62" s="193">
        <f t="shared" si="5"/>
        <v>0</v>
      </c>
      <c r="N62" s="191">
        <v>7</v>
      </c>
      <c r="O62" s="192">
        <v>12334</v>
      </c>
      <c r="P62" s="192">
        <v>9867.2000000000007</v>
      </c>
      <c r="Q62" s="192">
        <f t="shared" si="6"/>
        <v>2466.7999999999993</v>
      </c>
      <c r="R62" s="189"/>
    </row>
    <row r="63" spans="1:18" ht="25.5" x14ac:dyDescent="0.25">
      <c r="A63" s="190">
        <v>7</v>
      </c>
      <c r="B63" s="194" t="s">
        <v>246</v>
      </c>
      <c r="C63" s="194" t="s">
        <v>62</v>
      </c>
      <c r="D63" s="194"/>
      <c r="E63" s="136" t="s">
        <v>74</v>
      </c>
      <c r="F63" s="194" t="s">
        <v>415</v>
      </c>
      <c r="G63" s="136" t="s">
        <v>409</v>
      </c>
      <c r="H63" s="191">
        <v>24</v>
      </c>
      <c r="I63" s="191">
        <v>2</v>
      </c>
      <c r="J63" s="191">
        <v>2</v>
      </c>
      <c r="K63" s="192">
        <v>1374.36</v>
      </c>
      <c r="L63" s="192">
        <v>1374.36</v>
      </c>
      <c r="M63" s="193">
        <f t="shared" si="5"/>
        <v>0</v>
      </c>
      <c r="N63" s="191">
        <v>0</v>
      </c>
      <c r="O63" s="192">
        <v>0</v>
      </c>
      <c r="P63" s="192">
        <v>0</v>
      </c>
      <c r="Q63" s="192">
        <f t="shared" si="6"/>
        <v>0</v>
      </c>
      <c r="R63" s="189"/>
    </row>
    <row r="64" spans="1:18" ht="25.5" x14ac:dyDescent="0.25">
      <c r="A64" s="203">
        <v>8</v>
      </c>
      <c r="B64" s="195" t="s">
        <v>330</v>
      </c>
      <c r="C64" s="194" t="s">
        <v>62</v>
      </c>
      <c r="D64" s="194"/>
      <c r="E64" s="136" t="s">
        <v>74</v>
      </c>
      <c r="F64" s="194" t="s">
        <v>416</v>
      </c>
      <c r="G64" s="136" t="s">
        <v>409</v>
      </c>
      <c r="H64" s="191">
        <v>5</v>
      </c>
      <c r="I64" s="191">
        <v>0</v>
      </c>
      <c r="J64" s="191">
        <v>0</v>
      </c>
      <c r="K64" s="192">
        <v>0</v>
      </c>
      <c r="L64" s="192">
        <v>0</v>
      </c>
      <c r="M64" s="193">
        <f t="shared" si="5"/>
        <v>0</v>
      </c>
      <c r="N64" s="191">
        <v>0</v>
      </c>
      <c r="O64" s="192">
        <v>0</v>
      </c>
      <c r="P64" s="192">
        <v>0</v>
      </c>
      <c r="Q64" s="192">
        <f t="shared" si="6"/>
        <v>0</v>
      </c>
      <c r="R64" s="189"/>
    </row>
    <row r="65" spans="1:18" ht="25.5" x14ac:dyDescent="0.25">
      <c r="A65" s="203">
        <v>9</v>
      </c>
      <c r="B65" s="195" t="s">
        <v>402</v>
      </c>
      <c r="C65" s="194" t="s">
        <v>62</v>
      </c>
      <c r="D65" s="194"/>
      <c r="E65" s="136" t="s">
        <v>74</v>
      </c>
      <c r="F65" s="194" t="s">
        <v>417</v>
      </c>
      <c r="G65" s="136" t="s">
        <v>409</v>
      </c>
      <c r="H65" s="191">
        <v>13</v>
      </c>
      <c r="I65" s="191">
        <v>4</v>
      </c>
      <c r="J65" s="191">
        <v>4</v>
      </c>
      <c r="K65" s="192">
        <v>4968.82</v>
      </c>
      <c r="L65" s="192">
        <v>2114.4</v>
      </c>
      <c r="M65" s="193">
        <f t="shared" si="5"/>
        <v>2854.4199999999996</v>
      </c>
      <c r="N65" s="191">
        <v>0</v>
      </c>
      <c r="O65" s="192">
        <v>0</v>
      </c>
      <c r="P65" s="192">
        <v>0</v>
      </c>
      <c r="Q65" s="192">
        <f t="shared" si="6"/>
        <v>0</v>
      </c>
      <c r="R65" s="189"/>
    </row>
    <row r="66" spans="1:18" ht="25.5" x14ac:dyDescent="0.25">
      <c r="A66" s="203">
        <v>10</v>
      </c>
      <c r="B66" s="195" t="s">
        <v>154</v>
      </c>
      <c r="C66" s="194" t="s">
        <v>62</v>
      </c>
      <c r="D66" s="194"/>
      <c r="E66" s="136" t="s">
        <v>72</v>
      </c>
      <c r="F66" s="194" t="s">
        <v>418</v>
      </c>
      <c r="G66" s="136" t="s">
        <v>409</v>
      </c>
      <c r="H66" s="191">
        <v>7</v>
      </c>
      <c r="I66" s="191">
        <v>0</v>
      </c>
      <c r="J66" s="191">
        <v>0</v>
      </c>
      <c r="K66" s="192">
        <v>0</v>
      </c>
      <c r="L66" s="192">
        <v>0</v>
      </c>
      <c r="M66" s="193">
        <f t="shared" si="5"/>
        <v>0</v>
      </c>
      <c r="N66" s="191">
        <v>5</v>
      </c>
      <c r="O66" s="192">
        <v>4737.8999999999996</v>
      </c>
      <c r="P66" s="192">
        <v>4737.8999999999996</v>
      </c>
      <c r="Q66" s="192">
        <f t="shared" si="6"/>
        <v>0</v>
      </c>
      <c r="R66" s="189"/>
    </row>
    <row r="67" spans="1:18" ht="25.5" x14ac:dyDescent="0.25">
      <c r="A67" s="203">
        <v>11</v>
      </c>
      <c r="B67" s="195" t="s">
        <v>153</v>
      </c>
      <c r="C67" s="194" t="s">
        <v>62</v>
      </c>
      <c r="D67" s="194"/>
      <c r="E67" s="136" t="s">
        <v>74</v>
      </c>
      <c r="F67" s="194" t="s">
        <v>419</v>
      </c>
      <c r="G67" s="136" t="s">
        <v>409</v>
      </c>
      <c r="H67" s="191">
        <v>4</v>
      </c>
      <c r="I67" s="191">
        <v>0</v>
      </c>
      <c r="J67" s="191">
        <v>0</v>
      </c>
      <c r="K67" s="192">
        <v>0</v>
      </c>
      <c r="L67" s="192">
        <v>0</v>
      </c>
      <c r="M67" s="193">
        <f t="shared" si="5"/>
        <v>0</v>
      </c>
      <c r="N67" s="191">
        <v>5</v>
      </c>
      <c r="O67" s="192">
        <v>18053.7</v>
      </c>
      <c r="P67" s="192">
        <v>15237.6</v>
      </c>
      <c r="Q67" s="192">
        <f t="shared" si="6"/>
        <v>2816.1000000000004</v>
      </c>
      <c r="R67" s="189"/>
    </row>
    <row r="68" spans="1:18" ht="25.5" x14ac:dyDescent="0.25">
      <c r="A68" s="203">
        <v>12</v>
      </c>
      <c r="B68" s="195" t="s">
        <v>89</v>
      </c>
      <c r="C68" s="194" t="s">
        <v>62</v>
      </c>
      <c r="D68" s="194"/>
      <c r="E68" s="136" t="s">
        <v>74</v>
      </c>
      <c r="F68" s="194" t="s">
        <v>420</v>
      </c>
      <c r="G68" s="136" t="s">
        <v>409</v>
      </c>
      <c r="H68" s="191">
        <v>8</v>
      </c>
      <c r="I68" s="191">
        <v>1</v>
      </c>
      <c r="J68" s="191">
        <v>1</v>
      </c>
      <c r="K68" s="192">
        <v>528.6</v>
      </c>
      <c r="L68" s="192">
        <v>528.6</v>
      </c>
      <c r="M68" s="193">
        <f t="shared" si="5"/>
        <v>0</v>
      </c>
      <c r="N68" s="191">
        <v>2</v>
      </c>
      <c r="O68" s="192">
        <v>4052.6</v>
      </c>
      <c r="P68" s="192">
        <v>4052.6</v>
      </c>
      <c r="Q68" s="192">
        <f t="shared" si="6"/>
        <v>0</v>
      </c>
      <c r="R68" s="189"/>
    </row>
    <row r="69" spans="1:18" ht="25.5" x14ac:dyDescent="0.25">
      <c r="A69" s="203">
        <v>13</v>
      </c>
      <c r="B69" s="195" t="s">
        <v>379</v>
      </c>
      <c r="C69" s="194" t="s">
        <v>62</v>
      </c>
      <c r="D69" s="194"/>
      <c r="E69" s="136" t="s">
        <v>74</v>
      </c>
      <c r="F69" s="194" t="s">
        <v>421</v>
      </c>
      <c r="G69" s="136" t="s">
        <v>409</v>
      </c>
      <c r="H69" s="191">
        <v>5</v>
      </c>
      <c r="I69" s="191">
        <v>2</v>
      </c>
      <c r="J69" s="191">
        <v>2</v>
      </c>
      <c r="K69" s="192">
        <v>1409.6</v>
      </c>
      <c r="L69" s="192">
        <v>1409.6</v>
      </c>
      <c r="M69" s="193">
        <f t="shared" si="5"/>
        <v>0</v>
      </c>
      <c r="N69" s="191">
        <v>0</v>
      </c>
      <c r="O69" s="192">
        <v>0</v>
      </c>
      <c r="P69" s="192">
        <v>0</v>
      </c>
      <c r="Q69" s="192">
        <f t="shared" si="6"/>
        <v>0</v>
      </c>
      <c r="R69" s="189"/>
    </row>
    <row r="70" spans="1:18" ht="25.5" x14ac:dyDescent="0.25">
      <c r="A70" s="203">
        <v>14</v>
      </c>
      <c r="B70" s="195" t="s">
        <v>264</v>
      </c>
      <c r="C70" s="194" t="s">
        <v>62</v>
      </c>
      <c r="D70" s="194"/>
      <c r="E70" s="136" t="s">
        <v>74</v>
      </c>
      <c r="F70" s="194" t="s">
        <v>422</v>
      </c>
      <c r="G70" s="136" t="s">
        <v>409</v>
      </c>
      <c r="H70" s="191">
        <v>3</v>
      </c>
      <c r="I70" s="191">
        <v>0</v>
      </c>
      <c r="J70" s="191">
        <v>0</v>
      </c>
      <c r="K70" s="192">
        <v>0</v>
      </c>
      <c r="L70" s="192">
        <v>0</v>
      </c>
      <c r="M70" s="193">
        <f t="shared" si="5"/>
        <v>0</v>
      </c>
      <c r="N70" s="191">
        <v>0</v>
      </c>
      <c r="O70" s="192">
        <v>0</v>
      </c>
      <c r="P70" s="192">
        <v>0</v>
      </c>
      <c r="Q70" s="192">
        <f t="shared" si="6"/>
        <v>0</v>
      </c>
      <c r="R70" s="189"/>
    </row>
    <row r="71" spans="1:18" ht="25.5" x14ac:dyDescent="0.25">
      <c r="A71" s="203">
        <v>15</v>
      </c>
      <c r="B71" s="195" t="s">
        <v>475</v>
      </c>
      <c r="C71" s="194" t="s">
        <v>67</v>
      </c>
      <c r="D71" s="136" t="s">
        <v>123</v>
      </c>
      <c r="E71" s="136" t="s">
        <v>82</v>
      </c>
      <c r="F71" s="194" t="s">
        <v>423</v>
      </c>
      <c r="G71" s="136" t="s">
        <v>409</v>
      </c>
      <c r="H71" s="191">
        <v>3</v>
      </c>
      <c r="I71" s="191">
        <v>0</v>
      </c>
      <c r="J71" s="191">
        <v>0</v>
      </c>
      <c r="K71" s="192">
        <v>0</v>
      </c>
      <c r="L71" s="192">
        <v>0</v>
      </c>
      <c r="M71" s="193">
        <f t="shared" si="5"/>
        <v>0</v>
      </c>
      <c r="N71" s="191">
        <v>0</v>
      </c>
      <c r="O71" s="192">
        <v>0</v>
      </c>
      <c r="P71" s="192">
        <v>0</v>
      </c>
      <c r="Q71" s="192">
        <f t="shared" si="6"/>
        <v>0</v>
      </c>
      <c r="R71" s="189"/>
    </row>
    <row r="72" spans="1:18" ht="25.5" x14ac:dyDescent="0.25">
      <c r="A72" s="203">
        <v>16</v>
      </c>
      <c r="B72" s="195" t="s">
        <v>137</v>
      </c>
      <c r="C72" s="194" t="s">
        <v>62</v>
      </c>
      <c r="D72" s="194"/>
      <c r="E72" s="136" t="s">
        <v>78</v>
      </c>
      <c r="F72" s="194" t="s">
        <v>424</v>
      </c>
      <c r="G72" s="136" t="s">
        <v>409</v>
      </c>
      <c r="H72" s="191">
        <v>4</v>
      </c>
      <c r="I72" s="191">
        <v>1</v>
      </c>
      <c r="J72" s="191">
        <v>1</v>
      </c>
      <c r="K72" s="192">
        <v>1691.52</v>
      </c>
      <c r="L72" s="192">
        <v>1691.52</v>
      </c>
      <c r="M72" s="193">
        <f t="shared" si="5"/>
        <v>0</v>
      </c>
      <c r="N72" s="191">
        <v>0</v>
      </c>
      <c r="O72" s="192">
        <v>0</v>
      </c>
      <c r="P72" s="192">
        <v>0</v>
      </c>
      <c r="Q72" s="192">
        <f t="shared" si="6"/>
        <v>0</v>
      </c>
      <c r="R72" s="189"/>
    </row>
    <row r="73" spans="1:18" ht="25.5" x14ac:dyDescent="0.25">
      <c r="A73" s="203">
        <v>17</v>
      </c>
      <c r="B73" s="195" t="s">
        <v>173</v>
      </c>
      <c r="C73" s="194" t="s">
        <v>67</v>
      </c>
      <c r="D73" s="194" t="s">
        <v>425</v>
      </c>
      <c r="E73" s="136" t="s">
        <v>74</v>
      </c>
      <c r="F73" s="194" t="s">
        <v>426</v>
      </c>
      <c r="G73" s="136" t="s">
        <v>409</v>
      </c>
      <c r="H73" s="191">
        <v>12</v>
      </c>
      <c r="I73" s="191">
        <v>2</v>
      </c>
      <c r="J73" s="191">
        <v>2</v>
      </c>
      <c r="K73" s="192">
        <v>2114.4</v>
      </c>
      <c r="L73" s="192">
        <v>2114.4</v>
      </c>
      <c r="M73" s="193">
        <f t="shared" si="5"/>
        <v>0</v>
      </c>
      <c r="N73" s="191">
        <v>0</v>
      </c>
      <c r="O73" s="192">
        <v>0</v>
      </c>
      <c r="P73" s="192">
        <v>0</v>
      </c>
      <c r="Q73" s="192">
        <f t="shared" si="6"/>
        <v>0</v>
      </c>
      <c r="R73" s="189"/>
    </row>
    <row r="74" spans="1:18" ht="25.5" x14ac:dyDescent="0.25">
      <c r="A74" s="203">
        <v>18</v>
      </c>
      <c r="B74" s="195" t="s">
        <v>135</v>
      </c>
      <c r="C74" s="194" t="s">
        <v>62</v>
      </c>
      <c r="D74" s="194"/>
      <c r="E74" s="136" t="s">
        <v>74</v>
      </c>
      <c r="F74" s="194" t="s">
        <v>427</v>
      </c>
      <c r="G74" s="136" t="s">
        <v>409</v>
      </c>
      <c r="H74" s="191">
        <v>2</v>
      </c>
      <c r="I74" s="191">
        <v>2</v>
      </c>
      <c r="J74" s="191">
        <v>2</v>
      </c>
      <c r="K74" s="192">
        <v>2396.3200000000002</v>
      </c>
      <c r="L74" s="192">
        <v>1691.52</v>
      </c>
      <c r="M74" s="193">
        <f t="shared" si="5"/>
        <v>704.80000000000018</v>
      </c>
      <c r="N74" s="191">
        <v>4</v>
      </c>
      <c r="O74" s="192">
        <v>12758.52</v>
      </c>
      <c r="P74" s="192"/>
      <c r="Q74" s="192">
        <f t="shared" si="6"/>
        <v>12758.52</v>
      </c>
      <c r="R74" s="189"/>
    </row>
    <row r="75" spans="1:18" ht="25.5" x14ac:dyDescent="0.25">
      <c r="A75" s="203">
        <v>19</v>
      </c>
      <c r="B75" s="195" t="s">
        <v>148</v>
      </c>
      <c r="C75" s="194" t="s">
        <v>62</v>
      </c>
      <c r="D75" s="194"/>
      <c r="E75" s="136" t="s">
        <v>149</v>
      </c>
      <c r="F75" s="194" t="s">
        <v>375</v>
      </c>
      <c r="G75" s="136" t="s">
        <v>409</v>
      </c>
      <c r="H75" s="191">
        <v>16</v>
      </c>
      <c r="I75" s="191">
        <v>0</v>
      </c>
      <c r="J75" s="191">
        <v>0</v>
      </c>
      <c r="K75" s="192">
        <v>0</v>
      </c>
      <c r="L75" s="192">
        <v>0</v>
      </c>
      <c r="M75" s="193">
        <f t="shared" si="5"/>
        <v>0</v>
      </c>
      <c r="N75" s="191">
        <v>12</v>
      </c>
      <c r="O75" s="192">
        <v>34273.480000000003</v>
      </c>
      <c r="P75" s="192">
        <v>22187.47</v>
      </c>
      <c r="Q75" s="192">
        <f t="shared" si="6"/>
        <v>12086.010000000002</v>
      </c>
      <c r="R75" s="189"/>
    </row>
    <row r="76" spans="1:18" ht="25.5" x14ac:dyDescent="0.25">
      <c r="A76" s="203">
        <v>20</v>
      </c>
      <c r="B76" s="195" t="s">
        <v>147</v>
      </c>
      <c r="C76" s="194" t="s">
        <v>62</v>
      </c>
      <c r="D76" s="194"/>
      <c r="E76" s="136" t="s">
        <v>74</v>
      </c>
      <c r="F76" s="194" t="s">
        <v>331</v>
      </c>
      <c r="G76" s="136" t="s">
        <v>409</v>
      </c>
      <c r="H76" s="191">
        <v>4</v>
      </c>
      <c r="I76" s="191">
        <v>0</v>
      </c>
      <c r="J76" s="191">
        <v>0</v>
      </c>
      <c r="K76" s="192">
        <v>0</v>
      </c>
      <c r="L76" s="192">
        <v>0</v>
      </c>
      <c r="M76" s="193">
        <f t="shared" si="5"/>
        <v>0</v>
      </c>
      <c r="N76" s="191">
        <v>6</v>
      </c>
      <c r="O76" s="192">
        <v>10763.2</v>
      </c>
      <c r="P76" s="192">
        <v>8120.2</v>
      </c>
      <c r="Q76" s="192">
        <f t="shared" si="6"/>
        <v>2643.0000000000009</v>
      </c>
      <c r="R76" s="189"/>
    </row>
    <row r="77" spans="1:18" ht="25.5" x14ac:dyDescent="0.25">
      <c r="A77" s="203">
        <v>21</v>
      </c>
      <c r="B77" s="195" t="s">
        <v>124</v>
      </c>
      <c r="C77" s="194" t="s">
        <v>62</v>
      </c>
      <c r="D77" s="194"/>
      <c r="E77" s="136" t="s">
        <v>428</v>
      </c>
      <c r="F77" s="194" t="s">
        <v>329</v>
      </c>
      <c r="G77" s="136" t="s">
        <v>409</v>
      </c>
      <c r="H77" s="191">
        <v>15</v>
      </c>
      <c r="I77" s="191">
        <v>1</v>
      </c>
      <c r="J77" s="191">
        <v>1</v>
      </c>
      <c r="K77" s="192">
        <v>1762</v>
      </c>
      <c r="L77" s="192">
        <v>0</v>
      </c>
      <c r="M77" s="193">
        <f t="shared" si="5"/>
        <v>1762</v>
      </c>
      <c r="N77" s="191">
        <v>17</v>
      </c>
      <c r="O77" s="192">
        <v>20373.14</v>
      </c>
      <c r="P77" s="192">
        <v>8061.16</v>
      </c>
      <c r="Q77" s="192">
        <f t="shared" si="6"/>
        <v>12311.98</v>
      </c>
      <c r="R77" s="189"/>
    </row>
    <row r="78" spans="1:18" ht="25.5" x14ac:dyDescent="0.25">
      <c r="A78" s="203">
        <v>22</v>
      </c>
      <c r="B78" s="195" t="s">
        <v>168</v>
      </c>
      <c r="C78" s="194" t="s">
        <v>62</v>
      </c>
      <c r="D78" s="194"/>
      <c r="E78" s="194" t="s">
        <v>371</v>
      </c>
      <c r="F78" s="194" t="s">
        <v>353</v>
      </c>
      <c r="G78" s="136" t="s">
        <v>409</v>
      </c>
      <c r="H78" s="191">
        <v>6</v>
      </c>
      <c r="I78" s="191">
        <v>1</v>
      </c>
      <c r="J78" s="191">
        <v>1</v>
      </c>
      <c r="K78" s="192">
        <v>1409.6</v>
      </c>
      <c r="L78" s="192">
        <v>0</v>
      </c>
      <c r="M78" s="193">
        <f t="shared" si="5"/>
        <v>1409.6</v>
      </c>
      <c r="N78" s="191">
        <v>0</v>
      </c>
      <c r="O78" s="192">
        <v>0</v>
      </c>
      <c r="P78" s="192">
        <v>0</v>
      </c>
      <c r="Q78" s="192">
        <f t="shared" si="6"/>
        <v>0</v>
      </c>
      <c r="R78" s="189"/>
    </row>
    <row r="79" spans="1:18" ht="25.5" x14ac:dyDescent="0.25">
      <c r="A79" s="203">
        <v>23</v>
      </c>
      <c r="B79" s="195" t="s">
        <v>429</v>
      </c>
      <c r="C79" s="194" t="s">
        <v>62</v>
      </c>
      <c r="D79" s="194"/>
      <c r="E79" s="136" t="s">
        <v>74</v>
      </c>
      <c r="F79" s="194" t="s">
        <v>430</v>
      </c>
      <c r="G79" s="136" t="s">
        <v>409</v>
      </c>
      <c r="H79" s="191">
        <v>5</v>
      </c>
      <c r="I79" s="191">
        <v>2</v>
      </c>
      <c r="J79" s="191">
        <v>2</v>
      </c>
      <c r="K79" s="192">
        <v>2748.72</v>
      </c>
      <c r="L79" s="192">
        <v>1691.52</v>
      </c>
      <c r="M79" s="193">
        <f t="shared" si="5"/>
        <v>1057.1999999999998</v>
      </c>
      <c r="N79" s="191">
        <v>4</v>
      </c>
      <c r="O79" s="192">
        <v>3488.76</v>
      </c>
      <c r="P79" s="192">
        <v>528.6</v>
      </c>
      <c r="Q79" s="192">
        <f t="shared" si="6"/>
        <v>2960.1600000000003</v>
      </c>
      <c r="R79" s="189"/>
    </row>
    <row r="80" spans="1:18" ht="25.5" x14ac:dyDescent="0.25">
      <c r="A80" s="203">
        <v>24</v>
      </c>
      <c r="B80" s="195" t="s">
        <v>130</v>
      </c>
      <c r="C80" s="194" t="s">
        <v>62</v>
      </c>
      <c r="D80" s="194"/>
      <c r="E80" s="136" t="s">
        <v>74</v>
      </c>
      <c r="F80" s="194" t="s">
        <v>431</v>
      </c>
      <c r="G80" s="136" t="s">
        <v>409</v>
      </c>
      <c r="H80" s="191">
        <v>4</v>
      </c>
      <c r="I80" s="191">
        <v>4</v>
      </c>
      <c r="J80" s="191">
        <v>4</v>
      </c>
      <c r="K80" s="192">
        <v>5204.2</v>
      </c>
      <c r="L80" s="192">
        <v>5204.2</v>
      </c>
      <c r="M80" s="193">
        <f t="shared" si="5"/>
        <v>0</v>
      </c>
      <c r="N80" s="191">
        <v>1</v>
      </c>
      <c r="O80" s="192">
        <v>845.76</v>
      </c>
      <c r="P80" s="192">
        <v>845.76</v>
      </c>
      <c r="Q80" s="192">
        <f t="shared" si="6"/>
        <v>0</v>
      </c>
      <c r="R80" s="189"/>
    </row>
    <row r="81" spans="1:18" ht="25.5" x14ac:dyDescent="0.25">
      <c r="A81" s="203">
        <v>25</v>
      </c>
      <c r="B81" s="195" t="s">
        <v>32</v>
      </c>
      <c r="C81" s="194" t="s">
        <v>62</v>
      </c>
      <c r="D81" s="194"/>
      <c r="E81" s="136" t="s">
        <v>74</v>
      </c>
      <c r="F81" s="194" t="s">
        <v>432</v>
      </c>
      <c r="G81" s="136" t="s">
        <v>409</v>
      </c>
      <c r="H81" s="191">
        <v>8</v>
      </c>
      <c r="I81" s="191">
        <v>2</v>
      </c>
      <c r="J81" s="191">
        <v>2</v>
      </c>
      <c r="K81" s="192">
        <v>2114.4</v>
      </c>
      <c r="L81" s="192">
        <v>2114.4</v>
      </c>
      <c r="M81" s="193">
        <f t="shared" si="5"/>
        <v>0</v>
      </c>
      <c r="N81" s="191">
        <v>4</v>
      </c>
      <c r="O81" s="192">
        <v>4581.2</v>
      </c>
      <c r="P81" s="192">
        <v>4581.2</v>
      </c>
      <c r="Q81" s="192">
        <f t="shared" si="6"/>
        <v>0</v>
      </c>
      <c r="R81" s="189"/>
    </row>
    <row r="82" spans="1:18" ht="25.5" x14ac:dyDescent="0.25">
      <c r="A82" s="203">
        <v>26</v>
      </c>
      <c r="B82" s="195" t="s">
        <v>343</v>
      </c>
      <c r="C82" s="194" t="s">
        <v>62</v>
      </c>
      <c r="D82" s="194"/>
      <c r="E82" s="136" t="s">
        <v>74</v>
      </c>
      <c r="F82" s="194" t="s">
        <v>433</v>
      </c>
      <c r="G82" s="136" t="s">
        <v>409</v>
      </c>
      <c r="H82" s="191">
        <v>8</v>
      </c>
      <c r="I82" s="191">
        <v>2</v>
      </c>
      <c r="J82" s="191">
        <v>2</v>
      </c>
      <c r="K82" s="192">
        <v>2114.4</v>
      </c>
      <c r="L82" s="192">
        <v>0</v>
      </c>
      <c r="M82" s="193">
        <f t="shared" si="5"/>
        <v>2114.4</v>
      </c>
      <c r="N82" s="191">
        <v>0</v>
      </c>
      <c r="O82" s="192">
        <v>0</v>
      </c>
      <c r="P82" s="192">
        <v>0</v>
      </c>
      <c r="Q82" s="192">
        <f t="shared" si="6"/>
        <v>0</v>
      </c>
      <c r="R82" s="189"/>
    </row>
    <row r="83" spans="1:18" ht="25.5" x14ac:dyDescent="0.25">
      <c r="A83" s="203">
        <v>27</v>
      </c>
      <c r="B83" s="195" t="s">
        <v>290</v>
      </c>
      <c r="C83" s="194" t="s">
        <v>62</v>
      </c>
      <c r="D83" s="194"/>
      <c r="E83" s="194" t="s">
        <v>371</v>
      </c>
      <c r="F83" s="194" t="s">
        <v>434</v>
      </c>
      <c r="G83" s="136" t="s">
        <v>409</v>
      </c>
      <c r="H83" s="191">
        <v>3</v>
      </c>
      <c r="I83" s="191">
        <v>0</v>
      </c>
      <c r="J83" s="191">
        <v>0</v>
      </c>
      <c r="K83" s="192">
        <v>0</v>
      </c>
      <c r="L83" s="192">
        <v>0</v>
      </c>
      <c r="M83" s="193">
        <f t="shared" si="5"/>
        <v>0</v>
      </c>
      <c r="N83" s="191">
        <v>0</v>
      </c>
      <c r="O83" s="192">
        <v>0</v>
      </c>
      <c r="P83" s="192">
        <v>0</v>
      </c>
      <c r="Q83" s="192">
        <f t="shared" si="6"/>
        <v>0</v>
      </c>
      <c r="R83" s="189"/>
    </row>
    <row r="84" spans="1:18" ht="25.5" x14ac:dyDescent="0.25">
      <c r="A84" s="203">
        <v>28</v>
      </c>
      <c r="B84" s="195" t="s">
        <v>315</v>
      </c>
      <c r="C84" s="194" t="s">
        <v>62</v>
      </c>
      <c r="D84" s="194"/>
      <c r="E84" s="136" t="s">
        <v>74</v>
      </c>
      <c r="F84" s="194" t="s">
        <v>435</v>
      </c>
      <c r="G84" s="136" t="s">
        <v>409</v>
      </c>
      <c r="H84" s="191">
        <v>12</v>
      </c>
      <c r="I84" s="191">
        <v>0</v>
      </c>
      <c r="J84" s="191">
        <v>0</v>
      </c>
      <c r="K84" s="192">
        <v>0</v>
      </c>
      <c r="L84" s="192">
        <v>0</v>
      </c>
      <c r="M84" s="193">
        <f t="shared" si="5"/>
        <v>0</v>
      </c>
      <c r="N84" s="191">
        <v>4</v>
      </c>
      <c r="O84" s="192">
        <v>5622.22</v>
      </c>
      <c r="P84" s="192">
        <v>1386.2</v>
      </c>
      <c r="Q84" s="192">
        <f t="shared" si="6"/>
        <v>4236.0200000000004</v>
      </c>
      <c r="R84" s="189"/>
    </row>
    <row r="85" spans="1:18" ht="25.5" x14ac:dyDescent="0.25">
      <c r="A85" s="203">
        <v>29</v>
      </c>
      <c r="B85" s="195" t="s">
        <v>216</v>
      </c>
      <c r="C85" s="194" t="s">
        <v>67</v>
      </c>
      <c r="D85" s="194" t="s">
        <v>436</v>
      </c>
      <c r="E85" s="136" t="s">
        <v>74</v>
      </c>
      <c r="F85" s="194" t="s">
        <v>437</v>
      </c>
      <c r="G85" s="136" t="s">
        <v>409</v>
      </c>
      <c r="H85" s="191">
        <v>15</v>
      </c>
      <c r="I85" s="191">
        <v>3</v>
      </c>
      <c r="J85" s="191">
        <v>3</v>
      </c>
      <c r="K85" s="192">
        <v>5141.1499999999996</v>
      </c>
      <c r="L85" s="192">
        <v>0</v>
      </c>
      <c r="M85" s="193">
        <f t="shared" si="5"/>
        <v>5141.1499999999996</v>
      </c>
      <c r="N85" s="191">
        <v>0</v>
      </c>
      <c r="O85" s="192">
        <v>0</v>
      </c>
      <c r="P85" s="192">
        <v>0</v>
      </c>
      <c r="Q85" s="192">
        <f t="shared" si="6"/>
        <v>0</v>
      </c>
      <c r="R85" s="189"/>
    </row>
    <row r="86" spans="1:18" ht="25.5" x14ac:dyDescent="0.25">
      <c r="A86" s="203">
        <v>30</v>
      </c>
      <c r="B86" s="195" t="s">
        <v>438</v>
      </c>
      <c r="C86" s="194" t="s">
        <v>62</v>
      </c>
      <c r="D86" s="194"/>
      <c r="E86" s="136" t="s">
        <v>74</v>
      </c>
      <c r="F86" s="194" t="s">
        <v>439</v>
      </c>
      <c r="G86" s="136" t="s">
        <v>409</v>
      </c>
      <c r="H86" s="191">
        <v>6</v>
      </c>
      <c r="I86" s="191">
        <v>0</v>
      </c>
      <c r="J86" s="191">
        <v>0</v>
      </c>
      <c r="K86" s="192">
        <v>0</v>
      </c>
      <c r="L86" s="192">
        <v>0</v>
      </c>
      <c r="M86" s="193">
        <f t="shared" si="5"/>
        <v>0</v>
      </c>
      <c r="N86" s="191">
        <v>0</v>
      </c>
      <c r="O86" s="192">
        <v>0</v>
      </c>
      <c r="P86" s="192">
        <v>0</v>
      </c>
      <c r="Q86" s="192">
        <f t="shared" si="6"/>
        <v>0</v>
      </c>
      <c r="R86" s="189"/>
    </row>
    <row r="87" spans="1:18" ht="25.5" x14ac:dyDescent="0.25">
      <c r="A87" s="203">
        <v>31</v>
      </c>
      <c r="B87" s="195" t="s">
        <v>440</v>
      </c>
      <c r="C87" s="194" t="s">
        <v>62</v>
      </c>
      <c r="D87" s="194"/>
      <c r="E87" s="136" t="s">
        <v>74</v>
      </c>
      <c r="F87" s="194" t="s">
        <v>441</v>
      </c>
      <c r="G87" s="136" t="s">
        <v>409</v>
      </c>
      <c r="H87" s="191">
        <v>7</v>
      </c>
      <c r="I87" s="191">
        <v>3</v>
      </c>
      <c r="J87" s="191">
        <v>3</v>
      </c>
      <c r="K87" s="192">
        <v>3171.6</v>
      </c>
      <c r="L87" s="192">
        <v>0</v>
      </c>
      <c r="M87" s="193">
        <f t="shared" si="5"/>
        <v>3171.6</v>
      </c>
      <c r="N87" s="191">
        <v>0</v>
      </c>
      <c r="O87" s="192">
        <v>0</v>
      </c>
      <c r="P87" s="192">
        <v>0</v>
      </c>
      <c r="Q87" s="192">
        <f t="shared" si="6"/>
        <v>0</v>
      </c>
      <c r="R87" s="189"/>
    </row>
    <row r="88" spans="1:18" ht="28.35" customHeight="1" x14ac:dyDescent="0.25">
      <c r="A88" s="203">
        <v>32</v>
      </c>
      <c r="B88" s="195" t="s">
        <v>222</v>
      </c>
      <c r="C88" s="194" t="s">
        <v>64</v>
      </c>
      <c r="D88" s="196" t="s">
        <v>442</v>
      </c>
      <c r="E88" s="136" t="s">
        <v>74</v>
      </c>
      <c r="F88" s="194" t="s">
        <v>443</v>
      </c>
      <c r="G88" s="136" t="s">
        <v>409</v>
      </c>
      <c r="H88" s="191">
        <v>0</v>
      </c>
      <c r="I88" s="191">
        <v>0</v>
      </c>
      <c r="J88" s="191">
        <v>0</v>
      </c>
      <c r="K88" s="192">
        <v>0</v>
      </c>
      <c r="L88" s="192">
        <v>0</v>
      </c>
      <c r="M88" s="193">
        <f t="shared" si="5"/>
        <v>0</v>
      </c>
      <c r="N88" s="191">
        <v>0</v>
      </c>
      <c r="O88" s="192">
        <v>0</v>
      </c>
      <c r="P88" s="192">
        <v>0</v>
      </c>
      <c r="Q88" s="192">
        <f t="shared" si="6"/>
        <v>0</v>
      </c>
      <c r="R88" s="189"/>
    </row>
    <row r="89" spans="1:18" ht="25.5" x14ac:dyDescent="0.25">
      <c r="A89" s="203">
        <v>33</v>
      </c>
      <c r="B89" s="195" t="s">
        <v>444</v>
      </c>
      <c r="C89" s="194" t="s">
        <v>62</v>
      </c>
      <c r="D89" s="194"/>
      <c r="E89" s="136" t="s">
        <v>74</v>
      </c>
      <c r="F89" s="194" t="s">
        <v>445</v>
      </c>
      <c r="G89" s="136" t="s">
        <v>409</v>
      </c>
      <c r="H89" s="191">
        <v>5</v>
      </c>
      <c r="I89" s="191">
        <v>2</v>
      </c>
      <c r="J89" s="191">
        <v>2</v>
      </c>
      <c r="K89" s="192">
        <v>1409.6</v>
      </c>
      <c r="L89" s="192">
        <v>0</v>
      </c>
      <c r="M89" s="193">
        <f t="shared" si="5"/>
        <v>1409.6</v>
      </c>
      <c r="N89" s="191">
        <v>0</v>
      </c>
      <c r="O89" s="192">
        <v>0</v>
      </c>
      <c r="P89" s="192">
        <v>0</v>
      </c>
      <c r="Q89" s="192">
        <f t="shared" si="6"/>
        <v>0</v>
      </c>
      <c r="R89" s="189"/>
    </row>
    <row r="90" spans="1:18" ht="25.5" x14ac:dyDescent="0.25">
      <c r="A90" s="203">
        <v>34</v>
      </c>
      <c r="B90" s="195" t="s">
        <v>129</v>
      </c>
      <c r="C90" s="194" t="s">
        <v>62</v>
      </c>
      <c r="D90" s="194"/>
      <c r="E90" s="136" t="s">
        <v>74</v>
      </c>
      <c r="F90" s="194" t="s">
        <v>446</v>
      </c>
      <c r="G90" s="136" t="s">
        <v>409</v>
      </c>
      <c r="H90" s="191">
        <v>4</v>
      </c>
      <c r="I90" s="191">
        <v>3</v>
      </c>
      <c r="J90" s="191">
        <v>3</v>
      </c>
      <c r="K90" s="192">
        <v>3015.4</v>
      </c>
      <c r="L90" s="192">
        <v>1948.2</v>
      </c>
      <c r="M90" s="193">
        <f t="shared" si="5"/>
        <v>1067.2</v>
      </c>
      <c r="N90" s="191">
        <v>8</v>
      </c>
      <c r="O90" s="192">
        <v>12201.18</v>
      </c>
      <c r="P90" s="192">
        <v>7342.3</v>
      </c>
      <c r="Q90" s="192">
        <f t="shared" si="6"/>
        <v>4858.88</v>
      </c>
      <c r="R90" s="189"/>
    </row>
    <row r="91" spans="1:18" ht="25.5" x14ac:dyDescent="0.25">
      <c r="A91" s="203">
        <v>35</v>
      </c>
      <c r="B91" s="197" t="s">
        <v>104</v>
      </c>
      <c r="C91" s="194" t="s">
        <v>62</v>
      </c>
      <c r="D91" s="194"/>
      <c r="E91" s="136" t="s">
        <v>105</v>
      </c>
      <c r="F91" s="194" t="s">
        <v>447</v>
      </c>
      <c r="G91" s="136" t="s">
        <v>409</v>
      </c>
      <c r="H91" s="191">
        <v>0</v>
      </c>
      <c r="I91" s="191">
        <v>0</v>
      </c>
      <c r="J91" s="191">
        <v>0</v>
      </c>
      <c r="K91" s="192">
        <v>0</v>
      </c>
      <c r="L91" s="192">
        <v>0</v>
      </c>
      <c r="M91" s="193">
        <f t="shared" si="5"/>
        <v>0</v>
      </c>
      <c r="N91" s="191">
        <v>7</v>
      </c>
      <c r="O91" s="192">
        <v>5726.5</v>
      </c>
      <c r="P91" s="192">
        <v>5726.5</v>
      </c>
      <c r="Q91" s="192">
        <f t="shared" si="6"/>
        <v>0</v>
      </c>
      <c r="R91" s="189"/>
    </row>
    <row r="92" spans="1:18" ht="25.5" x14ac:dyDescent="0.25">
      <c r="A92" s="190">
        <v>36</v>
      </c>
      <c r="B92" s="194" t="s">
        <v>156</v>
      </c>
      <c r="C92" s="194" t="s">
        <v>67</v>
      </c>
      <c r="D92" s="194" t="s">
        <v>501</v>
      </c>
      <c r="E92" s="136" t="s">
        <v>74</v>
      </c>
      <c r="F92" s="194" t="s">
        <v>502</v>
      </c>
      <c r="G92" s="136" t="s">
        <v>409</v>
      </c>
      <c r="H92" s="191">
        <v>3</v>
      </c>
      <c r="I92" s="191">
        <v>0</v>
      </c>
      <c r="J92" s="191">
        <v>0</v>
      </c>
      <c r="K92" s="192">
        <v>0</v>
      </c>
      <c r="L92" s="192">
        <v>0</v>
      </c>
      <c r="M92" s="193">
        <f t="shared" si="5"/>
        <v>0</v>
      </c>
      <c r="N92" s="191">
        <v>3</v>
      </c>
      <c r="O92" s="192">
        <v>6167</v>
      </c>
      <c r="P92" s="192">
        <v>4757.3999999999996</v>
      </c>
      <c r="Q92" s="192">
        <f t="shared" si="6"/>
        <v>1409.6000000000004</v>
      </c>
      <c r="R92" s="189"/>
    </row>
    <row r="93" spans="1:18" ht="25.5" x14ac:dyDescent="0.25">
      <c r="A93" s="190">
        <v>37</v>
      </c>
      <c r="B93" s="194" t="s">
        <v>133</v>
      </c>
      <c r="C93" s="194" t="s">
        <v>67</v>
      </c>
      <c r="D93" s="194" t="s">
        <v>397</v>
      </c>
      <c r="E93" s="136" t="s">
        <v>74</v>
      </c>
      <c r="F93" s="194" t="s">
        <v>503</v>
      </c>
      <c r="G93" s="136" t="s">
        <v>409</v>
      </c>
      <c r="H93" s="191">
        <v>8</v>
      </c>
      <c r="I93" s="191">
        <v>0</v>
      </c>
      <c r="J93" s="191">
        <v>0</v>
      </c>
      <c r="K93" s="192">
        <v>0</v>
      </c>
      <c r="L93" s="192">
        <v>0</v>
      </c>
      <c r="M93" s="193">
        <f t="shared" si="5"/>
        <v>0</v>
      </c>
      <c r="N93" s="191">
        <v>8</v>
      </c>
      <c r="O93" s="192">
        <v>21929.06</v>
      </c>
      <c r="P93" s="192">
        <v>14551.26</v>
      </c>
      <c r="Q93" s="192">
        <f t="shared" si="6"/>
        <v>7377.8000000000011</v>
      </c>
      <c r="R93" s="189"/>
    </row>
    <row r="94" spans="1:18" ht="25.5" x14ac:dyDescent="0.25">
      <c r="A94" s="190">
        <v>38</v>
      </c>
      <c r="B94" s="194" t="s">
        <v>114</v>
      </c>
      <c r="C94" s="194" t="s">
        <v>62</v>
      </c>
      <c r="D94" s="194"/>
      <c r="E94" s="136" t="s">
        <v>115</v>
      </c>
      <c r="F94" s="194" t="s">
        <v>504</v>
      </c>
      <c r="G94" s="136" t="s">
        <v>409</v>
      </c>
      <c r="H94" s="191">
        <v>0</v>
      </c>
      <c r="I94" s="191">
        <v>0</v>
      </c>
      <c r="J94" s="191">
        <v>0</v>
      </c>
      <c r="K94" s="192">
        <v>0</v>
      </c>
      <c r="L94" s="192">
        <v>0</v>
      </c>
      <c r="M94" s="193">
        <f t="shared" si="5"/>
        <v>0</v>
      </c>
      <c r="N94" s="191">
        <v>2</v>
      </c>
      <c r="O94" s="192">
        <v>1762</v>
      </c>
      <c r="P94" s="192">
        <v>0</v>
      </c>
      <c r="Q94" s="192">
        <f t="shared" si="6"/>
        <v>1762</v>
      </c>
      <c r="R94" s="189"/>
    </row>
    <row r="95" spans="1:18" ht="25.5" x14ac:dyDescent="0.25">
      <c r="A95" s="190">
        <v>39</v>
      </c>
      <c r="B95" s="194" t="s">
        <v>505</v>
      </c>
      <c r="C95" s="194" t="s">
        <v>62</v>
      </c>
      <c r="D95" s="194"/>
      <c r="E95" s="136" t="s">
        <v>74</v>
      </c>
      <c r="F95" s="194" t="s">
        <v>506</v>
      </c>
      <c r="G95" s="136" t="s">
        <v>409</v>
      </c>
      <c r="H95" s="191">
        <v>1</v>
      </c>
      <c r="I95" s="191">
        <v>0</v>
      </c>
      <c r="J95" s="191">
        <v>0</v>
      </c>
      <c r="K95" s="192">
        <v>0</v>
      </c>
      <c r="L95" s="192">
        <v>0</v>
      </c>
      <c r="M95" s="193">
        <f t="shared" si="5"/>
        <v>0</v>
      </c>
      <c r="N95" s="191">
        <v>0</v>
      </c>
      <c r="O95" s="192">
        <v>0</v>
      </c>
      <c r="P95" s="192">
        <v>0</v>
      </c>
      <c r="Q95" s="192">
        <f t="shared" si="6"/>
        <v>0</v>
      </c>
      <c r="R95" s="189"/>
    </row>
    <row r="96" spans="1:18" ht="25.5" x14ac:dyDescent="0.25">
      <c r="A96" s="190">
        <v>40</v>
      </c>
      <c r="B96" s="194" t="s">
        <v>473</v>
      </c>
      <c r="C96" s="194" t="s">
        <v>62</v>
      </c>
      <c r="D96" s="194"/>
      <c r="E96" s="194" t="s">
        <v>74</v>
      </c>
      <c r="F96" s="194" t="s">
        <v>558</v>
      </c>
      <c r="G96" s="136" t="s">
        <v>409</v>
      </c>
      <c r="H96" s="191">
        <v>0</v>
      </c>
      <c r="I96" s="191">
        <v>0</v>
      </c>
      <c r="J96" s="191">
        <v>0</v>
      </c>
      <c r="K96" s="192">
        <v>0</v>
      </c>
      <c r="L96" s="192">
        <v>0</v>
      </c>
      <c r="M96" s="193">
        <f t="shared" si="5"/>
        <v>0</v>
      </c>
      <c r="N96" s="191">
        <v>0</v>
      </c>
      <c r="O96" s="192">
        <v>0</v>
      </c>
      <c r="P96" s="192">
        <v>0</v>
      </c>
      <c r="Q96" s="192">
        <f t="shared" si="6"/>
        <v>0</v>
      </c>
      <c r="R96" s="189"/>
    </row>
    <row r="97" spans="1:18" ht="25.5" x14ac:dyDescent="0.25">
      <c r="A97" s="190">
        <v>41</v>
      </c>
      <c r="B97" s="194" t="s">
        <v>376</v>
      </c>
      <c r="C97" s="194" t="s">
        <v>62</v>
      </c>
      <c r="D97" s="194"/>
      <c r="E97" s="194" t="s">
        <v>74</v>
      </c>
      <c r="F97" s="194" t="s">
        <v>559</v>
      </c>
      <c r="G97" s="136" t="s">
        <v>409</v>
      </c>
      <c r="H97" s="191">
        <v>0</v>
      </c>
      <c r="I97" s="191">
        <v>0</v>
      </c>
      <c r="J97" s="191">
        <v>0</v>
      </c>
      <c r="K97" s="192">
        <v>0</v>
      </c>
      <c r="L97" s="192">
        <v>0</v>
      </c>
      <c r="M97" s="193">
        <f t="shared" si="5"/>
        <v>0</v>
      </c>
      <c r="N97" s="191">
        <v>0</v>
      </c>
      <c r="O97" s="192">
        <v>0</v>
      </c>
      <c r="P97" s="192">
        <v>0</v>
      </c>
      <c r="Q97" s="192">
        <f t="shared" si="6"/>
        <v>0</v>
      </c>
      <c r="R97" s="189"/>
    </row>
    <row r="98" spans="1:18" ht="25.5" x14ac:dyDescent="0.25">
      <c r="A98" s="190">
        <v>42</v>
      </c>
      <c r="B98" s="194" t="s">
        <v>119</v>
      </c>
      <c r="C98" s="194" t="s">
        <v>62</v>
      </c>
      <c r="D98" s="194"/>
      <c r="E98" s="194" t="s">
        <v>74</v>
      </c>
      <c r="F98" s="194" t="s">
        <v>560</v>
      </c>
      <c r="G98" s="136" t="s">
        <v>409</v>
      </c>
      <c r="H98" s="191">
        <v>3</v>
      </c>
      <c r="I98" s="191">
        <v>0</v>
      </c>
      <c r="J98" s="191">
        <v>0</v>
      </c>
      <c r="K98" s="192">
        <v>0</v>
      </c>
      <c r="L98" s="192">
        <v>0</v>
      </c>
      <c r="M98" s="193">
        <f t="shared" si="5"/>
        <v>0</v>
      </c>
      <c r="N98" s="191">
        <v>0</v>
      </c>
      <c r="O98" s="192">
        <v>0</v>
      </c>
      <c r="P98" s="192">
        <v>0</v>
      </c>
      <c r="Q98" s="192">
        <f t="shared" si="6"/>
        <v>0</v>
      </c>
      <c r="R98" s="189"/>
    </row>
    <row r="99" spans="1:18" ht="25.5" x14ac:dyDescent="0.25">
      <c r="A99" s="190">
        <v>43</v>
      </c>
      <c r="B99" s="194" t="s">
        <v>47</v>
      </c>
      <c r="C99" s="194" t="s">
        <v>62</v>
      </c>
      <c r="D99" s="194"/>
      <c r="E99" s="194" t="s">
        <v>141</v>
      </c>
      <c r="F99" s="194" t="s">
        <v>560</v>
      </c>
      <c r="G99" s="136" t="s">
        <v>409</v>
      </c>
      <c r="H99" s="191">
        <v>0</v>
      </c>
      <c r="I99" s="191">
        <v>0</v>
      </c>
      <c r="J99" s="191">
        <v>0</v>
      </c>
      <c r="K99" s="192">
        <v>0</v>
      </c>
      <c r="L99" s="192">
        <v>0</v>
      </c>
      <c r="M99" s="193">
        <f t="shared" si="5"/>
        <v>0</v>
      </c>
      <c r="N99" s="191">
        <v>0</v>
      </c>
      <c r="O99" s="192">
        <v>0</v>
      </c>
      <c r="P99" s="192">
        <v>0</v>
      </c>
      <c r="Q99" s="192">
        <f t="shared" si="6"/>
        <v>0</v>
      </c>
      <c r="R99" s="189"/>
    </row>
    <row r="100" spans="1:18" x14ac:dyDescent="0.25">
      <c r="A100" s="202">
        <v>1</v>
      </c>
      <c r="B100" s="81" t="s">
        <v>19</v>
      </c>
      <c r="C100" s="81" t="s">
        <v>62</v>
      </c>
      <c r="D100" s="198"/>
      <c r="E100" s="81" t="s">
        <v>71</v>
      </c>
      <c r="F100" s="81" t="s">
        <v>394</v>
      </c>
      <c r="G100" s="198" t="s">
        <v>395</v>
      </c>
      <c r="H100" s="198">
        <v>1</v>
      </c>
      <c r="I100" s="200">
        <v>0</v>
      </c>
      <c r="J100" s="198">
        <v>0</v>
      </c>
      <c r="K100" s="87">
        <v>0</v>
      </c>
      <c r="L100" s="87">
        <v>0</v>
      </c>
      <c r="M100" s="87">
        <v>0</v>
      </c>
      <c r="N100" s="198">
        <v>0</v>
      </c>
      <c r="O100" s="199">
        <v>0</v>
      </c>
      <c r="P100" s="199">
        <v>0</v>
      </c>
      <c r="Q100" s="199">
        <f t="shared" si="6"/>
        <v>0</v>
      </c>
      <c r="R100" s="201"/>
    </row>
    <row r="101" spans="1:18" ht="51" x14ac:dyDescent="0.25">
      <c r="A101" s="69">
        <f>A100+1</f>
        <v>2</v>
      </c>
      <c r="B101" s="81" t="s">
        <v>90</v>
      </c>
      <c r="C101" s="81" t="s">
        <v>62</v>
      </c>
      <c r="D101" s="81" t="s">
        <v>63</v>
      </c>
      <c r="E101" s="81" t="s">
        <v>205</v>
      </c>
      <c r="F101" s="81" t="s">
        <v>396</v>
      </c>
      <c r="G101" s="91" t="s">
        <v>395</v>
      </c>
      <c r="H101" s="91">
        <v>20</v>
      </c>
      <c r="I101" s="91">
        <v>6</v>
      </c>
      <c r="J101" s="91">
        <v>6</v>
      </c>
      <c r="K101" s="87">
        <v>7400.4</v>
      </c>
      <c r="L101" s="87">
        <v>4228.8</v>
      </c>
      <c r="M101" s="87">
        <f>K101-L101</f>
        <v>3171.5999999999995</v>
      </c>
      <c r="N101" s="91">
        <v>15</v>
      </c>
      <c r="O101" s="87">
        <v>23170.3</v>
      </c>
      <c r="P101" s="87">
        <v>23170.3</v>
      </c>
      <c r="Q101" s="199">
        <f t="shared" si="6"/>
        <v>0</v>
      </c>
      <c r="R101" s="201"/>
    </row>
    <row r="102" spans="1:18" x14ac:dyDescent="0.25">
      <c r="A102" s="69">
        <f>A101+1</f>
        <v>3</v>
      </c>
      <c r="B102" s="198" t="s">
        <v>133</v>
      </c>
      <c r="C102" s="198" t="s">
        <v>67</v>
      </c>
      <c r="D102" s="198" t="s">
        <v>397</v>
      </c>
      <c r="E102" s="198" t="s">
        <v>74</v>
      </c>
      <c r="F102" s="81" t="s">
        <v>398</v>
      </c>
      <c r="G102" s="91" t="s">
        <v>395</v>
      </c>
      <c r="H102" s="91">
        <v>7</v>
      </c>
      <c r="I102" s="91">
        <v>1</v>
      </c>
      <c r="J102" s="91">
        <v>1</v>
      </c>
      <c r="K102" s="87">
        <v>1057.2</v>
      </c>
      <c r="L102" s="87">
        <v>0</v>
      </c>
      <c r="M102" s="87">
        <f t="shared" ref="M102:M107" si="7">K102-L102</f>
        <v>1057.2</v>
      </c>
      <c r="N102" s="91">
        <v>8</v>
      </c>
      <c r="O102" s="87">
        <v>11920.73</v>
      </c>
      <c r="P102" s="87">
        <v>7102.19</v>
      </c>
      <c r="Q102" s="199">
        <f t="shared" si="6"/>
        <v>4818.54</v>
      </c>
      <c r="R102" s="201"/>
    </row>
    <row r="103" spans="1:18" ht="25.5" x14ac:dyDescent="0.25">
      <c r="A103" s="69">
        <v>4</v>
      </c>
      <c r="B103" s="81" t="s">
        <v>399</v>
      </c>
      <c r="C103" s="81" t="s">
        <v>62</v>
      </c>
      <c r="D103" s="81"/>
      <c r="E103" s="81" t="s">
        <v>400</v>
      </c>
      <c r="F103" s="81" t="s">
        <v>401</v>
      </c>
      <c r="G103" s="91" t="s">
        <v>395</v>
      </c>
      <c r="H103" s="91">
        <v>20</v>
      </c>
      <c r="I103" s="91">
        <v>2</v>
      </c>
      <c r="J103" s="91">
        <v>2</v>
      </c>
      <c r="K103" s="87">
        <v>1762</v>
      </c>
      <c r="L103" s="87">
        <v>0</v>
      </c>
      <c r="M103" s="87">
        <f t="shared" si="7"/>
        <v>1762</v>
      </c>
      <c r="N103" s="91">
        <v>0</v>
      </c>
      <c r="O103" s="87">
        <v>0</v>
      </c>
      <c r="P103" s="87">
        <v>0</v>
      </c>
      <c r="Q103" s="199">
        <f t="shared" si="6"/>
        <v>0</v>
      </c>
      <c r="R103" s="201"/>
    </row>
    <row r="104" spans="1:18" x14ac:dyDescent="0.25">
      <c r="A104" s="69">
        <v>5</v>
      </c>
      <c r="B104" s="81" t="s">
        <v>402</v>
      </c>
      <c r="C104" s="81" t="s">
        <v>62</v>
      </c>
      <c r="D104" s="81"/>
      <c r="E104" s="198" t="s">
        <v>74</v>
      </c>
      <c r="F104" s="81" t="s">
        <v>403</v>
      </c>
      <c r="G104" s="91" t="s">
        <v>395</v>
      </c>
      <c r="H104" s="91">
        <v>2</v>
      </c>
      <c r="I104" s="91">
        <v>2</v>
      </c>
      <c r="J104" s="91">
        <v>2</v>
      </c>
      <c r="K104" s="87">
        <v>0</v>
      </c>
      <c r="L104" s="87">
        <v>0</v>
      </c>
      <c r="M104" s="87">
        <f t="shared" si="7"/>
        <v>0</v>
      </c>
      <c r="N104" s="91">
        <v>0</v>
      </c>
      <c r="O104" s="87">
        <v>0</v>
      </c>
      <c r="P104" s="87">
        <v>0</v>
      </c>
      <c r="Q104" s="199">
        <f t="shared" si="6"/>
        <v>0</v>
      </c>
      <c r="R104" s="201"/>
    </row>
    <row r="105" spans="1:18" ht="25.5" x14ac:dyDescent="0.25">
      <c r="A105" s="69">
        <v>6</v>
      </c>
      <c r="B105" s="81" t="s">
        <v>48</v>
      </c>
      <c r="C105" s="81" t="s">
        <v>62</v>
      </c>
      <c r="D105" s="81"/>
      <c r="E105" s="81" t="s">
        <v>81</v>
      </c>
      <c r="F105" s="81" t="s">
        <v>404</v>
      </c>
      <c r="G105" s="91" t="s">
        <v>395</v>
      </c>
      <c r="H105" s="91">
        <v>16</v>
      </c>
      <c r="I105" s="91">
        <v>1</v>
      </c>
      <c r="J105" s="91">
        <v>1</v>
      </c>
      <c r="K105" s="87">
        <v>528.6</v>
      </c>
      <c r="L105" s="87">
        <v>0</v>
      </c>
      <c r="M105" s="87">
        <f t="shared" si="7"/>
        <v>528.6</v>
      </c>
      <c r="N105" s="91">
        <v>10</v>
      </c>
      <c r="O105" s="87">
        <v>13919.8</v>
      </c>
      <c r="P105" s="87">
        <v>9338.6</v>
      </c>
      <c r="Q105" s="199">
        <f t="shared" si="6"/>
        <v>4581.1999999999989</v>
      </c>
      <c r="R105" s="201"/>
    </row>
    <row r="106" spans="1:18" x14ac:dyDescent="0.25">
      <c r="A106" s="69">
        <v>7</v>
      </c>
      <c r="B106" s="81" t="s">
        <v>39</v>
      </c>
      <c r="C106" s="81" t="s">
        <v>62</v>
      </c>
      <c r="D106" s="81"/>
      <c r="E106" s="81" t="s">
        <v>77</v>
      </c>
      <c r="F106" s="81" t="s">
        <v>405</v>
      </c>
      <c r="G106" s="91" t="s">
        <v>395</v>
      </c>
      <c r="H106" s="91">
        <v>22</v>
      </c>
      <c r="I106" s="91">
        <v>0</v>
      </c>
      <c r="J106" s="91">
        <v>0</v>
      </c>
      <c r="K106" s="87">
        <v>0</v>
      </c>
      <c r="L106" s="87">
        <v>0</v>
      </c>
      <c r="M106" s="87">
        <f t="shared" si="7"/>
        <v>0</v>
      </c>
      <c r="N106" s="91">
        <v>12</v>
      </c>
      <c r="O106" s="87">
        <v>15858</v>
      </c>
      <c r="P106" s="87">
        <v>11805.4</v>
      </c>
      <c r="Q106" s="199">
        <f t="shared" si="6"/>
        <v>4052.6000000000004</v>
      </c>
      <c r="R106" s="201"/>
    </row>
    <row r="107" spans="1:18" x14ac:dyDescent="0.25">
      <c r="A107" s="69">
        <v>8</v>
      </c>
      <c r="B107" s="1" t="s">
        <v>127</v>
      </c>
      <c r="C107" s="81" t="s">
        <v>62</v>
      </c>
      <c r="D107" s="1"/>
      <c r="E107" s="198" t="s">
        <v>74</v>
      </c>
      <c r="F107" s="1" t="s">
        <v>406</v>
      </c>
      <c r="G107" s="91" t="s">
        <v>395</v>
      </c>
      <c r="H107" s="91">
        <v>0</v>
      </c>
      <c r="I107" s="91">
        <v>0</v>
      </c>
      <c r="J107" s="91">
        <v>0</v>
      </c>
      <c r="K107" s="87">
        <v>0</v>
      </c>
      <c r="L107" s="87">
        <v>0</v>
      </c>
      <c r="M107" s="87">
        <f t="shared" si="7"/>
        <v>0</v>
      </c>
      <c r="N107" s="91">
        <v>1</v>
      </c>
      <c r="O107" s="87">
        <v>264.3</v>
      </c>
      <c r="P107" s="87">
        <v>264.3</v>
      </c>
      <c r="Q107" s="199">
        <f t="shared" si="6"/>
        <v>0</v>
      </c>
      <c r="R107" s="201"/>
    </row>
    <row r="108" spans="1:18" ht="25.5" x14ac:dyDescent="0.25">
      <c r="A108" s="69">
        <v>9</v>
      </c>
      <c r="B108" s="81" t="s">
        <v>561</v>
      </c>
      <c r="C108" s="81" t="s">
        <v>62</v>
      </c>
      <c r="D108" s="81"/>
      <c r="E108" s="81" t="s">
        <v>81</v>
      </c>
      <c r="F108" s="81" t="s">
        <v>562</v>
      </c>
      <c r="G108" s="91" t="s">
        <v>395</v>
      </c>
      <c r="H108" s="91">
        <v>29</v>
      </c>
      <c r="I108" s="91">
        <v>0</v>
      </c>
      <c r="J108" s="91">
        <v>0</v>
      </c>
      <c r="K108" s="87">
        <v>0</v>
      </c>
      <c r="L108" s="87">
        <v>0</v>
      </c>
      <c r="M108" s="87">
        <v>0</v>
      </c>
      <c r="N108" s="91">
        <v>0</v>
      </c>
      <c r="O108" s="87">
        <v>0</v>
      </c>
      <c r="P108" s="87">
        <v>0</v>
      </c>
      <c r="Q108" s="87">
        <v>0</v>
      </c>
      <c r="R108" s="201"/>
    </row>
    <row r="109" spans="1:18" ht="25.5" x14ac:dyDescent="0.25">
      <c r="A109" s="69">
        <v>10</v>
      </c>
      <c r="B109" s="81" t="s">
        <v>563</v>
      </c>
      <c r="C109" s="81" t="s">
        <v>62</v>
      </c>
      <c r="D109" s="81"/>
      <c r="E109" s="81" t="s">
        <v>81</v>
      </c>
      <c r="F109" s="81" t="s">
        <v>564</v>
      </c>
      <c r="G109" s="91" t="s">
        <v>395</v>
      </c>
      <c r="H109" s="91">
        <v>20</v>
      </c>
      <c r="I109" s="91">
        <v>0</v>
      </c>
      <c r="J109" s="91">
        <v>0</v>
      </c>
      <c r="K109" s="87">
        <v>0</v>
      </c>
      <c r="L109" s="87">
        <v>0</v>
      </c>
      <c r="M109" s="87">
        <v>0</v>
      </c>
      <c r="N109" s="91">
        <v>0</v>
      </c>
      <c r="O109" s="87">
        <v>0</v>
      </c>
      <c r="P109" s="87">
        <v>0</v>
      </c>
      <c r="Q109" s="87">
        <v>0</v>
      </c>
      <c r="R109" s="201"/>
    </row>
    <row r="110" spans="1:18" x14ac:dyDescent="0.25">
      <c r="A110" s="204">
        <v>1</v>
      </c>
      <c r="B110" s="205" t="s">
        <v>47</v>
      </c>
      <c r="C110" s="205" t="s">
        <v>62</v>
      </c>
      <c r="D110" s="205"/>
      <c r="E110" s="205" t="s">
        <v>141</v>
      </c>
      <c r="F110" s="205" t="s">
        <v>448</v>
      </c>
      <c r="G110" s="205" t="s">
        <v>142</v>
      </c>
      <c r="H110" s="206">
        <v>6</v>
      </c>
      <c r="I110" s="206">
        <v>1</v>
      </c>
      <c r="J110" s="206">
        <v>1</v>
      </c>
      <c r="K110" s="213">
        <v>1233.4000000000001</v>
      </c>
      <c r="L110" s="213">
        <v>1233.4000000000001</v>
      </c>
      <c r="M110" s="87">
        <v>0</v>
      </c>
      <c r="N110" s="206">
        <v>17</v>
      </c>
      <c r="O110" s="213">
        <v>24659.43</v>
      </c>
      <c r="P110" s="213">
        <v>24659.43</v>
      </c>
      <c r="Q110" s="87">
        <v>0</v>
      </c>
      <c r="R110" s="207"/>
    </row>
    <row r="111" spans="1:18" x14ac:dyDescent="0.25">
      <c r="A111" s="204">
        <f>A110+1</f>
        <v>2</v>
      </c>
      <c r="B111" s="205" t="s">
        <v>55</v>
      </c>
      <c r="C111" s="205" t="s">
        <v>62</v>
      </c>
      <c r="D111" s="205"/>
      <c r="E111" s="205" t="s">
        <v>141</v>
      </c>
      <c r="F111" s="205" t="s">
        <v>449</v>
      </c>
      <c r="G111" s="205" t="s">
        <v>142</v>
      </c>
      <c r="H111" s="206">
        <v>8</v>
      </c>
      <c r="I111" s="206">
        <v>3</v>
      </c>
      <c r="J111" s="206">
        <v>3</v>
      </c>
      <c r="K111" s="213">
        <v>2995.4</v>
      </c>
      <c r="L111" s="213">
        <v>2995.4</v>
      </c>
      <c r="M111" s="87">
        <v>0</v>
      </c>
      <c r="N111" s="206">
        <v>11</v>
      </c>
      <c r="O111" s="213">
        <v>21232.1</v>
      </c>
      <c r="P111" s="213">
        <v>21232.1</v>
      </c>
      <c r="Q111" s="87">
        <v>0</v>
      </c>
      <c r="R111" s="207"/>
    </row>
    <row r="112" spans="1:18" x14ac:dyDescent="0.25">
      <c r="A112" s="204">
        <f>A111+1</f>
        <v>3</v>
      </c>
      <c r="B112" s="205" t="s">
        <v>122</v>
      </c>
      <c r="C112" s="205" t="s">
        <v>62</v>
      </c>
      <c r="D112" s="205"/>
      <c r="E112" s="205" t="s">
        <v>143</v>
      </c>
      <c r="F112" s="205" t="s">
        <v>450</v>
      </c>
      <c r="G112" s="205" t="s">
        <v>142</v>
      </c>
      <c r="H112" s="206">
        <v>5</v>
      </c>
      <c r="I112" s="206">
        <v>0</v>
      </c>
      <c r="J112" s="206">
        <v>0</v>
      </c>
      <c r="K112" s="87">
        <v>0</v>
      </c>
      <c r="L112" s="87">
        <v>0</v>
      </c>
      <c r="M112" s="87">
        <v>0</v>
      </c>
      <c r="N112" s="206">
        <v>4</v>
      </c>
      <c r="O112" s="213">
        <v>8841.5400000000009</v>
      </c>
      <c r="P112" s="213">
        <v>8841.5400000000009</v>
      </c>
      <c r="Q112" s="87">
        <v>0</v>
      </c>
      <c r="R112" s="207"/>
    </row>
    <row r="113" spans="1:18" x14ac:dyDescent="0.25">
      <c r="A113" s="204">
        <f>A112+1</f>
        <v>4</v>
      </c>
      <c r="B113" s="205" t="s">
        <v>144</v>
      </c>
      <c r="C113" s="205" t="s">
        <v>62</v>
      </c>
      <c r="D113" s="205"/>
      <c r="E113" s="205" t="s">
        <v>141</v>
      </c>
      <c r="F113" s="205" t="s">
        <v>451</v>
      </c>
      <c r="G113" s="205" t="s">
        <v>142</v>
      </c>
      <c r="H113" s="206">
        <v>7</v>
      </c>
      <c r="I113" s="206">
        <v>5</v>
      </c>
      <c r="J113" s="206">
        <v>5</v>
      </c>
      <c r="K113" s="213">
        <v>6096.52</v>
      </c>
      <c r="L113" s="213">
        <v>3351.77</v>
      </c>
      <c r="M113" s="213">
        <v>2744.75</v>
      </c>
      <c r="N113" s="206">
        <v>2</v>
      </c>
      <c r="O113" s="213">
        <v>1938.2</v>
      </c>
      <c r="P113" s="213">
        <v>1938.2</v>
      </c>
      <c r="Q113" s="87">
        <v>0</v>
      </c>
      <c r="R113" s="207"/>
    </row>
    <row r="114" spans="1:18" ht="25.5" x14ac:dyDescent="0.25">
      <c r="A114" s="204">
        <f>A113+1</f>
        <v>5</v>
      </c>
      <c r="B114" s="205" t="s">
        <v>46</v>
      </c>
      <c r="C114" s="205" t="s">
        <v>62</v>
      </c>
      <c r="D114" s="205"/>
      <c r="E114" s="205" t="s">
        <v>452</v>
      </c>
      <c r="F114" s="205" t="s">
        <v>453</v>
      </c>
      <c r="G114" s="205" t="s">
        <v>142</v>
      </c>
      <c r="H114" s="206">
        <v>0</v>
      </c>
      <c r="I114" s="206">
        <v>0</v>
      </c>
      <c r="J114" s="206">
        <v>0</v>
      </c>
      <c r="K114" s="213">
        <v>0</v>
      </c>
      <c r="L114" s="213">
        <v>0</v>
      </c>
      <c r="M114" s="213">
        <v>0</v>
      </c>
      <c r="N114" s="206">
        <v>0</v>
      </c>
      <c r="O114" s="213">
        <v>0</v>
      </c>
      <c r="P114" s="213">
        <v>0</v>
      </c>
      <c r="Q114" s="87">
        <v>0</v>
      </c>
      <c r="R114" s="208"/>
    </row>
    <row r="115" spans="1:18" ht="25.5" x14ac:dyDescent="0.25">
      <c r="A115" s="209">
        <v>6</v>
      </c>
      <c r="B115" s="210" t="s">
        <v>133</v>
      </c>
      <c r="C115" s="210" t="s">
        <v>67</v>
      </c>
      <c r="D115" s="210" t="s">
        <v>397</v>
      </c>
      <c r="E115" s="210" t="s">
        <v>63</v>
      </c>
      <c r="F115" s="210" t="s">
        <v>579</v>
      </c>
      <c r="G115" s="205" t="s">
        <v>142</v>
      </c>
      <c r="H115" s="206">
        <v>0</v>
      </c>
      <c r="I115" s="206">
        <v>0</v>
      </c>
      <c r="J115" s="206">
        <v>0</v>
      </c>
      <c r="K115" s="213">
        <v>0</v>
      </c>
      <c r="L115" s="213">
        <v>0</v>
      </c>
      <c r="M115" s="213">
        <v>0</v>
      </c>
      <c r="N115" s="206">
        <v>0</v>
      </c>
      <c r="O115" s="213">
        <v>0</v>
      </c>
      <c r="P115" s="213">
        <v>0</v>
      </c>
      <c r="Q115" s="87">
        <v>0</v>
      </c>
      <c r="R115" s="208"/>
    </row>
    <row r="116" spans="1:18" x14ac:dyDescent="0.25">
      <c r="A116" s="209">
        <v>7</v>
      </c>
      <c r="B116" s="210" t="s">
        <v>176</v>
      </c>
      <c r="C116" s="210" t="s">
        <v>62</v>
      </c>
      <c r="D116" s="210"/>
      <c r="E116" s="210" t="s">
        <v>141</v>
      </c>
      <c r="F116" s="209" t="s">
        <v>455</v>
      </c>
      <c r="G116" s="210" t="s">
        <v>142</v>
      </c>
      <c r="H116" s="211">
        <v>9</v>
      </c>
      <c r="I116" s="211">
        <v>7</v>
      </c>
      <c r="J116" s="211">
        <v>7</v>
      </c>
      <c r="K116" s="214">
        <v>8598.56</v>
      </c>
      <c r="L116" s="214">
        <v>8598.56</v>
      </c>
      <c r="M116" s="213">
        <v>0</v>
      </c>
      <c r="N116" s="206">
        <v>0</v>
      </c>
      <c r="O116" s="213">
        <v>0</v>
      </c>
      <c r="P116" s="213">
        <v>0</v>
      </c>
      <c r="Q116" s="87">
        <v>0</v>
      </c>
      <c r="R116" s="208"/>
    </row>
    <row r="117" spans="1:18" x14ac:dyDescent="0.25">
      <c r="A117" s="209">
        <v>8</v>
      </c>
      <c r="B117" s="210" t="s">
        <v>235</v>
      </c>
      <c r="C117" s="210" t="s">
        <v>62</v>
      </c>
      <c r="D117" s="210"/>
      <c r="E117" s="210" t="s">
        <v>456</v>
      </c>
      <c r="F117" s="210" t="s">
        <v>457</v>
      </c>
      <c r="G117" s="210" t="s">
        <v>142</v>
      </c>
      <c r="H117" s="212">
        <v>3</v>
      </c>
      <c r="I117" s="206">
        <v>0</v>
      </c>
      <c r="J117" s="206">
        <v>0</v>
      </c>
      <c r="K117" s="213">
        <v>0</v>
      </c>
      <c r="L117" s="213">
        <v>0</v>
      </c>
      <c r="M117" s="213">
        <v>0</v>
      </c>
      <c r="N117" s="206">
        <v>0</v>
      </c>
      <c r="O117" s="213">
        <v>0</v>
      </c>
      <c r="P117" s="213">
        <v>0</v>
      </c>
      <c r="Q117" s="87">
        <v>0</v>
      </c>
      <c r="R117" s="208"/>
    </row>
    <row r="118" spans="1:18" x14ac:dyDescent="0.25">
      <c r="A118" s="209">
        <v>9</v>
      </c>
      <c r="B118" s="210" t="s">
        <v>251</v>
      </c>
      <c r="C118" s="210" t="s">
        <v>62</v>
      </c>
      <c r="D118" s="210"/>
      <c r="E118" s="210" t="s">
        <v>141</v>
      </c>
      <c r="F118" s="210" t="s">
        <v>458</v>
      </c>
      <c r="G118" s="210" t="s">
        <v>142</v>
      </c>
      <c r="H118" s="211">
        <v>5</v>
      </c>
      <c r="I118" s="211">
        <v>2</v>
      </c>
      <c r="J118" s="211">
        <v>2</v>
      </c>
      <c r="K118" s="214">
        <v>1409.6</v>
      </c>
      <c r="L118" s="214">
        <v>1409.6</v>
      </c>
      <c r="M118" s="213">
        <v>0</v>
      </c>
      <c r="N118" s="206">
        <v>0</v>
      </c>
      <c r="O118" s="213">
        <v>0</v>
      </c>
      <c r="P118" s="213">
        <v>0</v>
      </c>
      <c r="Q118" s="87">
        <v>0</v>
      </c>
      <c r="R118" s="208"/>
    </row>
    <row r="119" spans="1:18" x14ac:dyDescent="0.25">
      <c r="A119" s="209">
        <v>10</v>
      </c>
      <c r="B119" s="210" t="s">
        <v>30</v>
      </c>
      <c r="C119" s="210" t="s">
        <v>62</v>
      </c>
      <c r="D119" s="210"/>
      <c r="E119" s="210" t="s">
        <v>459</v>
      </c>
      <c r="F119" s="210" t="s">
        <v>460</v>
      </c>
      <c r="G119" s="210" t="s">
        <v>142</v>
      </c>
      <c r="H119" s="211">
        <v>1</v>
      </c>
      <c r="I119" s="206">
        <v>0</v>
      </c>
      <c r="J119" s="206">
        <v>0</v>
      </c>
      <c r="K119" s="213">
        <v>0</v>
      </c>
      <c r="L119" s="213">
        <v>0</v>
      </c>
      <c r="M119" s="213">
        <v>0</v>
      </c>
      <c r="N119" s="206">
        <v>0</v>
      </c>
      <c r="O119" s="213">
        <v>0</v>
      </c>
      <c r="P119" s="213">
        <v>0</v>
      </c>
      <c r="Q119" s="87">
        <v>0</v>
      </c>
      <c r="R119" s="208"/>
    </row>
    <row r="120" spans="1:18" x14ac:dyDescent="0.25">
      <c r="A120" s="209">
        <v>11</v>
      </c>
      <c r="B120" s="210" t="s">
        <v>35</v>
      </c>
      <c r="C120" s="210" t="s">
        <v>62</v>
      </c>
      <c r="D120" s="210"/>
      <c r="E120" s="210" t="s">
        <v>461</v>
      </c>
      <c r="F120" s="209" t="s">
        <v>462</v>
      </c>
      <c r="G120" s="210" t="s">
        <v>142</v>
      </c>
      <c r="H120" s="211">
        <v>1</v>
      </c>
      <c r="I120" s="206">
        <v>0</v>
      </c>
      <c r="J120" s="206">
        <v>0</v>
      </c>
      <c r="K120" s="213">
        <v>0</v>
      </c>
      <c r="L120" s="213">
        <v>0</v>
      </c>
      <c r="M120" s="213">
        <v>0</v>
      </c>
      <c r="N120" s="206">
        <v>0</v>
      </c>
      <c r="O120" s="213">
        <v>0</v>
      </c>
      <c r="P120" s="213">
        <v>0</v>
      </c>
      <c r="Q120" s="87">
        <v>0</v>
      </c>
      <c r="R120" s="208"/>
    </row>
    <row r="121" spans="1:18" ht="25.5" x14ac:dyDescent="0.25">
      <c r="A121" s="63">
        <v>1</v>
      </c>
      <c r="B121" s="210" t="s">
        <v>21</v>
      </c>
      <c r="C121" s="210" t="s">
        <v>62</v>
      </c>
      <c r="D121" s="210"/>
      <c r="E121" s="210" t="s">
        <v>157</v>
      </c>
      <c r="F121" s="210" t="s">
        <v>523</v>
      </c>
      <c r="G121" s="210" t="s">
        <v>524</v>
      </c>
      <c r="H121" s="211">
        <v>1</v>
      </c>
      <c r="I121" s="211">
        <v>0</v>
      </c>
      <c r="J121" s="211">
        <v>0</v>
      </c>
      <c r="K121" s="215">
        <v>0</v>
      </c>
      <c r="L121" s="215">
        <v>0</v>
      </c>
      <c r="M121" s="215">
        <v>0</v>
      </c>
      <c r="N121" s="216">
        <v>1</v>
      </c>
      <c r="O121" s="215">
        <v>1233.4000000000001</v>
      </c>
      <c r="P121" s="215">
        <v>1233.4000000000001</v>
      </c>
      <c r="Q121" s="215">
        <v>1233.4000000000001</v>
      </c>
      <c r="R121" s="6"/>
    </row>
    <row r="122" spans="1:18" ht="25.5" x14ac:dyDescent="0.25">
      <c r="A122" s="63">
        <v>2</v>
      </c>
      <c r="B122" s="210" t="s">
        <v>147</v>
      </c>
      <c r="C122" s="210" t="s">
        <v>62</v>
      </c>
      <c r="D122" s="210"/>
      <c r="E122" s="210" t="s">
        <v>158</v>
      </c>
      <c r="F122" s="210" t="s">
        <v>525</v>
      </c>
      <c r="G122" s="210" t="s">
        <v>524</v>
      </c>
      <c r="H122" s="211">
        <v>1</v>
      </c>
      <c r="I122" s="211">
        <v>1</v>
      </c>
      <c r="J122" s="211">
        <v>1</v>
      </c>
      <c r="K122" s="215">
        <v>1762</v>
      </c>
      <c r="L122" s="215">
        <v>1762</v>
      </c>
      <c r="M122" s="215">
        <v>0</v>
      </c>
      <c r="N122" s="216">
        <v>2</v>
      </c>
      <c r="O122" s="215">
        <v>10751.3</v>
      </c>
      <c r="P122" s="215">
        <v>10751.3</v>
      </c>
      <c r="Q122" s="215">
        <v>7312.36</v>
      </c>
      <c r="R122" s="6"/>
    </row>
    <row r="123" spans="1:18" ht="25.5" x14ac:dyDescent="0.25">
      <c r="A123" s="63">
        <v>3</v>
      </c>
      <c r="B123" s="217" t="s">
        <v>526</v>
      </c>
      <c r="C123" s="210" t="s">
        <v>62</v>
      </c>
      <c r="D123" s="210"/>
      <c r="E123" s="210" t="s">
        <v>527</v>
      </c>
      <c r="F123" s="210" t="s">
        <v>528</v>
      </c>
      <c r="G123" s="210" t="s">
        <v>524</v>
      </c>
      <c r="H123" s="211">
        <v>0</v>
      </c>
      <c r="I123" s="211">
        <v>0</v>
      </c>
      <c r="J123" s="211">
        <v>0</v>
      </c>
      <c r="K123" s="215">
        <v>0</v>
      </c>
      <c r="L123" s="215">
        <v>0</v>
      </c>
      <c r="M123" s="215">
        <v>0</v>
      </c>
      <c r="N123" s="216">
        <v>0</v>
      </c>
      <c r="O123" s="218">
        <v>0</v>
      </c>
      <c r="P123" s="215">
        <v>0</v>
      </c>
      <c r="Q123" s="215">
        <v>0</v>
      </c>
      <c r="R123" s="6"/>
    </row>
    <row r="124" spans="1:18" ht="25.5" x14ac:dyDescent="0.25">
      <c r="A124" s="63">
        <v>4</v>
      </c>
      <c r="B124" s="210" t="s">
        <v>529</v>
      </c>
      <c r="C124" s="210" t="s">
        <v>62</v>
      </c>
      <c r="D124" s="210"/>
      <c r="E124" s="210" t="s">
        <v>530</v>
      </c>
      <c r="F124" s="210" t="s">
        <v>531</v>
      </c>
      <c r="G124" s="210" t="s">
        <v>524</v>
      </c>
      <c r="H124" s="216">
        <v>3</v>
      </c>
      <c r="I124" s="216">
        <v>2</v>
      </c>
      <c r="J124" s="216">
        <v>2</v>
      </c>
      <c r="K124" s="215">
        <v>2820.2</v>
      </c>
      <c r="L124" s="215">
        <v>2820.2</v>
      </c>
      <c r="M124" s="215">
        <v>2820.2</v>
      </c>
      <c r="N124" s="216">
        <v>0</v>
      </c>
      <c r="O124" s="215">
        <v>0</v>
      </c>
      <c r="P124" s="215">
        <v>0</v>
      </c>
      <c r="Q124" s="215">
        <v>0</v>
      </c>
      <c r="R124" s="6"/>
    </row>
    <row r="125" spans="1:18" ht="25.5" x14ac:dyDescent="0.25">
      <c r="A125" s="63">
        <v>5</v>
      </c>
      <c r="B125" s="210" t="s">
        <v>407</v>
      </c>
      <c r="C125" s="210" t="s">
        <v>62</v>
      </c>
      <c r="D125" s="210"/>
      <c r="E125" s="210" t="s">
        <v>530</v>
      </c>
      <c r="F125" s="210" t="s">
        <v>532</v>
      </c>
      <c r="G125" s="210" t="s">
        <v>524</v>
      </c>
      <c r="H125" s="216">
        <v>3</v>
      </c>
      <c r="I125" s="216">
        <v>0</v>
      </c>
      <c r="J125" s="216">
        <v>0</v>
      </c>
      <c r="K125" s="215">
        <v>0</v>
      </c>
      <c r="L125" s="215">
        <v>0</v>
      </c>
      <c r="M125" s="215">
        <v>0</v>
      </c>
      <c r="N125" s="216">
        <v>0</v>
      </c>
      <c r="O125" s="215">
        <v>0</v>
      </c>
      <c r="P125" s="215">
        <v>0</v>
      </c>
      <c r="Q125" s="215">
        <v>0</v>
      </c>
      <c r="R125" s="6"/>
    </row>
    <row r="126" spans="1:18" ht="25.5" x14ac:dyDescent="0.25">
      <c r="A126" s="63">
        <v>6</v>
      </c>
      <c r="B126" s="210" t="s">
        <v>185</v>
      </c>
      <c r="C126" s="210" t="s">
        <v>62</v>
      </c>
      <c r="D126" s="210"/>
      <c r="E126" s="210" t="s">
        <v>530</v>
      </c>
      <c r="F126" s="210" t="s">
        <v>533</v>
      </c>
      <c r="G126" s="210" t="s">
        <v>524</v>
      </c>
      <c r="H126" s="216">
        <v>4</v>
      </c>
      <c r="I126" s="216">
        <v>0</v>
      </c>
      <c r="J126" s="216">
        <v>0</v>
      </c>
      <c r="K126" s="215">
        <v>0</v>
      </c>
      <c r="L126" s="215">
        <v>0</v>
      </c>
      <c r="M126" s="215">
        <v>0</v>
      </c>
      <c r="N126" s="216">
        <v>0</v>
      </c>
      <c r="O126" s="215">
        <v>0</v>
      </c>
      <c r="P126" s="215">
        <v>0</v>
      </c>
      <c r="Q126" s="215">
        <v>0</v>
      </c>
      <c r="R126" s="6"/>
    </row>
    <row r="127" spans="1:18" ht="25.5" x14ac:dyDescent="0.25">
      <c r="A127" s="63">
        <v>7</v>
      </c>
      <c r="B127" s="210" t="s">
        <v>534</v>
      </c>
      <c r="C127" s="210" t="s">
        <v>62</v>
      </c>
      <c r="D127" s="210"/>
      <c r="E127" s="210" t="s">
        <v>530</v>
      </c>
      <c r="F127" s="210" t="s">
        <v>535</v>
      </c>
      <c r="G127" s="210" t="s">
        <v>524</v>
      </c>
      <c r="H127" s="216">
        <v>1</v>
      </c>
      <c r="I127" s="216">
        <v>0</v>
      </c>
      <c r="J127" s="216">
        <v>0</v>
      </c>
      <c r="K127" s="215">
        <v>0</v>
      </c>
      <c r="L127" s="215">
        <v>0</v>
      </c>
      <c r="M127" s="215">
        <v>0</v>
      </c>
      <c r="N127" s="216">
        <v>0</v>
      </c>
      <c r="O127" s="215">
        <v>0</v>
      </c>
      <c r="P127" s="215">
        <v>0</v>
      </c>
      <c r="Q127" s="215">
        <v>0</v>
      </c>
      <c r="R127" s="6"/>
    </row>
    <row r="128" spans="1:18" ht="25.5" x14ac:dyDescent="0.25">
      <c r="A128" s="63">
        <v>8</v>
      </c>
      <c r="B128" s="210" t="s">
        <v>104</v>
      </c>
      <c r="C128" s="210" t="s">
        <v>62</v>
      </c>
      <c r="D128" s="210"/>
      <c r="E128" s="210" t="s">
        <v>158</v>
      </c>
      <c r="F128" s="219" t="s">
        <v>536</v>
      </c>
      <c r="G128" s="210" t="s">
        <v>524</v>
      </c>
      <c r="H128" s="211">
        <v>0</v>
      </c>
      <c r="I128" s="211">
        <v>0</v>
      </c>
      <c r="J128" s="211">
        <v>0</v>
      </c>
      <c r="K128" s="215">
        <v>0</v>
      </c>
      <c r="L128" s="215">
        <v>0</v>
      </c>
      <c r="M128" s="215">
        <v>0</v>
      </c>
      <c r="N128" s="216">
        <v>0</v>
      </c>
      <c r="O128" s="215">
        <v>0</v>
      </c>
      <c r="P128" s="215">
        <v>0</v>
      </c>
      <c r="Q128" s="215">
        <v>0</v>
      </c>
      <c r="R128" s="6"/>
    </row>
    <row r="129" spans="1:18" ht="25.5" x14ac:dyDescent="0.25">
      <c r="A129" s="63">
        <v>9</v>
      </c>
      <c r="B129" s="220" t="s">
        <v>30</v>
      </c>
      <c r="C129" s="210" t="s">
        <v>62</v>
      </c>
      <c r="D129" s="210"/>
      <c r="E129" s="220" t="s">
        <v>537</v>
      </c>
      <c r="F129" s="210" t="s">
        <v>580</v>
      </c>
      <c r="G129" s="210" t="s">
        <v>524</v>
      </c>
      <c r="H129" s="216">
        <v>0</v>
      </c>
      <c r="I129" s="216">
        <v>0</v>
      </c>
      <c r="J129" s="216">
        <v>0</v>
      </c>
      <c r="K129" s="215">
        <v>0</v>
      </c>
      <c r="L129" s="215">
        <v>0</v>
      </c>
      <c r="M129" s="215">
        <v>0</v>
      </c>
      <c r="N129" s="216">
        <v>0</v>
      </c>
      <c r="O129" s="215">
        <v>0</v>
      </c>
      <c r="P129" s="215">
        <v>0</v>
      </c>
      <c r="Q129" s="215">
        <v>0</v>
      </c>
      <c r="R129" s="6"/>
    </row>
    <row r="130" spans="1:18" ht="25.5" x14ac:dyDescent="0.25">
      <c r="A130" s="224">
        <v>1</v>
      </c>
      <c r="B130" s="1" t="s">
        <v>159</v>
      </c>
      <c r="C130" s="27" t="s">
        <v>62</v>
      </c>
      <c r="D130" s="1" t="s">
        <v>63</v>
      </c>
      <c r="E130" s="1" t="s">
        <v>121</v>
      </c>
      <c r="F130" s="1" t="s">
        <v>160</v>
      </c>
      <c r="G130" s="27" t="s">
        <v>85</v>
      </c>
      <c r="H130" s="27">
        <v>3</v>
      </c>
      <c r="I130" s="27">
        <v>3</v>
      </c>
      <c r="J130" s="27">
        <v>3</v>
      </c>
      <c r="K130" s="28">
        <v>1493.3</v>
      </c>
      <c r="L130" s="28">
        <v>1493.3</v>
      </c>
      <c r="M130" s="28">
        <v>0</v>
      </c>
      <c r="N130" s="27">
        <v>7</v>
      </c>
      <c r="O130" s="28">
        <v>28053.94</v>
      </c>
      <c r="P130" s="28">
        <v>26421.62</v>
      </c>
      <c r="Q130" s="28">
        <v>1632.32</v>
      </c>
      <c r="R130" s="6"/>
    </row>
    <row r="131" spans="1:18" x14ac:dyDescent="0.25">
      <c r="A131" s="224">
        <f>A130+1</f>
        <v>2</v>
      </c>
      <c r="B131" s="1" t="s">
        <v>581</v>
      </c>
      <c r="C131" s="27" t="s">
        <v>62</v>
      </c>
      <c r="D131" s="1" t="s">
        <v>63</v>
      </c>
      <c r="E131" s="1" t="s">
        <v>74</v>
      </c>
      <c r="F131" s="1" t="s">
        <v>582</v>
      </c>
      <c r="G131" s="27" t="s">
        <v>85</v>
      </c>
      <c r="H131" s="27">
        <v>0</v>
      </c>
      <c r="I131" s="27">
        <v>0</v>
      </c>
      <c r="J131" s="27">
        <v>0</v>
      </c>
      <c r="K131" s="28">
        <v>0</v>
      </c>
      <c r="L131" s="28">
        <v>0</v>
      </c>
      <c r="M131" s="28">
        <v>0</v>
      </c>
      <c r="N131" s="27">
        <v>1</v>
      </c>
      <c r="O131" s="28">
        <v>0</v>
      </c>
      <c r="P131" s="28">
        <v>0</v>
      </c>
      <c r="Q131" s="28">
        <v>0</v>
      </c>
      <c r="R131" s="6"/>
    </row>
    <row r="132" spans="1:18" x14ac:dyDescent="0.25">
      <c r="A132" s="224">
        <f t="shared" ref="A132:A195" si="8">A131+1</f>
        <v>3</v>
      </c>
      <c r="B132" s="1" t="s">
        <v>95</v>
      </c>
      <c r="C132" s="27" t="s">
        <v>62</v>
      </c>
      <c r="D132" s="1" t="s">
        <v>63</v>
      </c>
      <c r="E132" s="1" t="s">
        <v>74</v>
      </c>
      <c r="F132" s="1" t="s">
        <v>161</v>
      </c>
      <c r="G132" s="27" t="s">
        <v>85</v>
      </c>
      <c r="H132" s="27">
        <v>32</v>
      </c>
      <c r="I132" s="27">
        <v>22</v>
      </c>
      <c r="J132" s="27">
        <v>30</v>
      </c>
      <c r="K132" s="28">
        <v>29308.959999999999</v>
      </c>
      <c r="L132" s="28">
        <v>29308.959999999999</v>
      </c>
      <c r="M132" s="28">
        <v>0</v>
      </c>
      <c r="N132" s="27">
        <v>17</v>
      </c>
      <c r="O132" s="28">
        <v>57450.400000000001</v>
      </c>
      <c r="P132" s="28">
        <v>57450.400000000001</v>
      </c>
      <c r="Q132" s="28">
        <v>0</v>
      </c>
      <c r="R132" s="6"/>
    </row>
    <row r="133" spans="1:18" ht="25.5" x14ac:dyDescent="0.25">
      <c r="A133" s="224">
        <f t="shared" si="8"/>
        <v>4</v>
      </c>
      <c r="B133" s="1" t="s">
        <v>541</v>
      </c>
      <c r="C133" s="27" t="s">
        <v>62</v>
      </c>
      <c r="D133" s="1"/>
      <c r="E133" s="1" t="s">
        <v>177</v>
      </c>
      <c r="F133" s="1" t="s">
        <v>542</v>
      </c>
      <c r="G133" s="27" t="s">
        <v>85</v>
      </c>
      <c r="H133" s="27">
        <v>12</v>
      </c>
      <c r="I133" s="27">
        <v>1</v>
      </c>
      <c r="J133" s="27">
        <v>1</v>
      </c>
      <c r="K133" s="28">
        <v>0</v>
      </c>
      <c r="L133" s="28">
        <v>0</v>
      </c>
      <c r="M133" s="28">
        <v>0</v>
      </c>
      <c r="N133" s="27">
        <v>0</v>
      </c>
      <c r="O133" s="28">
        <v>0</v>
      </c>
      <c r="P133" s="28">
        <v>0</v>
      </c>
      <c r="Q133" s="28">
        <v>0</v>
      </c>
      <c r="R133" s="6"/>
    </row>
    <row r="134" spans="1:18" ht="25.5" x14ac:dyDescent="0.25">
      <c r="A134" s="224">
        <f t="shared" si="8"/>
        <v>5</v>
      </c>
      <c r="B134" s="1" t="s">
        <v>18</v>
      </c>
      <c r="C134" s="27" t="s">
        <v>62</v>
      </c>
      <c r="D134" s="1" t="s">
        <v>63</v>
      </c>
      <c r="E134" s="1" t="s">
        <v>70</v>
      </c>
      <c r="F134" s="1" t="s">
        <v>565</v>
      </c>
      <c r="G134" s="27" t="s">
        <v>85</v>
      </c>
      <c r="H134" s="27">
        <v>2</v>
      </c>
      <c r="I134" s="27">
        <v>0</v>
      </c>
      <c r="J134" s="27">
        <v>0</v>
      </c>
      <c r="K134" s="28">
        <v>0</v>
      </c>
      <c r="L134" s="28">
        <v>0</v>
      </c>
      <c r="M134" s="28">
        <v>0</v>
      </c>
      <c r="N134" s="27">
        <v>1</v>
      </c>
      <c r="O134" s="28">
        <v>0</v>
      </c>
      <c r="P134" s="28">
        <v>0</v>
      </c>
      <c r="Q134" s="28">
        <v>0</v>
      </c>
      <c r="R134" s="6"/>
    </row>
    <row r="135" spans="1:18" x14ac:dyDescent="0.25">
      <c r="A135" s="224">
        <f t="shared" si="8"/>
        <v>6</v>
      </c>
      <c r="B135" s="1" t="s">
        <v>19</v>
      </c>
      <c r="C135" s="27" t="s">
        <v>62</v>
      </c>
      <c r="D135" s="1" t="s">
        <v>63</v>
      </c>
      <c r="E135" s="1" t="s">
        <v>71</v>
      </c>
      <c r="F135" s="1" t="s">
        <v>162</v>
      </c>
      <c r="G135" s="27" t="s">
        <v>85</v>
      </c>
      <c r="H135" s="27">
        <v>64</v>
      </c>
      <c r="I135" s="27">
        <v>55</v>
      </c>
      <c r="J135" s="27">
        <v>72</v>
      </c>
      <c r="K135" s="28">
        <v>48258.25</v>
      </c>
      <c r="L135" s="28">
        <v>48258.25</v>
      </c>
      <c r="M135" s="28">
        <v>0</v>
      </c>
      <c r="N135" s="27">
        <v>22</v>
      </c>
      <c r="O135" s="28">
        <v>60549.22</v>
      </c>
      <c r="P135" s="28">
        <v>60549.22</v>
      </c>
      <c r="Q135" s="28">
        <v>0</v>
      </c>
      <c r="R135" s="6"/>
    </row>
    <row r="136" spans="1:18" ht="25.5" x14ac:dyDescent="0.25">
      <c r="A136" s="224">
        <f t="shared" si="8"/>
        <v>7</v>
      </c>
      <c r="B136" s="1" t="s">
        <v>20</v>
      </c>
      <c r="C136" s="27" t="s">
        <v>62</v>
      </c>
      <c r="D136" s="1" t="s">
        <v>63</v>
      </c>
      <c r="E136" s="1" t="s">
        <v>72</v>
      </c>
      <c r="F136" s="1" t="s">
        <v>163</v>
      </c>
      <c r="G136" s="27" t="s">
        <v>85</v>
      </c>
      <c r="H136" s="27">
        <v>0</v>
      </c>
      <c r="I136" s="27">
        <v>0</v>
      </c>
      <c r="J136" s="27">
        <v>0</v>
      </c>
      <c r="K136" s="28">
        <v>0</v>
      </c>
      <c r="L136" s="28">
        <v>0</v>
      </c>
      <c r="M136" s="28">
        <v>0</v>
      </c>
      <c r="N136" s="27">
        <v>0</v>
      </c>
      <c r="O136" s="28">
        <v>6138.73</v>
      </c>
      <c r="P136" s="28">
        <v>6138.73</v>
      </c>
      <c r="Q136" s="28">
        <v>0</v>
      </c>
      <c r="R136" s="6"/>
    </row>
    <row r="137" spans="1:18" ht="25.5" x14ac:dyDescent="0.25">
      <c r="A137" s="224">
        <f t="shared" si="8"/>
        <v>8</v>
      </c>
      <c r="B137" s="1" t="s">
        <v>100</v>
      </c>
      <c r="C137" s="27" t="s">
        <v>62</v>
      </c>
      <c r="D137" s="1" t="s">
        <v>63</v>
      </c>
      <c r="E137" s="1" t="s">
        <v>101</v>
      </c>
      <c r="F137" s="1" t="s">
        <v>164</v>
      </c>
      <c r="G137" s="27" t="s">
        <v>85</v>
      </c>
      <c r="H137" s="27">
        <v>13</v>
      </c>
      <c r="I137" s="27">
        <v>12</v>
      </c>
      <c r="J137" s="27">
        <v>14</v>
      </c>
      <c r="K137" s="28">
        <v>2236.1999999999998</v>
      </c>
      <c r="L137" s="28">
        <v>2236.1999999999998</v>
      </c>
      <c r="M137" s="28">
        <v>0</v>
      </c>
      <c r="N137" s="27">
        <v>12</v>
      </c>
      <c r="O137" s="28">
        <v>14229.95</v>
      </c>
      <c r="P137" s="28">
        <v>14229.95</v>
      </c>
      <c r="Q137" s="28">
        <v>0</v>
      </c>
      <c r="R137" s="6"/>
    </row>
    <row r="138" spans="1:18" x14ac:dyDescent="0.25">
      <c r="A138" s="224">
        <f t="shared" si="8"/>
        <v>9</v>
      </c>
      <c r="B138" s="1" t="s">
        <v>86</v>
      </c>
      <c r="C138" s="27" t="s">
        <v>62</v>
      </c>
      <c r="D138" s="1" t="s">
        <v>63</v>
      </c>
      <c r="E138" s="1" t="s">
        <v>74</v>
      </c>
      <c r="F138" s="1" t="s">
        <v>165</v>
      </c>
      <c r="G138" s="27" t="s">
        <v>85</v>
      </c>
      <c r="H138" s="27">
        <v>36</v>
      </c>
      <c r="I138" s="27">
        <v>25</v>
      </c>
      <c r="J138" s="27">
        <v>27</v>
      </c>
      <c r="K138" s="28">
        <f>20362.9+608.89</f>
        <v>20971.79</v>
      </c>
      <c r="L138" s="28">
        <f>20362.9+608.89</f>
        <v>20971.79</v>
      </c>
      <c r="M138" s="28">
        <v>0</v>
      </c>
      <c r="N138" s="27">
        <v>17</v>
      </c>
      <c r="O138" s="28">
        <v>41124.29</v>
      </c>
      <c r="P138" s="28">
        <v>41124.29</v>
      </c>
      <c r="Q138" s="28">
        <v>0</v>
      </c>
      <c r="R138" s="6"/>
    </row>
    <row r="139" spans="1:18" x14ac:dyDescent="0.25">
      <c r="A139" s="224">
        <f t="shared" si="8"/>
        <v>10</v>
      </c>
      <c r="B139" s="1" t="s">
        <v>166</v>
      </c>
      <c r="C139" s="27" t="s">
        <v>62</v>
      </c>
      <c r="D139" s="1"/>
      <c r="E139" s="1" t="s">
        <v>74</v>
      </c>
      <c r="F139" s="1" t="s">
        <v>167</v>
      </c>
      <c r="G139" s="27" t="s">
        <v>85</v>
      </c>
      <c r="H139" s="27">
        <v>10</v>
      </c>
      <c r="I139" s="27">
        <v>10</v>
      </c>
      <c r="J139" s="27">
        <v>10</v>
      </c>
      <c r="K139" s="28">
        <v>3373.58</v>
      </c>
      <c r="L139" s="28">
        <v>3373.58</v>
      </c>
      <c r="M139" s="28">
        <v>0</v>
      </c>
      <c r="N139" s="27">
        <v>0</v>
      </c>
      <c r="O139" s="28">
        <v>0</v>
      </c>
      <c r="P139" s="28">
        <v>0</v>
      </c>
      <c r="Q139" s="28">
        <v>0</v>
      </c>
      <c r="R139" s="6"/>
    </row>
    <row r="140" spans="1:18" x14ac:dyDescent="0.25">
      <c r="A140" s="224">
        <f t="shared" si="8"/>
        <v>11</v>
      </c>
      <c r="B140" s="1" t="s">
        <v>168</v>
      </c>
      <c r="C140" s="27" t="s">
        <v>62</v>
      </c>
      <c r="D140" s="1"/>
      <c r="E140" s="1" t="s">
        <v>74</v>
      </c>
      <c r="F140" s="1" t="s">
        <v>169</v>
      </c>
      <c r="G140" s="27" t="s">
        <v>85</v>
      </c>
      <c r="H140" s="27">
        <v>17</v>
      </c>
      <c r="I140" s="27">
        <v>11</v>
      </c>
      <c r="J140" s="27">
        <v>13</v>
      </c>
      <c r="K140" s="28">
        <v>1800.94</v>
      </c>
      <c r="L140" s="28">
        <v>1800.94</v>
      </c>
      <c r="M140" s="28">
        <v>0</v>
      </c>
      <c r="N140" s="27">
        <v>0</v>
      </c>
      <c r="O140" s="28">
        <v>0</v>
      </c>
      <c r="P140" s="28">
        <v>0</v>
      </c>
      <c r="Q140" s="28">
        <v>0</v>
      </c>
      <c r="R140" s="6"/>
    </row>
    <row r="141" spans="1:18" x14ac:dyDescent="0.25">
      <c r="A141" s="224">
        <f t="shared" si="8"/>
        <v>12</v>
      </c>
      <c r="B141" s="1" t="s">
        <v>21</v>
      </c>
      <c r="C141" s="27" t="s">
        <v>62</v>
      </c>
      <c r="D141" s="1" t="s">
        <v>63</v>
      </c>
      <c r="E141" s="1" t="s">
        <v>73</v>
      </c>
      <c r="F141" s="1" t="s">
        <v>170</v>
      </c>
      <c r="G141" s="27" t="s">
        <v>85</v>
      </c>
      <c r="H141" s="27">
        <v>38</v>
      </c>
      <c r="I141" s="27">
        <v>35</v>
      </c>
      <c r="J141" s="27">
        <v>39</v>
      </c>
      <c r="K141" s="28">
        <v>35579.82</v>
      </c>
      <c r="L141" s="28">
        <v>35579.82</v>
      </c>
      <c r="M141" s="28">
        <v>0</v>
      </c>
      <c r="N141" s="27">
        <v>31</v>
      </c>
      <c r="O141" s="28">
        <v>55974.63</v>
      </c>
      <c r="P141" s="28">
        <v>55974.63</v>
      </c>
      <c r="Q141" s="28">
        <v>0</v>
      </c>
      <c r="R141" s="6"/>
    </row>
    <row r="142" spans="1:18" x14ac:dyDescent="0.25">
      <c r="A142" s="224">
        <f t="shared" si="8"/>
        <v>13</v>
      </c>
      <c r="B142" s="1" t="s">
        <v>22</v>
      </c>
      <c r="C142" s="27" t="s">
        <v>62</v>
      </c>
      <c r="D142" s="1" t="s">
        <v>63</v>
      </c>
      <c r="E142" s="1" t="s">
        <v>74</v>
      </c>
      <c r="F142" s="1" t="s">
        <v>171</v>
      </c>
      <c r="G142" s="27" t="s">
        <v>85</v>
      </c>
      <c r="H142" s="27">
        <v>26</v>
      </c>
      <c r="I142" s="27">
        <v>20</v>
      </c>
      <c r="J142" s="27">
        <v>23</v>
      </c>
      <c r="K142" s="28">
        <v>31389.19</v>
      </c>
      <c r="L142" s="28">
        <v>31389.19</v>
      </c>
      <c r="M142" s="28">
        <v>0</v>
      </c>
      <c r="N142" s="27">
        <v>33</v>
      </c>
      <c r="O142" s="28">
        <v>32673.99</v>
      </c>
      <c r="P142" s="28">
        <v>32673.99</v>
      </c>
      <c r="Q142" s="28">
        <v>0</v>
      </c>
      <c r="R142" s="6"/>
    </row>
    <row r="143" spans="1:18" ht="25.5" x14ac:dyDescent="0.25">
      <c r="A143" s="224">
        <f t="shared" si="8"/>
        <v>14</v>
      </c>
      <c r="B143" s="1" t="s">
        <v>23</v>
      </c>
      <c r="C143" s="27" t="s">
        <v>62</v>
      </c>
      <c r="D143" s="1" t="s">
        <v>63</v>
      </c>
      <c r="E143" s="1" t="s">
        <v>75</v>
      </c>
      <c r="F143" s="1" t="s">
        <v>136</v>
      </c>
      <c r="G143" s="27" t="s">
        <v>85</v>
      </c>
      <c r="H143" s="27">
        <v>2</v>
      </c>
      <c r="I143" s="27">
        <v>0</v>
      </c>
      <c r="J143" s="27">
        <v>0</v>
      </c>
      <c r="K143" s="28">
        <v>0</v>
      </c>
      <c r="L143" s="28">
        <v>0</v>
      </c>
      <c r="M143" s="28">
        <v>0</v>
      </c>
      <c r="N143" s="27">
        <v>0</v>
      </c>
      <c r="O143" s="28">
        <v>0</v>
      </c>
      <c r="P143" s="28">
        <v>0</v>
      </c>
      <c r="Q143" s="28">
        <v>0</v>
      </c>
      <c r="R143" s="6"/>
    </row>
    <row r="144" spans="1:18" x14ac:dyDescent="0.25">
      <c r="A144" s="224">
        <f t="shared" si="8"/>
        <v>15</v>
      </c>
      <c r="B144" s="1" t="s">
        <v>24</v>
      </c>
      <c r="C144" s="27" t="s">
        <v>62</v>
      </c>
      <c r="D144" s="1" t="s">
        <v>63</v>
      </c>
      <c r="E144" s="1" t="s">
        <v>74</v>
      </c>
      <c r="F144" s="1" t="s">
        <v>172</v>
      </c>
      <c r="G144" s="27" t="s">
        <v>85</v>
      </c>
      <c r="H144" s="27">
        <v>28</v>
      </c>
      <c r="I144" s="27">
        <v>20</v>
      </c>
      <c r="J144" s="27">
        <v>23</v>
      </c>
      <c r="K144" s="28">
        <v>17924.09</v>
      </c>
      <c r="L144" s="28">
        <v>13896.45</v>
      </c>
      <c r="M144" s="28">
        <v>4027.64</v>
      </c>
      <c r="N144" s="27">
        <v>22</v>
      </c>
      <c r="O144" s="28">
        <v>62054.37</v>
      </c>
      <c r="P144" s="28">
        <v>38937.43</v>
      </c>
      <c r="Q144" s="28">
        <v>23116.94</v>
      </c>
      <c r="R144" s="6"/>
    </row>
    <row r="145" spans="1:18" x14ac:dyDescent="0.25">
      <c r="A145" s="224">
        <f t="shared" si="8"/>
        <v>16</v>
      </c>
      <c r="B145" s="1" t="s">
        <v>102</v>
      </c>
      <c r="C145" s="27" t="s">
        <v>67</v>
      </c>
      <c r="D145" s="1" t="s">
        <v>583</v>
      </c>
      <c r="E145" s="1" t="s">
        <v>74</v>
      </c>
      <c r="F145" s="1" t="s">
        <v>477</v>
      </c>
      <c r="G145" s="27" t="s">
        <v>85</v>
      </c>
      <c r="H145" s="27">
        <v>2</v>
      </c>
      <c r="I145" s="27">
        <v>1</v>
      </c>
      <c r="J145" s="27">
        <v>1</v>
      </c>
      <c r="K145" s="28">
        <v>528.6</v>
      </c>
      <c r="L145" s="28">
        <v>528.6</v>
      </c>
      <c r="M145" s="28">
        <v>0</v>
      </c>
      <c r="N145" s="27">
        <v>4</v>
      </c>
      <c r="O145" s="28">
        <v>3334.48</v>
      </c>
      <c r="P145" s="28">
        <v>3334.48</v>
      </c>
      <c r="Q145" s="28">
        <v>0</v>
      </c>
      <c r="R145" s="6"/>
    </row>
    <row r="146" spans="1:18" ht="25.5" x14ac:dyDescent="0.25">
      <c r="A146" s="224">
        <f t="shared" si="8"/>
        <v>17</v>
      </c>
      <c r="B146" s="1" t="s">
        <v>173</v>
      </c>
      <c r="C146" s="27" t="s">
        <v>67</v>
      </c>
      <c r="D146" s="1" t="s">
        <v>478</v>
      </c>
      <c r="E146" s="1" t="s">
        <v>174</v>
      </c>
      <c r="F146" s="1" t="s">
        <v>175</v>
      </c>
      <c r="G146" s="27" t="s">
        <v>85</v>
      </c>
      <c r="H146" s="27">
        <v>19</v>
      </c>
      <c r="I146" s="27">
        <v>14</v>
      </c>
      <c r="J146" s="27">
        <v>14</v>
      </c>
      <c r="K146" s="28">
        <v>5014.49</v>
      </c>
      <c r="L146" s="28">
        <v>5014.49</v>
      </c>
      <c r="M146" s="28">
        <v>0</v>
      </c>
      <c r="N146" s="27">
        <v>0</v>
      </c>
      <c r="O146" s="28">
        <v>0</v>
      </c>
      <c r="P146" s="28">
        <v>0</v>
      </c>
      <c r="Q146" s="28">
        <v>0</v>
      </c>
      <c r="R146" s="6"/>
    </row>
    <row r="147" spans="1:18" ht="25.5" x14ac:dyDescent="0.25">
      <c r="A147" s="224">
        <f t="shared" si="8"/>
        <v>18</v>
      </c>
      <c r="B147" s="1" t="s">
        <v>25</v>
      </c>
      <c r="C147" s="27" t="s">
        <v>62</v>
      </c>
      <c r="D147" s="1" t="s">
        <v>63</v>
      </c>
      <c r="E147" s="1" t="s">
        <v>76</v>
      </c>
      <c r="F147" s="1" t="s">
        <v>584</v>
      </c>
      <c r="G147" s="27" t="s">
        <v>85</v>
      </c>
      <c r="H147" s="27">
        <v>29</v>
      </c>
      <c r="I147" s="27">
        <v>0</v>
      </c>
      <c r="J147" s="27">
        <v>0</v>
      </c>
      <c r="K147" s="28">
        <v>0</v>
      </c>
      <c r="L147" s="28">
        <v>0</v>
      </c>
      <c r="M147" s="28">
        <v>0</v>
      </c>
      <c r="N147" s="27">
        <v>0</v>
      </c>
      <c r="O147" s="28">
        <v>0</v>
      </c>
      <c r="P147" s="28">
        <v>0</v>
      </c>
      <c r="Q147" s="28">
        <v>0</v>
      </c>
      <c r="R147" s="6"/>
    </row>
    <row r="148" spans="1:18" ht="25.5" x14ac:dyDescent="0.25">
      <c r="A148" s="224">
        <f t="shared" si="8"/>
        <v>19</v>
      </c>
      <c r="B148" s="1" t="s">
        <v>87</v>
      </c>
      <c r="C148" s="27" t="s">
        <v>62</v>
      </c>
      <c r="D148" s="1" t="s">
        <v>63</v>
      </c>
      <c r="E148" s="1" t="s">
        <v>75</v>
      </c>
      <c r="F148" s="1" t="s">
        <v>103</v>
      </c>
      <c r="G148" s="27" t="s">
        <v>85</v>
      </c>
      <c r="H148" s="27">
        <v>0</v>
      </c>
      <c r="I148" s="27">
        <v>0</v>
      </c>
      <c r="J148" s="27">
        <v>0</v>
      </c>
      <c r="K148" s="28">
        <v>0</v>
      </c>
      <c r="L148" s="28">
        <v>0</v>
      </c>
      <c r="M148" s="28">
        <v>0</v>
      </c>
      <c r="N148" s="27">
        <v>9</v>
      </c>
      <c r="O148" s="28">
        <v>0</v>
      </c>
      <c r="P148" s="28">
        <v>0</v>
      </c>
      <c r="Q148" s="28">
        <v>0</v>
      </c>
      <c r="R148" s="6"/>
    </row>
    <row r="149" spans="1:18" ht="25.5" x14ac:dyDescent="0.25">
      <c r="A149" s="224">
        <f t="shared" si="8"/>
        <v>20</v>
      </c>
      <c r="B149" s="1" t="s">
        <v>479</v>
      </c>
      <c r="C149" s="27" t="s">
        <v>67</v>
      </c>
      <c r="D149" s="1" t="s">
        <v>480</v>
      </c>
      <c r="E149" s="1" t="s">
        <v>271</v>
      </c>
      <c r="F149" s="1" t="s">
        <v>481</v>
      </c>
      <c r="G149" s="27" t="s">
        <v>85</v>
      </c>
      <c r="H149" s="27">
        <v>9</v>
      </c>
      <c r="I149" s="27">
        <v>3</v>
      </c>
      <c r="J149" s="27">
        <v>3</v>
      </c>
      <c r="K149" s="28">
        <v>0</v>
      </c>
      <c r="L149" s="28">
        <v>0</v>
      </c>
      <c r="M149" s="28">
        <v>0</v>
      </c>
      <c r="N149" s="27">
        <v>0</v>
      </c>
      <c r="O149" s="28">
        <v>0</v>
      </c>
      <c r="P149" s="28">
        <v>0</v>
      </c>
      <c r="Q149" s="28">
        <v>0</v>
      </c>
      <c r="R149" s="6"/>
    </row>
    <row r="150" spans="1:18" ht="25.5" x14ac:dyDescent="0.25">
      <c r="A150" s="224">
        <f t="shared" si="8"/>
        <v>21</v>
      </c>
      <c r="B150" s="1" t="s">
        <v>176</v>
      </c>
      <c r="C150" s="27" t="s">
        <v>62</v>
      </c>
      <c r="D150" s="1"/>
      <c r="E150" s="1" t="s">
        <v>177</v>
      </c>
      <c r="F150" s="1" t="s">
        <v>178</v>
      </c>
      <c r="G150" s="27" t="s">
        <v>85</v>
      </c>
      <c r="H150" s="27">
        <v>9</v>
      </c>
      <c r="I150" s="27">
        <v>5</v>
      </c>
      <c r="J150" s="27">
        <v>6</v>
      </c>
      <c r="K150" s="28">
        <v>5215.5200000000004</v>
      </c>
      <c r="L150" s="28">
        <v>5215.5200000000004</v>
      </c>
      <c r="M150" s="28">
        <v>0</v>
      </c>
      <c r="N150" s="27">
        <v>0</v>
      </c>
      <c r="O150" s="28">
        <v>0</v>
      </c>
      <c r="P150" s="28">
        <v>0</v>
      </c>
      <c r="Q150" s="28">
        <v>0</v>
      </c>
      <c r="R150" s="6"/>
    </row>
    <row r="151" spans="1:18" x14ac:dyDescent="0.25">
      <c r="A151" s="224">
        <f t="shared" si="8"/>
        <v>22</v>
      </c>
      <c r="B151" s="1" t="s">
        <v>152</v>
      </c>
      <c r="C151" s="27" t="s">
        <v>62</v>
      </c>
      <c r="D151" s="1" t="s">
        <v>63</v>
      </c>
      <c r="E151" s="1" t="s">
        <v>74</v>
      </c>
      <c r="F151" s="1" t="s">
        <v>179</v>
      </c>
      <c r="G151" s="27" t="s">
        <v>85</v>
      </c>
      <c r="H151" s="27">
        <v>21</v>
      </c>
      <c r="I151" s="27">
        <v>8</v>
      </c>
      <c r="J151" s="27">
        <v>9</v>
      </c>
      <c r="K151" s="28">
        <v>2163.9</v>
      </c>
      <c r="L151" s="28">
        <v>2163.9</v>
      </c>
      <c r="M151" s="28">
        <v>0</v>
      </c>
      <c r="N151" s="27">
        <v>12</v>
      </c>
      <c r="O151" s="28">
        <v>10033.950000000001</v>
      </c>
      <c r="P151" s="28">
        <v>10033.950000000001</v>
      </c>
      <c r="Q151" s="28">
        <v>0</v>
      </c>
      <c r="R151" s="6"/>
    </row>
    <row r="152" spans="1:18" x14ac:dyDescent="0.25">
      <c r="A152" s="224">
        <f t="shared" si="8"/>
        <v>23</v>
      </c>
      <c r="B152" s="1" t="s">
        <v>88</v>
      </c>
      <c r="C152" s="27" t="s">
        <v>62</v>
      </c>
      <c r="D152" s="1" t="s">
        <v>63</v>
      </c>
      <c r="E152" s="1" t="s">
        <v>74</v>
      </c>
      <c r="F152" s="1" t="s">
        <v>180</v>
      </c>
      <c r="G152" s="27" t="s">
        <v>85</v>
      </c>
      <c r="H152" s="27">
        <v>9</v>
      </c>
      <c r="I152" s="27">
        <v>2</v>
      </c>
      <c r="J152" s="27">
        <v>2</v>
      </c>
      <c r="K152" s="28">
        <v>2706.43</v>
      </c>
      <c r="L152" s="28">
        <v>2706.43</v>
      </c>
      <c r="M152" s="28">
        <v>0</v>
      </c>
      <c r="N152" s="27">
        <v>2</v>
      </c>
      <c r="O152" s="28">
        <v>2692.05</v>
      </c>
      <c r="P152" s="28">
        <v>2692.05</v>
      </c>
      <c r="Q152" s="28">
        <v>0</v>
      </c>
      <c r="R152" s="6"/>
    </row>
    <row r="153" spans="1:18" x14ac:dyDescent="0.25">
      <c r="A153" s="224">
        <f t="shared" si="8"/>
        <v>24</v>
      </c>
      <c r="B153" s="1" t="s">
        <v>26</v>
      </c>
      <c r="C153" s="27" t="s">
        <v>62</v>
      </c>
      <c r="D153" s="1" t="s">
        <v>63</v>
      </c>
      <c r="E153" s="1" t="s">
        <v>74</v>
      </c>
      <c r="F153" s="1" t="s">
        <v>181</v>
      </c>
      <c r="G153" s="27" t="s">
        <v>85</v>
      </c>
      <c r="H153" s="27">
        <v>21</v>
      </c>
      <c r="I153" s="27">
        <v>16</v>
      </c>
      <c r="J153" s="27">
        <v>22</v>
      </c>
      <c r="K153" s="28">
        <v>35238.32</v>
      </c>
      <c r="L153" s="28">
        <v>30043.9</v>
      </c>
      <c r="M153" s="28">
        <v>5194.42</v>
      </c>
      <c r="N153" s="27">
        <v>11</v>
      </c>
      <c r="O153" s="28">
        <v>21569.8</v>
      </c>
      <c r="P153" s="28">
        <v>14402.86</v>
      </c>
      <c r="Q153" s="28">
        <v>7166.94</v>
      </c>
      <c r="R153" s="6"/>
    </row>
    <row r="154" spans="1:18" ht="25.5" x14ac:dyDescent="0.25">
      <c r="A154" s="224">
        <f t="shared" si="8"/>
        <v>25</v>
      </c>
      <c r="B154" s="1" t="s">
        <v>182</v>
      </c>
      <c r="C154" s="27" t="s">
        <v>62</v>
      </c>
      <c r="D154" s="1"/>
      <c r="E154" s="1" t="s">
        <v>174</v>
      </c>
      <c r="F154" s="1" t="s">
        <v>183</v>
      </c>
      <c r="G154" s="27" t="s">
        <v>85</v>
      </c>
      <c r="H154" s="27">
        <v>23</v>
      </c>
      <c r="I154" s="27">
        <v>21</v>
      </c>
      <c r="J154" s="27">
        <v>24</v>
      </c>
      <c r="K154" s="28">
        <v>16674.57</v>
      </c>
      <c r="L154" s="28">
        <v>16674.57</v>
      </c>
      <c r="M154" s="28">
        <v>0</v>
      </c>
      <c r="N154" s="27">
        <v>0</v>
      </c>
      <c r="O154" s="28">
        <v>0</v>
      </c>
      <c r="P154" s="28">
        <v>0</v>
      </c>
      <c r="Q154" s="28">
        <v>0</v>
      </c>
      <c r="R154" s="6"/>
    </row>
    <row r="155" spans="1:18" ht="25.5" x14ac:dyDescent="0.25">
      <c r="A155" s="224">
        <f t="shared" si="8"/>
        <v>26</v>
      </c>
      <c r="B155" s="1" t="s">
        <v>137</v>
      </c>
      <c r="C155" s="27" t="s">
        <v>62</v>
      </c>
      <c r="D155" s="1" t="s">
        <v>63</v>
      </c>
      <c r="E155" s="1" t="s">
        <v>78</v>
      </c>
      <c r="F155" s="1" t="s">
        <v>184</v>
      </c>
      <c r="G155" s="27" t="s">
        <v>85</v>
      </c>
      <c r="H155" s="27">
        <v>8</v>
      </c>
      <c r="I155" s="27">
        <v>3</v>
      </c>
      <c r="J155" s="27">
        <v>3</v>
      </c>
      <c r="K155" s="28">
        <v>2678.24</v>
      </c>
      <c r="L155" s="28">
        <v>2678.24</v>
      </c>
      <c r="M155" s="28">
        <v>0</v>
      </c>
      <c r="N155" s="27">
        <v>4</v>
      </c>
      <c r="O155" s="28">
        <v>6101.8</v>
      </c>
      <c r="P155" s="28">
        <v>6101.8</v>
      </c>
      <c r="Q155" s="28">
        <v>0</v>
      </c>
      <c r="R155" s="6"/>
    </row>
    <row r="156" spans="1:18" ht="25.5" x14ac:dyDescent="0.25">
      <c r="A156" s="224">
        <f t="shared" si="8"/>
        <v>27</v>
      </c>
      <c r="B156" s="1" t="s">
        <v>185</v>
      </c>
      <c r="C156" s="27" t="s">
        <v>62</v>
      </c>
      <c r="D156" s="1"/>
      <c r="E156" s="1" t="s">
        <v>186</v>
      </c>
      <c r="F156" s="1" t="s">
        <v>463</v>
      </c>
      <c r="G156" s="27" t="s">
        <v>85</v>
      </c>
      <c r="H156" s="27">
        <v>9</v>
      </c>
      <c r="I156" s="27">
        <v>3</v>
      </c>
      <c r="J156" s="27">
        <v>3</v>
      </c>
      <c r="K156" s="28">
        <v>1409.6</v>
      </c>
      <c r="L156" s="28">
        <v>1409.6</v>
      </c>
      <c r="M156" s="28">
        <v>0</v>
      </c>
      <c r="N156" s="27">
        <v>0</v>
      </c>
      <c r="O156" s="28">
        <v>0</v>
      </c>
      <c r="P156" s="28">
        <v>0</v>
      </c>
      <c r="Q156" s="28">
        <v>0</v>
      </c>
      <c r="R156" s="6"/>
    </row>
    <row r="157" spans="1:18" x14ac:dyDescent="0.25">
      <c r="A157" s="224">
        <f t="shared" si="8"/>
        <v>28</v>
      </c>
      <c r="B157" s="1" t="s">
        <v>27</v>
      </c>
      <c r="C157" s="27" t="s">
        <v>62</v>
      </c>
      <c r="D157" s="1" t="s">
        <v>63</v>
      </c>
      <c r="E157" s="1" t="s">
        <v>74</v>
      </c>
      <c r="F157" s="1" t="s">
        <v>187</v>
      </c>
      <c r="G157" s="27" t="s">
        <v>85</v>
      </c>
      <c r="H157" s="27">
        <v>11</v>
      </c>
      <c r="I157" s="27">
        <v>6</v>
      </c>
      <c r="J157" s="27">
        <v>7</v>
      </c>
      <c r="K157" s="28">
        <v>2039.94</v>
      </c>
      <c r="L157" s="28">
        <v>2039.94</v>
      </c>
      <c r="M157" s="28">
        <v>0</v>
      </c>
      <c r="N157" s="27">
        <v>4</v>
      </c>
      <c r="O157" s="28">
        <v>25409.64</v>
      </c>
      <c r="P157" s="28">
        <v>25409.64</v>
      </c>
      <c r="Q157" s="28">
        <v>0</v>
      </c>
      <c r="R157" s="6"/>
    </row>
    <row r="158" spans="1:18" ht="25.5" x14ac:dyDescent="0.25">
      <c r="A158" s="224">
        <f t="shared" si="8"/>
        <v>29</v>
      </c>
      <c r="B158" s="1" t="s">
        <v>482</v>
      </c>
      <c r="C158" s="27" t="s">
        <v>64</v>
      </c>
      <c r="D158" s="1" t="s">
        <v>483</v>
      </c>
      <c r="E158" s="1" t="s">
        <v>313</v>
      </c>
      <c r="F158" s="1" t="s">
        <v>484</v>
      </c>
      <c r="G158" s="27" t="s">
        <v>85</v>
      </c>
      <c r="H158" s="27">
        <v>9</v>
      </c>
      <c r="I158" s="27">
        <v>0</v>
      </c>
      <c r="J158" s="27">
        <v>0</v>
      </c>
      <c r="K158" s="28">
        <v>0</v>
      </c>
      <c r="L158" s="28">
        <v>0</v>
      </c>
      <c r="M158" s="28">
        <v>0</v>
      </c>
      <c r="N158" s="27">
        <v>0</v>
      </c>
      <c r="O158" s="28">
        <v>0</v>
      </c>
      <c r="P158" s="28">
        <v>0</v>
      </c>
      <c r="Q158" s="28">
        <v>0</v>
      </c>
      <c r="R158" s="6"/>
    </row>
    <row r="159" spans="1:18" ht="25.5" x14ac:dyDescent="0.25">
      <c r="A159" s="224">
        <f t="shared" si="8"/>
        <v>30</v>
      </c>
      <c r="B159" s="1" t="s">
        <v>104</v>
      </c>
      <c r="C159" s="27" t="s">
        <v>62</v>
      </c>
      <c r="D159" s="1" t="s">
        <v>63</v>
      </c>
      <c r="E159" s="1" t="s">
        <v>105</v>
      </c>
      <c r="F159" s="1" t="s">
        <v>188</v>
      </c>
      <c r="G159" s="27" t="s">
        <v>85</v>
      </c>
      <c r="H159" s="27">
        <v>9</v>
      </c>
      <c r="I159" s="27">
        <v>7</v>
      </c>
      <c r="J159" s="27">
        <v>8</v>
      </c>
      <c r="K159" s="28">
        <v>2130.2600000000002</v>
      </c>
      <c r="L159" s="28">
        <v>2130.2600000000002</v>
      </c>
      <c r="M159" s="28">
        <v>0</v>
      </c>
      <c r="N159" s="27">
        <v>22</v>
      </c>
      <c r="O159" s="28">
        <f>29623.1+4863.12</f>
        <v>34486.22</v>
      </c>
      <c r="P159" s="28">
        <f>29623.1+4863.12</f>
        <v>34486.22</v>
      </c>
      <c r="Q159" s="28">
        <v>0</v>
      </c>
      <c r="R159" s="6"/>
    </row>
    <row r="160" spans="1:18" ht="25.5" x14ac:dyDescent="0.25">
      <c r="A160" s="224">
        <f t="shared" si="8"/>
        <v>31</v>
      </c>
      <c r="B160" s="1" t="s">
        <v>517</v>
      </c>
      <c r="C160" s="27" t="s">
        <v>62</v>
      </c>
      <c r="D160" s="1"/>
      <c r="E160" s="1" t="s">
        <v>239</v>
      </c>
      <c r="F160" s="1" t="s">
        <v>518</v>
      </c>
      <c r="G160" s="27" t="s">
        <v>85</v>
      </c>
      <c r="H160" s="27">
        <v>8</v>
      </c>
      <c r="I160" s="27">
        <v>3</v>
      </c>
      <c r="J160" s="27">
        <v>3</v>
      </c>
      <c r="K160" s="28">
        <v>0</v>
      </c>
      <c r="L160" s="28">
        <v>0</v>
      </c>
      <c r="M160" s="28">
        <v>0</v>
      </c>
      <c r="N160" s="27">
        <v>0</v>
      </c>
      <c r="O160" s="28">
        <v>0</v>
      </c>
      <c r="P160" s="28">
        <v>0</v>
      </c>
      <c r="Q160" s="28">
        <v>0</v>
      </c>
      <c r="R160" s="6"/>
    </row>
    <row r="161" spans="1:18" x14ac:dyDescent="0.25">
      <c r="A161" s="224">
        <f t="shared" si="8"/>
        <v>32</v>
      </c>
      <c r="B161" s="1" t="s">
        <v>28</v>
      </c>
      <c r="C161" s="27" t="s">
        <v>62</v>
      </c>
      <c r="D161" s="1" t="s">
        <v>63</v>
      </c>
      <c r="E161" s="1" t="s">
        <v>74</v>
      </c>
      <c r="F161" s="1" t="s">
        <v>189</v>
      </c>
      <c r="G161" s="27" t="s">
        <v>85</v>
      </c>
      <c r="H161" s="27">
        <v>6</v>
      </c>
      <c r="I161" s="27">
        <v>5</v>
      </c>
      <c r="J161" s="27">
        <v>5</v>
      </c>
      <c r="K161" s="28">
        <v>581.46</v>
      </c>
      <c r="L161" s="28">
        <v>581.46</v>
      </c>
      <c r="M161" s="28">
        <v>0</v>
      </c>
      <c r="N161" s="27">
        <v>6</v>
      </c>
      <c r="O161" s="28">
        <v>6953.99</v>
      </c>
      <c r="P161" s="28">
        <v>6953.99</v>
      </c>
      <c r="Q161" s="28">
        <v>0</v>
      </c>
      <c r="R161" s="6"/>
    </row>
    <row r="162" spans="1:18" x14ac:dyDescent="0.25">
      <c r="A162" s="224">
        <f t="shared" si="8"/>
        <v>33</v>
      </c>
      <c r="B162" s="1" t="s">
        <v>190</v>
      </c>
      <c r="C162" s="27" t="s">
        <v>62</v>
      </c>
      <c r="D162" s="1"/>
      <c r="E162" s="1" t="s">
        <v>63</v>
      </c>
      <c r="F162" s="1" t="s">
        <v>191</v>
      </c>
      <c r="G162" s="27" t="s">
        <v>85</v>
      </c>
      <c r="H162" s="27">
        <v>12</v>
      </c>
      <c r="I162" s="27">
        <v>8</v>
      </c>
      <c r="J162" s="27">
        <v>8</v>
      </c>
      <c r="K162" s="28">
        <v>6494.16</v>
      </c>
      <c r="L162" s="28">
        <v>6494.16</v>
      </c>
      <c r="M162" s="28">
        <v>0</v>
      </c>
      <c r="N162" s="27">
        <v>0</v>
      </c>
      <c r="O162" s="28">
        <v>0</v>
      </c>
      <c r="P162" s="28">
        <v>0</v>
      </c>
      <c r="Q162" s="28">
        <v>0</v>
      </c>
      <c r="R162" s="6"/>
    </row>
    <row r="163" spans="1:18" ht="38.25" x14ac:dyDescent="0.25">
      <c r="A163" s="224">
        <f t="shared" si="8"/>
        <v>34</v>
      </c>
      <c r="B163" s="1" t="s">
        <v>192</v>
      </c>
      <c r="C163" s="27" t="s">
        <v>64</v>
      </c>
      <c r="D163" s="1" t="s">
        <v>193</v>
      </c>
      <c r="E163" s="1" t="s">
        <v>74</v>
      </c>
      <c r="F163" s="1" t="s">
        <v>194</v>
      </c>
      <c r="G163" s="27" t="s">
        <v>85</v>
      </c>
      <c r="H163" s="27">
        <v>1</v>
      </c>
      <c r="I163" s="27">
        <v>0</v>
      </c>
      <c r="J163" s="27">
        <v>0</v>
      </c>
      <c r="K163" s="28">
        <v>0</v>
      </c>
      <c r="L163" s="28">
        <v>0</v>
      </c>
      <c r="M163" s="28">
        <v>0</v>
      </c>
      <c r="N163" s="27">
        <v>0</v>
      </c>
      <c r="O163" s="28">
        <v>0</v>
      </c>
      <c r="P163" s="28">
        <v>0</v>
      </c>
      <c r="Q163" s="28">
        <v>0</v>
      </c>
      <c r="R163" s="6"/>
    </row>
    <row r="164" spans="1:18" x14ac:dyDescent="0.25">
      <c r="A164" s="224">
        <f t="shared" si="8"/>
        <v>35</v>
      </c>
      <c r="B164" s="1" t="s">
        <v>89</v>
      </c>
      <c r="C164" s="27" t="s">
        <v>62</v>
      </c>
      <c r="D164" s="1" t="s">
        <v>63</v>
      </c>
      <c r="E164" s="1" t="s">
        <v>74</v>
      </c>
      <c r="F164" s="1" t="s">
        <v>195</v>
      </c>
      <c r="G164" s="27" t="s">
        <v>85</v>
      </c>
      <c r="H164" s="27">
        <v>23</v>
      </c>
      <c r="I164" s="27">
        <v>17</v>
      </c>
      <c r="J164" s="27">
        <v>18</v>
      </c>
      <c r="K164" s="28">
        <v>9322.39</v>
      </c>
      <c r="L164" s="28">
        <v>8450.2000000000007</v>
      </c>
      <c r="M164" s="28">
        <v>872.19</v>
      </c>
      <c r="N164" s="27">
        <v>5</v>
      </c>
      <c r="O164" s="28">
        <v>25528.79</v>
      </c>
      <c r="P164" s="28">
        <v>25528.79</v>
      </c>
      <c r="Q164" s="28">
        <v>0</v>
      </c>
      <c r="R164" s="6"/>
    </row>
    <row r="165" spans="1:18" ht="25.5" x14ac:dyDescent="0.25">
      <c r="A165" s="224">
        <f t="shared" si="8"/>
        <v>36</v>
      </c>
      <c r="B165" s="1" t="s">
        <v>196</v>
      </c>
      <c r="C165" s="27" t="s">
        <v>62</v>
      </c>
      <c r="D165" s="1"/>
      <c r="E165" s="1" t="s">
        <v>197</v>
      </c>
      <c r="F165" s="1" t="s">
        <v>198</v>
      </c>
      <c r="G165" s="27" t="s">
        <v>85</v>
      </c>
      <c r="H165" s="27">
        <v>17</v>
      </c>
      <c r="I165" s="27">
        <v>10</v>
      </c>
      <c r="J165" s="27">
        <v>10</v>
      </c>
      <c r="K165" s="28">
        <v>4212.17</v>
      </c>
      <c r="L165" s="28">
        <v>4212.17</v>
      </c>
      <c r="M165" s="28">
        <v>0</v>
      </c>
      <c r="N165" s="27">
        <v>0</v>
      </c>
      <c r="O165" s="28">
        <v>0</v>
      </c>
      <c r="P165" s="28">
        <v>0</v>
      </c>
      <c r="Q165" s="28">
        <v>0</v>
      </c>
      <c r="R165" s="6"/>
    </row>
    <row r="166" spans="1:18" x14ac:dyDescent="0.25">
      <c r="A166" s="224">
        <f t="shared" si="8"/>
        <v>37</v>
      </c>
      <c r="B166" s="1" t="s">
        <v>106</v>
      </c>
      <c r="C166" s="27" t="s">
        <v>62</v>
      </c>
      <c r="D166" s="1" t="s">
        <v>63</v>
      </c>
      <c r="E166" s="1" t="s">
        <v>74</v>
      </c>
      <c r="F166" s="1" t="s">
        <v>199</v>
      </c>
      <c r="G166" s="27" t="s">
        <v>85</v>
      </c>
      <c r="H166" s="27">
        <v>35</v>
      </c>
      <c r="I166" s="27">
        <v>24</v>
      </c>
      <c r="J166" s="27">
        <v>29</v>
      </c>
      <c r="K166" s="28">
        <v>30877.81</v>
      </c>
      <c r="L166" s="28">
        <v>24438.49</v>
      </c>
      <c r="M166" s="28">
        <v>6439.32</v>
      </c>
      <c r="N166" s="27">
        <v>24</v>
      </c>
      <c r="O166" s="28">
        <v>98821.22</v>
      </c>
      <c r="P166" s="28">
        <v>61804.6</v>
      </c>
      <c r="Q166" s="28">
        <v>37016.620000000003</v>
      </c>
      <c r="R166" s="6"/>
    </row>
    <row r="167" spans="1:18" x14ac:dyDescent="0.25">
      <c r="A167" s="224">
        <f t="shared" si="8"/>
        <v>38</v>
      </c>
      <c r="B167" s="1" t="s">
        <v>107</v>
      </c>
      <c r="C167" s="27" t="s">
        <v>62</v>
      </c>
      <c r="D167" s="1" t="s">
        <v>63</v>
      </c>
      <c r="E167" s="1" t="s">
        <v>74</v>
      </c>
      <c r="F167" s="1" t="s">
        <v>138</v>
      </c>
      <c r="G167" s="27" t="s">
        <v>85</v>
      </c>
      <c r="H167" s="27">
        <v>2</v>
      </c>
      <c r="I167" s="27">
        <v>0</v>
      </c>
      <c r="J167" s="27">
        <v>0</v>
      </c>
      <c r="K167" s="28">
        <v>0</v>
      </c>
      <c r="L167" s="28">
        <v>0</v>
      </c>
      <c r="M167" s="28">
        <v>0</v>
      </c>
      <c r="N167" s="27">
        <v>0</v>
      </c>
      <c r="O167" s="28">
        <v>0</v>
      </c>
      <c r="P167" s="28">
        <v>0</v>
      </c>
      <c r="Q167" s="28">
        <v>0</v>
      </c>
      <c r="R167" s="6"/>
    </row>
    <row r="168" spans="1:18" x14ac:dyDescent="0.25">
      <c r="A168" s="224">
        <f t="shared" si="8"/>
        <v>39</v>
      </c>
      <c r="B168" s="1" t="s">
        <v>29</v>
      </c>
      <c r="C168" s="27" t="s">
        <v>62</v>
      </c>
      <c r="D168" s="1" t="s">
        <v>63</v>
      </c>
      <c r="E168" s="1" t="s">
        <v>74</v>
      </c>
      <c r="F168" s="1" t="s">
        <v>200</v>
      </c>
      <c r="G168" s="27" t="s">
        <v>85</v>
      </c>
      <c r="H168" s="27">
        <v>21</v>
      </c>
      <c r="I168" s="27">
        <v>19</v>
      </c>
      <c r="J168" s="27">
        <v>28</v>
      </c>
      <c r="K168" s="28">
        <v>28175.68</v>
      </c>
      <c r="L168" s="28">
        <v>28175.68</v>
      </c>
      <c r="M168" s="28">
        <v>0</v>
      </c>
      <c r="N168" s="27">
        <v>17</v>
      </c>
      <c r="O168" s="28">
        <v>18910.05</v>
      </c>
      <c r="P168" s="28">
        <v>18910.05</v>
      </c>
      <c r="Q168" s="28">
        <v>0</v>
      </c>
      <c r="R168" s="6"/>
    </row>
    <row r="169" spans="1:18" x14ac:dyDescent="0.25">
      <c r="A169" s="224">
        <f t="shared" si="8"/>
        <v>40</v>
      </c>
      <c r="B169" s="1" t="s">
        <v>201</v>
      </c>
      <c r="C169" s="27" t="s">
        <v>67</v>
      </c>
      <c r="D169" s="1" t="s">
        <v>485</v>
      </c>
      <c r="E169" s="1" t="s">
        <v>74</v>
      </c>
      <c r="F169" s="1" t="s">
        <v>202</v>
      </c>
      <c r="G169" s="27" t="s">
        <v>85</v>
      </c>
      <c r="H169" s="27">
        <v>15</v>
      </c>
      <c r="I169" s="27">
        <v>11</v>
      </c>
      <c r="J169" s="27">
        <v>11</v>
      </c>
      <c r="K169" s="28">
        <v>5393.6</v>
      </c>
      <c r="L169" s="28">
        <v>5393.6</v>
      </c>
      <c r="M169" s="28">
        <v>0</v>
      </c>
      <c r="N169" s="27">
        <v>1</v>
      </c>
      <c r="O169" s="28">
        <v>1717.95</v>
      </c>
      <c r="P169" s="28">
        <v>1717.95</v>
      </c>
      <c r="Q169" s="28">
        <v>0</v>
      </c>
      <c r="R169" s="6"/>
    </row>
    <row r="170" spans="1:18" ht="25.5" x14ac:dyDescent="0.25">
      <c r="A170" s="224">
        <f t="shared" si="8"/>
        <v>41</v>
      </c>
      <c r="B170" s="1" t="s">
        <v>30</v>
      </c>
      <c r="C170" s="27" t="s">
        <v>62</v>
      </c>
      <c r="D170" s="1" t="s">
        <v>63</v>
      </c>
      <c r="E170" s="1" t="s">
        <v>203</v>
      </c>
      <c r="F170" s="1" t="s">
        <v>204</v>
      </c>
      <c r="G170" s="27" t="s">
        <v>85</v>
      </c>
      <c r="H170" s="27">
        <v>17</v>
      </c>
      <c r="I170" s="27">
        <v>13</v>
      </c>
      <c r="J170" s="27">
        <v>17</v>
      </c>
      <c r="K170" s="28">
        <v>15082.45</v>
      </c>
      <c r="L170" s="28">
        <v>15082.45</v>
      </c>
      <c r="M170" s="28">
        <v>0</v>
      </c>
      <c r="N170" s="27">
        <v>16</v>
      </c>
      <c r="O170" s="28">
        <f>44825.3-2054.38</f>
        <v>42770.920000000006</v>
      </c>
      <c r="P170" s="28">
        <f>44825.3-2054.38</f>
        <v>42770.920000000006</v>
      </c>
      <c r="Q170" s="28">
        <v>0</v>
      </c>
      <c r="R170" s="6"/>
    </row>
    <row r="171" spans="1:18" ht="51" x14ac:dyDescent="0.25">
      <c r="A171" s="224">
        <f t="shared" si="8"/>
        <v>42</v>
      </c>
      <c r="B171" s="1" t="s">
        <v>90</v>
      </c>
      <c r="C171" s="27" t="s">
        <v>62</v>
      </c>
      <c r="D171" s="1" t="s">
        <v>63</v>
      </c>
      <c r="E171" s="1" t="s">
        <v>205</v>
      </c>
      <c r="F171" s="1" t="s">
        <v>464</v>
      </c>
      <c r="G171" s="27" t="s">
        <v>85</v>
      </c>
      <c r="H171" s="27">
        <v>13</v>
      </c>
      <c r="I171" s="27">
        <v>8</v>
      </c>
      <c r="J171" s="27">
        <v>13</v>
      </c>
      <c r="K171" s="28">
        <v>5750.29</v>
      </c>
      <c r="L171" s="28">
        <v>5750.29</v>
      </c>
      <c r="M171" s="28">
        <v>0</v>
      </c>
      <c r="N171" s="27">
        <v>17</v>
      </c>
      <c r="O171" s="28">
        <v>17591.509999999998</v>
      </c>
      <c r="P171" s="28">
        <v>17591.509999999998</v>
      </c>
      <c r="Q171" s="28">
        <v>0</v>
      </c>
      <c r="R171" s="6"/>
    </row>
    <row r="172" spans="1:18" x14ac:dyDescent="0.25">
      <c r="A172" s="224">
        <f t="shared" si="8"/>
        <v>43</v>
      </c>
      <c r="B172" s="1" t="s">
        <v>31</v>
      </c>
      <c r="C172" s="27" t="s">
        <v>62</v>
      </c>
      <c r="D172" s="1" t="s">
        <v>63</v>
      </c>
      <c r="E172" s="1" t="s">
        <v>74</v>
      </c>
      <c r="F172" s="1" t="s">
        <v>206</v>
      </c>
      <c r="G172" s="27" t="s">
        <v>85</v>
      </c>
      <c r="H172" s="27">
        <v>28</v>
      </c>
      <c r="I172" s="27">
        <v>26</v>
      </c>
      <c r="J172" s="27">
        <v>31</v>
      </c>
      <c r="K172" s="28">
        <v>49451.38</v>
      </c>
      <c r="L172" s="28">
        <v>47544.62</v>
      </c>
      <c r="M172" s="28">
        <v>1906.76</v>
      </c>
      <c r="N172" s="27">
        <v>19</v>
      </c>
      <c r="O172" s="28">
        <v>66805.69</v>
      </c>
      <c r="P172" s="28">
        <v>66805.69</v>
      </c>
      <c r="Q172" s="28">
        <v>0</v>
      </c>
      <c r="R172" s="6"/>
    </row>
    <row r="173" spans="1:18" x14ac:dyDescent="0.25">
      <c r="A173" s="224">
        <f t="shared" si="8"/>
        <v>44</v>
      </c>
      <c r="B173" s="1" t="s">
        <v>32</v>
      </c>
      <c r="C173" s="27" t="s">
        <v>62</v>
      </c>
      <c r="D173" s="1" t="s">
        <v>63</v>
      </c>
      <c r="E173" s="1" t="s">
        <v>74</v>
      </c>
      <c r="F173" s="1" t="s">
        <v>207</v>
      </c>
      <c r="G173" s="27" t="s">
        <v>85</v>
      </c>
      <c r="H173" s="27">
        <v>31</v>
      </c>
      <c r="I173" s="27">
        <v>26</v>
      </c>
      <c r="J173" s="27">
        <v>28</v>
      </c>
      <c r="K173" s="28">
        <v>16467.830000000002</v>
      </c>
      <c r="L173" s="28">
        <v>16467.830000000002</v>
      </c>
      <c r="M173" s="28">
        <v>0</v>
      </c>
      <c r="N173" s="27">
        <v>32</v>
      </c>
      <c r="O173" s="28">
        <v>68188.39</v>
      </c>
      <c r="P173" s="28">
        <v>68188.39</v>
      </c>
      <c r="Q173" s="28">
        <v>0</v>
      </c>
      <c r="R173" s="6"/>
    </row>
    <row r="174" spans="1:18" x14ac:dyDescent="0.25">
      <c r="A174" s="224">
        <f t="shared" si="8"/>
        <v>45</v>
      </c>
      <c r="B174" s="1" t="s">
        <v>91</v>
      </c>
      <c r="C174" s="27" t="s">
        <v>62</v>
      </c>
      <c r="D174" s="1" t="s">
        <v>63</v>
      </c>
      <c r="E174" s="1" t="s">
        <v>63</v>
      </c>
      <c r="F174" s="1" t="s">
        <v>208</v>
      </c>
      <c r="G174" s="27" t="s">
        <v>85</v>
      </c>
      <c r="H174" s="27">
        <v>14</v>
      </c>
      <c r="I174" s="27">
        <v>9</v>
      </c>
      <c r="J174" s="27">
        <v>9</v>
      </c>
      <c r="K174" s="28">
        <v>5992.57</v>
      </c>
      <c r="L174" s="28">
        <v>5992.57</v>
      </c>
      <c r="M174" s="28">
        <v>0</v>
      </c>
      <c r="N174" s="27">
        <v>2</v>
      </c>
      <c r="O174" s="28">
        <v>5514.15</v>
      </c>
      <c r="P174" s="28">
        <v>5514.15</v>
      </c>
      <c r="Q174" s="28">
        <v>0</v>
      </c>
      <c r="R174" s="6"/>
    </row>
    <row r="175" spans="1:18" x14ac:dyDescent="0.25">
      <c r="A175" s="224">
        <f t="shared" si="8"/>
        <v>46</v>
      </c>
      <c r="B175" s="1" t="s">
        <v>33</v>
      </c>
      <c r="C175" s="27" t="s">
        <v>62</v>
      </c>
      <c r="D175" s="1" t="s">
        <v>63</v>
      </c>
      <c r="E175" s="1" t="s">
        <v>74</v>
      </c>
      <c r="F175" s="1" t="s">
        <v>209</v>
      </c>
      <c r="G175" s="27" t="s">
        <v>85</v>
      </c>
      <c r="H175" s="27">
        <v>27</v>
      </c>
      <c r="I175" s="27">
        <v>22</v>
      </c>
      <c r="J175" s="27">
        <v>26</v>
      </c>
      <c r="K175" s="28">
        <v>31117.84</v>
      </c>
      <c r="L175" s="28">
        <v>28490.7</v>
      </c>
      <c r="M175" s="28">
        <v>2627.14</v>
      </c>
      <c r="N175" s="27">
        <v>34</v>
      </c>
      <c r="O175" s="28">
        <f>P175+Q175</f>
        <v>98292.799999999988</v>
      </c>
      <c r="P175" s="28">
        <f>70144.43+16311.09</f>
        <v>86455.51999999999</v>
      </c>
      <c r="Q175" s="28">
        <v>11837.28</v>
      </c>
      <c r="R175" s="6"/>
    </row>
    <row r="176" spans="1:18" x14ac:dyDescent="0.25">
      <c r="A176" s="224">
        <f t="shared" si="8"/>
        <v>47</v>
      </c>
      <c r="B176" s="1" t="s">
        <v>153</v>
      </c>
      <c r="C176" s="27" t="s">
        <v>62</v>
      </c>
      <c r="D176" s="1" t="s">
        <v>63</v>
      </c>
      <c r="E176" s="1" t="s">
        <v>74</v>
      </c>
      <c r="F176" s="1" t="s">
        <v>210</v>
      </c>
      <c r="G176" s="27" t="s">
        <v>85</v>
      </c>
      <c r="H176" s="27">
        <v>0</v>
      </c>
      <c r="I176" s="27">
        <v>0</v>
      </c>
      <c r="J176" s="27">
        <v>0</v>
      </c>
      <c r="K176" s="28">
        <v>0</v>
      </c>
      <c r="L176" s="28">
        <v>0</v>
      </c>
      <c r="M176" s="28">
        <v>0</v>
      </c>
      <c r="N176" s="27">
        <v>2</v>
      </c>
      <c r="O176" s="28">
        <f>223.44+9485.6</f>
        <v>9709.0400000000009</v>
      </c>
      <c r="P176" s="28">
        <f>223.44+9485.6</f>
        <v>9709.0400000000009</v>
      </c>
      <c r="Q176" s="28">
        <v>0</v>
      </c>
      <c r="R176" s="6"/>
    </row>
    <row r="177" spans="1:18" x14ac:dyDescent="0.25">
      <c r="A177" s="224">
        <f t="shared" si="8"/>
        <v>48</v>
      </c>
      <c r="B177" s="1" t="s">
        <v>34</v>
      </c>
      <c r="C177" s="27" t="s">
        <v>62</v>
      </c>
      <c r="D177" s="1" t="s">
        <v>63</v>
      </c>
      <c r="E177" s="1" t="s">
        <v>74</v>
      </c>
      <c r="F177" s="1" t="s">
        <v>211</v>
      </c>
      <c r="G177" s="27" t="s">
        <v>85</v>
      </c>
      <c r="H177" s="27">
        <v>13</v>
      </c>
      <c r="I177" s="27">
        <v>8</v>
      </c>
      <c r="J177" s="27">
        <v>8</v>
      </c>
      <c r="K177" s="28">
        <v>2543.62</v>
      </c>
      <c r="L177" s="28">
        <v>2543.62</v>
      </c>
      <c r="M177" s="28">
        <v>0</v>
      </c>
      <c r="N177" s="27">
        <v>22</v>
      </c>
      <c r="O177" s="28">
        <v>65010.400000000001</v>
      </c>
      <c r="P177" s="28">
        <v>65010.400000000001</v>
      </c>
      <c r="Q177" s="28">
        <v>0</v>
      </c>
      <c r="R177" s="6"/>
    </row>
    <row r="178" spans="1:18" ht="25.5" x14ac:dyDescent="0.25">
      <c r="A178" s="224">
        <f t="shared" si="8"/>
        <v>49</v>
      </c>
      <c r="B178" s="1" t="s">
        <v>154</v>
      </c>
      <c r="C178" s="27" t="s">
        <v>62</v>
      </c>
      <c r="D178" s="1" t="s">
        <v>63</v>
      </c>
      <c r="E178" s="1" t="s">
        <v>72</v>
      </c>
      <c r="F178" s="1" t="s">
        <v>212</v>
      </c>
      <c r="G178" s="27" t="s">
        <v>85</v>
      </c>
      <c r="H178" s="27">
        <v>5</v>
      </c>
      <c r="I178" s="27">
        <v>0</v>
      </c>
      <c r="J178" s="27">
        <v>0</v>
      </c>
      <c r="K178" s="28">
        <v>0</v>
      </c>
      <c r="L178" s="28">
        <v>0</v>
      </c>
      <c r="M178" s="28">
        <v>0</v>
      </c>
      <c r="N178" s="27">
        <v>1</v>
      </c>
      <c r="O178" s="28">
        <v>4636.17</v>
      </c>
      <c r="P178" s="28">
        <v>4636.17</v>
      </c>
      <c r="Q178" s="28">
        <v>0</v>
      </c>
      <c r="R178" s="6"/>
    </row>
    <row r="179" spans="1:18" x14ac:dyDescent="0.25">
      <c r="A179" s="224">
        <f t="shared" si="8"/>
        <v>50</v>
      </c>
      <c r="B179" s="1" t="s">
        <v>109</v>
      </c>
      <c r="C179" s="27" t="s">
        <v>62</v>
      </c>
      <c r="D179" s="1" t="s">
        <v>63</v>
      </c>
      <c r="E179" s="1" t="s">
        <v>74</v>
      </c>
      <c r="F179" s="1" t="s">
        <v>213</v>
      </c>
      <c r="G179" s="27" t="s">
        <v>85</v>
      </c>
      <c r="H179" s="27">
        <v>0</v>
      </c>
      <c r="I179" s="27">
        <v>0</v>
      </c>
      <c r="J179" s="27">
        <v>0</v>
      </c>
      <c r="K179" s="28">
        <v>0</v>
      </c>
      <c r="L179" s="28">
        <v>0</v>
      </c>
      <c r="M179" s="28">
        <v>0</v>
      </c>
      <c r="N179" s="27">
        <v>2</v>
      </c>
      <c r="O179" s="28">
        <v>0</v>
      </c>
      <c r="P179" s="28">
        <v>0</v>
      </c>
      <c r="Q179" s="28">
        <v>0</v>
      </c>
      <c r="R179" s="6"/>
    </row>
    <row r="180" spans="1:18" x14ac:dyDescent="0.25">
      <c r="A180" s="224">
        <f t="shared" si="8"/>
        <v>51</v>
      </c>
      <c r="B180" s="1" t="s">
        <v>110</v>
      </c>
      <c r="C180" s="27" t="s">
        <v>62</v>
      </c>
      <c r="D180" s="1" t="s">
        <v>63</v>
      </c>
      <c r="E180" s="1" t="s">
        <v>74</v>
      </c>
      <c r="F180" s="1" t="s">
        <v>214</v>
      </c>
      <c r="G180" s="27" t="s">
        <v>85</v>
      </c>
      <c r="H180" s="27">
        <v>0</v>
      </c>
      <c r="I180" s="27">
        <v>0</v>
      </c>
      <c r="J180" s="27">
        <v>0</v>
      </c>
      <c r="K180" s="28">
        <v>0</v>
      </c>
      <c r="L180" s="28">
        <v>0</v>
      </c>
      <c r="M180" s="28">
        <v>0</v>
      </c>
      <c r="N180" s="27">
        <v>0</v>
      </c>
      <c r="O180" s="28">
        <v>12489.14</v>
      </c>
      <c r="P180" s="28">
        <v>12489.14</v>
      </c>
      <c r="Q180" s="28">
        <v>0</v>
      </c>
      <c r="R180" s="6"/>
    </row>
    <row r="181" spans="1:18" x14ac:dyDescent="0.25">
      <c r="A181" s="224">
        <f t="shared" si="8"/>
        <v>52</v>
      </c>
      <c r="B181" s="1" t="s">
        <v>111</v>
      </c>
      <c r="C181" s="27" t="s">
        <v>67</v>
      </c>
      <c r="D181" s="1" t="s">
        <v>113</v>
      </c>
      <c r="E181" s="1" t="s">
        <v>63</v>
      </c>
      <c r="F181" s="1" t="s">
        <v>139</v>
      </c>
      <c r="G181" s="27" t="s">
        <v>85</v>
      </c>
      <c r="H181" s="27">
        <v>1</v>
      </c>
      <c r="I181" s="27">
        <v>0</v>
      </c>
      <c r="J181" s="27">
        <v>0</v>
      </c>
      <c r="K181" s="28">
        <v>0</v>
      </c>
      <c r="L181" s="28">
        <v>0</v>
      </c>
      <c r="M181" s="28">
        <v>0</v>
      </c>
      <c r="N181" s="27">
        <v>0</v>
      </c>
      <c r="O181" s="28">
        <v>0</v>
      </c>
      <c r="P181" s="28">
        <v>0</v>
      </c>
      <c r="Q181" s="28">
        <v>0</v>
      </c>
      <c r="R181" s="6"/>
    </row>
    <row r="182" spans="1:18" ht="25.5" x14ac:dyDescent="0.25">
      <c r="A182" s="224">
        <f t="shared" si="8"/>
        <v>53</v>
      </c>
      <c r="B182" s="1" t="s">
        <v>570</v>
      </c>
      <c r="C182" s="27" t="s">
        <v>62</v>
      </c>
      <c r="D182" s="1"/>
      <c r="E182" s="1" t="s">
        <v>223</v>
      </c>
      <c r="F182" s="1" t="s">
        <v>63</v>
      </c>
      <c r="G182" s="27" t="s">
        <v>85</v>
      </c>
      <c r="H182" s="27">
        <v>1</v>
      </c>
      <c r="I182" s="27">
        <v>0</v>
      </c>
      <c r="J182" s="27">
        <v>0</v>
      </c>
      <c r="K182" s="28">
        <v>0</v>
      </c>
      <c r="L182" s="28">
        <v>0</v>
      </c>
      <c r="M182" s="28">
        <v>0</v>
      </c>
      <c r="N182" s="27">
        <v>0</v>
      </c>
      <c r="O182" s="28">
        <v>0</v>
      </c>
      <c r="P182" s="28">
        <v>0</v>
      </c>
      <c r="Q182" s="28">
        <v>0</v>
      </c>
      <c r="R182" s="6"/>
    </row>
    <row r="183" spans="1:18" x14ac:dyDescent="0.25">
      <c r="A183" s="224">
        <f t="shared" si="8"/>
        <v>54</v>
      </c>
      <c r="B183" s="1" t="s">
        <v>92</v>
      </c>
      <c r="C183" s="27" t="s">
        <v>62</v>
      </c>
      <c r="D183" s="1" t="s">
        <v>63</v>
      </c>
      <c r="E183" s="1" t="s">
        <v>74</v>
      </c>
      <c r="F183" s="1" t="s">
        <v>215</v>
      </c>
      <c r="G183" s="27" t="s">
        <v>85</v>
      </c>
      <c r="H183" s="27">
        <v>27</v>
      </c>
      <c r="I183" s="27">
        <v>18</v>
      </c>
      <c r="J183" s="27">
        <v>21</v>
      </c>
      <c r="K183" s="28">
        <v>17600.349999999999</v>
      </c>
      <c r="L183" s="28">
        <v>17600.349999999999</v>
      </c>
      <c r="M183" s="28">
        <v>0</v>
      </c>
      <c r="N183" s="27">
        <v>10</v>
      </c>
      <c r="O183" s="28">
        <v>18181.04</v>
      </c>
      <c r="P183" s="28">
        <v>18181.04</v>
      </c>
      <c r="Q183" s="28">
        <v>0</v>
      </c>
      <c r="R183" s="6"/>
    </row>
    <row r="184" spans="1:18" ht="25.5" x14ac:dyDescent="0.25">
      <c r="A184" s="224">
        <f t="shared" si="8"/>
        <v>55</v>
      </c>
      <c r="B184" s="1" t="s">
        <v>216</v>
      </c>
      <c r="C184" s="27" t="s">
        <v>67</v>
      </c>
      <c r="D184" s="1" t="s">
        <v>436</v>
      </c>
      <c r="E184" s="1" t="s">
        <v>217</v>
      </c>
      <c r="F184" s="1" t="s">
        <v>218</v>
      </c>
      <c r="G184" s="27" t="s">
        <v>85</v>
      </c>
      <c r="H184" s="27">
        <v>9</v>
      </c>
      <c r="I184" s="27">
        <v>5</v>
      </c>
      <c r="J184" s="27">
        <v>5</v>
      </c>
      <c r="K184" s="28">
        <v>3386.04</v>
      </c>
      <c r="L184" s="28">
        <v>3386.04</v>
      </c>
      <c r="M184" s="28">
        <v>0</v>
      </c>
      <c r="N184" s="27">
        <v>0</v>
      </c>
      <c r="O184" s="28">
        <v>0</v>
      </c>
      <c r="P184" s="28">
        <v>0</v>
      </c>
      <c r="Q184" s="28">
        <v>0</v>
      </c>
      <c r="R184" s="6"/>
    </row>
    <row r="185" spans="1:18" ht="25.5" x14ac:dyDescent="0.25">
      <c r="A185" s="224">
        <f t="shared" si="8"/>
        <v>56</v>
      </c>
      <c r="B185" s="1" t="s">
        <v>35</v>
      </c>
      <c r="C185" s="27" t="s">
        <v>62</v>
      </c>
      <c r="D185" s="1" t="s">
        <v>63</v>
      </c>
      <c r="E185" s="1" t="s">
        <v>219</v>
      </c>
      <c r="F185" s="1" t="s">
        <v>220</v>
      </c>
      <c r="G185" s="27" t="s">
        <v>85</v>
      </c>
      <c r="H185" s="27">
        <v>41</v>
      </c>
      <c r="I185" s="27">
        <v>34</v>
      </c>
      <c r="J185" s="27">
        <v>38</v>
      </c>
      <c r="K185" s="28">
        <v>31130.07</v>
      </c>
      <c r="L185" s="28">
        <v>17358.23</v>
      </c>
      <c r="M185" s="28">
        <v>13771.84</v>
      </c>
      <c r="N185" s="27">
        <v>25</v>
      </c>
      <c r="O185" s="28">
        <v>52287.51</v>
      </c>
      <c r="P185" s="28">
        <v>51090.74</v>
      </c>
      <c r="Q185" s="28">
        <v>1196.77</v>
      </c>
      <c r="R185" s="6"/>
    </row>
    <row r="186" spans="1:18" ht="25.5" x14ac:dyDescent="0.25">
      <c r="A186" s="224">
        <f t="shared" si="8"/>
        <v>57</v>
      </c>
      <c r="B186" s="1" t="s">
        <v>114</v>
      </c>
      <c r="C186" s="27" t="s">
        <v>62</v>
      </c>
      <c r="D186" s="1" t="s">
        <v>63</v>
      </c>
      <c r="E186" s="1" t="s">
        <v>115</v>
      </c>
      <c r="F186" s="1" t="s">
        <v>221</v>
      </c>
      <c r="G186" s="27" t="s">
        <v>85</v>
      </c>
      <c r="H186" s="27">
        <v>4</v>
      </c>
      <c r="I186" s="27">
        <v>0</v>
      </c>
      <c r="J186" s="27">
        <v>0</v>
      </c>
      <c r="K186" s="28">
        <v>0</v>
      </c>
      <c r="L186" s="28">
        <v>0</v>
      </c>
      <c r="M186" s="28">
        <v>0</v>
      </c>
      <c r="N186" s="27">
        <v>0</v>
      </c>
      <c r="O186" s="28">
        <v>1108.48</v>
      </c>
      <c r="P186" s="28">
        <v>1108.48</v>
      </c>
      <c r="Q186" s="28">
        <v>0</v>
      </c>
      <c r="R186" s="6"/>
    </row>
    <row r="187" spans="1:18" ht="25.5" x14ac:dyDescent="0.25">
      <c r="A187" s="224">
        <f t="shared" si="8"/>
        <v>58</v>
      </c>
      <c r="B187" s="1" t="s">
        <v>222</v>
      </c>
      <c r="C187" s="27" t="s">
        <v>64</v>
      </c>
      <c r="D187" s="1" t="s">
        <v>486</v>
      </c>
      <c r="E187" s="1" t="s">
        <v>223</v>
      </c>
      <c r="F187" s="1" t="s">
        <v>224</v>
      </c>
      <c r="G187" s="27" t="s">
        <v>85</v>
      </c>
      <c r="H187" s="27">
        <v>14</v>
      </c>
      <c r="I187" s="27">
        <v>10</v>
      </c>
      <c r="J187" s="27">
        <v>12</v>
      </c>
      <c r="K187" s="28">
        <v>10358.92</v>
      </c>
      <c r="L187" s="28">
        <v>9384.9699999999993</v>
      </c>
      <c r="M187" s="28">
        <v>973.95</v>
      </c>
      <c r="N187" s="27">
        <v>0</v>
      </c>
      <c r="O187" s="28">
        <v>0</v>
      </c>
      <c r="P187" s="28">
        <v>0</v>
      </c>
      <c r="Q187" s="28">
        <v>0</v>
      </c>
      <c r="R187" s="6"/>
    </row>
    <row r="188" spans="1:18" x14ac:dyDescent="0.25">
      <c r="A188" s="224">
        <f t="shared" si="8"/>
        <v>59</v>
      </c>
      <c r="B188" s="1" t="s">
        <v>93</v>
      </c>
      <c r="C188" s="27" t="s">
        <v>62</v>
      </c>
      <c r="D188" s="1" t="s">
        <v>63</v>
      </c>
      <c r="E188" s="1" t="s">
        <v>74</v>
      </c>
      <c r="F188" s="1" t="s">
        <v>225</v>
      </c>
      <c r="G188" s="27" t="s">
        <v>85</v>
      </c>
      <c r="H188" s="27">
        <v>11</v>
      </c>
      <c r="I188" s="27">
        <v>3</v>
      </c>
      <c r="J188" s="27">
        <v>3</v>
      </c>
      <c r="K188" s="28">
        <v>1233.4000000000001</v>
      </c>
      <c r="L188" s="28">
        <v>1233.4000000000001</v>
      </c>
      <c r="M188" s="28">
        <v>0</v>
      </c>
      <c r="N188" s="27">
        <v>6</v>
      </c>
      <c r="O188" s="28">
        <v>3194.66</v>
      </c>
      <c r="P188" s="28">
        <v>3194.66</v>
      </c>
      <c r="Q188" s="28">
        <v>0</v>
      </c>
      <c r="R188" s="6"/>
    </row>
    <row r="189" spans="1:18" ht="25.5" x14ac:dyDescent="0.25">
      <c r="A189" s="224">
        <f t="shared" si="8"/>
        <v>60</v>
      </c>
      <c r="B189" s="1" t="s">
        <v>226</v>
      </c>
      <c r="C189" s="27" t="s">
        <v>62</v>
      </c>
      <c r="D189" s="1"/>
      <c r="E189" s="1" t="s">
        <v>174</v>
      </c>
      <c r="F189" s="1" t="s">
        <v>227</v>
      </c>
      <c r="G189" s="27" t="s">
        <v>85</v>
      </c>
      <c r="H189" s="27">
        <v>14</v>
      </c>
      <c r="I189" s="27">
        <v>7</v>
      </c>
      <c r="J189" s="27">
        <v>9</v>
      </c>
      <c r="K189" s="28">
        <v>16022.52</v>
      </c>
      <c r="L189" s="28">
        <v>7022.52</v>
      </c>
      <c r="M189" s="28">
        <v>9000</v>
      </c>
      <c r="N189" s="27">
        <v>0</v>
      </c>
      <c r="O189" s="28">
        <v>0</v>
      </c>
      <c r="P189" s="28">
        <v>0</v>
      </c>
      <c r="Q189" s="28">
        <v>0</v>
      </c>
      <c r="R189" s="6"/>
    </row>
    <row r="190" spans="1:18" ht="25.5" x14ac:dyDescent="0.25">
      <c r="A190" s="224">
        <f t="shared" si="8"/>
        <v>61</v>
      </c>
      <c r="B190" s="1" t="s">
        <v>228</v>
      </c>
      <c r="C190" s="27" t="s">
        <v>62</v>
      </c>
      <c r="D190" s="1"/>
      <c r="E190" s="1" t="s">
        <v>229</v>
      </c>
      <c r="F190" s="1" t="s">
        <v>230</v>
      </c>
      <c r="G190" s="27" t="s">
        <v>85</v>
      </c>
      <c r="H190" s="27">
        <v>18</v>
      </c>
      <c r="I190" s="27">
        <v>4</v>
      </c>
      <c r="J190" s="27">
        <v>4</v>
      </c>
      <c r="K190" s="28">
        <v>0</v>
      </c>
      <c r="L190" s="28">
        <v>0</v>
      </c>
      <c r="M190" s="28">
        <v>0</v>
      </c>
      <c r="N190" s="27">
        <v>0</v>
      </c>
      <c r="O190" s="28">
        <v>0</v>
      </c>
      <c r="P190" s="28">
        <v>0</v>
      </c>
      <c r="Q190" s="28">
        <v>0</v>
      </c>
      <c r="R190" s="6"/>
    </row>
    <row r="191" spans="1:18" x14ac:dyDescent="0.25">
      <c r="A191" s="224">
        <f t="shared" si="8"/>
        <v>62</v>
      </c>
      <c r="B191" s="1" t="s">
        <v>116</v>
      </c>
      <c r="C191" s="27" t="s">
        <v>62</v>
      </c>
      <c r="D191" s="1" t="s">
        <v>63</v>
      </c>
      <c r="E191" s="1" t="s">
        <v>74</v>
      </c>
      <c r="F191" s="1" t="s">
        <v>231</v>
      </c>
      <c r="G191" s="27" t="s">
        <v>85</v>
      </c>
      <c r="H191" s="27">
        <v>25</v>
      </c>
      <c r="I191" s="27">
        <v>16</v>
      </c>
      <c r="J191" s="27">
        <v>18</v>
      </c>
      <c r="K191" s="28">
        <v>29296.92</v>
      </c>
      <c r="L191" s="28">
        <v>29296.92</v>
      </c>
      <c r="M191" s="28">
        <v>0</v>
      </c>
      <c r="N191" s="27">
        <v>3</v>
      </c>
      <c r="O191" s="28">
        <v>5058.49</v>
      </c>
      <c r="P191" s="28">
        <v>5058.49</v>
      </c>
      <c r="Q191" s="28">
        <v>0</v>
      </c>
      <c r="R191" s="6"/>
    </row>
    <row r="192" spans="1:18" ht="25.5" x14ac:dyDescent="0.25">
      <c r="A192" s="224">
        <f t="shared" si="8"/>
        <v>63</v>
      </c>
      <c r="B192" s="1" t="s">
        <v>232</v>
      </c>
      <c r="C192" s="27" t="s">
        <v>62</v>
      </c>
      <c r="D192" s="1"/>
      <c r="E192" s="1" t="s">
        <v>174</v>
      </c>
      <c r="F192" s="1" t="s">
        <v>233</v>
      </c>
      <c r="G192" s="27" t="s">
        <v>85</v>
      </c>
      <c r="H192" s="27">
        <v>8</v>
      </c>
      <c r="I192" s="27">
        <v>6</v>
      </c>
      <c r="J192" s="27">
        <v>7</v>
      </c>
      <c r="K192" s="28">
        <v>0</v>
      </c>
      <c r="L192" s="28">
        <v>0</v>
      </c>
      <c r="M192" s="28">
        <v>0</v>
      </c>
      <c r="N192" s="27">
        <v>0</v>
      </c>
      <c r="O192" s="28">
        <v>0</v>
      </c>
      <c r="P192" s="28">
        <v>0</v>
      </c>
      <c r="Q192" s="28">
        <v>0</v>
      </c>
      <c r="R192" s="6"/>
    </row>
    <row r="193" spans="1:18" ht="25.5" x14ac:dyDescent="0.25">
      <c r="A193" s="224">
        <f t="shared" si="8"/>
        <v>64</v>
      </c>
      <c r="B193" s="1" t="s">
        <v>487</v>
      </c>
      <c r="C193" s="27" t="s">
        <v>62</v>
      </c>
      <c r="D193" s="1"/>
      <c r="E193" s="1" t="s">
        <v>282</v>
      </c>
      <c r="F193" s="1" t="s">
        <v>488</v>
      </c>
      <c r="G193" s="27" t="s">
        <v>85</v>
      </c>
      <c r="H193" s="27">
        <v>8</v>
      </c>
      <c r="I193" s="27">
        <v>0</v>
      </c>
      <c r="J193" s="27">
        <v>0</v>
      </c>
      <c r="K193" s="28">
        <v>0</v>
      </c>
      <c r="L193" s="28">
        <v>0</v>
      </c>
      <c r="M193" s="28">
        <v>0</v>
      </c>
      <c r="N193" s="27">
        <v>0</v>
      </c>
      <c r="O193" s="28">
        <v>0</v>
      </c>
      <c r="P193" s="28">
        <v>0</v>
      </c>
      <c r="Q193" s="28">
        <v>0</v>
      </c>
      <c r="R193" s="6"/>
    </row>
    <row r="194" spans="1:18" ht="25.5" x14ac:dyDescent="0.25">
      <c r="A194" s="224">
        <f t="shared" si="8"/>
        <v>65</v>
      </c>
      <c r="B194" s="1" t="s">
        <v>357</v>
      </c>
      <c r="C194" s="27" t="s">
        <v>64</v>
      </c>
      <c r="D194" s="1" t="s">
        <v>585</v>
      </c>
      <c r="E194" s="1" t="s">
        <v>74</v>
      </c>
      <c r="F194" s="1" t="s">
        <v>586</v>
      </c>
      <c r="G194" s="27" t="s">
        <v>85</v>
      </c>
      <c r="H194" s="27">
        <v>0</v>
      </c>
      <c r="I194" s="27">
        <v>0</v>
      </c>
      <c r="J194" s="27">
        <v>0</v>
      </c>
      <c r="K194" s="28">
        <v>0</v>
      </c>
      <c r="L194" s="28">
        <v>0</v>
      </c>
      <c r="M194" s="28">
        <v>0</v>
      </c>
      <c r="N194" s="27">
        <v>1</v>
      </c>
      <c r="O194" s="28">
        <v>0</v>
      </c>
      <c r="P194" s="28">
        <v>0</v>
      </c>
      <c r="Q194" s="28">
        <v>0</v>
      </c>
      <c r="R194" s="6"/>
    </row>
    <row r="195" spans="1:18" x14ac:dyDescent="0.25">
      <c r="A195" s="224">
        <f t="shared" si="8"/>
        <v>66</v>
      </c>
      <c r="B195" s="1" t="s">
        <v>36</v>
      </c>
      <c r="C195" s="27" t="s">
        <v>62</v>
      </c>
      <c r="D195" s="1" t="s">
        <v>63</v>
      </c>
      <c r="E195" s="1" t="s">
        <v>74</v>
      </c>
      <c r="F195" s="1" t="s">
        <v>465</v>
      </c>
      <c r="G195" s="27" t="s">
        <v>85</v>
      </c>
      <c r="H195" s="27">
        <v>5</v>
      </c>
      <c r="I195" s="27">
        <v>0</v>
      </c>
      <c r="J195" s="27">
        <v>0</v>
      </c>
      <c r="K195" s="28">
        <v>0</v>
      </c>
      <c r="L195" s="28">
        <v>0</v>
      </c>
      <c r="M195" s="28">
        <v>0</v>
      </c>
      <c r="N195" s="27">
        <v>3</v>
      </c>
      <c r="O195" s="28">
        <f>708.32+616.7</f>
        <v>1325.02</v>
      </c>
      <c r="P195" s="28">
        <f>708.32+616.7</f>
        <v>1325.02</v>
      </c>
      <c r="Q195" s="28">
        <v>0</v>
      </c>
      <c r="R195" s="6"/>
    </row>
    <row r="196" spans="1:18" ht="25.5" x14ac:dyDescent="0.25">
      <c r="A196" s="224">
        <f t="shared" ref="A196:A259" si="9">A195+1</f>
        <v>67</v>
      </c>
      <c r="B196" s="1" t="s">
        <v>37</v>
      </c>
      <c r="C196" s="27" t="s">
        <v>62</v>
      </c>
      <c r="D196" s="1" t="s">
        <v>63</v>
      </c>
      <c r="E196" s="1" t="s">
        <v>70</v>
      </c>
      <c r="F196" s="1" t="s">
        <v>234</v>
      </c>
      <c r="G196" s="27" t="s">
        <v>85</v>
      </c>
      <c r="H196" s="27">
        <v>15</v>
      </c>
      <c r="I196" s="27">
        <v>9</v>
      </c>
      <c r="J196" s="27">
        <v>9</v>
      </c>
      <c r="K196" s="28">
        <v>3700.2</v>
      </c>
      <c r="L196" s="28">
        <v>3700.2</v>
      </c>
      <c r="M196" s="28">
        <v>0</v>
      </c>
      <c r="N196" s="27">
        <v>3</v>
      </c>
      <c r="O196" s="28">
        <v>629.82000000000005</v>
      </c>
      <c r="P196" s="28">
        <v>629.82000000000005</v>
      </c>
      <c r="Q196" s="28">
        <v>0</v>
      </c>
      <c r="R196" s="6"/>
    </row>
    <row r="197" spans="1:18" ht="38.25" x14ac:dyDescent="0.25">
      <c r="A197" s="224">
        <f t="shared" si="9"/>
        <v>68</v>
      </c>
      <c r="B197" s="1" t="s">
        <v>235</v>
      </c>
      <c r="C197" s="27" t="s">
        <v>62</v>
      </c>
      <c r="D197" s="1"/>
      <c r="E197" s="1" t="s">
        <v>236</v>
      </c>
      <c r="F197" s="1" t="s">
        <v>237</v>
      </c>
      <c r="G197" s="27" t="s">
        <v>85</v>
      </c>
      <c r="H197" s="27">
        <v>4</v>
      </c>
      <c r="I197" s="27">
        <v>3</v>
      </c>
      <c r="J197" s="27">
        <v>4</v>
      </c>
      <c r="K197" s="28">
        <v>528.6</v>
      </c>
      <c r="L197" s="28">
        <v>528.6</v>
      </c>
      <c r="M197" s="28"/>
      <c r="N197" s="27">
        <v>0</v>
      </c>
      <c r="O197" s="28">
        <v>0</v>
      </c>
      <c r="P197" s="28">
        <v>0</v>
      </c>
      <c r="Q197" s="28">
        <v>0</v>
      </c>
      <c r="R197" s="6"/>
    </row>
    <row r="198" spans="1:18" ht="25.5" x14ac:dyDescent="0.25">
      <c r="A198" s="224">
        <f t="shared" si="9"/>
        <v>69</v>
      </c>
      <c r="B198" s="1" t="s">
        <v>238</v>
      </c>
      <c r="C198" s="27" t="s">
        <v>62</v>
      </c>
      <c r="D198" s="1"/>
      <c r="E198" s="1" t="s">
        <v>239</v>
      </c>
      <c r="F198" s="1" t="s">
        <v>240</v>
      </c>
      <c r="G198" s="27" t="s">
        <v>85</v>
      </c>
      <c r="H198" s="27">
        <v>9</v>
      </c>
      <c r="I198" s="27">
        <v>8</v>
      </c>
      <c r="J198" s="27">
        <v>9</v>
      </c>
      <c r="K198" s="28">
        <v>8493.5499999999993</v>
      </c>
      <c r="L198" s="28">
        <v>8493.5499999999993</v>
      </c>
      <c r="M198" s="28">
        <v>0</v>
      </c>
      <c r="N198" s="27">
        <v>0</v>
      </c>
      <c r="O198" s="28">
        <v>0</v>
      </c>
      <c r="P198" s="28">
        <v>0</v>
      </c>
      <c r="Q198" s="28">
        <v>0</v>
      </c>
      <c r="R198" s="6"/>
    </row>
    <row r="199" spans="1:18" x14ac:dyDescent="0.25">
      <c r="A199" s="224">
        <f t="shared" si="9"/>
        <v>70</v>
      </c>
      <c r="B199" s="1" t="s">
        <v>587</v>
      </c>
      <c r="C199" s="27" t="s">
        <v>62</v>
      </c>
      <c r="D199" s="1" t="s">
        <v>63</v>
      </c>
      <c r="E199" s="1" t="s">
        <v>74</v>
      </c>
      <c r="F199" s="1" t="s">
        <v>588</v>
      </c>
      <c r="G199" s="27" t="s">
        <v>85</v>
      </c>
      <c r="H199" s="27">
        <v>0</v>
      </c>
      <c r="I199" s="27">
        <v>0</v>
      </c>
      <c r="J199" s="27">
        <v>0</v>
      </c>
      <c r="K199" s="28">
        <v>0</v>
      </c>
      <c r="L199" s="28">
        <v>0</v>
      </c>
      <c r="M199" s="28">
        <v>0</v>
      </c>
      <c r="N199" s="27">
        <v>1</v>
      </c>
      <c r="O199" s="28">
        <v>0</v>
      </c>
      <c r="P199" s="28">
        <v>0</v>
      </c>
      <c r="Q199" s="28">
        <v>0</v>
      </c>
      <c r="R199" s="6"/>
    </row>
    <row r="200" spans="1:18" ht="25.5" x14ac:dyDescent="0.25">
      <c r="A200" s="224">
        <f t="shared" si="9"/>
        <v>71</v>
      </c>
      <c r="B200" s="1" t="s">
        <v>241</v>
      </c>
      <c r="C200" s="27" t="s">
        <v>62</v>
      </c>
      <c r="D200" s="1"/>
      <c r="E200" s="1" t="s">
        <v>242</v>
      </c>
      <c r="F200" s="1" t="s">
        <v>243</v>
      </c>
      <c r="G200" s="27" t="s">
        <v>85</v>
      </c>
      <c r="H200" s="27">
        <v>8</v>
      </c>
      <c r="I200" s="27">
        <v>6</v>
      </c>
      <c r="J200" s="27">
        <v>6</v>
      </c>
      <c r="K200" s="28">
        <v>3433.01</v>
      </c>
      <c r="L200" s="28">
        <v>3433.01</v>
      </c>
      <c r="M200" s="28">
        <v>0</v>
      </c>
      <c r="N200" s="27">
        <v>0</v>
      </c>
      <c r="O200" s="28">
        <v>0</v>
      </c>
      <c r="P200" s="28">
        <v>0</v>
      </c>
      <c r="Q200" s="28">
        <v>0</v>
      </c>
      <c r="R200" s="6"/>
    </row>
    <row r="201" spans="1:18" ht="38.25" x14ac:dyDescent="0.25">
      <c r="A201" s="224">
        <f t="shared" si="9"/>
        <v>72</v>
      </c>
      <c r="B201" s="1" t="s">
        <v>38</v>
      </c>
      <c r="C201" s="27" t="s">
        <v>62</v>
      </c>
      <c r="D201" s="1" t="s">
        <v>63</v>
      </c>
      <c r="E201" s="1" t="s">
        <v>244</v>
      </c>
      <c r="F201" s="1" t="s">
        <v>245</v>
      </c>
      <c r="G201" s="27" t="s">
        <v>85</v>
      </c>
      <c r="H201" s="27">
        <v>59</v>
      </c>
      <c r="I201" s="27">
        <v>42</v>
      </c>
      <c r="J201" s="27">
        <v>66</v>
      </c>
      <c r="K201" s="28">
        <v>114587.42</v>
      </c>
      <c r="L201" s="28">
        <v>83791.94</v>
      </c>
      <c r="M201" s="28">
        <v>30795.48</v>
      </c>
      <c r="N201" s="27">
        <v>69</v>
      </c>
      <c r="O201" s="28">
        <v>203043.36</v>
      </c>
      <c r="P201" s="28">
        <v>180429.03</v>
      </c>
      <c r="Q201" s="28">
        <v>22614.33</v>
      </c>
      <c r="R201" s="6"/>
    </row>
    <row r="202" spans="1:18" ht="25.5" x14ac:dyDescent="0.25">
      <c r="A202" s="224">
        <f t="shared" si="9"/>
        <v>73</v>
      </c>
      <c r="B202" s="1" t="s">
        <v>246</v>
      </c>
      <c r="C202" s="27" t="s">
        <v>62</v>
      </c>
      <c r="D202" s="1"/>
      <c r="E202" s="1" t="s">
        <v>247</v>
      </c>
      <c r="F202" s="1" t="s">
        <v>248</v>
      </c>
      <c r="G202" s="27" t="s">
        <v>85</v>
      </c>
      <c r="H202" s="27">
        <v>20</v>
      </c>
      <c r="I202" s="27">
        <v>13</v>
      </c>
      <c r="J202" s="27">
        <v>15</v>
      </c>
      <c r="K202" s="28">
        <v>5537.89</v>
      </c>
      <c r="L202" s="28">
        <v>5537.89</v>
      </c>
      <c r="M202" s="28">
        <v>0</v>
      </c>
      <c r="N202" s="27">
        <v>0</v>
      </c>
      <c r="O202" s="28">
        <v>0</v>
      </c>
      <c r="P202" s="28">
        <v>0</v>
      </c>
      <c r="Q202" s="28">
        <v>0</v>
      </c>
      <c r="R202" s="6"/>
    </row>
    <row r="203" spans="1:18" x14ac:dyDescent="0.25">
      <c r="A203" s="224">
        <f t="shared" si="9"/>
        <v>74</v>
      </c>
      <c r="B203" s="1" t="s">
        <v>39</v>
      </c>
      <c r="C203" s="27" t="s">
        <v>62</v>
      </c>
      <c r="D203" s="1" t="s">
        <v>63</v>
      </c>
      <c r="E203" s="1" t="s">
        <v>77</v>
      </c>
      <c r="F203" s="1" t="s">
        <v>466</v>
      </c>
      <c r="G203" s="27" t="s">
        <v>85</v>
      </c>
      <c r="H203" s="27">
        <v>59</v>
      </c>
      <c r="I203" s="27">
        <v>44</v>
      </c>
      <c r="J203" s="27">
        <v>49</v>
      </c>
      <c r="K203" s="28">
        <v>11589.93</v>
      </c>
      <c r="L203" s="28">
        <v>9612.9699999999993</v>
      </c>
      <c r="M203" s="28">
        <v>1976.96</v>
      </c>
      <c r="N203" s="27">
        <v>7</v>
      </c>
      <c r="O203" s="28">
        <v>11533.38</v>
      </c>
      <c r="P203" s="28">
        <v>6247.51</v>
      </c>
      <c r="Q203" s="28">
        <v>5285.87</v>
      </c>
      <c r="R203" s="6"/>
    </row>
    <row r="204" spans="1:18" ht="38.25" x14ac:dyDescent="0.25">
      <c r="A204" s="224">
        <f t="shared" si="9"/>
        <v>75</v>
      </c>
      <c r="B204" s="1" t="s">
        <v>40</v>
      </c>
      <c r="C204" s="27" t="s">
        <v>62</v>
      </c>
      <c r="D204" s="1" t="s">
        <v>63</v>
      </c>
      <c r="E204" s="1" t="s">
        <v>249</v>
      </c>
      <c r="F204" s="1" t="s">
        <v>250</v>
      </c>
      <c r="G204" s="27" t="s">
        <v>85</v>
      </c>
      <c r="H204" s="27">
        <v>20</v>
      </c>
      <c r="I204" s="27">
        <v>18</v>
      </c>
      <c r="J204" s="27">
        <v>24</v>
      </c>
      <c r="K204" s="28">
        <v>38434.080000000002</v>
      </c>
      <c r="L204" s="28">
        <v>38434.080000000002</v>
      </c>
      <c r="M204" s="28">
        <v>0</v>
      </c>
      <c r="N204" s="27">
        <v>17</v>
      </c>
      <c r="O204" s="28">
        <v>41463</v>
      </c>
      <c r="P204" s="28">
        <v>41463</v>
      </c>
      <c r="Q204" s="28">
        <v>0</v>
      </c>
      <c r="R204" s="6"/>
    </row>
    <row r="205" spans="1:18" ht="25.5" x14ac:dyDescent="0.25">
      <c r="A205" s="224">
        <f t="shared" si="9"/>
        <v>76</v>
      </c>
      <c r="B205" s="1" t="s">
        <v>251</v>
      </c>
      <c r="C205" s="27" t="s">
        <v>62</v>
      </c>
      <c r="D205" s="1"/>
      <c r="E205" s="1" t="s">
        <v>177</v>
      </c>
      <c r="F205" s="1" t="s">
        <v>252</v>
      </c>
      <c r="G205" s="27" t="s">
        <v>85</v>
      </c>
      <c r="H205" s="27">
        <v>21</v>
      </c>
      <c r="I205" s="27">
        <v>13</v>
      </c>
      <c r="J205" s="27">
        <v>18</v>
      </c>
      <c r="K205" s="28">
        <v>22050.89</v>
      </c>
      <c r="L205" s="28">
        <v>22050.89</v>
      </c>
      <c r="M205" s="28">
        <v>0</v>
      </c>
      <c r="N205" s="27">
        <v>0</v>
      </c>
      <c r="O205" s="28">
        <v>0</v>
      </c>
      <c r="P205" s="28">
        <v>0</v>
      </c>
      <c r="Q205" s="28">
        <v>0</v>
      </c>
      <c r="R205" s="6"/>
    </row>
    <row r="206" spans="1:18" x14ac:dyDescent="0.25">
      <c r="A206" s="224">
        <f t="shared" si="9"/>
        <v>77</v>
      </c>
      <c r="B206" s="1" t="s">
        <v>117</v>
      </c>
      <c r="C206" s="27" t="s">
        <v>62</v>
      </c>
      <c r="D206" s="1" t="s">
        <v>63</v>
      </c>
      <c r="E206" s="1" t="s">
        <v>74</v>
      </c>
      <c r="F206" s="1" t="s">
        <v>520</v>
      </c>
      <c r="G206" s="27" t="s">
        <v>85</v>
      </c>
      <c r="H206" s="27">
        <v>1</v>
      </c>
      <c r="I206" s="27">
        <v>1</v>
      </c>
      <c r="J206" s="27">
        <v>1</v>
      </c>
      <c r="K206" s="28">
        <v>2616.5700000000002</v>
      </c>
      <c r="L206" s="28">
        <v>2616.5700000000002</v>
      </c>
      <c r="M206" s="28">
        <v>0</v>
      </c>
      <c r="N206" s="27">
        <v>1</v>
      </c>
      <c r="O206" s="28">
        <v>581.46</v>
      </c>
      <c r="P206" s="28">
        <v>581.46</v>
      </c>
      <c r="Q206" s="28">
        <v>0</v>
      </c>
      <c r="R206" s="6"/>
    </row>
    <row r="207" spans="1:18" ht="25.5" x14ac:dyDescent="0.25">
      <c r="A207" s="224">
        <f t="shared" si="9"/>
        <v>78</v>
      </c>
      <c r="B207" s="1" t="s">
        <v>41</v>
      </c>
      <c r="C207" s="27" t="s">
        <v>64</v>
      </c>
      <c r="D207" s="1" t="s">
        <v>65</v>
      </c>
      <c r="E207" s="1" t="s">
        <v>72</v>
      </c>
      <c r="F207" s="1" t="s">
        <v>253</v>
      </c>
      <c r="G207" s="27" t="s">
        <v>85</v>
      </c>
      <c r="H207" s="27">
        <v>2</v>
      </c>
      <c r="I207" s="27">
        <v>2</v>
      </c>
      <c r="J207" s="27">
        <v>2</v>
      </c>
      <c r="K207" s="28">
        <v>1575.23</v>
      </c>
      <c r="L207" s="28">
        <v>1575.23</v>
      </c>
      <c r="M207" s="28">
        <v>0</v>
      </c>
      <c r="N207" s="27">
        <v>12</v>
      </c>
      <c r="O207" s="28">
        <v>33315.620000000003</v>
      </c>
      <c r="P207" s="28">
        <v>31906.02</v>
      </c>
      <c r="Q207" s="28">
        <v>1409.6</v>
      </c>
      <c r="R207" s="6"/>
    </row>
    <row r="208" spans="1:18" x14ac:dyDescent="0.25">
      <c r="A208" s="224">
        <f t="shared" si="9"/>
        <v>79</v>
      </c>
      <c r="B208" s="1" t="s">
        <v>118</v>
      </c>
      <c r="C208" s="27" t="s">
        <v>62</v>
      </c>
      <c r="D208" s="1" t="s">
        <v>63</v>
      </c>
      <c r="E208" s="1" t="s">
        <v>63</v>
      </c>
      <c r="F208" s="1" t="s">
        <v>467</v>
      </c>
      <c r="G208" s="27" t="s">
        <v>85</v>
      </c>
      <c r="H208" s="27">
        <v>4</v>
      </c>
      <c r="I208" s="27">
        <v>1</v>
      </c>
      <c r="J208" s="27">
        <v>1</v>
      </c>
      <c r="K208" s="28">
        <f>4722.23+5109.8</f>
        <v>9832.0299999999988</v>
      </c>
      <c r="L208" s="28">
        <f>4722.23+5109.8</f>
        <v>9832.0299999999988</v>
      </c>
      <c r="M208" s="28">
        <v>0</v>
      </c>
      <c r="N208" s="27">
        <v>0</v>
      </c>
      <c r="O208" s="28">
        <v>0</v>
      </c>
      <c r="P208" s="28">
        <v>0</v>
      </c>
      <c r="Q208" s="28">
        <v>0</v>
      </c>
      <c r="R208" s="6"/>
    </row>
    <row r="209" spans="1:18" ht="25.5" x14ac:dyDescent="0.25">
      <c r="A209" s="224">
        <f t="shared" si="9"/>
        <v>80</v>
      </c>
      <c r="B209" s="1" t="s">
        <v>548</v>
      </c>
      <c r="C209" s="27" t="s">
        <v>62</v>
      </c>
      <c r="D209" s="1"/>
      <c r="E209" s="1" t="s">
        <v>549</v>
      </c>
      <c r="F209" s="1" t="s">
        <v>550</v>
      </c>
      <c r="G209" s="27" t="s">
        <v>85</v>
      </c>
      <c r="H209" s="27">
        <v>3</v>
      </c>
      <c r="I209" s="27">
        <v>1</v>
      </c>
      <c r="J209" s="27">
        <v>1</v>
      </c>
      <c r="K209" s="28">
        <v>0</v>
      </c>
      <c r="L209" s="28">
        <v>0</v>
      </c>
      <c r="M209" s="28">
        <v>0</v>
      </c>
      <c r="N209" s="27">
        <v>0</v>
      </c>
      <c r="O209" s="28">
        <v>0</v>
      </c>
      <c r="P209" s="28">
        <v>0</v>
      </c>
      <c r="Q209" s="28">
        <v>0</v>
      </c>
      <c r="R209" s="6"/>
    </row>
    <row r="210" spans="1:18" ht="25.5" x14ac:dyDescent="0.25">
      <c r="A210" s="224">
        <f t="shared" si="9"/>
        <v>81</v>
      </c>
      <c r="B210" s="1" t="s">
        <v>254</v>
      </c>
      <c r="C210" s="27" t="s">
        <v>62</v>
      </c>
      <c r="D210" s="1"/>
      <c r="E210" s="1" t="s">
        <v>239</v>
      </c>
      <c r="F210" s="1" t="s">
        <v>255</v>
      </c>
      <c r="G210" s="27" t="s">
        <v>85</v>
      </c>
      <c r="H210" s="27">
        <v>7</v>
      </c>
      <c r="I210" s="27">
        <v>2</v>
      </c>
      <c r="J210" s="27">
        <v>2</v>
      </c>
      <c r="K210" s="28">
        <v>0</v>
      </c>
      <c r="L210" s="28">
        <v>0</v>
      </c>
      <c r="M210" s="28">
        <v>0</v>
      </c>
      <c r="N210" s="27">
        <v>0</v>
      </c>
      <c r="O210" s="28">
        <v>0</v>
      </c>
      <c r="P210" s="28">
        <v>0</v>
      </c>
      <c r="Q210" s="28">
        <v>0</v>
      </c>
      <c r="R210" s="6"/>
    </row>
    <row r="211" spans="1:18" x14ac:dyDescent="0.25">
      <c r="A211" s="224">
        <f t="shared" si="9"/>
        <v>82</v>
      </c>
      <c r="B211" s="1" t="s">
        <v>256</v>
      </c>
      <c r="C211" s="27" t="s">
        <v>62</v>
      </c>
      <c r="D211" s="1"/>
      <c r="E211" s="1" t="s">
        <v>158</v>
      </c>
      <c r="F211" s="1" t="s">
        <v>257</v>
      </c>
      <c r="G211" s="27" t="s">
        <v>85</v>
      </c>
      <c r="H211" s="27">
        <v>6</v>
      </c>
      <c r="I211" s="27">
        <v>2</v>
      </c>
      <c r="J211" s="27">
        <v>2</v>
      </c>
      <c r="K211" s="28">
        <v>2079.16</v>
      </c>
      <c r="L211" s="28">
        <v>2079.16</v>
      </c>
      <c r="M211" s="28">
        <v>0</v>
      </c>
      <c r="N211" s="27">
        <v>0</v>
      </c>
      <c r="O211" s="28">
        <v>0</v>
      </c>
      <c r="P211" s="28">
        <v>0</v>
      </c>
      <c r="Q211" s="28">
        <v>0</v>
      </c>
      <c r="R211" s="6"/>
    </row>
    <row r="212" spans="1:18" ht="25.5" x14ac:dyDescent="0.25">
      <c r="A212" s="224">
        <f t="shared" si="9"/>
        <v>83</v>
      </c>
      <c r="B212" s="1" t="s">
        <v>258</v>
      </c>
      <c r="C212" s="27" t="s">
        <v>62</v>
      </c>
      <c r="D212" s="1"/>
      <c r="E212" s="1" t="s">
        <v>239</v>
      </c>
      <c r="F212" s="1" t="s">
        <v>259</v>
      </c>
      <c r="G212" s="27" t="s">
        <v>85</v>
      </c>
      <c r="H212" s="27">
        <v>11</v>
      </c>
      <c r="I212" s="27">
        <v>6</v>
      </c>
      <c r="J212" s="27">
        <v>6</v>
      </c>
      <c r="K212" s="28">
        <v>1347.43</v>
      </c>
      <c r="L212" s="28">
        <v>1347.43</v>
      </c>
      <c r="M212" s="28">
        <v>0</v>
      </c>
      <c r="N212" s="27">
        <v>0</v>
      </c>
      <c r="O212" s="28">
        <v>0</v>
      </c>
      <c r="P212" s="28">
        <v>0</v>
      </c>
      <c r="Q212" s="28">
        <v>0</v>
      </c>
      <c r="R212" s="6"/>
    </row>
    <row r="213" spans="1:18" ht="25.5" x14ac:dyDescent="0.25">
      <c r="A213" s="224">
        <f t="shared" si="9"/>
        <v>84</v>
      </c>
      <c r="B213" s="1" t="s">
        <v>42</v>
      </c>
      <c r="C213" s="27" t="s">
        <v>62</v>
      </c>
      <c r="D213" s="1" t="s">
        <v>63</v>
      </c>
      <c r="E213" s="1" t="s">
        <v>78</v>
      </c>
      <c r="F213" s="1" t="s">
        <v>260</v>
      </c>
      <c r="G213" s="27" t="s">
        <v>85</v>
      </c>
      <c r="H213" s="27">
        <v>32</v>
      </c>
      <c r="I213" s="27">
        <v>23</v>
      </c>
      <c r="J213" s="27">
        <v>26</v>
      </c>
      <c r="K213" s="28">
        <v>26521.88</v>
      </c>
      <c r="L213" s="28">
        <v>25596.83</v>
      </c>
      <c r="M213" s="28">
        <v>925.05</v>
      </c>
      <c r="N213" s="27">
        <v>26</v>
      </c>
      <c r="O213" s="28">
        <v>59423.99</v>
      </c>
      <c r="P213" s="28">
        <v>59423.99</v>
      </c>
      <c r="Q213" s="28">
        <v>0</v>
      </c>
      <c r="R213" s="6"/>
    </row>
    <row r="214" spans="1:18" ht="25.5" x14ac:dyDescent="0.25">
      <c r="A214" s="224">
        <f t="shared" si="9"/>
        <v>85</v>
      </c>
      <c r="B214" s="1" t="s">
        <v>43</v>
      </c>
      <c r="C214" s="27" t="s">
        <v>62</v>
      </c>
      <c r="D214" s="1" t="s">
        <v>63</v>
      </c>
      <c r="E214" s="1" t="s">
        <v>72</v>
      </c>
      <c r="F214" s="1" t="s">
        <v>261</v>
      </c>
      <c r="G214" s="27" t="s">
        <v>85</v>
      </c>
      <c r="H214" s="27">
        <v>17</v>
      </c>
      <c r="I214" s="27">
        <v>10</v>
      </c>
      <c r="J214" s="27">
        <v>14</v>
      </c>
      <c r="K214" s="28">
        <v>18615.32</v>
      </c>
      <c r="L214" s="28">
        <v>18615.32</v>
      </c>
      <c r="M214" s="28">
        <v>0</v>
      </c>
      <c r="N214" s="27">
        <v>31</v>
      </c>
      <c r="O214" s="28">
        <v>87291.33</v>
      </c>
      <c r="P214" s="28">
        <v>87291.33</v>
      </c>
      <c r="Q214" s="28">
        <v>0</v>
      </c>
      <c r="R214" s="6"/>
    </row>
    <row r="215" spans="1:18" x14ac:dyDescent="0.25">
      <c r="A215" s="224">
        <f t="shared" si="9"/>
        <v>86</v>
      </c>
      <c r="B215" s="1" t="s">
        <v>44</v>
      </c>
      <c r="C215" s="27" t="s">
        <v>62</v>
      </c>
      <c r="D215" s="1" t="s">
        <v>63</v>
      </c>
      <c r="E215" s="1" t="s">
        <v>74</v>
      </c>
      <c r="F215" s="1" t="s">
        <v>262</v>
      </c>
      <c r="G215" s="27" t="s">
        <v>85</v>
      </c>
      <c r="H215" s="27">
        <v>30</v>
      </c>
      <c r="I215" s="27">
        <v>20</v>
      </c>
      <c r="J215" s="27">
        <v>23</v>
      </c>
      <c r="K215" s="28">
        <v>7151.96</v>
      </c>
      <c r="L215" s="28">
        <v>7151.96</v>
      </c>
      <c r="M215" s="28">
        <v>0</v>
      </c>
      <c r="N215" s="27">
        <v>27</v>
      </c>
      <c r="O215" s="28">
        <v>80034.320000000007</v>
      </c>
      <c r="P215" s="28">
        <v>80034.320000000007</v>
      </c>
      <c r="Q215" s="28">
        <v>0</v>
      </c>
      <c r="R215" s="6"/>
    </row>
    <row r="216" spans="1:18" ht="25.5" x14ac:dyDescent="0.25">
      <c r="A216" s="224">
        <f t="shared" si="9"/>
        <v>87</v>
      </c>
      <c r="B216" s="1" t="s">
        <v>45</v>
      </c>
      <c r="C216" s="27" t="s">
        <v>62</v>
      </c>
      <c r="D216" s="1" t="s">
        <v>63</v>
      </c>
      <c r="E216" s="1" t="s">
        <v>79</v>
      </c>
      <c r="F216" s="1" t="s">
        <v>263</v>
      </c>
      <c r="G216" s="27" t="s">
        <v>85</v>
      </c>
      <c r="H216" s="27">
        <v>9</v>
      </c>
      <c r="I216" s="27">
        <v>6</v>
      </c>
      <c r="J216" s="27">
        <v>10</v>
      </c>
      <c r="K216" s="28">
        <v>7644.39</v>
      </c>
      <c r="L216" s="28">
        <v>7644.39</v>
      </c>
      <c r="M216" s="28">
        <v>0</v>
      </c>
      <c r="N216" s="27">
        <v>1</v>
      </c>
      <c r="O216" s="28">
        <v>12181.77</v>
      </c>
      <c r="P216" s="28">
        <v>12181.77</v>
      </c>
      <c r="Q216" s="28">
        <v>0</v>
      </c>
      <c r="R216" s="6"/>
    </row>
    <row r="217" spans="1:18" x14ac:dyDescent="0.25">
      <c r="A217" s="224">
        <f t="shared" si="9"/>
        <v>88</v>
      </c>
      <c r="B217" s="1" t="s">
        <v>264</v>
      </c>
      <c r="C217" s="27" t="s">
        <v>62</v>
      </c>
      <c r="D217" s="1" t="s">
        <v>63</v>
      </c>
      <c r="E217" s="1" t="s">
        <v>74</v>
      </c>
      <c r="F217" s="1" t="s">
        <v>265</v>
      </c>
      <c r="G217" s="27" t="s">
        <v>85</v>
      </c>
      <c r="H217" s="27">
        <v>20</v>
      </c>
      <c r="I217" s="27">
        <v>17</v>
      </c>
      <c r="J217" s="27">
        <v>19</v>
      </c>
      <c r="K217" s="28">
        <v>6523.63</v>
      </c>
      <c r="L217" s="28">
        <v>6523.63</v>
      </c>
      <c r="M217" s="28">
        <v>0</v>
      </c>
      <c r="N217" s="27">
        <v>0</v>
      </c>
      <c r="O217" s="28">
        <v>0</v>
      </c>
      <c r="P217" s="28">
        <v>0</v>
      </c>
      <c r="Q217" s="28">
        <v>0</v>
      </c>
      <c r="R217" s="6"/>
    </row>
    <row r="218" spans="1:18" ht="25.5" x14ac:dyDescent="0.25">
      <c r="A218" s="224">
        <f t="shared" si="9"/>
        <v>89</v>
      </c>
      <c r="B218" s="1" t="s">
        <v>119</v>
      </c>
      <c r="C218" s="27" t="s">
        <v>62</v>
      </c>
      <c r="D218" s="1" t="s">
        <v>63</v>
      </c>
      <c r="E218" s="1" t="s">
        <v>108</v>
      </c>
      <c r="F218" s="1" t="s">
        <v>266</v>
      </c>
      <c r="G218" s="27" t="s">
        <v>85</v>
      </c>
      <c r="H218" s="27">
        <v>16</v>
      </c>
      <c r="I218" s="27">
        <v>12</v>
      </c>
      <c r="J218" s="27">
        <v>14</v>
      </c>
      <c r="K218" s="28">
        <v>6931.42</v>
      </c>
      <c r="L218" s="28">
        <v>6931.42</v>
      </c>
      <c r="M218" s="28">
        <v>0</v>
      </c>
      <c r="N218" s="27">
        <v>2</v>
      </c>
      <c r="O218" s="28">
        <v>768.04</v>
      </c>
      <c r="P218" s="28">
        <v>768.04</v>
      </c>
      <c r="Q218" s="28">
        <v>0</v>
      </c>
      <c r="R218" s="6"/>
    </row>
    <row r="219" spans="1:18" ht="38.25" x14ac:dyDescent="0.25">
      <c r="A219" s="224">
        <f t="shared" si="9"/>
        <v>90</v>
      </c>
      <c r="B219" s="1" t="s">
        <v>46</v>
      </c>
      <c r="C219" s="27" t="s">
        <v>62</v>
      </c>
      <c r="D219" s="1" t="s">
        <v>63</v>
      </c>
      <c r="E219" s="1" t="s">
        <v>267</v>
      </c>
      <c r="F219" s="1" t="s">
        <v>268</v>
      </c>
      <c r="G219" s="27" t="s">
        <v>85</v>
      </c>
      <c r="H219" s="27">
        <v>19</v>
      </c>
      <c r="I219" s="27">
        <v>14</v>
      </c>
      <c r="J219" s="27">
        <v>21</v>
      </c>
      <c r="K219" s="28">
        <v>26906.22</v>
      </c>
      <c r="L219" s="28">
        <v>14591.44</v>
      </c>
      <c r="M219" s="28">
        <v>12314.78</v>
      </c>
      <c r="N219" s="27">
        <v>20</v>
      </c>
      <c r="O219" s="28">
        <v>104529.03</v>
      </c>
      <c r="P219" s="28">
        <v>91463.84</v>
      </c>
      <c r="Q219" s="28">
        <v>13065.19</v>
      </c>
      <c r="R219" s="6"/>
    </row>
    <row r="220" spans="1:18" ht="25.5" x14ac:dyDescent="0.25">
      <c r="A220" s="224">
        <f t="shared" si="9"/>
        <v>91</v>
      </c>
      <c r="B220" s="1" t="s">
        <v>47</v>
      </c>
      <c r="C220" s="27" t="s">
        <v>62</v>
      </c>
      <c r="D220" s="1" t="s">
        <v>63</v>
      </c>
      <c r="E220" s="1" t="s">
        <v>80</v>
      </c>
      <c r="F220" s="1" t="s">
        <v>269</v>
      </c>
      <c r="G220" s="27" t="s">
        <v>85</v>
      </c>
      <c r="H220" s="27">
        <v>49</v>
      </c>
      <c r="I220" s="27">
        <v>34</v>
      </c>
      <c r="J220" s="27">
        <v>52</v>
      </c>
      <c r="K220" s="28">
        <v>75452.800000000003</v>
      </c>
      <c r="L220" s="28">
        <v>61380.47</v>
      </c>
      <c r="M220" s="28">
        <v>14072.33</v>
      </c>
      <c r="N220" s="27">
        <v>104</v>
      </c>
      <c r="O220" s="28">
        <v>370643.57</v>
      </c>
      <c r="P220" s="28">
        <v>292071.21000000002</v>
      </c>
      <c r="Q220" s="28">
        <v>78572.36</v>
      </c>
      <c r="R220" s="6"/>
    </row>
    <row r="221" spans="1:18" ht="25.5" x14ac:dyDescent="0.25">
      <c r="A221" s="224">
        <f t="shared" si="9"/>
        <v>92</v>
      </c>
      <c r="B221" s="1" t="s">
        <v>270</v>
      </c>
      <c r="C221" s="27" t="s">
        <v>62</v>
      </c>
      <c r="D221" s="1"/>
      <c r="E221" s="1" t="s">
        <v>271</v>
      </c>
      <c r="F221" s="1" t="s">
        <v>272</v>
      </c>
      <c r="G221" s="27" t="s">
        <v>85</v>
      </c>
      <c r="H221" s="27">
        <v>8</v>
      </c>
      <c r="I221" s="27">
        <v>5</v>
      </c>
      <c r="J221" s="27">
        <v>6</v>
      </c>
      <c r="K221" s="28">
        <v>6888.14</v>
      </c>
      <c r="L221" s="28">
        <v>6888.14</v>
      </c>
      <c r="M221" s="28">
        <v>0</v>
      </c>
      <c r="N221" s="27">
        <v>0</v>
      </c>
      <c r="O221" s="28">
        <v>0</v>
      </c>
      <c r="P221" s="28">
        <v>0</v>
      </c>
      <c r="Q221" s="28">
        <v>0</v>
      </c>
      <c r="R221" s="6"/>
    </row>
    <row r="222" spans="1:18" ht="25.5" x14ac:dyDescent="0.25">
      <c r="A222" s="224">
        <f t="shared" si="9"/>
        <v>93</v>
      </c>
      <c r="B222" s="1" t="s">
        <v>273</v>
      </c>
      <c r="C222" s="27" t="s">
        <v>62</v>
      </c>
      <c r="D222" s="1"/>
      <c r="E222" s="1" t="s">
        <v>186</v>
      </c>
      <c r="F222" s="1" t="s">
        <v>511</v>
      </c>
      <c r="G222" s="27" t="s">
        <v>85</v>
      </c>
      <c r="H222" s="27">
        <v>6</v>
      </c>
      <c r="I222" s="27">
        <v>0</v>
      </c>
      <c r="J222" s="27">
        <v>0</v>
      </c>
      <c r="K222" s="28">
        <v>0</v>
      </c>
      <c r="L222" s="28">
        <v>0</v>
      </c>
      <c r="M222" s="28">
        <v>0</v>
      </c>
      <c r="N222" s="27">
        <v>0</v>
      </c>
      <c r="O222" s="28">
        <v>0</v>
      </c>
      <c r="P222" s="28">
        <v>0</v>
      </c>
      <c r="Q222" s="28">
        <v>0</v>
      </c>
      <c r="R222" s="6"/>
    </row>
    <row r="223" spans="1:18" x14ac:dyDescent="0.25">
      <c r="A223" s="224">
        <f t="shared" si="9"/>
        <v>94</v>
      </c>
      <c r="B223" s="1" t="s">
        <v>490</v>
      </c>
      <c r="C223" s="27" t="s">
        <v>62</v>
      </c>
      <c r="D223" s="1"/>
      <c r="E223" s="1" t="s">
        <v>491</v>
      </c>
      <c r="F223" s="1" t="s">
        <v>492</v>
      </c>
      <c r="G223" s="27" t="s">
        <v>85</v>
      </c>
      <c r="H223" s="27">
        <v>7</v>
      </c>
      <c r="I223" s="27">
        <v>3</v>
      </c>
      <c r="J223" s="27">
        <v>4</v>
      </c>
      <c r="K223" s="28">
        <v>0</v>
      </c>
      <c r="L223" s="28">
        <v>0</v>
      </c>
      <c r="M223" s="28">
        <v>0</v>
      </c>
      <c r="N223" s="27">
        <v>0</v>
      </c>
      <c r="O223" s="28">
        <v>0</v>
      </c>
      <c r="P223" s="28">
        <v>0</v>
      </c>
      <c r="Q223" s="28">
        <v>0</v>
      </c>
      <c r="R223" s="6"/>
    </row>
    <row r="224" spans="1:18" x14ac:dyDescent="0.25">
      <c r="A224" s="224">
        <f t="shared" si="9"/>
        <v>95</v>
      </c>
      <c r="B224" s="1" t="s">
        <v>94</v>
      </c>
      <c r="C224" s="27" t="s">
        <v>62</v>
      </c>
      <c r="D224" s="1" t="s">
        <v>63</v>
      </c>
      <c r="E224" s="1" t="s">
        <v>74</v>
      </c>
      <c r="F224" s="1" t="s">
        <v>274</v>
      </c>
      <c r="G224" s="27" t="s">
        <v>85</v>
      </c>
      <c r="H224" s="27">
        <v>11</v>
      </c>
      <c r="I224" s="27">
        <v>1</v>
      </c>
      <c r="J224" s="27">
        <v>1</v>
      </c>
      <c r="K224" s="28">
        <v>1613.29</v>
      </c>
      <c r="L224" s="28">
        <v>1613.29</v>
      </c>
      <c r="M224" s="28">
        <v>0</v>
      </c>
      <c r="N224" s="27">
        <v>4</v>
      </c>
      <c r="O224" s="28">
        <v>4493.33</v>
      </c>
      <c r="P224" s="28">
        <v>4493.33</v>
      </c>
      <c r="Q224" s="28">
        <v>0</v>
      </c>
      <c r="R224" s="6"/>
    </row>
    <row r="225" spans="1:18" ht="25.5" x14ac:dyDescent="0.25">
      <c r="A225" s="224">
        <f t="shared" si="9"/>
        <v>96</v>
      </c>
      <c r="B225" s="1" t="s">
        <v>120</v>
      </c>
      <c r="C225" s="27" t="s">
        <v>67</v>
      </c>
      <c r="D225" s="1" t="s">
        <v>493</v>
      </c>
      <c r="E225" s="1" t="s">
        <v>121</v>
      </c>
      <c r="F225" s="1" t="s">
        <v>468</v>
      </c>
      <c r="G225" s="27" t="s">
        <v>85</v>
      </c>
      <c r="H225" s="27">
        <v>7</v>
      </c>
      <c r="I225" s="27">
        <v>5</v>
      </c>
      <c r="J225" s="27">
        <v>5</v>
      </c>
      <c r="K225" s="28">
        <v>1127.68</v>
      </c>
      <c r="L225" s="28">
        <v>1127.68</v>
      </c>
      <c r="M225" s="28">
        <v>0</v>
      </c>
      <c r="N225" s="27">
        <v>0</v>
      </c>
      <c r="O225" s="28">
        <v>0</v>
      </c>
      <c r="P225" s="28">
        <v>0</v>
      </c>
      <c r="Q225" s="28">
        <v>0</v>
      </c>
      <c r="R225" s="6"/>
    </row>
    <row r="226" spans="1:18" ht="25.5" x14ac:dyDescent="0.25">
      <c r="A226" s="224">
        <f t="shared" si="9"/>
        <v>97</v>
      </c>
      <c r="B226" s="1" t="s">
        <v>407</v>
      </c>
      <c r="C226" s="27" t="s">
        <v>62</v>
      </c>
      <c r="D226" s="1"/>
      <c r="E226" s="1" t="s">
        <v>186</v>
      </c>
      <c r="F226" s="1" t="s">
        <v>512</v>
      </c>
      <c r="G226" s="27" t="s">
        <v>85</v>
      </c>
      <c r="H226" s="27">
        <v>1</v>
      </c>
      <c r="I226" s="27">
        <v>0</v>
      </c>
      <c r="J226" s="27">
        <v>0</v>
      </c>
      <c r="K226" s="28">
        <v>0</v>
      </c>
      <c r="L226" s="28">
        <v>0</v>
      </c>
      <c r="M226" s="28">
        <v>0</v>
      </c>
      <c r="N226" s="27">
        <v>0</v>
      </c>
      <c r="O226" s="28">
        <v>0</v>
      </c>
      <c r="P226" s="28">
        <v>0</v>
      </c>
      <c r="Q226" s="28">
        <v>0</v>
      </c>
      <c r="R226" s="6"/>
    </row>
    <row r="227" spans="1:18" ht="25.5" x14ac:dyDescent="0.25">
      <c r="A227" s="224">
        <f t="shared" si="9"/>
        <v>98</v>
      </c>
      <c r="B227" s="1" t="s">
        <v>122</v>
      </c>
      <c r="C227" s="27" t="s">
        <v>62</v>
      </c>
      <c r="D227" s="1" t="s">
        <v>63</v>
      </c>
      <c r="E227" s="1" t="s">
        <v>275</v>
      </c>
      <c r="F227" s="1" t="s">
        <v>276</v>
      </c>
      <c r="G227" s="27" t="s">
        <v>85</v>
      </c>
      <c r="H227" s="27">
        <v>11</v>
      </c>
      <c r="I227" s="27">
        <v>5</v>
      </c>
      <c r="J227" s="27">
        <v>8</v>
      </c>
      <c r="K227" s="28">
        <v>5471.36</v>
      </c>
      <c r="L227" s="28">
        <v>5471.36</v>
      </c>
      <c r="M227" s="28">
        <v>0</v>
      </c>
      <c r="N227" s="27">
        <v>5</v>
      </c>
      <c r="O227" s="28">
        <v>7270.27</v>
      </c>
      <c r="P227" s="28">
        <v>7270.27</v>
      </c>
      <c r="Q227" s="28">
        <v>0</v>
      </c>
      <c r="R227" s="6"/>
    </row>
    <row r="228" spans="1:18" x14ac:dyDescent="0.25">
      <c r="A228" s="224">
        <f t="shared" si="9"/>
        <v>99</v>
      </c>
      <c r="B228" s="1" t="s">
        <v>133</v>
      </c>
      <c r="C228" s="27" t="s">
        <v>67</v>
      </c>
      <c r="D228" s="1" t="s">
        <v>494</v>
      </c>
      <c r="E228" s="1" t="s">
        <v>74</v>
      </c>
      <c r="F228" s="223" t="s">
        <v>577</v>
      </c>
      <c r="G228" s="27" t="s">
        <v>85</v>
      </c>
      <c r="H228" s="27">
        <v>8</v>
      </c>
      <c r="I228" s="27">
        <v>3</v>
      </c>
      <c r="J228" s="27">
        <v>5</v>
      </c>
      <c r="K228" s="28">
        <v>5018.91</v>
      </c>
      <c r="L228" s="28">
        <v>5018.91</v>
      </c>
      <c r="M228" s="28">
        <v>0</v>
      </c>
      <c r="N228" s="27">
        <v>0</v>
      </c>
      <c r="O228" s="28">
        <v>0</v>
      </c>
      <c r="P228" s="28">
        <v>0</v>
      </c>
      <c r="Q228" s="28">
        <v>0</v>
      </c>
      <c r="R228" s="6"/>
    </row>
    <row r="229" spans="1:18" x14ac:dyDescent="0.25">
      <c r="A229" s="224">
        <f t="shared" si="9"/>
        <v>100</v>
      </c>
      <c r="B229" s="1" t="s">
        <v>96</v>
      </c>
      <c r="C229" s="27" t="s">
        <v>62</v>
      </c>
      <c r="D229" s="1" t="s">
        <v>63</v>
      </c>
      <c r="E229" s="1" t="s">
        <v>98</v>
      </c>
      <c r="F229" s="1" t="s">
        <v>277</v>
      </c>
      <c r="G229" s="27" t="s">
        <v>85</v>
      </c>
      <c r="H229" s="27">
        <v>23</v>
      </c>
      <c r="I229" s="27">
        <v>6</v>
      </c>
      <c r="J229" s="27">
        <v>7</v>
      </c>
      <c r="K229" s="28">
        <v>7539.6</v>
      </c>
      <c r="L229" s="28">
        <v>7539.6</v>
      </c>
      <c r="M229" s="28">
        <v>0</v>
      </c>
      <c r="N229" s="27">
        <v>10</v>
      </c>
      <c r="O229" s="28">
        <v>18644</v>
      </c>
      <c r="P229" s="28">
        <v>18644</v>
      </c>
      <c r="Q229" s="28">
        <v>0</v>
      </c>
      <c r="R229" s="6"/>
    </row>
    <row r="230" spans="1:18" ht="25.5" x14ac:dyDescent="0.25">
      <c r="A230" s="224">
        <f t="shared" si="9"/>
        <v>101</v>
      </c>
      <c r="B230" s="1" t="s">
        <v>48</v>
      </c>
      <c r="C230" s="27" t="s">
        <v>62</v>
      </c>
      <c r="D230" s="1" t="s">
        <v>63</v>
      </c>
      <c r="E230" s="1" t="s">
        <v>81</v>
      </c>
      <c r="F230" s="1" t="s">
        <v>278</v>
      </c>
      <c r="G230" s="27" t="s">
        <v>85</v>
      </c>
      <c r="H230" s="27">
        <v>33</v>
      </c>
      <c r="I230" s="27">
        <v>26</v>
      </c>
      <c r="J230" s="27">
        <v>33</v>
      </c>
      <c r="K230" s="28">
        <v>7356.8</v>
      </c>
      <c r="L230" s="28">
        <v>7356.8</v>
      </c>
      <c r="M230" s="28">
        <v>0</v>
      </c>
      <c r="N230" s="27">
        <v>10</v>
      </c>
      <c r="O230" s="28">
        <v>34796.1</v>
      </c>
      <c r="P230" s="28">
        <v>34796.1</v>
      </c>
      <c r="Q230" s="28">
        <v>0</v>
      </c>
      <c r="R230" s="6"/>
    </row>
    <row r="231" spans="1:18" x14ac:dyDescent="0.25">
      <c r="A231" s="224">
        <f t="shared" si="9"/>
        <v>102</v>
      </c>
      <c r="B231" s="1" t="s">
        <v>49</v>
      </c>
      <c r="C231" s="27" t="s">
        <v>62</v>
      </c>
      <c r="D231" s="1" t="s">
        <v>63</v>
      </c>
      <c r="E231" s="1" t="s">
        <v>74</v>
      </c>
      <c r="F231" s="1" t="s">
        <v>279</v>
      </c>
      <c r="G231" s="27" t="s">
        <v>85</v>
      </c>
      <c r="H231" s="27">
        <v>20</v>
      </c>
      <c r="I231" s="27">
        <v>12</v>
      </c>
      <c r="J231" s="27">
        <v>12</v>
      </c>
      <c r="K231" s="28">
        <v>10483.14</v>
      </c>
      <c r="L231" s="28">
        <v>10483.14</v>
      </c>
      <c r="M231" s="28">
        <v>0</v>
      </c>
      <c r="N231" s="27">
        <v>5</v>
      </c>
      <c r="O231" s="28">
        <v>37590.26</v>
      </c>
      <c r="P231" s="28">
        <v>37590.26</v>
      </c>
      <c r="Q231" s="28">
        <v>0</v>
      </c>
      <c r="R231" s="6"/>
    </row>
    <row r="232" spans="1:18" ht="25.5" x14ac:dyDescent="0.25">
      <c r="A232" s="224">
        <f t="shared" si="9"/>
        <v>103</v>
      </c>
      <c r="B232" s="1" t="s">
        <v>50</v>
      </c>
      <c r="C232" s="27" t="s">
        <v>67</v>
      </c>
      <c r="D232" s="1" t="s">
        <v>123</v>
      </c>
      <c r="E232" s="1" t="s">
        <v>82</v>
      </c>
      <c r="F232" s="1" t="s">
        <v>280</v>
      </c>
      <c r="G232" s="27" t="s">
        <v>85</v>
      </c>
      <c r="H232" s="27">
        <v>7</v>
      </c>
      <c r="I232" s="27">
        <v>0</v>
      </c>
      <c r="J232" s="27">
        <v>0</v>
      </c>
      <c r="K232" s="28">
        <v>0</v>
      </c>
      <c r="L232" s="28">
        <v>0</v>
      </c>
      <c r="M232" s="28">
        <v>0</v>
      </c>
      <c r="N232" s="27">
        <v>3</v>
      </c>
      <c r="O232" s="28">
        <v>7205.22</v>
      </c>
      <c r="P232" s="28">
        <v>7205.22</v>
      </c>
      <c r="Q232" s="28">
        <v>0</v>
      </c>
      <c r="R232" s="6"/>
    </row>
    <row r="233" spans="1:18" ht="25.5" x14ac:dyDescent="0.25">
      <c r="A233" s="224">
        <f t="shared" si="9"/>
        <v>104</v>
      </c>
      <c r="B233" s="1" t="s">
        <v>281</v>
      </c>
      <c r="C233" s="27" t="s">
        <v>62</v>
      </c>
      <c r="D233" s="1"/>
      <c r="E233" s="1" t="s">
        <v>282</v>
      </c>
      <c r="F233" s="1" t="s">
        <v>283</v>
      </c>
      <c r="G233" s="27" t="s">
        <v>85</v>
      </c>
      <c r="H233" s="27">
        <v>15</v>
      </c>
      <c r="I233" s="27">
        <v>4</v>
      </c>
      <c r="J233" s="27">
        <v>4</v>
      </c>
      <c r="K233" s="28">
        <v>0</v>
      </c>
      <c r="L233" s="28">
        <v>0</v>
      </c>
      <c r="M233" s="28">
        <v>0</v>
      </c>
      <c r="N233" s="27">
        <v>0</v>
      </c>
      <c r="O233" s="28">
        <v>0</v>
      </c>
      <c r="P233" s="28">
        <v>0</v>
      </c>
      <c r="Q233" s="28">
        <v>0</v>
      </c>
      <c r="R233" s="6"/>
    </row>
    <row r="234" spans="1:18" x14ac:dyDescent="0.25">
      <c r="A234" s="224">
        <f t="shared" si="9"/>
        <v>105</v>
      </c>
      <c r="B234" s="1" t="s">
        <v>124</v>
      </c>
      <c r="C234" s="27" t="s">
        <v>62</v>
      </c>
      <c r="D234" s="1" t="s">
        <v>63</v>
      </c>
      <c r="E234" s="1" t="s">
        <v>63</v>
      </c>
      <c r="F234" s="1" t="s">
        <v>284</v>
      </c>
      <c r="G234" s="27" t="s">
        <v>85</v>
      </c>
      <c r="H234" s="27">
        <v>25</v>
      </c>
      <c r="I234" s="27">
        <v>18</v>
      </c>
      <c r="J234" s="27">
        <v>24</v>
      </c>
      <c r="K234" s="28">
        <v>14298.11</v>
      </c>
      <c r="L234" s="28">
        <v>14298.11</v>
      </c>
      <c r="M234" s="28">
        <v>0</v>
      </c>
      <c r="N234" s="27">
        <v>14</v>
      </c>
      <c r="O234" s="28">
        <v>18186.439999999999</v>
      </c>
      <c r="P234" s="28">
        <v>18186.439999999999</v>
      </c>
      <c r="Q234" s="28">
        <v>0</v>
      </c>
      <c r="R234" s="6"/>
    </row>
    <row r="235" spans="1:18" x14ac:dyDescent="0.25">
      <c r="A235" s="224">
        <f t="shared" si="9"/>
        <v>106</v>
      </c>
      <c r="B235" s="1" t="s">
        <v>51</v>
      </c>
      <c r="C235" s="27" t="s">
        <v>62</v>
      </c>
      <c r="D235" s="1" t="s">
        <v>63</v>
      </c>
      <c r="E235" s="1" t="s">
        <v>74</v>
      </c>
      <c r="F235" s="1" t="s">
        <v>285</v>
      </c>
      <c r="G235" s="27" t="s">
        <v>85</v>
      </c>
      <c r="H235" s="27">
        <v>13</v>
      </c>
      <c r="I235" s="27">
        <v>6</v>
      </c>
      <c r="J235" s="27">
        <v>6</v>
      </c>
      <c r="K235" s="28">
        <v>2325.7399999999998</v>
      </c>
      <c r="L235" s="28">
        <v>2325.7399999999998</v>
      </c>
      <c r="M235" s="28">
        <v>0</v>
      </c>
      <c r="N235" s="27">
        <v>10</v>
      </c>
      <c r="O235" s="28">
        <v>1797.24</v>
      </c>
      <c r="P235" s="28">
        <v>1797.24</v>
      </c>
      <c r="Q235" s="28">
        <v>0</v>
      </c>
      <c r="R235" s="6"/>
    </row>
    <row r="236" spans="1:18" ht="25.5" x14ac:dyDescent="0.25">
      <c r="A236" s="224">
        <f t="shared" si="9"/>
        <v>107</v>
      </c>
      <c r="B236" s="1" t="s">
        <v>286</v>
      </c>
      <c r="C236" s="27" t="s">
        <v>62</v>
      </c>
      <c r="D236" s="1"/>
      <c r="E236" s="1" t="s">
        <v>174</v>
      </c>
      <c r="F236" s="1" t="s">
        <v>287</v>
      </c>
      <c r="G236" s="27" t="s">
        <v>85</v>
      </c>
      <c r="H236" s="27">
        <v>7</v>
      </c>
      <c r="I236" s="27">
        <v>5</v>
      </c>
      <c r="J236" s="27">
        <v>5</v>
      </c>
      <c r="K236" s="28">
        <v>1399.03</v>
      </c>
      <c r="L236" s="28">
        <v>1399.03</v>
      </c>
      <c r="M236" s="28">
        <v>0</v>
      </c>
      <c r="N236" s="27">
        <v>0</v>
      </c>
      <c r="O236" s="28">
        <v>0</v>
      </c>
      <c r="P236" s="28">
        <v>0</v>
      </c>
      <c r="Q236" s="28">
        <v>0</v>
      </c>
      <c r="R236" s="6"/>
    </row>
    <row r="237" spans="1:18" x14ac:dyDescent="0.25">
      <c r="A237" s="224">
        <f t="shared" si="9"/>
        <v>108</v>
      </c>
      <c r="B237" s="1" t="s">
        <v>52</v>
      </c>
      <c r="C237" s="27" t="s">
        <v>62</v>
      </c>
      <c r="D237" s="1" t="s">
        <v>63</v>
      </c>
      <c r="E237" s="1" t="s">
        <v>74</v>
      </c>
      <c r="F237" s="1" t="s">
        <v>125</v>
      </c>
      <c r="G237" s="27" t="s">
        <v>85</v>
      </c>
      <c r="H237" s="27">
        <v>3</v>
      </c>
      <c r="I237" s="27">
        <v>0</v>
      </c>
      <c r="J237" s="27">
        <v>0</v>
      </c>
      <c r="K237" s="28">
        <v>0</v>
      </c>
      <c r="L237" s="28">
        <v>0</v>
      </c>
      <c r="M237" s="28">
        <v>0</v>
      </c>
      <c r="N237" s="27">
        <v>0</v>
      </c>
      <c r="O237" s="28">
        <v>0</v>
      </c>
      <c r="P237" s="28">
        <v>0</v>
      </c>
      <c r="Q237" s="28">
        <v>0</v>
      </c>
      <c r="R237" s="6"/>
    </row>
    <row r="238" spans="1:18" x14ac:dyDescent="0.25">
      <c r="A238" s="224">
        <f t="shared" si="9"/>
        <v>109</v>
      </c>
      <c r="B238" s="1" t="s">
        <v>469</v>
      </c>
      <c r="C238" s="27" t="s">
        <v>62</v>
      </c>
      <c r="D238" s="1" t="s">
        <v>63</v>
      </c>
      <c r="E238" s="1" t="s">
        <v>74</v>
      </c>
      <c r="F238" s="1" t="s">
        <v>470</v>
      </c>
      <c r="G238" s="27" t="s">
        <v>85</v>
      </c>
      <c r="H238" s="27">
        <v>1</v>
      </c>
      <c r="I238" s="27">
        <v>0</v>
      </c>
      <c r="J238" s="27">
        <v>0</v>
      </c>
      <c r="K238" s="28">
        <v>0</v>
      </c>
      <c r="L238" s="28">
        <v>0</v>
      </c>
      <c r="M238" s="28">
        <v>0</v>
      </c>
      <c r="N238" s="27">
        <v>0</v>
      </c>
      <c r="O238" s="28">
        <v>0</v>
      </c>
      <c r="P238" s="28">
        <v>0</v>
      </c>
      <c r="Q238" s="28">
        <v>0</v>
      </c>
      <c r="R238" s="6"/>
    </row>
    <row r="239" spans="1:18" x14ac:dyDescent="0.25">
      <c r="A239" s="224">
        <f t="shared" si="9"/>
        <v>110</v>
      </c>
      <c r="B239" s="1" t="s">
        <v>53</v>
      </c>
      <c r="C239" s="27" t="s">
        <v>62</v>
      </c>
      <c r="D239" s="1" t="s">
        <v>63</v>
      </c>
      <c r="E239" s="1" t="s">
        <v>74</v>
      </c>
      <c r="F239" s="1" t="s">
        <v>126</v>
      </c>
      <c r="G239" s="27" t="s">
        <v>85</v>
      </c>
      <c r="H239" s="27">
        <v>8</v>
      </c>
      <c r="I239" s="27">
        <v>0</v>
      </c>
      <c r="J239" s="27">
        <v>0</v>
      </c>
      <c r="K239" s="28">
        <v>0</v>
      </c>
      <c r="L239" s="28">
        <v>0</v>
      </c>
      <c r="M239" s="28">
        <v>0</v>
      </c>
      <c r="N239" s="27">
        <v>0</v>
      </c>
      <c r="O239" s="28">
        <v>0</v>
      </c>
      <c r="P239" s="28">
        <v>0</v>
      </c>
      <c r="Q239" s="28">
        <v>0</v>
      </c>
      <c r="R239" s="6"/>
    </row>
    <row r="240" spans="1:18" x14ac:dyDescent="0.25">
      <c r="A240" s="224">
        <f t="shared" si="9"/>
        <v>111</v>
      </c>
      <c r="B240" s="1" t="s">
        <v>151</v>
      </c>
      <c r="C240" s="27" t="s">
        <v>62</v>
      </c>
      <c r="D240" s="1" t="s">
        <v>63</v>
      </c>
      <c r="E240" s="1" t="s">
        <v>74</v>
      </c>
      <c r="F240" s="1" t="s">
        <v>288</v>
      </c>
      <c r="G240" s="27" t="s">
        <v>85</v>
      </c>
      <c r="H240" s="27">
        <v>9</v>
      </c>
      <c r="I240" s="27">
        <v>6</v>
      </c>
      <c r="J240" s="27">
        <v>6</v>
      </c>
      <c r="K240" s="28">
        <v>974.39</v>
      </c>
      <c r="L240" s="28">
        <v>974.39</v>
      </c>
      <c r="M240" s="28">
        <v>0</v>
      </c>
      <c r="N240" s="27">
        <v>6</v>
      </c>
      <c r="O240" s="28">
        <v>4554.97</v>
      </c>
      <c r="P240" s="28">
        <v>4554.97</v>
      </c>
      <c r="Q240" s="28">
        <v>0</v>
      </c>
      <c r="R240" s="6"/>
    </row>
    <row r="241" spans="1:18" x14ac:dyDescent="0.25">
      <c r="A241" s="224">
        <f t="shared" si="9"/>
        <v>112</v>
      </c>
      <c r="B241" s="1" t="s">
        <v>155</v>
      </c>
      <c r="C241" s="27" t="s">
        <v>62</v>
      </c>
      <c r="D241" s="1" t="s">
        <v>63</v>
      </c>
      <c r="E241" s="1" t="s">
        <v>74</v>
      </c>
      <c r="F241" s="1" t="s">
        <v>289</v>
      </c>
      <c r="G241" s="27" t="s">
        <v>85</v>
      </c>
      <c r="H241" s="27">
        <v>10</v>
      </c>
      <c r="I241" s="27">
        <v>7</v>
      </c>
      <c r="J241" s="27">
        <v>9</v>
      </c>
      <c r="K241" s="28">
        <v>25762.27</v>
      </c>
      <c r="L241" s="28">
        <v>25762.27</v>
      </c>
      <c r="M241" s="28">
        <v>0</v>
      </c>
      <c r="N241" s="27">
        <v>2</v>
      </c>
      <c r="O241" s="28">
        <v>15810.55</v>
      </c>
      <c r="P241" s="28">
        <v>15810.55</v>
      </c>
      <c r="Q241" s="28">
        <v>0</v>
      </c>
      <c r="R241" s="6"/>
    </row>
    <row r="242" spans="1:18" x14ac:dyDescent="0.25">
      <c r="A242" s="224">
        <f t="shared" si="9"/>
        <v>113</v>
      </c>
      <c r="B242" s="1" t="s">
        <v>290</v>
      </c>
      <c r="C242" s="27" t="s">
        <v>62</v>
      </c>
      <c r="D242" s="1"/>
      <c r="E242" s="1" t="s">
        <v>291</v>
      </c>
      <c r="F242" s="1" t="s">
        <v>292</v>
      </c>
      <c r="G242" s="27" t="s">
        <v>85</v>
      </c>
      <c r="H242" s="27">
        <v>22</v>
      </c>
      <c r="I242" s="27">
        <v>12</v>
      </c>
      <c r="J242" s="27">
        <v>13</v>
      </c>
      <c r="K242" s="28">
        <v>2466.8000000000002</v>
      </c>
      <c r="L242" s="28">
        <v>2466.8000000000002</v>
      </c>
      <c r="M242" s="28">
        <v>0</v>
      </c>
      <c r="N242" s="27">
        <v>0</v>
      </c>
      <c r="O242" s="28">
        <v>0</v>
      </c>
      <c r="P242" s="28">
        <v>0</v>
      </c>
      <c r="Q242" s="28">
        <v>0</v>
      </c>
      <c r="R242" s="6"/>
    </row>
    <row r="243" spans="1:18" ht="25.5" x14ac:dyDescent="0.25">
      <c r="A243" s="224">
        <f t="shared" si="9"/>
        <v>114</v>
      </c>
      <c r="B243" s="1" t="s">
        <v>495</v>
      </c>
      <c r="C243" s="27" t="s">
        <v>62</v>
      </c>
      <c r="D243" s="1"/>
      <c r="E243" s="1" t="s">
        <v>313</v>
      </c>
      <c r="F243" s="1" t="s">
        <v>496</v>
      </c>
      <c r="G243" s="27" t="s">
        <v>85</v>
      </c>
      <c r="H243" s="27">
        <v>13</v>
      </c>
      <c r="I243" s="27">
        <v>3</v>
      </c>
      <c r="J243" s="27">
        <v>3</v>
      </c>
      <c r="K243" s="28">
        <v>0</v>
      </c>
      <c r="L243" s="28">
        <v>0</v>
      </c>
      <c r="M243" s="28">
        <v>0</v>
      </c>
      <c r="N243" s="27">
        <v>0</v>
      </c>
      <c r="O243" s="28">
        <v>0</v>
      </c>
      <c r="P243" s="28">
        <v>0</v>
      </c>
      <c r="Q243" s="28">
        <v>0</v>
      </c>
      <c r="R243" s="6"/>
    </row>
    <row r="244" spans="1:18" x14ac:dyDescent="0.25">
      <c r="A244" s="224">
        <f t="shared" si="9"/>
        <v>115</v>
      </c>
      <c r="B244" s="1" t="s">
        <v>134</v>
      </c>
      <c r="C244" s="27" t="s">
        <v>62</v>
      </c>
      <c r="D244" s="1" t="s">
        <v>63</v>
      </c>
      <c r="E244" s="1" t="s">
        <v>74</v>
      </c>
      <c r="F244" s="1" t="s">
        <v>293</v>
      </c>
      <c r="G244" s="27" t="s">
        <v>85</v>
      </c>
      <c r="H244" s="27">
        <v>1</v>
      </c>
      <c r="I244" s="27">
        <v>0</v>
      </c>
      <c r="J244" s="27">
        <v>0</v>
      </c>
      <c r="K244" s="28">
        <v>0</v>
      </c>
      <c r="L244" s="28">
        <v>0</v>
      </c>
      <c r="M244" s="28">
        <v>0</v>
      </c>
      <c r="N244" s="27">
        <v>1</v>
      </c>
      <c r="O244" s="28">
        <f>10990.78+3700.2</f>
        <v>14690.98</v>
      </c>
      <c r="P244" s="28">
        <f>10990.78+3700.2</f>
        <v>14690.98</v>
      </c>
      <c r="Q244" s="28">
        <v>0</v>
      </c>
      <c r="R244" s="6"/>
    </row>
    <row r="245" spans="1:18" x14ac:dyDescent="0.25">
      <c r="A245" s="224">
        <f t="shared" si="9"/>
        <v>116</v>
      </c>
      <c r="B245" s="1" t="s">
        <v>127</v>
      </c>
      <c r="C245" s="27" t="s">
        <v>62</v>
      </c>
      <c r="D245" s="1" t="s">
        <v>63</v>
      </c>
      <c r="E245" s="1" t="s">
        <v>74</v>
      </c>
      <c r="F245" s="1" t="s">
        <v>294</v>
      </c>
      <c r="G245" s="27" t="s">
        <v>85</v>
      </c>
      <c r="H245" s="27">
        <v>4</v>
      </c>
      <c r="I245" s="27">
        <v>1</v>
      </c>
      <c r="J245" s="27">
        <v>1</v>
      </c>
      <c r="K245" s="28">
        <v>0</v>
      </c>
      <c r="L245" s="28">
        <v>0</v>
      </c>
      <c r="M245" s="28">
        <v>0</v>
      </c>
      <c r="N245" s="27">
        <v>2</v>
      </c>
      <c r="O245" s="28">
        <v>0</v>
      </c>
      <c r="P245" s="28">
        <v>0</v>
      </c>
      <c r="Q245" s="28">
        <v>0</v>
      </c>
      <c r="R245" s="6"/>
    </row>
    <row r="246" spans="1:18" ht="25.5" x14ac:dyDescent="0.25">
      <c r="A246" s="224">
        <f t="shared" si="9"/>
        <v>117</v>
      </c>
      <c r="B246" s="1" t="s">
        <v>55</v>
      </c>
      <c r="C246" s="27" t="s">
        <v>62</v>
      </c>
      <c r="D246" s="1"/>
      <c r="E246" s="1" t="s">
        <v>80</v>
      </c>
      <c r="F246" s="1" t="s">
        <v>295</v>
      </c>
      <c r="G246" s="27" t="s">
        <v>85</v>
      </c>
      <c r="H246" s="27">
        <v>3</v>
      </c>
      <c r="I246" s="27">
        <v>1</v>
      </c>
      <c r="J246" s="27">
        <v>1</v>
      </c>
      <c r="K246" s="28">
        <v>528.6</v>
      </c>
      <c r="L246" s="28">
        <v>528.6</v>
      </c>
      <c r="M246" s="28">
        <v>0</v>
      </c>
      <c r="N246" s="27">
        <v>2</v>
      </c>
      <c r="O246" s="28">
        <v>555.72</v>
      </c>
      <c r="P246" s="28">
        <v>555.72</v>
      </c>
      <c r="Q246" s="28">
        <v>0</v>
      </c>
      <c r="R246" s="6"/>
    </row>
    <row r="247" spans="1:18" x14ac:dyDescent="0.25">
      <c r="A247" s="224">
        <f t="shared" si="9"/>
        <v>118</v>
      </c>
      <c r="B247" s="1" t="s">
        <v>135</v>
      </c>
      <c r="C247" s="27" t="s">
        <v>62</v>
      </c>
      <c r="D247" s="1" t="s">
        <v>63</v>
      </c>
      <c r="E247" s="1" t="s">
        <v>63</v>
      </c>
      <c r="F247" s="1" t="s">
        <v>296</v>
      </c>
      <c r="G247" s="27" t="s">
        <v>85</v>
      </c>
      <c r="H247" s="27">
        <v>5</v>
      </c>
      <c r="I247" s="27">
        <v>0</v>
      </c>
      <c r="J247" s="27">
        <v>0</v>
      </c>
      <c r="K247" s="28">
        <v>0</v>
      </c>
      <c r="L247" s="28">
        <v>0</v>
      </c>
      <c r="M247" s="28">
        <v>0</v>
      </c>
      <c r="N247" s="27">
        <v>8</v>
      </c>
      <c r="O247" s="28">
        <v>13233.91</v>
      </c>
      <c r="P247" s="28">
        <v>13233.91</v>
      </c>
      <c r="Q247" s="28">
        <v>0</v>
      </c>
      <c r="R247" s="6"/>
    </row>
    <row r="248" spans="1:18" x14ac:dyDescent="0.25">
      <c r="A248" s="224">
        <f t="shared" si="9"/>
        <v>119</v>
      </c>
      <c r="B248" s="1" t="s">
        <v>128</v>
      </c>
      <c r="C248" s="27" t="s">
        <v>62</v>
      </c>
      <c r="D248" s="1" t="s">
        <v>63</v>
      </c>
      <c r="E248" s="1" t="s">
        <v>74</v>
      </c>
      <c r="F248" s="1" t="s">
        <v>297</v>
      </c>
      <c r="G248" s="27" t="s">
        <v>85</v>
      </c>
      <c r="H248" s="27">
        <v>2</v>
      </c>
      <c r="I248" s="27">
        <v>2</v>
      </c>
      <c r="J248" s="27">
        <v>2</v>
      </c>
      <c r="K248" s="28">
        <v>0</v>
      </c>
      <c r="L248" s="28">
        <v>0</v>
      </c>
      <c r="M248" s="28">
        <v>0</v>
      </c>
      <c r="N248" s="27">
        <v>1</v>
      </c>
      <c r="O248" s="28">
        <v>264.3</v>
      </c>
      <c r="P248" s="28">
        <v>264.3</v>
      </c>
      <c r="Q248" s="28">
        <v>0</v>
      </c>
      <c r="R248" s="6"/>
    </row>
    <row r="249" spans="1:18" ht="25.5" x14ac:dyDescent="0.25">
      <c r="A249" s="224">
        <f t="shared" si="9"/>
        <v>120</v>
      </c>
      <c r="B249" s="1" t="s">
        <v>508</v>
      </c>
      <c r="C249" s="27" t="s">
        <v>64</v>
      </c>
      <c r="D249" s="1" t="s">
        <v>551</v>
      </c>
      <c r="E249" s="1" t="s">
        <v>282</v>
      </c>
      <c r="F249" s="1" t="s">
        <v>552</v>
      </c>
      <c r="G249" s="27" t="s">
        <v>85</v>
      </c>
      <c r="H249" s="27">
        <v>8</v>
      </c>
      <c r="I249" s="27">
        <v>0</v>
      </c>
      <c r="J249" s="27">
        <v>0</v>
      </c>
      <c r="K249" s="28">
        <v>0</v>
      </c>
      <c r="L249" s="28">
        <v>0</v>
      </c>
      <c r="M249" s="28">
        <v>0</v>
      </c>
      <c r="N249" s="27">
        <v>0</v>
      </c>
      <c r="O249" s="28">
        <v>0</v>
      </c>
      <c r="P249" s="28">
        <v>0</v>
      </c>
      <c r="Q249" s="28">
        <v>0</v>
      </c>
      <c r="R249" s="6"/>
    </row>
    <row r="250" spans="1:18" ht="25.5" x14ac:dyDescent="0.25">
      <c r="A250" s="224">
        <f t="shared" si="9"/>
        <v>121</v>
      </c>
      <c r="B250" s="1" t="s">
        <v>497</v>
      </c>
      <c r="C250" s="27" t="s">
        <v>62</v>
      </c>
      <c r="D250" s="1"/>
      <c r="E250" s="1" t="s">
        <v>313</v>
      </c>
      <c r="F250" s="1" t="s">
        <v>498</v>
      </c>
      <c r="G250" s="27" t="s">
        <v>85</v>
      </c>
      <c r="H250" s="27">
        <v>30</v>
      </c>
      <c r="I250" s="27">
        <v>9</v>
      </c>
      <c r="J250" s="27">
        <v>9</v>
      </c>
      <c r="K250" s="28">
        <v>5588.36</v>
      </c>
      <c r="L250" s="28">
        <v>0</v>
      </c>
      <c r="M250" s="28">
        <v>5588.36</v>
      </c>
      <c r="N250" s="27">
        <v>0</v>
      </c>
      <c r="O250" s="28">
        <v>0</v>
      </c>
      <c r="P250" s="28">
        <v>0</v>
      </c>
      <c r="Q250" s="28">
        <v>0</v>
      </c>
      <c r="R250" s="6"/>
    </row>
    <row r="251" spans="1:18" x14ac:dyDescent="0.25">
      <c r="A251" s="224">
        <f t="shared" si="9"/>
        <v>122</v>
      </c>
      <c r="B251" s="1" t="s">
        <v>56</v>
      </c>
      <c r="C251" s="27" t="s">
        <v>62</v>
      </c>
      <c r="D251" s="1" t="s">
        <v>63</v>
      </c>
      <c r="E251" s="1" t="s">
        <v>83</v>
      </c>
      <c r="F251" s="1" t="s">
        <v>298</v>
      </c>
      <c r="G251" s="27" t="s">
        <v>85</v>
      </c>
      <c r="H251" s="27">
        <v>50</v>
      </c>
      <c r="I251" s="27">
        <v>40</v>
      </c>
      <c r="J251" s="27">
        <v>54</v>
      </c>
      <c r="K251" s="28">
        <v>50469.58</v>
      </c>
      <c r="L251" s="28">
        <v>50469.58</v>
      </c>
      <c r="M251" s="28">
        <v>0</v>
      </c>
      <c r="N251" s="27">
        <v>29</v>
      </c>
      <c r="O251" s="28">
        <v>81103.64</v>
      </c>
      <c r="P251" s="28">
        <v>81103.64</v>
      </c>
      <c r="Q251" s="28">
        <v>0</v>
      </c>
      <c r="R251" s="6"/>
    </row>
    <row r="252" spans="1:18" ht="25.5" x14ac:dyDescent="0.25">
      <c r="A252" s="224">
        <f t="shared" si="9"/>
        <v>123</v>
      </c>
      <c r="B252" s="1" t="s">
        <v>299</v>
      </c>
      <c r="C252" s="27" t="s">
        <v>62</v>
      </c>
      <c r="D252" s="1"/>
      <c r="E252" s="1" t="s">
        <v>174</v>
      </c>
      <c r="F252" s="1" t="s">
        <v>300</v>
      </c>
      <c r="G252" s="27" t="s">
        <v>85</v>
      </c>
      <c r="H252" s="27">
        <v>18</v>
      </c>
      <c r="I252" s="27">
        <v>8</v>
      </c>
      <c r="J252" s="27">
        <v>8</v>
      </c>
      <c r="K252" s="28">
        <v>2924.92</v>
      </c>
      <c r="L252" s="28">
        <v>2924.92</v>
      </c>
      <c r="M252" s="28">
        <v>0</v>
      </c>
      <c r="N252" s="27">
        <v>0</v>
      </c>
      <c r="O252" s="28">
        <v>0</v>
      </c>
      <c r="P252" s="28">
        <v>0</v>
      </c>
      <c r="Q252" s="28">
        <v>0</v>
      </c>
      <c r="R252" s="6"/>
    </row>
    <row r="253" spans="1:18" x14ac:dyDescent="0.25">
      <c r="A253" s="224">
        <f t="shared" si="9"/>
        <v>124</v>
      </c>
      <c r="B253" s="1" t="s">
        <v>156</v>
      </c>
      <c r="C253" s="27" t="s">
        <v>67</v>
      </c>
      <c r="D253" s="1" t="s">
        <v>499</v>
      </c>
      <c r="E253" s="1" t="s">
        <v>74</v>
      </c>
      <c r="F253" s="1" t="s">
        <v>301</v>
      </c>
      <c r="G253" s="27" t="s">
        <v>85</v>
      </c>
      <c r="H253" s="27">
        <v>29</v>
      </c>
      <c r="I253" s="27">
        <v>19</v>
      </c>
      <c r="J253" s="27">
        <v>22</v>
      </c>
      <c r="K253" s="28">
        <v>17669.95</v>
      </c>
      <c r="L253" s="28">
        <v>17669.95</v>
      </c>
      <c r="M253" s="28">
        <v>0</v>
      </c>
      <c r="N253" s="27">
        <v>33</v>
      </c>
      <c r="O253" s="28">
        <v>48427.18</v>
      </c>
      <c r="P253" s="28">
        <v>48427.18</v>
      </c>
      <c r="Q253" s="28">
        <v>0</v>
      </c>
      <c r="R253" s="6"/>
    </row>
    <row r="254" spans="1:18" x14ac:dyDescent="0.25">
      <c r="A254" s="224">
        <f t="shared" si="9"/>
        <v>125</v>
      </c>
      <c r="B254" s="1" t="s">
        <v>302</v>
      </c>
      <c r="C254" s="27" t="s">
        <v>62</v>
      </c>
      <c r="D254" s="1"/>
      <c r="E254" s="1" t="s">
        <v>158</v>
      </c>
      <c r="F254" s="1" t="s">
        <v>303</v>
      </c>
      <c r="G254" s="27" t="s">
        <v>85</v>
      </c>
      <c r="H254" s="27">
        <v>7</v>
      </c>
      <c r="I254" s="27">
        <v>6</v>
      </c>
      <c r="J254" s="27">
        <v>6</v>
      </c>
      <c r="K254" s="28">
        <v>4060.97</v>
      </c>
      <c r="L254" s="28">
        <v>3188.78</v>
      </c>
      <c r="M254" s="28">
        <v>872.19</v>
      </c>
      <c r="N254" s="27">
        <v>0</v>
      </c>
      <c r="O254" s="28">
        <v>0</v>
      </c>
      <c r="P254" s="28">
        <v>0</v>
      </c>
      <c r="Q254" s="28">
        <v>0</v>
      </c>
      <c r="R254" s="6"/>
    </row>
    <row r="255" spans="1:18" x14ac:dyDescent="0.25">
      <c r="A255" s="224">
        <f t="shared" si="9"/>
        <v>126</v>
      </c>
      <c r="B255" s="1" t="s">
        <v>140</v>
      </c>
      <c r="C255" s="27" t="s">
        <v>62</v>
      </c>
      <c r="D255" s="1" t="s">
        <v>63</v>
      </c>
      <c r="E255" s="1" t="s">
        <v>74</v>
      </c>
      <c r="F255" s="1" t="s">
        <v>304</v>
      </c>
      <c r="G255" s="27" t="s">
        <v>85</v>
      </c>
      <c r="H255" s="27">
        <v>43</v>
      </c>
      <c r="I255" s="27">
        <v>31</v>
      </c>
      <c r="J255" s="27">
        <v>34</v>
      </c>
      <c r="K255" s="28">
        <v>30811.9</v>
      </c>
      <c r="L255" s="28">
        <v>30811.9</v>
      </c>
      <c r="M255" s="28">
        <v>0</v>
      </c>
      <c r="N255" s="27">
        <v>18</v>
      </c>
      <c r="O255" s="28">
        <v>27386.41</v>
      </c>
      <c r="P255" s="28">
        <v>27386.41</v>
      </c>
      <c r="Q255" s="28">
        <v>0</v>
      </c>
      <c r="R255" s="6"/>
    </row>
    <row r="256" spans="1:18" ht="25.5" x14ac:dyDescent="0.25">
      <c r="A256" s="224">
        <f t="shared" si="9"/>
        <v>127</v>
      </c>
      <c r="B256" s="1" t="s">
        <v>305</v>
      </c>
      <c r="C256" s="27" t="s">
        <v>62</v>
      </c>
      <c r="D256" s="1"/>
      <c r="E256" s="1" t="s">
        <v>186</v>
      </c>
      <c r="F256" s="1" t="s">
        <v>513</v>
      </c>
      <c r="G256" s="27" t="s">
        <v>85</v>
      </c>
      <c r="H256" s="27">
        <v>9</v>
      </c>
      <c r="I256" s="27">
        <v>7</v>
      </c>
      <c r="J256" s="27">
        <v>8</v>
      </c>
      <c r="K256" s="28">
        <v>0</v>
      </c>
      <c r="L256" s="28">
        <v>0</v>
      </c>
      <c r="M256" s="28">
        <v>0</v>
      </c>
      <c r="N256" s="27">
        <v>0</v>
      </c>
      <c r="O256" s="28">
        <v>0</v>
      </c>
      <c r="P256" s="28">
        <v>0</v>
      </c>
      <c r="Q256" s="28">
        <v>0</v>
      </c>
      <c r="R256" s="6"/>
    </row>
    <row r="257" spans="1:18" x14ac:dyDescent="0.25">
      <c r="A257" s="224">
        <f t="shared" si="9"/>
        <v>128</v>
      </c>
      <c r="B257" s="1" t="s">
        <v>471</v>
      </c>
      <c r="C257" s="27" t="s">
        <v>64</v>
      </c>
      <c r="D257" s="1" t="s">
        <v>65</v>
      </c>
      <c r="E257" s="1" t="s">
        <v>74</v>
      </c>
      <c r="F257" s="1" t="s">
        <v>472</v>
      </c>
      <c r="G257" s="27" t="s">
        <v>85</v>
      </c>
      <c r="H257" s="27">
        <v>0</v>
      </c>
      <c r="I257" s="27">
        <v>0</v>
      </c>
      <c r="J257" s="27">
        <v>0</v>
      </c>
      <c r="K257" s="28">
        <v>0</v>
      </c>
      <c r="L257" s="28">
        <v>0</v>
      </c>
      <c r="M257" s="28">
        <v>0</v>
      </c>
      <c r="N257" s="27">
        <v>1</v>
      </c>
      <c r="O257" s="28">
        <v>0</v>
      </c>
      <c r="P257" s="28">
        <v>0</v>
      </c>
      <c r="Q257" s="28">
        <v>0</v>
      </c>
      <c r="R257" s="6"/>
    </row>
    <row r="258" spans="1:18" ht="38.25" x14ac:dyDescent="0.25">
      <c r="A258" s="224">
        <f t="shared" si="9"/>
        <v>129</v>
      </c>
      <c r="B258" s="1" t="s">
        <v>57</v>
      </c>
      <c r="C258" s="27" t="s">
        <v>62</v>
      </c>
      <c r="D258" s="1" t="s">
        <v>63</v>
      </c>
      <c r="E258" s="1" t="s">
        <v>244</v>
      </c>
      <c r="F258" s="1" t="s">
        <v>306</v>
      </c>
      <c r="G258" s="27" t="s">
        <v>85</v>
      </c>
      <c r="H258" s="27">
        <v>14</v>
      </c>
      <c r="I258" s="27">
        <v>8</v>
      </c>
      <c r="J258" s="27">
        <v>9</v>
      </c>
      <c r="K258" s="28">
        <v>10382.219999999999</v>
      </c>
      <c r="L258" s="28">
        <v>10382.219999999999</v>
      </c>
      <c r="M258" s="28">
        <v>0</v>
      </c>
      <c r="N258" s="27">
        <v>14</v>
      </c>
      <c r="O258" s="28">
        <v>36203.47</v>
      </c>
      <c r="P258" s="28">
        <v>36203.47</v>
      </c>
      <c r="Q258" s="28">
        <v>0</v>
      </c>
      <c r="R258" s="6"/>
    </row>
    <row r="259" spans="1:18" x14ac:dyDescent="0.25">
      <c r="A259" s="224">
        <f t="shared" si="9"/>
        <v>130</v>
      </c>
      <c r="B259" s="1" t="s">
        <v>473</v>
      </c>
      <c r="C259" s="27" t="s">
        <v>62</v>
      </c>
      <c r="D259" s="1"/>
      <c r="E259" s="1" t="s">
        <v>63</v>
      </c>
      <c r="F259" s="1" t="s">
        <v>500</v>
      </c>
      <c r="G259" s="27" t="s">
        <v>85</v>
      </c>
      <c r="H259" s="27">
        <v>10</v>
      </c>
      <c r="I259" s="27">
        <v>2</v>
      </c>
      <c r="J259" s="27">
        <v>3</v>
      </c>
      <c r="K259" s="28">
        <v>0</v>
      </c>
      <c r="L259" s="28">
        <v>0</v>
      </c>
      <c r="M259" s="28">
        <v>0</v>
      </c>
      <c r="N259" s="27">
        <v>3</v>
      </c>
      <c r="O259" s="28">
        <v>17280.25</v>
      </c>
      <c r="P259" s="28">
        <v>17280.25</v>
      </c>
      <c r="Q259" s="28">
        <v>0</v>
      </c>
      <c r="R259" s="6"/>
    </row>
    <row r="260" spans="1:18" x14ac:dyDescent="0.25">
      <c r="A260" s="224">
        <f t="shared" ref="A260:A272" si="10">A259+1</f>
        <v>131</v>
      </c>
      <c r="B260" s="1" t="s">
        <v>129</v>
      </c>
      <c r="C260" s="27" t="s">
        <v>62</v>
      </c>
      <c r="D260" s="1" t="s">
        <v>63</v>
      </c>
      <c r="E260" s="1" t="s">
        <v>74</v>
      </c>
      <c r="F260" s="1" t="s">
        <v>307</v>
      </c>
      <c r="G260" s="27" t="s">
        <v>85</v>
      </c>
      <c r="H260" s="27">
        <v>0</v>
      </c>
      <c r="I260" s="27">
        <v>0</v>
      </c>
      <c r="J260" s="27">
        <v>0</v>
      </c>
      <c r="K260" s="28">
        <v>0</v>
      </c>
      <c r="L260" s="28">
        <v>0</v>
      </c>
      <c r="M260" s="28">
        <v>0</v>
      </c>
      <c r="N260" s="27">
        <v>2</v>
      </c>
      <c r="O260" s="28">
        <f>1066.63+3319.93</f>
        <v>4386.5599999999995</v>
      </c>
      <c r="P260" s="28">
        <f>1066.63+3319.93</f>
        <v>4386.5599999999995</v>
      </c>
      <c r="Q260" s="28">
        <v>0</v>
      </c>
      <c r="R260" s="6"/>
    </row>
    <row r="261" spans="1:18" ht="25.5" x14ac:dyDescent="0.25">
      <c r="A261" s="224">
        <f t="shared" si="10"/>
        <v>132</v>
      </c>
      <c r="B261" s="1" t="s">
        <v>58</v>
      </c>
      <c r="C261" s="27" t="s">
        <v>62</v>
      </c>
      <c r="D261" s="1" t="s">
        <v>63</v>
      </c>
      <c r="E261" s="1" t="s">
        <v>84</v>
      </c>
      <c r="F261" s="1" t="s">
        <v>308</v>
      </c>
      <c r="G261" s="27" t="s">
        <v>85</v>
      </c>
      <c r="H261" s="27">
        <v>123</v>
      </c>
      <c r="I261" s="27">
        <v>109</v>
      </c>
      <c r="J261" s="27">
        <v>124</v>
      </c>
      <c r="K261" s="28">
        <v>111969.59</v>
      </c>
      <c r="L261" s="28">
        <f>75652.51-2475.07</f>
        <v>73177.439999999988</v>
      </c>
      <c r="M261" s="28">
        <f>36317.08+2475.07</f>
        <v>38792.15</v>
      </c>
      <c r="N261" s="27">
        <v>55</v>
      </c>
      <c r="O261" s="28">
        <v>155989.18</v>
      </c>
      <c r="P261" s="28">
        <v>128223.2</v>
      </c>
      <c r="Q261" s="28">
        <v>27765.98</v>
      </c>
      <c r="R261" s="6"/>
    </row>
    <row r="262" spans="1:18" ht="25.5" x14ac:dyDescent="0.25">
      <c r="A262" s="224">
        <f t="shared" si="10"/>
        <v>133</v>
      </c>
      <c r="B262" s="1" t="s">
        <v>59</v>
      </c>
      <c r="C262" s="27" t="s">
        <v>64</v>
      </c>
      <c r="D262" s="1" t="s">
        <v>66</v>
      </c>
      <c r="E262" s="1" t="s">
        <v>80</v>
      </c>
      <c r="F262" s="1" t="s">
        <v>309</v>
      </c>
      <c r="G262" s="27" t="s">
        <v>85</v>
      </c>
      <c r="H262" s="27">
        <v>31</v>
      </c>
      <c r="I262" s="27">
        <v>25</v>
      </c>
      <c r="J262" s="27">
        <v>31</v>
      </c>
      <c r="K262" s="28">
        <v>26899.22</v>
      </c>
      <c r="L262" s="28">
        <v>26317.759999999998</v>
      </c>
      <c r="M262" s="28">
        <v>581.46</v>
      </c>
      <c r="N262" s="27">
        <v>24</v>
      </c>
      <c r="O262" s="28">
        <v>60246.84</v>
      </c>
      <c r="P262" s="28">
        <v>60246.84</v>
      </c>
      <c r="Q262" s="28">
        <v>0</v>
      </c>
      <c r="R262" s="6"/>
    </row>
    <row r="263" spans="1:18" x14ac:dyDescent="0.25">
      <c r="A263" s="224">
        <f t="shared" si="10"/>
        <v>134</v>
      </c>
      <c r="B263" s="1" t="s">
        <v>130</v>
      </c>
      <c r="C263" s="27" t="s">
        <v>62</v>
      </c>
      <c r="D263" s="1" t="s">
        <v>63</v>
      </c>
      <c r="E263" s="1" t="s">
        <v>74</v>
      </c>
      <c r="F263" s="1" t="s">
        <v>553</v>
      </c>
      <c r="G263" s="27" t="s">
        <v>85</v>
      </c>
      <c r="H263" s="27">
        <v>2</v>
      </c>
      <c r="I263" s="27">
        <v>1</v>
      </c>
      <c r="J263" s="27">
        <v>1</v>
      </c>
      <c r="K263" s="28">
        <v>0</v>
      </c>
      <c r="L263" s="28">
        <v>0</v>
      </c>
      <c r="M263" s="28">
        <v>0</v>
      </c>
      <c r="N263" s="27">
        <v>2</v>
      </c>
      <c r="O263" s="28">
        <v>0</v>
      </c>
      <c r="P263" s="28">
        <v>0</v>
      </c>
      <c r="Q263" s="28">
        <v>0</v>
      </c>
      <c r="R263" s="6"/>
    </row>
    <row r="264" spans="1:18" x14ac:dyDescent="0.25">
      <c r="A264" s="224">
        <f t="shared" si="10"/>
        <v>135</v>
      </c>
      <c r="B264" s="1" t="s">
        <v>97</v>
      </c>
      <c r="C264" s="27" t="s">
        <v>62</v>
      </c>
      <c r="D264" s="1" t="s">
        <v>63</v>
      </c>
      <c r="E264" s="1" t="s">
        <v>74</v>
      </c>
      <c r="F264" s="1" t="s">
        <v>310</v>
      </c>
      <c r="G264" s="27" t="s">
        <v>85</v>
      </c>
      <c r="H264" s="27">
        <v>6</v>
      </c>
      <c r="I264" s="27">
        <v>2</v>
      </c>
      <c r="J264" s="27">
        <v>2</v>
      </c>
      <c r="K264" s="28">
        <v>687.18</v>
      </c>
      <c r="L264" s="28">
        <v>687.18</v>
      </c>
      <c r="M264" s="28">
        <v>0</v>
      </c>
      <c r="N264" s="27">
        <v>1</v>
      </c>
      <c r="O264" s="28">
        <v>808.76</v>
      </c>
      <c r="P264" s="28">
        <v>808.76</v>
      </c>
      <c r="Q264" s="28">
        <v>0</v>
      </c>
      <c r="R264" s="6"/>
    </row>
    <row r="265" spans="1:18" ht="25.5" x14ac:dyDescent="0.25">
      <c r="A265" s="224">
        <f t="shared" si="10"/>
        <v>136</v>
      </c>
      <c r="B265" s="1" t="s">
        <v>514</v>
      </c>
      <c r="C265" s="27" t="s">
        <v>62</v>
      </c>
      <c r="D265" s="1"/>
      <c r="E265" s="1" t="s">
        <v>223</v>
      </c>
      <c r="F265" s="1" t="s">
        <v>515</v>
      </c>
      <c r="G265" s="27" t="s">
        <v>85</v>
      </c>
      <c r="H265" s="27">
        <v>11</v>
      </c>
      <c r="I265" s="27">
        <v>0</v>
      </c>
      <c r="J265" s="27">
        <v>0</v>
      </c>
      <c r="K265" s="28">
        <v>0</v>
      </c>
      <c r="L265" s="28">
        <v>0</v>
      </c>
      <c r="M265" s="28">
        <v>0</v>
      </c>
      <c r="N265" s="27">
        <v>0</v>
      </c>
      <c r="O265" s="28">
        <v>0</v>
      </c>
      <c r="P265" s="28">
        <v>0</v>
      </c>
      <c r="Q265" s="28">
        <v>0</v>
      </c>
      <c r="R265" s="6"/>
    </row>
    <row r="266" spans="1:18" x14ac:dyDescent="0.25">
      <c r="A266" s="224">
        <f t="shared" si="10"/>
        <v>137</v>
      </c>
      <c r="B266" s="1" t="s">
        <v>132</v>
      </c>
      <c r="C266" s="27" t="s">
        <v>62</v>
      </c>
      <c r="D266" s="1" t="s">
        <v>63</v>
      </c>
      <c r="E266" s="1" t="s">
        <v>74</v>
      </c>
      <c r="F266" s="1" t="s">
        <v>311</v>
      </c>
      <c r="G266" s="27" t="s">
        <v>85</v>
      </c>
      <c r="H266" s="27">
        <v>15</v>
      </c>
      <c r="I266" s="27">
        <v>6</v>
      </c>
      <c r="J266" s="27">
        <v>7</v>
      </c>
      <c r="K266" s="28">
        <v>422.88</v>
      </c>
      <c r="L266" s="28">
        <v>422.88</v>
      </c>
      <c r="M266" s="28">
        <v>0</v>
      </c>
      <c r="N266" s="27">
        <v>6</v>
      </c>
      <c r="O266" s="28">
        <v>5554.71</v>
      </c>
      <c r="P266" s="28">
        <v>5554.71</v>
      </c>
      <c r="Q266" s="28">
        <v>0</v>
      </c>
      <c r="R266" s="6"/>
    </row>
    <row r="267" spans="1:18" ht="25.5" x14ac:dyDescent="0.25">
      <c r="A267" s="224">
        <f t="shared" si="10"/>
        <v>138</v>
      </c>
      <c r="B267" s="1" t="s">
        <v>312</v>
      </c>
      <c r="C267" s="27" t="s">
        <v>62</v>
      </c>
      <c r="D267" s="1"/>
      <c r="E267" s="1" t="s">
        <v>313</v>
      </c>
      <c r="F267" s="1" t="s">
        <v>314</v>
      </c>
      <c r="G267" s="27" t="s">
        <v>85</v>
      </c>
      <c r="H267" s="27">
        <v>25</v>
      </c>
      <c r="I267" s="27">
        <v>1</v>
      </c>
      <c r="J267" s="27">
        <v>1</v>
      </c>
      <c r="K267" s="28">
        <v>0</v>
      </c>
      <c r="L267" s="28">
        <v>0</v>
      </c>
      <c r="M267" s="28">
        <v>0</v>
      </c>
      <c r="N267" s="27">
        <v>0</v>
      </c>
      <c r="O267" s="28">
        <v>0</v>
      </c>
      <c r="P267" s="28">
        <v>0</v>
      </c>
      <c r="Q267" s="28">
        <v>0</v>
      </c>
      <c r="R267" s="6"/>
    </row>
    <row r="268" spans="1:18" x14ac:dyDescent="0.25">
      <c r="A268" s="224">
        <f t="shared" si="10"/>
        <v>139</v>
      </c>
      <c r="B268" s="1" t="s">
        <v>315</v>
      </c>
      <c r="C268" s="27" t="s">
        <v>62</v>
      </c>
      <c r="D268" s="1" t="s">
        <v>63</v>
      </c>
      <c r="E268" s="1" t="s">
        <v>74</v>
      </c>
      <c r="F268" s="1" t="s">
        <v>316</v>
      </c>
      <c r="G268" s="27" t="s">
        <v>85</v>
      </c>
      <c r="H268" s="27">
        <v>14</v>
      </c>
      <c r="I268" s="27">
        <v>5</v>
      </c>
      <c r="J268" s="27">
        <v>6</v>
      </c>
      <c r="K268" s="28">
        <v>7088.53</v>
      </c>
      <c r="L268" s="28">
        <v>7088.53</v>
      </c>
      <c r="M268" s="28">
        <v>0</v>
      </c>
      <c r="N268" s="27">
        <v>2</v>
      </c>
      <c r="O268" s="28">
        <v>2596.64</v>
      </c>
      <c r="P268" s="28">
        <v>2596.64</v>
      </c>
      <c r="Q268" s="28">
        <v>0</v>
      </c>
      <c r="R268" s="6"/>
    </row>
    <row r="269" spans="1:18" x14ac:dyDescent="0.25">
      <c r="A269" s="224">
        <f t="shared" si="10"/>
        <v>140</v>
      </c>
      <c r="B269" s="1" t="s">
        <v>317</v>
      </c>
      <c r="C269" s="27" t="s">
        <v>62</v>
      </c>
      <c r="D269" s="1"/>
      <c r="E269" s="1" t="s">
        <v>158</v>
      </c>
      <c r="F269" s="1" t="s">
        <v>474</v>
      </c>
      <c r="G269" s="27" t="s">
        <v>85</v>
      </c>
      <c r="H269" s="27">
        <v>6</v>
      </c>
      <c r="I269" s="27">
        <v>0</v>
      </c>
      <c r="J269" s="27">
        <v>0</v>
      </c>
      <c r="K269" s="28">
        <v>0</v>
      </c>
      <c r="L269" s="28">
        <v>0</v>
      </c>
      <c r="M269" s="28">
        <v>0</v>
      </c>
      <c r="N269" s="27">
        <v>0</v>
      </c>
      <c r="O269" s="28">
        <v>0</v>
      </c>
      <c r="P269" s="28">
        <v>0</v>
      </c>
      <c r="Q269" s="28">
        <v>0</v>
      </c>
      <c r="R269" s="6"/>
    </row>
    <row r="270" spans="1:18" ht="25.5" x14ac:dyDescent="0.25">
      <c r="A270" s="224">
        <f t="shared" si="10"/>
        <v>141</v>
      </c>
      <c r="B270" s="1" t="s">
        <v>318</v>
      </c>
      <c r="C270" s="27" t="s">
        <v>62</v>
      </c>
      <c r="D270" s="1"/>
      <c r="E270" s="1" t="s">
        <v>174</v>
      </c>
      <c r="F270" s="1" t="s">
        <v>319</v>
      </c>
      <c r="G270" s="27" t="s">
        <v>85</v>
      </c>
      <c r="H270" s="27">
        <v>17</v>
      </c>
      <c r="I270" s="27">
        <v>13</v>
      </c>
      <c r="J270" s="27">
        <v>15</v>
      </c>
      <c r="K270" s="28">
        <v>4160.83</v>
      </c>
      <c r="L270" s="28">
        <v>4160.83</v>
      </c>
      <c r="M270" s="28">
        <v>0</v>
      </c>
      <c r="N270" s="27">
        <v>0</v>
      </c>
      <c r="O270" s="28">
        <v>0</v>
      </c>
      <c r="P270" s="28">
        <v>0</v>
      </c>
      <c r="Q270" s="28">
        <v>0</v>
      </c>
      <c r="R270" s="6"/>
    </row>
    <row r="271" spans="1:18" x14ac:dyDescent="0.25">
      <c r="A271" s="224">
        <f t="shared" si="10"/>
        <v>142</v>
      </c>
      <c r="B271" s="1" t="s">
        <v>60</v>
      </c>
      <c r="C271" s="27" t="s">
        <v>67</v>
      </c>
      <c r="D271" s="1" t="s">
        <v>68</v>
      </c>
      <c r="E271" s="1" t="s">
        <v>74</v>
      </c>
      <c r="F271" s="1" t="s">
        <v>320</v>
      </c>
      <c r="G271" s="27" t="s">
        <v>85</v>
      </c>
      <c r="H271" s="27">
        <v>45</v>
      </c>
      <c r="I271" s="27">
        <v>38</v>
      </c>
      <c r="J271" s="27">
        <v>57</v>
      </c>
      <c r="K271" s="28">
        <v>90670.16</v>
      </c>
      <c r="L271" s="28">
        <v>74524.3</v>
      </c>
      <c r="M271" s="28">
        <v>16145.86</v>
      </c>
      <c r="N271" s="27">
        <v>35</v>
      </c>
      <c r="O271" s="28">
        <v>71818.070000000007</v>
      </c>
      <c r="P271" s="28">
        <v>53586.82</v>
      </c>
      <c r="Q271" s="28">
        <v>18231.25</v>
      </c>
      <c r="R271" s="6"/>
    </row>
    <row r="272" spans="1:18" x14ac:dyDescent="0.25">
      <c r="A272" s="224">
        <f t="shared" si="10"/>
        <v>143</v>
      </c>
      <c r="B272" s="1" t="s">
        <v>61</v>
      </c>
      <c r="C272" s="27" t="s">
        <v>67</v>
      </c>
      <c r="D272" s="1" t="s">
        <v>69</v>
      </c>
      <c r="E272" s="1" t="s">
        <v>74</v>
      </c>
      <c r="F272" s="1" t="s">
        <v>321</v>
      </c>
      <c r="G272" s="27" t="s">
        <v>85</v>
      </c>
      <c r="H272" s="27">
        <v>4</v>
      </c>
      <c r="I272" s="27">
        <v>3</v>
      </c>
      <c r="J272" s="27">
        <v>3</v>
      </c>
      <c r="K272" s="28">
        <v>9051.74</v>
      </c>
      <c r="L272" s="28">
        <v>0</v>
      </c>
      <c r="M272" s="28">
        <v>9051.74</v>
      </c>
      <c r="N272" s="27">
        <v>7</v>
      </c>
      <c r="O272" s="28">
        <v>7602.26</v>
      </c>
      <c r="P272" s="28">
        <v>6202.26</v>
      </c>
      <c r="Q272" s="28">
        <v>1400</v>
      </c>
      <c r="R272" s="6"/>
    </row>
  </sheetData>
  <autoFilter ref="A8:Q8"/>
  <mergeCells count="8">
    <mergeCell ref="B7:G7"/>
    <mergeCell ref="H7:M7"/>
    <mergeCell ref="N7:Q7"/>
    <mergeCell ref="O1:Q1"/>
    <mergeCell ref="A3:Q3"/>
    <mergeCell ref="A4:Q4"/>
    <mergeCell ref="A5:Q5"/>
    <mergeCell ref="A6:Q6"/>
  </mergeCells>
  <pageMargins left="0.31496062992125984" right="0.31496062992125984" top="0.55118110236220474" bottom="0.55118110236220474" header="0" footer="0"/>
  <pageSetup paperSize="9" scale="18" fitToWidth="2" orientation="landscape" horizontalDpi="300" verticalDpi="300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271"/>
  <sheetViews>
    <sheetView topLeftCell="C1" workbookViewId="0">
      <selection activeCell="C1" sqref="C1"/>
    </sheetView>
  </sheetViews>
  <sheetFormatPr defaultRowHeight="15" customHeight="1" x14ac:dyDescent="0.25"/>
  <cols>
    <col min="1" max="1" width="7.42578125" bestFit="1" customWidth="1"/>
    <col min="2" max="2" width="36.28515625" customWidth="1"/>
    <col min="3" max="3" width="11.28515625" customWidth="1"/>
    <col min="4" max="4" width="26.28515625" customWidth="1"/>
    <col min="5" max="5" width="15.7109375" customWidth="1"/>
    <col min="6" max="8" width="19.28515625" customWidth="1"/>
    <col min="9" max="9" width="11.85546875" customWidth="1"/>
    <col min="10" max="10" width="13.140625" customWidth="1"/>
    <col min="11" max="11" width="14.5703125" customWidth="1"/>
    <col min="12" max="12" width="13.42578125" customWidth="1"/>
    <col min="13" max="13" width="13.5703125" customWidth="1"/>
    <col min="14" max="14" width="13.28515625" customWidth="1"/>
    <col min="15" max="15" width="14.42578125" customWidth="1"/>
    <col min="16" max="17" width="13.42578125" customWidth="1"/>
  </cols>
  <sheetData>
    <row r="1" spans="1:18" x14ac:dyDescent="0.25">
      <c r="A1" s="127"/>
      <c r="B1" s="127"/>
      <c r="C1" s="127"/>
      <c r="D1" s="127"/>
      <c r="E1" s="127"/>
      <c r="F1" s="127"/>
      <c r="G1" s="127"/>
      <c r="H1" s="127"/>
      <c r="I1" s="127"/>
      <c r="J1" s="127"/>
      <c r="K1" s="7"/>
      <c r="L1" s="7"/>
      <c r="M1" s="7"/>
      <c r="N1" s="127"/>
      <c r="O1" s="620" t="s">
        <v>15</v>
      </c>
      <c r="P1" s="620"/>
      <c r="Q1" s="620"/>
      <c r="R1" s="6"/>
    </row>
    <row r="2" spans="1:18" x14ac:dyDescent="0.25">
      <c r="A2" s="127"/>
      <c r="B2" s="127"/>
      <c r="C2" s="127"/>
      <c r="D2" s="127"/>
      <c r="E2" s="127"/>
      <c r="F2" s="127"/>
      <c r="G2" s="127"/>
      <c r="H2" s="127"/>
      <c r="I2" s="127"/>
      <c r="J2" s="127"/>
      <c r="K2" s="7"/>
      <c r="L2" s="7"/>
      <c r="M2" s="7"/>
      <c r="N2" s="127"/>
      <c r="O2" s="7"/>
      <c r="P2" s="7"/>
      <c r="Q2" s="7"/>
      <c r="R2" s="6"/>
    </row>
    <row r="3" spans="1:18" x14ac:dyDescent="0.25">
      <c r="A3" s="621" t="s">
        <v>323</v>
      </c>
      <c r="B3" s="621"/>
      <c r="C3" s="621"/>
      <c r="D3" s="621"/>
      <c r="E3" s="621"/>
      <c r="F3" s="621"/>
      <c r="G3" s="621"/>
      <c r="H3" s="621"/>
      <c r="I3" s="621"/>
      <c r="J3" s="621"/>
      <c r="K3" s="621"/>
      <c r="L3" s="621"/>
      <c r="M3" s="621"/>
      <c r="N3" s="621"/>
      <c r="O3" s="621"/>
      <c r="P3" s="621"/>
      <c r="Q3" s="621"/>
      <c r="R3" s="6"/>
    </row>
    <row r="4" spans="1:18" ht="18.75" x14ac:dyDescent="0.25">
      <c r="A4" s="622" t="s">
        <v>16</v>
      </c>
      <c r="B4" s="622"/>
      <c r="C4" s="622"/>
      <c r="D4" s="622"/>
      <c r="E4" s="622"/>
      <c r="F4" s="622"/>
      <c r="G4" s="622"/>
      <c r="H4" s="622"/>
      <c r="I4" s="622"/>
      <c r="J4" s="622"/>
      <c r="K4" s="622"/>
      <c r="L4" s="622"/>
      <c r="M4" s="622"/>
      <c r="N4" s="622"/>
      <c r="O4" s="622"/>
      <c r="P4" s="622"/>
      <c r="Q4" s="622"/>
      <c r="R4" s="6"/>
    </row>
    <row r="5" spans="1:18" x14ac:dyDescent="0.25">
      <c r="A5" s="623" t="s">
        <v>14</v>
      </c>
      <c r="B5" s="623"/>
      <c r="C5" s="623"/>
      <c r="D5" s="623"/>
      <c r="E5" s="623"/>
      <c r="F5" s="623"/>
      <c r="G5" s="623"/>
      <c r="H5" s="623"/>
      <c r="I5" s="623"/>
      <c r="J5" s="623"/>
      <c r="K5" s="623"/>
      <c r="L5" s="623"/>
      <c r="M5" s="623"/>
      <c r="N5" s="623"/>
      <c r="O5" s="623"/>
      <c r="P5" s="623"/>
      <c r="Q5" s="623"/>
      <c r="R5" s="6"/>
    </row>
    <row r="6" spans="1:18" ht="21" x14ac:dyDescent="0.25">
      <c r="A6" s="624" t="s">
        <v>17</v>
      </c>
      <c r="B6" s="624"/>
      <c r="C6" s="624"/>
      <c r="D6" s="624"/>
      <c r="E6" s="624"/>
      <c r="F6" s="624"/>
      <c r="G6" s="624"/>
      <c r="H6" s="624"/>
      <c r="I6" s="624"/>
      <c r="J6" s="624"/>
      <c r="K6" s="624"/>
      <c r="L6" s="624"/>
      <c r="M6" s="624"/>
      <c r="N6" s="624"/>
      <c r="O6" s="624"/>
      <c r="P6" s="624"/>
      <c r="Q6" s="624"/>
      <c r="R6" s="6"/>
    </row>
    <row r="7" spans="1:18" x14ac:dyDescent="0.25">
      <c r="A7" s="9" t="s">
        <v>0</v>
      </c>
      <c r="B7" s="617" t="s">
        <v>10</v>
      </c>
      <c r="C7" s="618"/>
      <c r="D7" s="618"/>
      <c r="E7" s="618"/>
      <c r="F7" s="618"/>
      <c r="G7" s="619"/>
      <c r="H7" s="617" t="s">
        <v>322</v>
      </c>
      <c r="I7" s="618"/>
      <c r="J7" s="618"/>
      <c r="K7" s="618"/>
      <c r="L7" s="618"/>
      <c r="M7" s="618"/>
      <c r="N7" s="617" t="s">
        <v>324</v>
      </c>
      <c r="O7" s="618"/>
      <c r="P7" s="618"/>
      <c r="Q7" s="619"/>
      <c r="R7" s="6"/>
    </row>
    <row r="8" spans="1:18" ht="102" x14ac:dyDescent="0.25">
      <c r="A8" s="10"/>
      <c r="B8" s="11" t="s">
        <v>4</v>
      </c>
      <c r="C8" s="11" t="s">
        <v>1</v>
      </c>
      <c r="D8" s="11" t="s">
        <v>3</v>
      </c>
      <c r="E8" s="11" t="s">
        <v>2</v>
      </c>
      <c r="F8" s="11" t="s">
        <v>6</v>
      </c>
      <c r="G8" s="11" t="s">
        <v>5</v>
      </c>
      <c r="H8" s="12" t="s">
        <v>7</v>
      </c>
      <c r="I8" s="13" t="s">
        <v>8</v>
      </c>
      <c r="J8" s="13" t="s">
        <v>9</v>
      </c>
      <c r="K8" s="14" t="s">
        <v>11</v>
      </c>
      <c r="L8" s="14" t="s">
        <v>12</v>
      </c>
      <c r="M8" s="14" t="s">
        <v>13</v>
      </c>
      <c r="N8" s="13" t="s">
        <v>9</v>
      </c>
      <c r="O8" s="14" t="s">
        <v>11</v>
      </c>
      <c r="P8" s="14" t="s">
        <v>12</v>
      </c>
      <c r="Q8" s="15" t="s">
        <v>13</v>
      </c>
      <c r="R8" s="6"/>
    </row>
    <row r="9" spans="1:18" x14ac:dyDescent="0.25">
      <c r="A9" s="134">
        <v>1</v>
      </c>
      <c r="B9" s="135" t="s">
        <v>146</v>
      </c>
      <c r="C9" s="81" t="s">
        <v>62</v>
      </c>
      <c r="D9" s="81"/>
      <c r="E9" s="81" t="s">
        <v>74</v>
      </c>
      <c r="F9" s="136" t="s">
        <v>325</v>
      </c>
      <c r="G9" s="91" t="s">
        <v>326</v>
      </c>
      <c r="H9" s="91">
        <v>12</v>
      </c>
      <c r="I9" s="91">
        <v>3</v>
      </c>
      <c r="J9" s="91">
        <v>3</v>
      </c>
      <c r="K9" s="137">
        <f>2643+2466.8</f>
        <v>5109.8</v>
      </c>
      <c r="L9" s="137">
        <f>5109.8</f>
        <v>5109.8</v>
      </c>
      <c r="M9" s="137">
        <f t="shared" ref="M9:M33" si="0">K9-L9</f>
        <v>0</v>
      </c>
      <c r="N9" s="138">
        <v>6</v>
      </c>
      <c r="O9" s="137">
        <v>5374.1</v>
      </c>
      <c r="P9" s="87">
        <f>2378.7+2995.4</f>
        <v>5374.1</v>
      </c>
      <c r="Q9" s="87">
        <f t="shared" ref="Q9:Q21" si="1">O9-P9</f>
        <v>0</v>
      </c>
      <c r="R9" s="6"/>
    </row>
    <row r="10" spans="1:18" x14ac:dyDescent="0.25">
      <c r="A10" s="134">
        <v>2</v>
      </c>
      <c r="B10" s="135" t="s">
        <v>166</v>
      </c>
      <c r="C10" s="81" t="s">
        <v>62</v>
      </c>
      <c r="D10" s="81"/>
      <c r="E10" s="81" t="s">
        <v>158</v>
      </c>
      <c r="F10" s="136" t="s">
        <v>327</v>
      </c>
      <c r="G10" s="136" t="s">
        <v>326</v>
      </c>
      <c r="H10" s="91">
        <v>3</v>
      </c>
      <c r="I10" s="91">
        <v>1</v>
      </c>
      <c r="J10" s="91">
        <v>1</v>
      </c>
      <c r="K10" s="137">
        <v>1233.4000000000001</v>
      </c>
      <c r="L10" s="137">
        <f>73.95+1159.45</f>
        <v>1233.4000000000001</v>
      </c>
      <c r="M10" s="137">
        <f t="shared" si="0"/>
        <v>0</v>
      </c>
      <c r="N10" s="138">
        <v>0</v>
      </c>
      <c r="O10" s="137">
        <v>0</v>
      </c>
      <c r="P10" s="87">
        <v>0</v>
      </c>
      <c r="Q10" s="87">
        <f t="shared" si="1"/>
        <v>0</v>
      </c>
      <c r="R10" s="6"/>
    </row>
    <row r="11" spans="1:18" x14ac:dyDescent="0.25">
      <c r="A11" s="134">
        <v>3</v>
      </c>
      <c r="B11" s="135" t="s">
        <v>173</v>
      </c>
      <c r="C11" s="81" t="s">
        <v>67</v>
      </c>
      <c r="D11" s="81" t="s">
        <v>328</v>
      </c>
      <c r="E11" s="81" t="s">
        <v>158</v>
      </c>
      <c r="F11" s="136" t="s">
        <v>329</v>
      </c>
      <c r="G11" s="136" t="s">
        <v>326</v>
      </c>
      <c r="H11" s="91">
        <v>6</v>
      </c>
      <c r="I11" s="91">
        <v>1</v>
      </c>
      <c r="J11" s="91">
        <v>1</v>
      </c>
      <c r="K11" s="137">
        <f>704.8</f>
        <v>704.8</v>
      </c>
      <c r="L11" s="137">
        <f>704.8</f>
        <v>704.8</v>
      </c>
      <c r="M11" s="137">
        <f t="shared" si="0"/>
        <v>0</v>
      </c>
      <c r="N11" s="138">
        <v>0</v>
      </c>
      <c r="O11" s="137">
        <v>0</v>
      </c>
      <c r="P11" s="87">
        <v>0</v>
      </c>
      <c r="Q11" s="87">
        <f t="shared" si="1"/>
        <v>0</v>
      </c>
      <c r="R11" s="6"/>
    </row>
    <row r="12" spans="1:18" x14ac:dyDescent="0.25">
      <c r="A12" s="134">
        <v>4</v>
      </c>
      <c r="B12" s="135" t="s">
        <v>330</v>
      </c>
      <c r="C12" s="81" t="s">
        <v>62</v>
      </c>
      <c r="D12" s="81"/>
      <c r="E12" s="81" t="s">
        <v>158</v>
      </c>
      <c r="F12" s="136" t="s">
        <v>331</v>
      </c>
      <c r="G12" s="136" t="s">
        <v>326</v>
      </c>
      <c r="H12" s="91">
        <v>14</v>
      </c>
      <c r="I12" s="91">
        <v>9</v>
      </c>
      <c r="J12" s="91">
        <v>9</v>
      </c>
      <c r="K12" s="137">
        <f>704.8+11276.8</f>
        <v>11981.599999999999</v>
      </c>
      <c r="L12" s="137">
        <f>704.8+11276.8</f>
        <v>11981.599999999999</v>
      </c>
      <c r="M12" s="137">
        <f t="shared" si="0"/>
        <v>0</v>
      </c>
      <c r="N12" s="138">
        <v>0</v>
      </c>
      <c r="O12" s="137">
        <v>0</v>
      </c>
      <c r="P12" s="87">
        <v>0</v>
      </c>
      <c r="Q12" s="87">
        <f t="shared" si="1"/>
        <v>0</v>
      </c>
      <c r="R12" s="6"/>
    </row>
    <row r="13" spans="1:18" x14ac:dyDescent="0.25">
      <c r="A13" s="134">
        <v>5</v>
      </c>
      <c r="B13" s="135" t="s">
        <v>147</v>
      </c>
      <c r="C13" s="81" t="s">
        <v>62</v>
      </c>
      <c r="D13" s="139"/>
      <c r="E13" s="81" t="s">
        <v>74</v>
      </c>
      <c r="F13" s="136" t="s">
        <v>332</v>
      </c>
      <c r="G13" s="136" t="s">
        <v>326</v>
      </c>
      <c r="H13" s="140">
        <v>12</v>
      </c>
      <c r="I13" s="140">
        <v>4</v>
      </c>
      <c r="J13" s="140">
        <v>4</v>
      </c>
      <c r="K13" s="141">
        <f>1409.6+1762</f>
        <v>3171.6</v>
      </c>
      <c r="L13" s="137">
        <f>1409.6+1762</f>
        <v>3171.6</v>
      </c>
      <c r="M13" s="137">
        <f t="shared" si="0"/>
        <v>0</v>
      </c>
      <c r="N13" s="138">
        <v>3</v>
      </c>
      <c r="O13" s="142">
        <v>4757.3999999999996</v>
      </c>
      <c r="P13" s="143">
        <f>4052.6+704.8</f>
        <v>4757.3999999999996</v>
      </c>
      <c r="Q13" s="87">
        <f t="shared" si="1"/>
        <v>0</v>
      </c>
      <c r="R13" s="6"/>
    </row>
    <row r="14" spans="1:18" ht="45" x14ac:dyDescent="0.25">
      <c r="A14" s="134">
        <v>6</v>
      </c>
      <c r="B14" s="135" t="s">
        <v>554</v>
      </c>
      <c r="C14" s="81" t="s">
        <v>67</v>
      </c>
      <c r="D14" s="144" t="s">
        <v>555</v>
      </c>
      <c r="E14" s="81" t="s">
        <v>74</v>
      </c>
      <c r="F14" s="136" t="s">
        <v>556</v>
      </c>
      <c r="G14" s="136" t="s">
        <v>326</v>
      </c>
      <c r="H14" s="140">
        <v>0</v>
      </c>
      <c r="I14" s="140">
        <v>0</v>
      </c>
      <c r="J14" s="140">
        <v>0</v>
      </c>
      <c r="K14" s="141"/>
      <c r="L14" s="137"/>
      <c r="M14" s="137"/>
      <c r="N14" s="138">
        <v>0</v>
      </c>
      <c r="O14" s="142"/>
      <c r="P14" s="143"/>
      <c r="Q14" s="87"/>
      <c r="R14" s="6"/>
    </row>
    <row r="15" spans="1:18" x14ac:dyDescent="0.25">
      <c r="A15" s="134">
        <v>7</v>
      </c>
      <c r="B15" s="135" t="s">
        <v>88</v>
      </c>
      <c r="C15" s="81" t="s">
        <v>62</v>
      </c>
      <c r="D15" s="139"/>
      <c r="E15" s="81" t="s">
        <v>74</v>
      </c>
      <c r="F15" s="136" t="s">
        <v>333</v>
      </c>
      <c r="G15" s="136" t="s">
        <v>326</v>
      </c>
      <c r="H15" s="140">
        <v>2</v>
      </c>
      <c r="I15" s="140">
        <v>2</v>
      </c>
      <c r="J15" s="140">
        <v>2</v>
      </c>
      <c r="K15" s="141">
        <f>704.8+1585.8</f>
        <v>2290.6</v>
      </c>
      <c r="L15" s="137">
        <f>704.8+1585.8</f>
        <v>2290.6</v>
      </c>
      <c r="M15" s="137">
        <f t="shared" si="0"/>
        <v>0</v>
      </c>
      <c r="N15" s="138">
        <v>1</v>
      </c>
      <c r="O15" s="142">
        <v>1145.3</v>
      </c>
      <c r="P15" s="87">
        <v>1145.3</v>
      </c>
      <c r="Q15" s="87">
        <f t="shared" si="1"/>
        <v>0</v>
      </c>
      <c r="R15" s="6"/>
    </row>
    <row r="16" spans="1:18" x14ac:dyDescent="0.25">
      <c r="A16" s="134">
        <v>8</v>
      </c>
      <c r="B16" s="135" t="s">
        <v>182</v>
      </c>
      <c r="C16" s="81" t="s">
        <v>62</v>
      </c>
      <c r="D16" s="139"/>
      <c r="E16" s="81" t="s">
        <v>158</v>
      </c>
      <c r="F16" s="136" t="s">
        <v>334</v>
      </c>
      <c r="G16" s="136" t="s">
        <v>326</v>
      </c>
      <c r="H16" s="140">
        <v>5</v>
      </c>
      <c r="I16" s="140">
        <v>1</v>
      </c>
      <c r="J16" s="140">
        <v>1</v>
      </c>
      <c r="K16" s="141">
        <f>1233.4</f>
        <v>1233.4000000000001</v>
      </c>
      <c r="L16" s="137">
        <f>1233.4</f>
        <v>1233.4000000000001</v>
      </c>
      <c r="M16" s="137">
        <f t="shared" si="0"/>
        <v>0</v>
      </c>
      <c r="N16" s="138">
        <v>0</v>
      </c>
      <c r="O16" s="142"/>
      <c r="P16" s="87">
        <v>0</v>
      </c>
      <c r="Q16" s="87">
        <f t="shared" si="1"/>
        <v>0</v>
      </c>
      <c r="R16" s="6"/>
    </row>
    <row r="17" spans="1:18" x14ac:dyDescent="0.25">
      <c r="A17" s="134">
        <v>9</v>
      </c>
      <c r="B17" s="135" t="s">
        <v>335</v>
      </c>
      <c r="C17" s="81" t="s">
        <v>62</v>
      </c>
      <c r="D17" s="145"/>
      <c r="E17" s="81" t="s">
        <v>74</v>
      </c>
      <c r="F17" s="136" t="s">
        <v>336</v>
      </c>
      <c r="G17" s="136" t="s">
        <v>326</v>
      </c>
      <c r="H17" s="140">
        <v>14</v>
      </c>
      <c r="I17" s="140">
        <v>3</v>
      </c>
      <c r="J17" s="140">
        <v>3</v>
      </c>
      <c r="K17" s="141">
        <f>3700.2+704.8</f>
        <v>4405</v>
      </c>
      <c r="L17" s="137">
        <f>3700.2+704.8</f>
        <v>4405</v>
      </c>
      <c r="M17" s="137">
        <f t="shared" si="0"/>
        <v>0</v>
      </c>
      <c r="N17" s="138">
        <v>7</v>
      </c>
      <c r="O17" s="146">
        <f>3435.9+3171.6+132.15</f>
        <v>6739.65</v>
      </c>
      <c r="P17" s="87">
        <f>3435.9+3171.6+132.15</f>
        <v>6739.65</v>
      </c>
      <c r="Q17" s="87">
        <f t="shared" si="1"/>
        <v>0</v>
      </c>
      <c r="R17" s="6"/>
    </row>
    <row r="18" spans="1:18" x14ac:dyDescent="0.25">
      <c r="A18" s="134">
        <v>10</v>
      </c>
      <c r="B18" s="135" t="s">
        <v>27</v>
      </c>
      <c r="C18" s="81" t="s">
        <v>62</v>
      </c>
      <c r="D18" s="139"/>
      <c r="E18" s="81" t="s">
        <v>158</v>
      </c>
      <c r="F18" s="136" t="s">
        <v>337</v>
      </c>
      <c r="G18" s="136" t="s">
        <v>326</v>
      </c>
      <c r="H18" s="140">
        <v>13</v>
      </c>
      <c r="I18" s="140">
        <v>10</v>
      </c>
      <c r="J18" s="140">
        <v>10</v>
      </c>
      <c r="K18" s="141">
        <f>5638.4+2819.2</f>
        <v>8457.5999999999985</v>
      </c>
      <c r="L18" s="137">
        <f>1233.4+4405+2819.2</f>
        <v>8457.5999999999985</v>
      </c>
      <c r="M18" s="137">
        <f t="shared" si="0"/>
        <v>0</v>
      </c>
      <c r="N18" s="138">
        <v>0</v>
      </c>
      <c r="O18" s="142"/>
      <c r="P18" s="143">
        <v>0</v>
      </c>
      <c r="Q18" s="87">
        <f t="shared" si="1"/>
        <v>0</v>
      </c>
      <c r="R18" s="6"/>
    </row>
    <row r="19" spans="1:18" x14ac:dyDescent="0.25">
      <c r="A19" s="147">
        <v>11</v>
      </c>
      <c r="B19" s="135" t="s">
        <v>190</v>
      </c>
      <c r="C19" s="81" t="s">
        <v>62</v>
      </c>
      <c r="D19" s="139"/>
      <c r="E19" s="81" t="s">
        <v>338</v>
      </c>
      <c r="F19" s="136" t="s">
        <v>339</v>
      </c>
      <c r="G19" s="136" t="s">
        <v>326</v>
      </c>
      <c r="H19" s="140">
        <v>11</v>
      </c>
      <c r="I19" s="140">
        <v>5</v>
      </c>
      <c r="J19" s="140">
        <v>5</v>
      </c>
      <c r="K19" s="141">
        <f>1938.2+2819.2+2819.2</f>
        <v>7576.5999999999995</v>
      </c>
      <c r="L19" s="137">
        <f>704.8+704.8+528.6+2819.2+2819.2</f>
        <v>7576.5999999999995</v>
      </c>
      <c r="M19" s="137">
        <f t="shared" si="0"/>
        <v>0</v>
      </c>
      <c r="N19" s="138">
        <v>0</v>
      </c>
      <c r="O19" s="142"/>
      <c r="P19" s="87">
        <v>0</v>
      </c>
      <c r="Q19" s="87">
        <f t="shared" si="1"/>
        <v>0</v>
      </c>
      <c r="R19" s="6"/>
    </row>
    <row r="20" spans="1:18" x14ac:dyDescent="0.25">
      <c r="A20" s="147">
        <v>12</v>
      </c>
      <c r="B20" s="135" t="s">
        <v>89</v>
      </c>
      <c r="C20" s="81" t="s">
        <v>62</v>
      </c>
      <c r="D20" s="139"/>
      <c r="E20" s="81" t="s">
        <v>74</v>
      </c>
      <c r="F20" s="136" t="s">
        <v>340</v>
      </c>
      <c r="G20" s="136" t="s">
        <v>326</v>
      </c>
      <c r="H20" s="140">
        <v>5</v>
      </c>
      <c r="I20" s="140">
        <v>4</v>
      </c>
      <c r="J20" s="140">
        <v>4</v>
      </c>
      <c r="K20" s="141">
        <f>1762+3876.4</f>
        <v>5638.4</v>
      </c>
      <c r="L20" s="137">
        <f>1762+3876.4</f>
        <v>5638.4</v>
      </c>
      <c r="M20" s="137">
        <f t="shared" si="0"/>
        <v>0</v>
      </c>
      <c r="N20" s="138">
        <v>3</v>
      </c>
      <c r="O20" s="142">
        <f>440.5+5990.8</f>
        <v>6431.3</v>
      </c>
      <c r="P20" s="87">
        <f>440.5+5990.8</f>
        <v>6431.3</v>
      </c>
      <c r="Q20" s="87">
        <f t="shared" si="1"/>
        <v>0</v>
      </c>
      <c r="R20" s="6"/>
    </row>
    <row r="21" spans="1:18" x14ac:dyDescent="0.25">
      <c r="A21" s="147">
        <v>13</v>
      </c>
      <c r="B21" s="135" t="s">
        <v>196</v>
      </c>
      <c r="C21" s="81" t="s">
        <v>62</v>
      </c>
      <c r="D21" s="139"/>
      <c r="E21" s="81" t="s">
        <v>341</v>
      </c>
      <c r="F21" s="136" t="s">
        <v>342</v>
      </c>
      <c r="G21" s="136" t="s">
        <v>326</v>
      </c>
      <c r="H21" s="140">
        <v>7</v>
      </c>
      <c r="I21" s="140">
        <v>5</v>
      </c>
      <c r="J21" s="140">
        <v>5</v>
      </c>
      <c r="K21" s="141">
        <v>4933.6000000000004</v>
      </c>
      <c r="L21" s="137">
        <f>4933.6</f>
        <v>4933.6000000000004</v>
      </c>
      <c r="M21" s="137">
        <f t="shared" si="0"/>
        <v>0</v>
      </c>
      <c r="N21" s="138">
        <v>0</v>
      </c>
      <c r="O21" s="142"/>
      <c r="P21" s="87">
        <v>0</v>
      </c>
      <c r="Q21" s="87">
        <f t="shared" si="1"/>
        <v>0</v>
      </c>
      <c r="R21" s="6"/>
    </row>
    <row r="22" spans="1:18" x14ac:dyDescent="0.25">
      <c r="A22" s="147">
        <v>14</v>
      </c>
      <c r="B22" s="135" t="s">
        <v>343</v>
      </c>
      <c r="C22" s="81" t="s">
        <v>62</v>
      </c>
      <c r="D22" s="139"/>
      <c r="E22" s="81" t="s">
        <v>74</v>
      </c>
      <c r="F22" s="136" t="s">
        <v>344</v>
      </c>
      <c r="G22" s="136" t="s">
        <v>326</v>
      </c>
      <c r="H22" s="140">
        <v>9</v>
      </c>
      <c r="I22" s="140">
        <v>2</v>
      </c>
      <c r="J22" s="140">
        <v>2</v>
      </c>
      <c r="K22" s="141">
        <f>2466.8</f>
        <v>2466.8000000000002</v>
      </c>
      <c r="L22" s="137"/>
      <c r="M22" s="137">
        <f t="shared" si="0"/>
        <v>2466.8000000000002</v>
      </c>
      <c r="N22" s="138">
        <v>0</v>
      </c>
      <c r="O22" s="142"/>
      <c r="P22" s="87"/>
      <c r="Q22" s="87"/>
      <c r="R22" s="6"/>
    </row>
    <row r="23" spans="1:18" x14ac:dyDescent="0.25">
      <c r="A23" s="147">
        <v>15</v>
      </c>
      <c r="B23" s="135" t="s">
        <v>154</v>
      </c>
      <c r="C23" s="81" t="s">
        <v>62</v>
      </c>
      <c r="D23" s="139"/>
      <c r="E23" s="81" t="s">
        <v>74</v>
      </c>
      <c r="F23" s="136" t="s">
        <v>345</v>
      </c>
      <c r="G23" s="136" t="s">
        <v>326</v>
      </c>
      <c r="H23" s="140">
        <v>4</v>
      </c>
      <c r="I23" s="140">
        <v>2</v>
      </c>
      <c r="J23" s="140">
        <v>2</v>
      </c>
      <c r="K23" s="141">
        <f>1497.7</f>
        <v>1497.7</v>
      </c>
      <c r="L23" s="137">
        <f>1497.7</f>
        <v>1497.7</v>
      </c>
      <c r="M23" s="137">
        <f t="shared" si="0"/>
        <v>0</v>
      </c>
      <c r="N23" s="138">
        <v>5</v>
      </c>
      <c r="O23" s="142">
        <f>4228.8+3700.2</f>
        <v>7929</v>
      </c>
      <c r="P23" s="143">
        <f>4228.8+3700.2</f>
        <v>7929</v>
      </c>
      <c r="Q23" s="87">
        <f t="shared" ref="Q23:Q33" si="2">O23-P23</f>
        <v>0</v>
      </c>
      <c r="R23" s="6"/>
    </row>
    <row r="24" spans="1:18" x14ac:dyDescent="0.25">
      <c r="A24" s="147">
        <v>16</v>
      </c>
      <c r="B24" s="135" t="s">
        <v>346</v>
      </c>
      <c r="C24" s="81" t="s">
        <v>62</v>
      </c>
      <c r="D24" s="139"/>
      <c r="E24" s="81" t="s">
        <v>158</v>
      </c>
      <c r="F24" s="136" t="s">
        <v>347</v>
      </c>
      <c r="G24" s="136" t="s">
        <v>326</v>
      </c>
      <c r="H24" s="140">
        <v>2</v>
      </c>
      <c r="I24" s="140">
        <v>0</v>
      </c>
      <c r="J24" s="140">
        <v>0</v>
      </c>
      <c r="K24" s="141"/>
      <c r="L24" s="137">
        <v>0</v>
      </c>
      <c r="M24" s="137">
        <f t="shared" si="0"/>
        <v>0</v>
      </c>
      <c r="N24" s="138">
        <v>0</v>
      </c>
      <c r="O24" s="142"/>
      <c r="P24" s="87">
        <v>0</v>
      </c>
      <c r="Q24" s="87">
        <f t="shared" si="2"/>
        <v>0</v>
      </c>
      <c r="R24" s="6"/>
    </row>
    <row r="25" spans="1:18" x14ac:dyDescent="0.25">
      <c r="A25" s="147">
        <v>17</v>
      </c>
      <c r="B25" s="135" t="s">
        <v>348</v>
      </c>
      <c r="C25" s="81" t="s">
        <v>62</v>
      </c>
      <c r="D25" s="139"/>
      <c r="E25" s="81" t="s">
        <v>158</v>
      </c>
      <c r="F25" s="136" t="s">
        <v>349</v>
      </c>
      <c r="G25" s="136" t="s">
        <v>326</v>
      </c>
      <c r="H25" s="140">
        <v>5</v>
      </c>
      <c r="I25" s="140">
        <v>0</v>
      </c>
      <c r="J25" s="140">
        <v>0</v>
      </c>
      <c r="K25" s="141"/>
      <c r="L25" s="137">
        <v>0</v>
      </c>
      <c r="M25" s="137">
        <f t="shared" si="0"/>
        <v>0</v>
      </c>
      <c r="N25" s="138">
        <v>0</v>
      </c>
      <c r="O25" s="142"/>
      <c r="P25" s="87">
        <v>0</v>
      </c>
      <c r="Q25" s="87">
        <f t="shared" si="2"/>
        <v>0</v>
      </c>
      <c r="R25" s="6"/>
    </row>
    <row r="26" spans="1:18" x14ac:dyDescent="0.25">
      <c r="A26" s="147">
        <v>18</v>
      </c>
      <c r="B26" s="135" t="s">
        <v>350</v>
      </c>
      <c r="C26" s="81" t="s">
        <v>62</v>
      </c>
      <c r="D26" s="139"/>
      <c r="E26" s="81" t="s">
        <v>74</v>
      </c>
      <c r="F26" s="136" t="s">
        <v>351</v>
      </c>
      <c r="G26" s="136" t="s">
        <v>326</v>
      </c>
      <c r="H26" s="140">
        <v>1</v>
      </c>
      <c r="I26" s="140">
        <v>0</v>
      </c>
      <c r="J26" s="140">
        <v>0</v>
      </c>
      <c r="K26" s="141"/>
      <c r="L26" s="137">
        <v>0</v>
      </c>
      <c r="M26" s="137">
        <f t="shared" si="0"/>
        <v>0</v>
      </c>
      <c r="N26" s="138">
        <v>4</v>
      </c>
      <c r="O26" s="142">
        <v>5065.75</v>
      </c>
      <c r="P26" s="87">
        <f>1894.15+3171.6</f>
        <v>5065.75</v>
      </c>
      <c r="Q26" s="87">
        <f t="shared" si="2"/>
        <v>0</v>
      </c>
      <c r="R26" s="6"/>
    </row>
    <row r="27" spans="1:18" ht="60" x14ac:dyDescent="0.25">
      <c r="A27" s="148">
        <v>19</v>
      </c>
      <c r="B27" s="135" t="s">
        <v>222</v>
      </c>
      <c r="C27" s="81" t="s">
        <v>64</v>
      </c>
      <c r="D27" s="149" t="s">
        <v>352</v>
      </c>
      <c r="E27" s="81" t="s">
        <v>158</v>
      </c>
      <c r="F27" s="136" t="s">
        <v>353</v>
      </c>
      <c r="G27" s="136" t="s">
        <v>326</v>
      </c>
      <c r="H27" s="140">
        <v>6</v>
      </c>
      <c r="I27" s="140">
        <v>2</v>
      </c>
      <c r="J27" s="140">
        <v>2</v>
      </c>
      <c r="K27" s="141">
        <f>1233.4+2290.6</f>
        <v>3524</v>
      </c>
      <c r="L27" s="137">
        <f>1233.4+2290.6</f>
        <v>3524</v>
      </c>
      <c r="M27" s="137">
        <f t="shared" si="0"/>
        <v>0</v>
      </c>
      <c r="N27" s="138">
        <v>0</v>
      </c>
      <c r="O27" s="142"/>
      <c r="P27" s="150">
        <v>0</v>
      </c>
      <c r="Q27" s="87">
        <f t="shared" si="2"/>
        <v>0</v>
      </c>
      <c r="R27" s="6"/>
    </row>
    <row r="28" spans="1:18" x14ac:dyDescent="0.25">
      <c r="A28" s="147">
        <v>20</v>
      </c>
      <c r="B28" s="135" t="s">
        <v>238</v>
      </c>
      <c r="C28" s="81" t="s">
        <v>62</v>
      </c>
      <c r="D28" s="139"/>
      <c r="E28" s="81" t="s">
        <v>158</v>
      </c>
      <c r="F28" s="136" t="s">
        <v>354</v>
      </c>
      <c r="G28" s="136" t="s">
        <v>326</v>
      </c>
      <c r="H28" s="140">
        <v>5</v>
      </c>
      <c r="I28" s="140">
        <v>2</v>
      </c>
      <c r="J28" s="140">
        <v>2</v>
      </c>
      <c r="K28" s="141">
        <f>2466.8</f>
        <v>2466.8000000000002</v>
      </c>
      <c r="L28" s="137">
        <f>1233.4+1233.4</f>
        <v>2466.8000000000002</v>
      </c>
      <c r="M28" s="137">
        <f t="shared" si="0"/>
        <v>0</v>
      </c>
      <c r="N28" s="138">
        <v>0</v>
      </c>
      <c r="O28" s="142"/>
      <c r="P28" s="87">
        <v>0</v>
      </c>
      <c r="Q28" s="87">
        <f t="shared" si="2"/>
        <v>0</v>
      </c>
      <c r="R28" s="6"/>
    </row>
    <row r="29" spans="1:18" x14ac:dyDescent="0.25">
      <c r="A29" s="147">
        <v>21</v>
      </c>
      <c r="B29" s="135" t="s">
        <v>355</v>
      </c>
      <c r="C29" s="81" t="s">
        <v>62</v>
      </c>
      <c r="D29" s="139"/>
      <c r="E29" s="81" t="s">
        <v>158</v>
      </c>
      <c r="F29" s="136" t="s">
        <v>356</v>
      </c>
      <c r="G29" s="136" t="s">
        <v>326</v>
      </c>
      <c r="H29" s="140">
        <v>7</v>
      </c>
      <c r="I29" s="140">
        <v>2</v>
      </c>
      <c r="J29" s="140">
        <v>2</v>
      </c>
      <c r="K29" s="141">
        <v>1762</v>
      </c>
      <c r="L29" s="137">
        <f>1233.4+528.6</f>
        <v>1762</v>
      </c>
      <c r="M29" s="137">
        <f t="shared" si="0"/>
        <v>0</v>
      </c>
      <c r="N29" s="138">
        <v>0</v>
      </c>
      <c r="O29" s="142"/>
      <c r="P29" s="87">
        <v>0</v>
      </c>
      <c r="Q29" s="87">
        <f t="shared" si="2"/>
        <v>0</v>
      </c>
      <c r="R29" s="6"/>
    </row>
    <row r="30" spans="1:18" ht="38.25" x14ac:dyDescent="0.25">
      <c r="A30" s="148">
        <v>22</v>
      </c>
      <c r="B30" s="135" t="s">
        <v>357</v>
      </c>
      <c r="C30" s="81" t="s">
        <v>64</v>
      </c>
      <c r="D30" s="134" t="s">
        <v>358</v>
      </c>
      <c r="E30" s="81" t="s">
        <v>158</v>
      </c>
      <c r="F30" s="81" t="s">
        <v>507</v>
      </c>
      <c r="G30" s="136" t="s">
        <v>326</v>
      </c>
      <c r="H30" s="140">
        <v>1</v>
      </c>
      <c r="I30" s="145">
        <v>0</v>
      </c>
      <c r="J30" s="145">
        <v>0</v>
      </c>
      <c r="K30" s="141"/>
      <c r="L30" s="137">
        <v>0</v>
      </c>
      <c r="M30" s="137">
        <f t="shared" si="0"/>
        <v>0</v>
      </c>
      <c r="N30" s="138">
        <v>0</v>
      </c>
      <c r="O30" s="142"/>
      <c r="P30" s="87">
        <v>0</v>
      </c>
      <c r="Q30" s="87">
        <f t="shared" si="2"/>
        <v>0</v>
      </c>
      <c r="R30" s="6"/>
    </row>
    <row r="31" spans="1:18" x14ac:dyDescent="0.25">
      <c r="A31" s="147">
        <v>23</v>
      </c>
      <c r="B31" s="135" t="s">
        <v>359</v>
      </c>
      <c r="C31" s="81" t="s">
        <v>62</v>
      </c>
      <c r="D31" s="134"/>
      <c r="E31" s="81" t="s">
        <v>158</v>
      </c>
      <c r="F31" s="81" t="s">
        <v>360</v>
      </c>
      <c r="G31" s="136" t="s">
        <v>326</v>
      </c>
      <c r="H31" s="140">
        <v>5</v>
      </c>
      <c r="I31" s="140">
        <v>4</v>
      </c>
      <c r="J31" s="140">
        <v>4</v>
      </c>
      <c r="K31" s="141">
        <f>1409.6+704.8+528.6</f>
        <v>2642.9999999999995</v>
      </c>
      <c r="L31" s="137">
        <f>704.8+704.8+704.8+9.97</f>
        <v>2124.3699999999994</v>
      </c>
      <c r="M31" s="137">
        <f t="shared" si="0"/>
        <v>518.63000000000011</v>
      </c>
      <c r="N31" s="138">
        <v>0</v>
      </c>
      <c r="O31" s="142"/>
      <c r="P31" s="143">
        <v>0</v>
      </c>
      <c r="Q31" s="87">
        <f t="shared" si="2"/>
        <v>0</v>
      </c>
      <c r="R31" s="6"/>
    </row>
    <row r="32" spans="1:18" x14ac:dyDescent="0.25">
      <c r="A32" s="147">
        <v>24</v>
      </c>
      <c r="B32" s="135" t="s">
        <v>118</v>
      </c>
      <c r="C32" s="81" t="s">
        <v>62</v>
      </c>
      <c r="D32" s="139"/>
      <c r="E32" s="81" t="s">
        <v>338</v>
      </c>
      <c r="F32" s="136" t="s">
        <v>361</v>
      </c>
      <c r="G32" s="136" t="s">
        <v>326</v>
      </c>
      <c r="H32" s="140">
        <v>1</v>
      </c>
      <c r="I32" s="140">
        <v>0</v>
      </c>
      <c r="J32" s="140">
        <v>0</v>
      </c>
      <c r="K32" s="141"/>
      <c r="L32" s="137">
        <v>0</v>
      </c>
      <c r="M32" s="137">
        <f t="shared" si="0"/>
        <v>0</v>
      </c>
      <c r="N32" s="138">
        <v>0</v>
      </c>
      <c r="O32" s="142"/>
      <c r="P32" s="87">
        <v>0</v>
      </c>
      <c r="Q32" s="87">
        <f t="shared" si="2"/>
        <v>0</v>
      </c>
      <c r="R32" s="6"/>
    </row>
    <row r="33" spans="1:18" x14ac:dyDescent="0.25">
      <c r="A33" s="147">
        <v>25</v>
      </c>
      <c r="B33" s="135" t="s">
        <v>246</v>
      </c>
      <c r="C33" s="81" t="s">
        <v>62</v>
      </c>
      <c r="D33" s="139"/>
      <c r="E33" s="81" t="s">
        <v>158</v>
      </c>
      <c r="F33" s="136" t="s">
        <v>362</v>
      </c>
      <c r="G33" s="136" t="s">
        <v>326</v>
      </c>
      <c r="H33" s="140">
        <v>4</v>
      </c>
      <c r="I33" s="140">
        <v>1</v>
      </c>
      <c r="J33" s="140">
        <v>1</v>
      </c>
      <c r="K33" s="141">
        <f>1233.4</f>
        <v>1233.4000000000001</v>
      </c>
      <c r="L33" s="137">
        <f>1233.4</f>
        <v>1233.4000000000001</v>
      </c>
      <c r="M33" s="137">
        <f t="shared" si="0"/>
        <v>0</v>
      </c>
      <c r="N33" s="138">
        <v>0</v>
      </c>
      <c r="O33" s="142"/>
      <c r="P33" s="87">
        <v>0</v>
      </c>
      <c r="Q33" s="87">
        <f t="shared" si="2"/>
        <v>0</v>
      </c>
      <c r="R33" s="6"/>
    </row>
    <row r="34" spans="1:18" x14ac:dyDescent="0.25">
      <c r="A34" s="147">
        <v>26</v>
      </c>
      <c r="B34" s="135" t="s">
        <v>43</v>
      </c>
      <c r="C34" s="81" t="s">
        <v>62</v>
      </c>
      <c r="D34" s="139"/>
      <c r="E34" s="81" t="s">
        <v>74</v>
      </c>
      <c r="F34" s="136" t="s">
        <v>363</v>
      </c>
      <c r="G34" s="136" t="s">
        <v>326</v>
      </c>
      <c r="H34" s="140">
        <v>3</v>
      </c>
      <c r="I34" s="140">
        <v>0</v>
      </c>
      <c r="J34" s="140">
        <v>0</v>
      </c>
      <c r="K34" s="141"/>
      <c r="L34" s="137"/>
      <c r="M34" s="137"/>
      <c r="N34" s="138">
        <v>0</v>
      </c>
      <c r="O34" s="142"/>
      <c r="P34" s="87"/>
      <c r="Q34" s="87"/>
      <c r="R34" s="6"/>
    </row>
    <row r="35" spans="1:18" x14ac:dyDescent="0.25">
      <c r="A35" s="147">
        <v>27</v>
      </c>
      <c r="B35" s="135" t="s">
        <v>364</v>
      </c>
      <c r="C35" s="81" t="s">
        <v>62</v>
      </c>
      <c r="D35" s="139"/>
      <c r="E35" s="81" t="s">
        <v>74</v>
      </c>
      <c r="F35" s="136" t="s">
        <v>365</v>
      </c>
      <c r="G35" s="136" t="s">
        <v>326</v>
      </c>
      <c r="H35" s="140">
        <v>8</v>
      </c>
      <c r="I35" s="140">
        <v>2</v>
      </c>
      <c r="J35" s="140">
        <v>2</v>
      </c>
      <c r="K35" s="141">
        <v>2466.8000000000002</v>
      </c>
      <c r="L35" s="137">
        <v>2466.8000000000002</v>
      </c>
      <c r="M35" s="137">
        <f>K35-L35</f>
        <v>0</v>
      </c>
      <c r="N35" s="138">
        <v>2</v>
      </c>
      <c r="O35" s="142">
        <v>3524</v>
      </c>
      <c r="P35" s="87">
        <v>3524</v>
      </c>
      <c r="Q35" s="87">
        <f>O35-P35</f>
        <v>0</v>
      </c>
      <c r="R35" s="6"/>
    </row>
    <row r="36" spans="1:18" x14ac:dyDescent="0.25">
      <c r="A36" s="147">
        <v>28</v>
      </c>
      <c r="B36" s="135" t="s">
        <v>46</v>
      </c>
      <c r="C36" s="81" t="s">
        <v>62</v>
      </c>
      <c r="D36" s="139"/>
      <c r="E36" s="81" t="s">
        <v>366</v>
      </c>
      <c r="F36" s="136" t="s">
        <v>367</v>
      </c>
      <c r="G36" s="136" t="s">
        <v>326</v>
      </c>
      <c r="H36" s="140">
        <v>0</v>
      </c>
      <c r="I36" s="140">
        <v>0</v>
      </c>
      <c r="J36" s="140">
        <v>0</v>
      </c>
      <c r="K36" s="141"/>
      <c r="L36" s="137">
        <v>0</v>
      </c>
      <c r="M36" s="137">
        <f>K36-L36</f>
        <v>0</v>
      </c>
      <c r="N36" s="138">
        <v>1</v>
      </c>
      <c r="O36" s="142">
        <f>4140.7+528.6</f>
        <v>4669.3</v>
      </c>
      <c r="P36" s="143">
        <f>4140.7+528.6</f>
        <v>4669.3</v>
      </c>
      <c r="Q36" s="87">
        <f>O36-P36</f>
        <v>0</v>
      </c>
      <c r="R36" s="6"/>
    </row>
    <row r="37" spans="1:18" x14ac:dyDescent="0.25">
      <c r="A37" s="147">
        <v>29</v>
      </c>
      <c r="B37" s="135" t="s">
        <v>270</v>
      </c>
      <c r="C37" s="81" t="s">
        <v>62</v>
      </c>
      <c r="D37" s="139"/>
      <c r="E37" s="81" t="s">
        <v>74</v>
      </c>
      <c r="F37" s="136" t="s">
        <v>539</v>
      </c>
      <c r="G37" s="136" t="s">
        <v>326</v>
      </c>
      <c r="H37" s="140">
        <v>1</v>
      </c>
      <c r="I37" s="140">
        <v>0</v>
      </c>
      <c r="J37" s="140">
        <v>0</v>
      </c>
      <c r="K37" s="141"/>
      <c r="L37" s="137"/>
      <c r="M37" s="137"/>
      <c r="N37" s="138">
        <v>0</v>
      </c>
      <c r="O37" s="142"/>
      <c r="P37" s="143"/>
      <c r="Q37" s="87"/>
      <c r="R37" s="6"/>
    </row>
    <row r="38" spans="1:18" x14ac:dyDescent="0.25">
      <c r="A38" s="147">
        <v>30</v>
      </c>
      <c r="B38" s="135" t="s">
        <v>96</v>
      </c>
      <c r="C38" s="81" t="s">
        <v>62</v>
      </c>
      <c r="D38" s="139"/>
      <c r="E38" s="81" t="s">
        <v>98</v>
      </c>
      <c r="F38" s="136" t="s">
        <v>540</v>
      </c>
      <c r="G38" s="136" t="s">
        <v>326</v>
      </c>
      <c r="H38" s="140">
        <v>1</v>
      </c>
      <c r="I38" s="140">
        <v>0</v>
      </c>
      <c r="J38" s="140">
        <v>0</v>
      </c>
      <c r="K38" s="141"/>
      <c r="L38" s="137"/>
      <c r="M38" s="137"/>
      <c r="N38" s="138">
        <v>0</v>
      </c>
      <c r="O38" s="142"/>
      <c r="P38" s="143"/>
      <c r="Q38" s="87"/>
      <c r="R38" s="6"/>
    </row>
    <row r="39" spans="1:18" x14ac:dyDescent="0.25">
      <c r="A39" s="147">
        <v>31</v>
      </c>
      <c r="B39" s="135" t="s">
        <v>124</v>
      </c>
      <c r="C39" s="81" t="s">
        <v>62</v>
      </c>
      <c r="D39" s="139"/>
      <c r="E39" s="81" t="s">
        <v>74</v>
      </c>
      <c r="F39" s="136" t="s">
        <v>368</v>
      </c>
      <c r="G39" s="136" t="s">
        <v>326</v>
      </c>
      <c r="H39" s="140">
        <v>22</v>
      </c>
      <c r="I39" s="140">
        <v>10</v>
      </c>
      <c r="J39" s="140">
        <v>10</v>
      </c>
      <c r="K39" s="141">
        <f>6343.2+3700.2</f>
        <v>10043.4</v>
      </c>
      <c r="L39" s="137">
        <f>1762+1762+2819.2</f>
        <v>6343.2</v>
      </c>
      <c r="M39" s="137">
        <f t="shared" ref="M39:M44" si="3">K39-L39</f>
        <v>3700.2</v>
      </c>
      <c r="N39" s="138">
        <v>8</v>
      </c>
      <c r="O39" s="142">
        <f>3171.6+88+1493.8-704.8+704.8</f>
        <v>4753.3999999999996</v>
      </c>
      <c r="P39" s="87">
        <f>1765.8+1493.8+789</f>
        <v>4048.6</v>
      </c>
      <c r="Q39" s="137">
        <f>O39-P39</f>
        <v>704.79999999999973</v>
      </c>
      <c r="R39" s="6"/>
    </row>
    <row r="40" spans="1:18" x14ac:dyDescent="0.25">
      <c r="A40" s="147">
        <v>32</v>
      </c>
      <c r="B40" s="135" t="s">
        <v>51</v>
      </c>
      <c r="C40" s="81" t="s">
        <v>62</v>
      </c>
      <c r="D40" s="139"/>
      <c r="E40" s="81" t="s">
        <v>74</v>
      </c>
      <c r="F40" s="136" t="s">
        <v>369</v>
      </c>
      <c r="G40" s="136" t="s">
        <v>326</v>
      </c>
      <c r="H40" s="140">
        <v>0</v>
      </c>
      <c r="I40" s="140">
        <v>0</v>
      </c>
      <c r="J40" s="140">
        <v>0</v>
      </c>
      <c r="K40" s="141"/>
      <c r="L40" s="137">
        <v>0</v>
      </c>
      <c r="M40" s="137">
        <f t="shared" si="3"/>
        <v>0</v>
      </c>
      <c r="N40" s="138">
        <v>1</v>
      </c>
      <c r="O40" s="142">
        <v>2290.6</v>
      </c>
      <c r="P40" s="87">
        <v>2290.6</v>
      </c>
      <c r="Q40" s="87">
        <f>O40-P40</f>
        <v>0</v>
      </c>
      <c r="R40" s="6"/>
    </row>
    <row r="41" spans="1:18" x14ac:dyDescent="0.25">
      <c r="A41" s="147">
        <v>33</v>
      </c>
      <c r="B41" s="135" t="s">
        <v>286</v>
      </c>
      <c r="C41" s="81" t="s">
        <v>62</v>
      </c>
      <c r="D41" s="139"/>
      <c r="E41" s="81" t="s">
        <v>74</v>
      </c>
      <c r="F41" s="136" t="s">
        <v>476</v>
      </c>
      <c r="G41" s="136" t="s">
        <v>326</v>
      </c>
      <c r="H41" s="140">
        <v>4</v>
      </c>
      <c r="I41" s="140">
        <v>3</v>
      </c>
      <c r="J41" s="140">
        <v>3</v>
      </c>
      <c r="K41" s="141">
        <f>1233.4+1409.6</f>
        <v>2643</v>
      </c>
      <c r="L41" s="137">
        <f>1233.4</f>
        <v>1233.4000000000001</v>
      </c>
      <c r="M41" s="137">
        <f t="shared" si="3"/>
        <v>1409.6</v>
      </c>
      <c r="N41" s="138">
        <v>0</v>
      </c>
      <c r="O41" s="142"/>
      <c r="P41" s="87"/>
      <c r="Q41" s="87"/>
      <c r="R41" s="6"/>
    </row>
    <row r="42" spans="1:18" x14ac:dyDescent="0.25">
      <c r="A42" s="147">
        <v>34</v>
      </c>
      <c r="B42" s="135" t="s">
        <v>290</v>
      </c>
      <c r="C42" s="81" t="s">
        <v>62</v>
      </c>
      <c r="D42" s="139"/>
      <c r="E42" s="81" t="s">
        <v>371</v>
      </c>
      <c r="F42" s="136" t="s">
        <v>372</v>
      </c>
      <c r="G42" s="136" t="s">
        <v>326</v>
      </c>
      <c r="H42" s="140">
        <v>6</v>
      </c>
      <c r="I42" s="140">
        <v>3</v>
      </c>
      <c r="J42" s="140">
        <v>3</v>
      </c>
      <c r="K42" s="141">
        <f>1409.6+704.8</f>
        <v>2114.3999999999996</v>
      </c>
      <c r="L42" s="137">
        <f>1409.6+704.8</f>
        <v>2114.3999999999996</v>
      </c>
      <c r="M42" s="137">
        <f t="shared" si="3"/>
        <v>0</v>
      </c>
      <c r="N42" s="138">
        <v>0</v>
      </c>
      <c r="O42" s="142"/>
      <c r="P42" s="143">
        <v>0</v>
      </c>
      <c r="Q42" s="87">
        <f>O42-P42</f>
        <v>0</v>
      </c>
      <c r="R42" s="6"/>
    </row>
    <row r="43" spans="1:18" x14ac:dyDescent="0.25">
      <c r="A43" s="147">
        <v>35</v>
      </c>
      <c r="B43" s="135" t="s">
        <v>134</v>
      </c>
      <c r="C43" s="81" t="s">
        <v>62</v>
      </c>
      <c r="D43" s="139"/>
      <c r="E43" s="81" t="s">
        <v>74</v>
      </c>
      <c r="F43" s="136" t="s">
        <v>373</v>
      </c>
      <c r="G43" s="136" t="s">
        <v>326</v>
      </c>
      <c r="H43" s="140">
        <v>3</v>
      </c>
      <c r="I43" s="140">
        <v>1</v>
      </c>
      <c r="J43" s="140">
        <v>1</v>
      </c>
      <c r="K43" s="141">
        <f>1938.2</f>
        <v>1938.2</v>
      </c>
      <c r="L43" s="137">
        <v>1938.2</v>
      </c>
      <c r="M43" s="137">
        <f t="shared" si="3"/>
        <v>0</v>
      </c>
      <c r="N43" s="138">
        <v>2</v>
      </c>
      <c r="O43" s="142">
        <v>2643</v>
      </c>
      <c r="P43" s="87">
        <f>881+1762</f>
        <v>2643</v>
      </c>
      <c r="Q43" s="87">
        <f>O43-P43</f>
        <v>0</v>
      </c>
      <c r="R43" s="6"/>
    </row>
    <row r="44" spans="1:18" x14ac:dyDescent="0.25">
      <c r="A44" s="147">
        <v>36</v>
      </c>
      <c r="B44" s="135" t="s">
        <v>135</v>
      </c>
      <c r="C44" s="81" t="s">
        <v>62</v>
      </c>
      <c r="D44" s="139"/>
      <c r="E44" s="81" t="s">
        <v>74</v>
      </c>
      <c r="F44" s="136" t="s">
        <v>374</v>
      </c>
      <c r="G44" s="136" t="s">
        <v>326</v>
      </c>
      <c r="H44" s="140">
        <v>17</v>
      </c>
      <c r="I44" s="140">
        <v>4</v>
      </c>
      <c r="J44" s="140">
        <v>4</v>
      </c>
      <c r="K44" s="141">
        <f>5109.8+881</f>
        <v>5990.8</v>
      </c>
      <c r="L44" s="137">
        <f>2290.6+2819.2+881</f>
        <v>5990.7999999999993</v>
      </c>
      <c r="M44" s="137">
        <f t="shared" si="3"/>
        <v>0</v>
      </c>
      <c r="N44" s="138">
        <v>35</v>
      </c>
      <c r="O44" s="142">
        <f>15109.16+9717+2845.2</f>
        <v>27671.360000000001</v>
      </c>
      <c r="P44" s="87">
        <f>14228.16+881+9717+2845.2</f>
        <v>27671.360000000001</v>
      </c>
      <c r="Q44" s="137">
        <f>O44-P44</f>
        <v>0</v>
      </c>
      <c r="R44" s="6"/>
    </row>
    <row r="45" spans="1:18" ht="25.5" x14ac:dyDescent="0.25">
      <c r="A45" s="148">
        <v>37</v>
      </c>
      <c r="B45" s="135" t="s">
        <v>508</v>
      </c>
      <c r="C45" s="81" t="s">
        <v>64</v>
      </c>
      <c r="D45" s="134" t="s">
        <v>509</v>
      </c>
      <c r="E45" s="81" t="s">
        <v>74</v>
      </c>
      <c r="F45" s="136" t="s">
        <v>510</v>
      </c>
      <c r="G45" s="136" t="s">
        <v>326</v>
      </c>
      <c r="H45" s="140">
        <v>3</v>
      </c>
      <c r="I45" s="140">
        <v>0</v>
      </c>
      <c r="J45" s="140">
        <v>0</v>
      </c>
      <c r="K45" s="141"/>
      <c r="L45" s="137"/>
      <c r="M45" s="137"/>
      <c r="N45" s="138">
        <v>0</v>
      </c>
      <c r="O45" s="142"/>
      <c r="P45" s="87"/>
      <c r="Q45" s="87"/>
      <c r="R45" s="6"/>
    </row>
    <row r="46" spans="1:18" x14ac:dyDescent="0.25">
      <c r="A46" s="147">
        <v>38</v>
      </c>
      <c r="B46" s="135" t="s">
        <v>299</v>
      </c>
      <c r="C46" s="81" t="s">
        <v>62</v>
      </c>
      <c r="D46" s="139"/>
      <c r="E46" s="81" t="s">
        <v>158</v>
      </c>
      <c r="F46" s="136" t="s">
        <v>375</v>
      </c>
      <c r="G46" s="136" t="s">
        <v>326</v>
      </c>
      <c r="H46" s="140">
        <v>3</v>
      </c>
      <c r="I46" s="140">
        <v>1</v>
      </c>
      <c r="J46" s="140">
        <v>1</v>
      </c>
      <c r="K46" s="141">
        <f>704.8</f>
        <v>704.8</v>
      </c>
      <c r="L46" s="137">
        <f>704.8</f>
        <v>704.8</v>
      </c>
      <c r="M46" s="137">
        <f t="shared" ref="M46:M95" si="4">K46-L46</f>
        <v>0</v>
      </c>
      <c r="N46" s="138">
        <v>0</v>
      </c>
      <c r="O46" s="142"/>
      <c r="P46" s="87">
        <v>0</v>
      </c>
      <c r="Q46" s="87">
        <f>O46-P46</f>
        <v>0</v>
      </c>
      <c r="R46" s="6"/>
    </row>
    <row r="47" spans="1:18" x14ac:dyDescent="0.25">
      <c r="A47" s="147">
        <v>39</v>
      </c>
      <c r="B47" s="135" t="s">
        <v>376</v>
      </c>
      <c r="C47" s="81" t="s">
        <v>62</v>
      </c>
      <c r="D47" s="139"/>
      <c r="E47" s="81" t="s">
        <v>74</v>
      </c>
      <c r="F47" s="136" t="s">
        <v>377</v>
      </c>
      <c r="G47" s="136" t="s">
        <v>326</v>
      </c>
      <c r="H47" s="140">
        <v>3</v>
      </c>
      <c r="I47" s="140">
        <v>3</v>
      </c>
      <c r="J47" s="140">
        <v>3</v>
      </c>
      <c r="K47" s="141">
        <f>1409.6+2643</f>
        <v>4052.6</v>
      </c>
      <c r="L47" s="137">
        <v>1409.6</v>
      </c>
      <c r="M47" s="137">
        <f t="shared" si="4"/>
        <v>2643</v>
      </c>
      <c r="N47" s="138">
        <v>0</v>
      </c>
      <c r="O47" s="142"/>
      <c r="P47" s="87"/>
      <c r="Q47" s="87"/>
      <c r="R47" s="6"/>
    </row>
    <row r="48" spans="1:18" x14ac:dyDescent="0.25">
      <c r="A48" s="147">
        <v>40</v>
      </c>
      <c r="B48" s="135" t="s">
        <v>129</v>
      </c>
      <c r="C48" s="81" t="s">
        <v>62</v>
      </c>
      <c r="D48" s="139"/>
      <c r="E48" s="81" t="s">
        <v>74</v>
      </c>
      <c r="F48" s="136" t="s">
        <v>378</v>
      </c>
      <c r="G48" s="136" t="s">
        <v>326</v>
      </c>
      <c r="H48" s="140">
        <v>28</v>
      </c>
      <c r="I48" s="140">
        <v>13</v>
      </c>
      <c r="J48" s="140">
        <v>13</v>
      </c>
      <c r="K48" s="141">
        <f>7355.96+1306.55+4415.93+5710.35</f>
        <v>18788.79</v>
      </c>
      <c r="L48" s="137">
        <f>3615.96+5046.55+4415.93</f>
        <v>13078.44</v>
      </c>
      <c r="M48" s="137">
        <f t="shared" si="4"/>
        <v>5710.35</v>
      </c>
      <c r="N48" s="138">
        <v>24</v>
      </c>
      <c r="O48" s="142">
        <f>28417.04+2923.96+3402.23+528.6+3259.4</f>
        <v>38531.230000000003</v>
      </c>
      <c r="P48" s="143">
        <f>22002.43+5101.53+1313.08+2923.96+3402.23+528.6</f>
        <v>35271.83</v>
      </c>
      <c r="Q48" s="87">
        <f t="shared" ref="Q48:Q95" si="5">O48-P48</f>
        <v>3259.4000000000015</v>
      </c>
      <c r="R48" s="6"/>
    </row>
    <row r="49" spans="1:18" x14ac:dyDescent="0.25">
      <c r="A49" s="147">
        <v>41</v>
      </c>
      <c r="B49" s="135" t="s">
        <v>379</v>
      </c>
      <c r="C49" s="81" t="s">
        <v>62</v>
      </c>
      <c r="D49" s="139"/>
      <c r="E49" s="81" t="s">
        <v>158</v>
      </c>
      <c r="F49" s="136" t="s">
        <v>380</v>
      </c>
      <c r="G49" s="136" t="s">
        <v>326</v>
      </c>
      <c r="H49" s="140">
        <v>2</v>
      </c>
      <c r="I49" s="140">
        <v>1</v>
      </c>
      <c r="J49" s="140">
        <v>1</v>
      </c>
      <c r="K49" s="141">
        <v>704.8</v>
      </c>
      <c r="L49" s="137">
        <f>704.8</f>
        <v>704.8</v>
      </c>
      <c r="M49" s="137">
        <f t="shared" si="4"/>
        <v>0</v>
      </c>
      <c r="N49" s="138">
        <v>0</v>
      </c>
      <c r="O49" s="142"/>
      <c r="P49" s="87">
        <v>0</v>
      </c>
      <c r="Q49" s="87">
        <f t="shared" si="5"/>
        <v>0</v>
      </c>
      <c r="R49" s="6"/>
    </row>
    <row r="50" spans="1:18" x14ac:dyDescent="0.25">
      <c r="A50" s="147">
        <v>42</v>
      </c>
      <c r="B50" s="135" t="s">
        <v>130</v>
      </c>
      <c r="C50" s="81" t="s">
        <v>62</v>
      </c>
      <c r="D50" s="139"/>
      <c r="E50" s="81" t="s">
        <v>74</v>
      </c>
      <c r="F50" s="135" t="s">
        <v>557</v>
      </c>
      <c r="G50" s="136" t="s">
        <v>326</v>
      </c>
      <c r="H50" s="140">
        <v>0</v>
      </c>
      <c r="I50" s="140">
        <v>0</v>
      </c>
      <c r="J50" s="140">
        <v>0</v>
      </c>
      <c r="K50" s="141"/>
      <c r="L50" s="137"/>
      <c r="M50" s="137">
        <f t="shared" si="4"/>
        <v>0</v>
      </c>
      <c r="N50" s="138">
        <v>2</v>
      </c>
      <c r="O50" s="142"/>
      <c r="P50" s="87">
        <v>0</v>
      </c>
      <c r="Q50" s="87">
        <f t="shared" si="5"/>
        <v>0</v>
      </c>
      <c r="R50" s="6"/>
    </row>
    <row r="51" spans="1:18" x14ac:dyDescent="0.25">
      <c r="A51" s="147">
        <v>43</v>
      </c>
      <c r="B51" s="135" t="s">
        <v>382</v>
      </c>
      <c r="C51" s="81" t="s">
        <v>62</v>
      </c>
      <c r="D51" s="139"/>
      <c r="E51" s="81" t="s">
        <v>383</v>
      </c>
      <c r="F51" s="136" t="s">
        <v>384</v>
      </c>
      <c r="G51" s="136" t="s">
        <v>326</v>
      </c>
      <c r="H51" s="140">
        <v>1</v>
      </c>
      <c r="I51" s="140">
        <v>1</v>
      </c>
      <c r="J51" s="140">
        <v>1</v>
      </c>
      <c r="K51" s="141">
        <v>704.8</v>
      </c>
      <c r="L51" s="137">
        <f>187.75+517.05</f>
        <v>704.8</v>
      </c>
      <c r="M51" s="137">
        <f t="shared" si="4"/>
        <v>0</v>
      </c>
      <c r="N51" s="138">
        <v>0</v>
      </c>
      <c r="O51" s="142"/>
      <c r="P51" s="87">
        <v>0</v>
      </c>
      <c r="Q51" s="87">
        <f t="shared" si="5"/>
        <v>0</v>
      </c>
      <c r="R51" s="6"/>
    </row>
    <row r="52" spans="1:18" x14ac:dyDescent="0.25">
      <c r="A52" s="147">
        <v>44</v>
      </c>
      <c r="B52" s="135" t="s">
        <v>385</v>
      </c>
      <c r="C52" s="81" t="s">
        <v>62</v>
      </c>
      <c r="D52" s="139"/>
      <c r="E52" s="139" t="s">
        <v>145</v>
      </c>
      <c r="F52" s="136" t="s">
        <v>386</v>
      </c>
      <c r="G52" s="136" t="s">
        <v>326</v>
      </c>
      <c r="H52" s="140">
        <v>11</v>
      </c>
      <c r="I52" s="140">
        <v>2</v>
      </c>
      <c r="J52" s="140">
        <v>2</v>
      </c>
      <c r="K52" s="141">
        <v>1762</v>
      </c>
      <c r="L52" s="137">
        <f>1057.2+704.8</f>
        <v>1762</v>
      </c>
      <c r="M52" s="137">
        <f t="shared" si="4"/>
        <v>0</v>
      </c>
      <c r="N52" s="138">
        <v>18</v>
      </c>
      <c r="O52" s="142">
        <v>9602.9</v>
      </c>
      <c r="P52" s="143">
        <f>9074.3+528.6</f>
        <v>9602.9</v>
      </c>
      <c r="Q52" s="87">
        <f t="shared" si="5"/>
        <v>0</v>
      </c>
      <c r="R52" s="6"/>
    </row>
    <row r="53" spans="1:18" x14ac:dyDescent="0.25">
      <c r="A53" s="147">
        <v>45</v>
      </c>
      <c r="B53" s="135" t="s">
        <v>150</v>
      </c>
      <c r="C53" s="81" t="s">
        <v>62</v>
      </c>
      <c r="D53" s="139"/>
      <c r="E53" s="81" t="s">
        <v>74</v>
      </c>
      <c r="F53" s="151" t="s">
        <v>370</v>
      </c>
      <c r="G53" s="136" t="s">
        <v>326</v>
      </c>
      <c r="H53" s="140">
        <v>0</v>
      </c>
      <c r="I53" s="140">
        <v>0</v>
      </c>
      <c r="J53" s="140">
        <v>0</v>
      </c>
      <c r="K53" s="141"/>
      <c r="L53" s="137">
        <v>0</v>
      </c>
      <c r="M53" s="137">
        <v>0</v>
      </c>
      <c r="N53" s="138">
        <v>0</v>
      </c>
      <c r="O53" s="142"/>
      <c r="P53" s="143">
        <v>0</v>
      </c>
      <c r="Q53" s="87">
        <v>0</v>
      </c>
      <c r="R53" s="6"/>
    </row>
    <row r="54" spans="1:18" x14ac:dyDescent="0.25">
      <c r="A54" s="147">
        <v>46</v>
      </c>
      <c r="B54" s="135" t="s">
        <v>387</v>
      </c>
      <c r="C54" s="81" t="s">
        <v>62</v>
      </c>
      <c r="D54" s="139"/>
      <c r="E54" s="81" t="s">
        <v>157</v>
      </c>
      <c r="F54" s="151" t="s">
        <v>388</v>
      </c>
      <c r="G54" s="136" t="s">
        <v>326</v>
      </c>
      <c r="H54" s="140">
        <v>0</v>
      </c>
      <c r="I54" s="140">
        <v>0</v>
      </c>
      <c r="J54" s="140">
        <v>0</v>
      </c>
      <c r="K54" s="152"/>
      <c r="L54" s="137">
        <v>0</v>
      </c>
      <c r="M54" s="137">
        <f t="shared" si="4"/>
        <v>0</v>
      </c>
      <c r="N54" s="138">
        <v>0</v>
      </c>
      <c r="O54" s="142"/>
      <c r="P54" s="87">
        <v>0</v>
      </c>
      <c r="Q54" s="87">
        <f t="shared" si="5"/>
        <v>0</v>
      </c>
      <c r="R54" s="6"/>
    </row>
    <row r="55" spans="1:18" x14ac:dyDescent="0.25">
      <c r="A55" s="147">
        <v>47</v>
      </c>
      <c r="B55" s="135" t="s">
        <v>54</v>
      </c>
      <c r="C55" s="81" t="s">
        <v>62</v>
      </c>
      <c r="D55" s="139"/>
      <c r="E55" s="81" t="s">
        <v>338</v>
      </c>
      <c r="F55" s="151" t="s">
        <v>391</v>
      </c>
      <c r="G55" s="136" t="s">
        <v>326</v>
      </c>
      <c r="H55" s="140">
        <v>0</v>
      </c>
      <c r="I55" s="140">
        <v>0</v>
      </c>
      <c r="J55" s="139">
        <v>0</v>
      </c>
      <c r="K55" s="152"/>
      <c r="L55" s="137">
        <v>0</v>
      </c>
      <c r="M55" s="137">
        <f t="shared" si="4"/>
        <v>0</v>
      </c>
      <c r="N55" s="138">
        <v>0</v>
      </c>
      <c r="O55" s="142"/>
      <c r="P55" s="143">
        <v>0</v>
      </c>
      <c r="Q55" s="87">
        <f t="shared" si="5"/>
        <v>0</v>
      </c>
      <c r="R55" s="6"/>
    </row>
    <row r="56" spans="1:18" ht="39" x14ac:dyDescent="0.25">
      <c r="A56" s="148">
        <v>48</v>
      </c>
      <c r="B56" s="135" t="s">
        <v>131</v>
      </c>
      <c r="C56" s="81" t="s">
        <v>64</v>
      </c>
      <c r="D56" s="153" t="s">
        <v>392</v>
      </c>
      <c r="E56" s="81" t="s">
        <v>158</v>
      </c>
      <c r="F56" s="154" t="s">
        <v>393</v>
      </c>
      <c r="G56" s="136" t="s">
        <v>326</v>
      </c>
      <c r="H56" s="140">
        <v>0</v>
      </c>
      <c r="I56" s="140">
        <v>0</v>
      </c>
      <c r="J56" s="145">
        <v>0</v>
      </c>
      <c r="K56" s="139"/>
      <c r="L56" s="87">
        <v>0</v>
      </c>
      <c r="M56" s="87">
        <f t="shared" si="4"/>
        <v>0</v>
      </c>
      <c r="N56" s="91">
        <v>0</v>
      </c>
      <c r="O56" s="143"/>
      <c r="P56" s="87">
        <v>0</v>
      </c>
      <c r="Q56" s="87">
        <f t="shared" si="5"/>
        <v>0</v>
      </c>
      <c r="R56" s="6"/>
    </row>
    <row r="57" spans="1:18" ht="25.5" x14ac:dyDescent="0.25">
      <c r="A57" s="139">
        <v>1</v>
      </c>
      <c r="B57" s="155" t="s">
        <v>134</v>
      </c>
      <c r="C57" s="155" t="s">
        <v>62</v>
      </c>
      <c r="D57" s="155"/>
      <c r="E57" s="155" t="s">
        <v>74</v>
      </c>
      <c r="F57" s="155" t="s">
        <v>408</v>
      </c>
      <c r="G57" s="155" t="s">
        <v>409</v>
      </c>
      <c r="H57" s="139">
        <v>23</v>
      </c>
      <c r="I57" s="139">
        <v>4</v>
      </c>
      <c r="J57" s="139">
        <v>4</v>
      </c>
      <c r="K57" s="156">
        <v>3910.4</v>
      </c>
      <c r="L57" s="156">
        <v>3910.4</v>
      </c>
      <c r="M57" s="87">
        <f t="shared" si="4"/>
        <v>0</v>
      </c>
      <c r="N57" s="139">
        <v>5</v>
      </c>
      <c r="O57" s="156">
        <v>13457.2</v>
      </c>
      <c r="P57" s="156">
        <v>10109.4</v>
      </c>
      <c r="Q57" s="156">
        <f t="shared" si="5"/>
        <v>3347.8000000000011</v>
      </c>
      <c r="R57" s="6"/>
    </row>
    <row r="58" spans="1:18" ht="25.5" x14ac:dyDescent="0.25">
      <c r="A58" s="139">
        <v>2</v>
      </c>
      <c r="B58" s="155" t="s">
        <v>335</v>
      </c>
      <c r="C58" s="155" t="s">
        <v>62</v>
      </c>
      <c r="D58" s="155"/>
      <c r="E58" s="155" t="s">
        <v>74</v>
      </c>
      <c r="F58" s="155" t="s">
        <v>410</v>
      </c>
      <c r="G58" s="155" t="s">
        <v>409</v>
      </c>
      <c r="H58" s="139">
        <v>9</v>
      </c>
      <c r="I58" s="139">
        <v>4</v>
      </c>
      <c r="J58" s="139">
        <v>4</v>
      </c>
      <c r="K58" s="156">
        <v>5146.8</v>
      </c>
      <c r="L58" s="156">
        <v>4089.6</v>
      </c>
      <c r="M58" s="87">
        <f t="shared" si="4"/>
        <v>1057.2000000000003</v>
      </c>
      <c r="N58" s="139">
        <v>8</v>
      </c>
      <c r="O58" s="156">
        <v>10652</v>
      </c>
      <c r="P58" s="156">
        <v>8185.2</v>
      </c>
      <c r="Q58" s="156">
        <f t="shared" si="5"/>
        <v>2466.8000000000002</v>
      </c>
      <c r="R58" s="6"/>
    </row>
    <row r="59" spans="1:18" ht="38.25" x14ac:dyDescent="0.25">
      <c r="A59" s="139">
        <v>3</v>
      </c>
      <c r="B59" s="155" t="s">
        <v>46</v>
      </c>
      <c r="C59" s="155" t="s">
        <v>62</v>
      </c>
      <c r="D59" s="155"/>
      <c r="E59" s="155" t="s">
        <v>267</v>
      </c>
      <c r="F59" s="155" t="s">
        <v>411</v>
      </c>
      <c r="G59" s="155" t="s">
        <v>409</v>
      </c>
      <c r="H59" s="139">
        <v>20</v>
      </c>
      <c r="I59" s="139">
        <v>7</v>
      </c>
      <c r="J59" s="139">
        <v>7</v>
      </c>
      <c r="K59" s="156">
        <v>9866.6</v>
      </c>
      <c r="L59" s="156">
        <v>4933.6000000000004</v>
      </c>
      <c r="M59" s="87">
        <f t="shared" si="4"/>
        <v>4933</v>
      </c>
      <c r="N59" s="139">
        <v>17</v>
      </c>
      <c r="O59" s="156">
        <v>25515.45</v>
      </c>
      <c r="P59" s="156">
        <v>14509.49</v>
      </c>
      <c r="Q59" s="156">
        <f t="shared" si="5"/>
        <v>11005.960000000001</v>
      </c>
      <c r="R59" s="6"/>
    </row>
    <row r="60" spans="1:18" ht="25.5" x14ac:dyDescent="0.25">
      <c r="A60" s="139">
        <v>4</v>
      </c>
      <c r="B60" s="155" t="s">
        <v>36</v>
      </c>
      <c r="C60" s="155" t="s">
        <v>62</v>
      </c>
      <c r="D60" s="155"/>
      <c r="E60" s="155" t="s">
        <v>74</v>
      </c>
      <c r="F60" s="155" t="s">
        <v>412</v>
      </c>
      <c r="G60" s="155" t="s">
        <v>409</v>
      </c>
      <c r="H60" s="139">
        <v>19</v>
      </c>
      <c r="I60" s="139">
        <v>10</v>
      </c>
      <c r="J60" s="139">
        <v>10</v>
      </c>
      <c r="K60" s="156">
        <v>14906.52</v>
      </c>
      <c r="L60" s="156">
        <v>7682.32</v>
      </c>
      <c r="M60" s="87">
        <f t="shared" si="4"/>
        <v>7224.2000000000007</v>
      </c>
      <c r="N60" s="139">
        <v>12</v>
      </c>
      <c r="O60" s="156">
        <v>34112.32</v>
      </c>
      <c r="P60" s="156">
        <v>22165.96</v>
      </c>
      <c r="Q60" s="156">
        <f t="shared" si="5"/>
        <v>11946.36</v>
      </c>
      <c r="R60" s="6"/>
    </row>
    <row r="61" spans="1:18" ht="25.5" x14ac:dyDescent="0.25">
      <c r="A61" s="139">
        <v>5</v>
      </c>
      <c r="B61" s="155" t="s">
        <v>27</v>
      </c>
      <c r="C61" s="155" t="s">
        <v>62</v>
      </c>
      <c r="D61" s="155"/>
      <c r="E61" s="155" t="s">
        <v>74</v>
      </c>
      <c r="F61" s="155" t="s">
        <v>413</v>
      </c>
      <c r="G61" s="155" t="s">
        <v>409</v>
      </c>
      <c r="H61" s="139">
        <v>8</v>
      </c>
      <c r="I61" s="139">
        <v>3</v>
      </c>
      <c r="J61" s="139">
        <v>3</v>
      </c>
      <c r="K61" s="156">
        <v>5051.82</v>
      </c>
      <c r="L61" s="156">
        <v>2761.22</v>
      </c>
      <c r="M61" s="87">
        <f t="shared" si="4"/>
        <v>2290.6</v>
      </c>
      <c r="N61" s="139">
        <v>8</v>
      </c>
      <c r="O61" s="156">
        <v>16676.7</v>
      </c>
      <c r="P61" s="156">
        <v>12712.3</v>
      </c>
      <c r="Q61" s="156">
        <f t="shared" si="5"/>
        <v>3964.4000000000015</v>
      </c>
      <c r="R61" s="6"/>
    </row>
    <row r="62" spans="1:18" ht="25.5" x14ac:dyDescent="0.25">
      <c r="A62" s="139">
        <v>6</v>
      </c>
      <c r="B62" s="155" t="s">
        <v>28</v>
      </c>
      <c r="C62" s="155" t="s">
        <v>62</v>
      </c>
      <c r="D62" s="155"/>
      <c r="E62" s="155" t="s">
        <v>74</v>
      </c>
      <c r="F62" s="155" t="s">
        <v>414</v>
      </c>
      <c r="G62" s="155" t="s">
        <v>409</v>
      </c>
      <c r="H62" s="139">
        <v>26</v>
      </c>
      <c r="I62" s="139">
        <v>7</v>
      </c>
      <c r="J62" s="139">
        <v>7</v>
      </c>
      <c r="K62" s="156">
        <v>7858.52</v>
      </c>
      <c r="L62" s="156">
        <v>7858.52</v>
      </c>
      <c r="M62" s="87">
        <f t="shared" si="4"/>
        <v>0</v>
      </c>
      <c r="N62" s="139">
        <v>7</v>
      </c>
      <c r="O62" s="156">
        <v>12334</v>
      </c>
      <c r="P62" s="156">
        <v>9867.2000000000007</v>
      </c>
      <c r="Q62" s="156">
        <f t="shared" si="5"/>
        <v>2466.7999999999993</v>
      </c>
      <c r="R62" s="6"/>
    </row>
    <row r="63" spans="1:18" ht="26.25" thickBot="1" x14ac:dyDescent="0.3">
      <c r="A63" s="139">
        <v>7</v>
      </c>
      <c r="B63" s="139" t="s">
        <v>246</v>
      </c>
      <c r="C63" s="139" t="s">
        <v>62</v>
      </c>
      <c r="D63" s="139"/>
      <c r="E63" s="155" t="s">
        <v>74</v>
      </c>
      <c r="F63" s="139" t="s">
        <v>415</v>
      </c>
      <c r="G63" s="155" t="s">
        <v>409</v>
      </c>
      <c r="H63" s="139">
        <v>22</v>
      </c>
      <c r="I63" s="139">
        <v>2</v>
      </c>
      <c r="J63" s="139">
        <v>2</v>
      </c>
      <c r="K63" s="156">
        <v>1374.36</v>
      </c>
      <c r="L63" s="156">
        <v>1374.36</v>
      </c>
      <c r="M63" s="87">
        <f t="shared" si="4"/>
        <v>0</v>
      </c>
      <c r="N63" s="139"/>
      <c r="O63" s="156"/>
      <c r="P63" s="156"/>
      <c r="Q63" s="156">
        <f t="shared" si="5"/>
        <v>0</v>
      </c>
      <c r="R63" s="6"/>
    </row>
    <row r="64" spans="1:18" ht="26.25" thickBot="1" x14ac:dyDescent="0.3">
      <c r="A64" s="139">
        <v>8</v>
      </c>
      <c r="B64" s="157" t="s">
        <v>330</v>
      </c>
      <c r="C64" s="139" t="s">
        <v>62</v>
      </c>
      <c r="D64" s="139"/>
      <c r="E64" s="155" t="s">
        <v>74</v>
      </c>
      <c r="F64" s="139" t="s">
        <v>416</v>
      </c>
      <c r="G64" s="155" t="s">
        <v>409</v>
      </c>
      <c r="H64" s="139">
        <v>5</v>
      </c>
      <c r="I64" s="139"/>
      <c r="J64" s="139"/>
      <c r="K64" s="156"/>
      <c r="L64" s="156"/>
      <c r="M64" s="87">
        <f t="shared" si="4"/>
        <v>0</v>
      </c>
      <c r="N64" s="139"/>
      <c r="O64" s="156"/>
      <c r="P64" s="156"/>
      <c r="Q64" s="156">
        <f t="shared" si="5"/>
        <v>0</v>
      </c>
      <c r="R64" s="6"/>
    </row>
    <row r="65" spans="1:18" ht="26.25" thickBot="1" x14ac:dyDescent="0.3">
      <c r="A65" s="139">
        <v>9</v>
      </c>
      <c r="B65" s="158" t="s">
        <v>402</v>
      </c>
      <c r="C65" s="139" t="s">
        <v>62</v>
      </c>
      <c r="D65" s="139"/>
      <c r="E65" s="155" t="s">
        <v>74</v>
      </c>
      <c r="F65" s="139" t="s">
        <v>417</v>
      </c>
      <c r="G65" s="155" t="s">
        <v>409</v>
      </c>
      <c r="H65" s="139">
        <v>13</v>
      </c>
      <c r="I65" s="139">
        <v>4</v>
      </c>
      <c r="J65" s="139">
        <v>4</v>
      </c>
      <c r="K65" s="156">
        <v>4968.82</v>
      </c>
      <c r="L65" s="156">
        <v>2114.4</v>
      </c>
      <c r="M65" s="87">
        <f t="shared" si="4"/>
        <v>2854.4199999999996</v>
      </c>
      <c r="N65" s="139"/>
      <c r="O65" s="156"/>
      <c r="P65" s="156"/>
      <c r="Q65" s="156">
        <f t="shared" si="5"/>
        <v>0</v>
      </c>
      <c r="R65" s="6"/>
    </row>
    <row r="66" spans="1:18" ht="26.25" thickBot="1" x14ac:dyDescent="0.3">
      <c r="A66" s="139">
        <v>10</v>
      </c>
      <c r="B66" s="157" t="s">
        <v>154</v>
      </c>
      <c r="C66" s="139" t="s">
        <v>62</v>
      </c>
      <c r="D66" s="139"/>
      <c r="E66" s="155" t="s">
        <v>72</v>
      </c>
      <c r="F66" s="139" t="s">
        <v>418</v>
      </c>
      <c r="G66" s="155" t="s">
        <v>409</v>
      </c>
      <c r="H66" s="139">
        <v>4</v>
      </c>
      <c r="I66" s="139"/>
      <c r="J66" s="139"/>
      <c r="K66" s="156"/>
      <c r="L66" s="156"/>
      <c r="M66" s="87">
        <f t="shared" si="4"/>
        <v>0</v>
      </c>
      <c r="N66" s="139">
        <v>5</v>
      </c>
      <c r="O66" s="156">
        <v>4737.8999999999996</v>
      </c>
      <c r="P66" s="156">
        <v>4737.8999999999996</v>
      </c>
      <c r="Q66" s="156">
        <f t="shared" si="5"/>
        <v>0</v>
      </c>
      <c r="R66" s="6"/>
    </row>
    <row r="67" spans="1:18" ht="26.25" thickBot="1" x14ac:dyDescent="0.3">
      <c r="A67" s="139">
        <v>11</v>
      </c>
      <c r="B67" s="158" t="s">
        <v>153</v>
      </c>
      <c r="C67" s="139" t="s">
        <v>62</v>
      </c>
      <c r="D67" s="139"/>
      <c r="E67" s="155" t="s">
        <v>74</v>
      </c>
      <c r="F67" s="139" t="s">
        <v>419</v>
      </c>
      <c r="G67" s="155" t="s">
        <v>409</v>
      </c>
      <c r="H67" s="139">
        <v>4</v>
      </c>
      <c r="I67" s="139"/>
      <c r="J67" s="139"/>
      <c r="K67" s="156"/>
      <c r="L67" s="156"/>
      <c r="M67" s="87">
        <f t="shared" si="4"/>
        <v>0</v>
      </c>
      <c r="N67" s="139">
        <v>5</v>
      </c>
      <c r="O67" s="156">
        <v>18053.7</v>
      </c>
      <c r="P67" s="156">
        <v>15237.6</v>
      </c>
      <c r="Q67" s="156">
        <f t="shared" si="5"/>
        <v>2816.1000000000004</v>
      </c>
      <c r="R67" s="6"/>
    </row>
    <row r="68" spans="1:18" ht="26.25" thickBot="1" x14ac:dyDescent="0.3">
      <c r="A68" s="139">
        <v>12</v>
      </c>
      <c r="B68" s="158" t="s">
        <v>89</v>
      </c>
      <c r="C68" s="139" t="s">
        <v>62</v>
      </c>
      <c r="D68" s="139"/>
      <c r="E68" s="155" t="s">
        <v>74</v>
      </c>
      <c r="F68" s="139" t="s">
        <v>420</v>
      </c>
      <c r="G68" s="155" t="s">
        <v>409</v>
      </c>
      <c r="H68" s="139">
        <v>8</v>
      </c>
      <c r="I68" s="139">
        <v>1</v>
      </c>
      <c r="J68" s="139">
        <v>1</v>
      </c>
      <c r="K68" s="156">
        <v>528.6</v>
      </c>
      <c r="L68" s="156">
        <v>528.6</v>
      </c>
      <c r="M68" s="87">
        <f t="shared" si="4"/>
        <v>0</v>
      </c>
      <c r="N68" s="139">
        <v>2</v>
      </c>
      <c r="O68" s="156">
        <v>4052.6</v>
      </c>
      <c r="P68" s="156">
        <v>4052.6</v>
      </c>
      <c r="Q68" s="156">
        <f t="shared" si="5"/>
        <v>0</v>
      </c>
      <c r="R68" s="6"/>
    </row>
    <row r="69" spans="1:18" ht="26.25" thickBot="1" x14ac:dyDescent="0.3">
      <c r="A69" s="139">
        <v>13</v>
      </c>
      <c r="B69" s="158" t="s">
        <v>379</v>
      </c>
      <c r="C69" s="139" t="s">
        <v>62</v>
      </c>
      <c r="D69" s="139"/>
      <c r="E69" s="155" t="s">
        <v>74</v>
      </c>
      <c r="F69" s="139" t="s">
        <v>421</v>
      </c>
      <c r="G69" s="155" t="s">
        <v>409</v>
      </c>
      <c r="H69" s="139">
        <v>5</v>
      </c>
      <c r="I69" s="139">
        <v>2</v>
      </c>
      <c r="J69" s="139">
        <v>2</v>
      </c>
      <c r="K69" s="156">
        <v>1409.6</v>
      </c>
      <c r="L69" s="156">
        <v>1409.6</v>
      </c>
      <c r="M69" s="87">
        <f t="shared" si="4"/>
        <v>0</v>
      </c>
      <c r="N69" s="139"/>
      <c r="O69" s="156"/>
      <c r="P69" s="156"/>
      <c r="Q69" s="156">
        <f t="shared" si="5"/>
        <v>0</v>
      </c>
      <c r="R69" s="6"/>
    </row>
    <row r="70" spans="1:18" ht="26.25" thickBot="1" x14ac:dyDescent="0.3">
      <c r="A70" s="139">
        <v>14</v>
      </c>
      <c r="B70" s="158" t="s">
        <v>264</v>
      </c>
      <c r="C70" s="139" t="s">
        <v>62</v>
      </c>
      <c r="D70" s="139"/>
      <c r="E70" s="155" t="s">
        <v>74</v>
      </c>
      <c r="F70" s="139" t="s">
        <v>422</v>
      </c>
      <c r="G70" s="155" t="s">
        <v>409</v>
      </c>
      <c r="H70" s="139">
        <v>3</v>
      </c>
      <c r="I70" s="139"/>
      <c r="J70" s="139"/>
      <c r="K70" s="156"/>
      <c r="L70" s="156"/>
      <c r="M70" s="87">
        <f t="shared" si="4"/>
        <v>0</v>
      </c>
      <c r="N70" s="139"/>
      <c r="O70" s="156"/>
      <c r="P70" s="156"/>
      <c r="Q70" s="156">
        <f t="shared" si="5"/>
        <v>0</v>
      </c>
      <c r="R70" s="6"/>
    </row>
    <row r="71" spans="1:18" ht="26.25" thickBot="1" x14ac:dyDescent="0.3">
      <c r="A71" s="139">
        <v>15</v>
      </c>
      <c r="B71" s="158" t="s">
        <v>475</v>
      </c>
      <c r="C71" s="139" t="s">
        <v>67</v>
      </c>
      <c r="D71" s="155" t="s">
        <v>123</v>
      </c>
      <c r="E71" s="155" t="s">
        <v>82</v>
      </c>
      <c r="F71" s="139" t="s">
        <v>423</v>
      </c>
      <c r="G71" s="155" t="s">
        <v>409</v>
      </c>
      <c r="H71" s="139">
        <v>3</v>
      </c>
      <c r="I71" s="139"/>
      <c r="J71" s="139"/>
      <c r="K71" s="156"/>
      <c r="L71" s="156"/>
      <c r="M71" s="87">
        <f t="shared" si="4"/>
        <v>0</v>
      </c>
      <c r="N71" s="139"/>
      <c r="O71" s="156"/>
      <c r="P71" s="156"/>
      <c r="Q71" s="156">
        <f t="shared" si="5"/>
        <v>0</v>
      </c>
      <c r="R71" s="6"/>
    </row>
    <row r="72" spans="1:18" ht="26.25" thickBot="1" x14ac:dyDescent="0.3">
      <c r="A72" s="139">
        <v>16</v>
      </c>
      <c r="B72" s="158" t="s">
        <v>137</v>
      </c>
      <c r="C72" s="139" t="s">
        <v>62</v>
      </c>
      <c r="D72" s="139"/>
      <c r="E72" s="155" t="s">
        <v>78</v>
      </c>
      <c r="F72" s="139" t="s">
        <v>424</v>
      </c>
      <c r="G72" s="155" t="s">
        <v>409</v>
      </c>
      <c r="H72" s="139">
        <v>4</v>
      </c>
      <c r="I72" s="139">
        <v>1</v>
      </c>
      <c r="J72" s="139">
        <v>1</v>
      </c>
      <c r="K72" s="156">
        <v>1691.52</v>
      </c>
      <c r="L72" s="156">
        <v>1691.52</v>
      </c>
      <c r="M72" s="87">
        <f t="shared" si="4"/>
        <v>0</v>
      </c>
      <c r="N72" s="139"/>
      <c r="O72" s="156"/>
      <c r="P72" s="156"/>
      <c r="Q72" s="156">
        <f t="shared" si="5"/>
        <v>0</v>
      </c>
      <c r="R72" s="6"/>
    </row>
    <row r="73" spans="1:18" ht="26.25" thickBot="1" x14ac:dyDescent="0.3">
      <c r="A73" s="139">
        <v>17</v>
      </c>
      <c r="B73" s="157" t="s">
        <v>173</v>
      </c>
      <c r="C73" s="139" t="s">
        <v>67</v>
      </c>
      <c r="D73" s="139" t="s">
        <v>425</v>
      </c>
      <c r="E73" s="155" t="s">
        <v>74</v>
      </c>
      <c r="F73" s="139" t="s">
        <v>426</v>
      </c>
      <c r="G73" s="155" t="s">
        <v>409</v>
      </c>
      <c r="H73" s="139">
        <v>10</v>
      </c>
      <c r="I73" s="139">
        <v>2</v>
      </c>
      <c r="J73" s="139">
        <v>2</v>
      </c>
      <c r="K73" s="156">
        <v>2114.4</v>
      </c>
      <c r="L73" s="156">
        <v>2114.4</v>
      </c>
      <c r="M73" s="87">
        <f t="shared" si="4"/>
        <v>0</v>
      </c>
      <c r="N73" s="139"/>
      <c r="O73" s="156"/>
      <c r="P73" s="156"/>
      <c r="Q73" s="156">
        <f t="shared" si="5"/>
        <v>0</v>
      </c>
      <c r="R73" s="6"/>
    </row>
    <row r="74" spans="1:18" ht="26.25" thickBot="1" x14ac:dyDescent="0.3">
      <c r="A74" s="139">
        <v>18</v>
      </c>
      <c r="B74" s="158" t="s">
        <v>135</v>
      </c>
      <c r="C74" s="139" t="s">
        <v>62</v>
      </c>
      <c r="D74" s="139"/>
      <c r="E74" s="155" t="s">
        <v>74</v>
      </c>
      <c r="F74" s="139" t="s">
        <v>427</v>
      </c>
      <c r="G74" s="155" t="s">
        <v>409</v>
      </c>
      <c r="H74" s="139">
        <v>2</v>
      </c>
      <c r="I74" s="139">
        <v>2</v>
      </c>
      <c r="J74" s="139">
        <v>2</v>
      </c>
      <c r="K74" s="156">
        <v>2396.3200000000002</v>
      </c>
      <c r="L74" s="156">
        <v>1691.52</v>
      </c>
      <c r="M74" s="87">
        <f t="shared" si="4"/>
        <v>704.80000000000018</v>
      </c>
      <c r="N74" s="139">
        <v>4</v>
      </c>
      <c r="O74" s="156">
        <v>12758.52</v>
      </c>
      <c r="P74" s="156"/>
      <c r="Q74" s="156">
        <f t="shared" si="5"/>
        <v>12758.52</v>
      </c>
      <c r="R74" s="6"/>
    </row>
    <row r="75" spans="1:18" ht="26.25" thickBot="1" x14ac:dyDescent="0.3">
      <c r="A75" s="139">
        <v>19</v>
      </c>
      <c r="B75" s="158" t="s">
        <v>148</v>
      </c>
      <c r="C75" s="139" t="s">
        <v>62</v>
      </c>
      <c r="D75" s="139"/>
      <c r="E75" s="155" t="s">
        <v>149</v>
      </c>
      <c r="F75" s="139" t="s">
        <v>375</v>
      </c>
      <c r="G75" s="155" t="s">
        <v>409</v>
      </c>
      <c r="H75" s="139">
        <v>16</v>
      </c>
      <c r="I75" s="139"/>
      <c r="J75" s="139"/>
      <c r="K75" s="156"/>
      <c r="L75" s="156"/>
      <c r="M75" s="87">
        <f t="shared" si="4"/>
        <v>0</v>
      </c>
      <c r="N75" s="139">
        <v>12</v>
      </c>
      <c r="O75" s="156">
        <v>34273.480000000003</v>
      </c>
      <c r="P75" s="156">
        <v>22187.47</v>
      </c>
      <c r="Q75" s="156">
        <f t="shared" si="5"/>
        <v>12086.010000000002</v>
      </c>
      <c r="R75" s="6"/>
    </row>
    <row r="76" spans="1:18" ht="26.25" thickBot="1" x14ac:dyDescent="0.3">
      <c r="A76" s="139">
        <v>20</v>
      </c>
      <c r="B76" s="158" t="s">
        <v>147</v>
      </c>
      <c r="C76" s="139" t="s">
        <v>62</v>
      </c>
      <c r="D76" s="139"/>
      <c r="E76" s="155" t="s">
        <v>74</v>
      </c>
      <c r="F76" s="139" t="s">
        <v>331</v>
      </c>
      <c r="G76" s="155" t="s">
        <v>409</v>
      </c>
      <c r="H76" s="139">
        <v>4</v>
      </c>
      <c r="I76" s="139"/>
      <c r="J76" s="139"/>
      <c r="K76" s="156"/>
      <c r="L76" s="156"/>
      <c r="M76" s="87">
        <f t="shared" si="4"/>
        <v>0</v>
      </c>
      <c r="N76" s="139">
        <v>6</v>
      </c>
      <c r="O76" s="156">
        <v>10763.2</v>
      </c>
      <c r="P76" s="156">
        <v>8120.2</v>
      </c>
      <c r="Q76" s="156">
        <f t="shared" si="5"/>
        <v>2643.0000000000009</v>
      </c>
      <c r="R76" s="6"/>
    </row>
    <row r="77" spans="1:18" ht="26.25" thickBot="1" x14ac:dyDescent="0.3">
      <c r="A77" s="139">
        <v>21</v>
      </c>
      <c r="B77" s="158" t="s">
        <v>124</v>
      </c>
      <c r="C77" s="139" t="s">
        <v>62</v>
      </c>
      <c r="D77" s="139"/>
      <c r="E77" s="155" t="s">
        <v>428</v>
      </c>
      <c r="F77" s="139" t="s">
        <v>329</v>
      </c>
      <c r="G77" s="155" t="s">
        <v>409</v>
      </c>
      <c r="H77" s="139">
        <v>14</v>
      </c>
      <c r="I77" s="139">
        <v>1</v>
      </c>
      <c r="J77" s="139">
        <v>1</v>
      </c>
      <c r="K77" s="156">
        <v>1762</v>
      </c>
      <c r="L77" s="156"/>
      <c r="M77" s="87">
        <f t="shared" si="4"/>
        <v>1762</v>
      </c>
      <c r="N77" s="139">
        <v>17</v>
      </c>
      <c r="O77" s="156">
        <v>20373.14</v>
      </c>
      <c r="P77" s="156">
        <v>8061.16</v>
      </c>
      <c r="Q77" s="156">
        <f t="shared" si="5"/>
        <v>12311.98</v>
      </c>
      <c r="R77" s="6"/>
    </row>
    <row r="78" spans="1:18" ht="26.25" thickBot="1" x14ac:dyDescent="0.3">
      <c r="A78" s="139">
        <v>22</v>
      </c>
      <c r="B78" s="158" t="s">
        <v>168</v>
      </c>
      <c r="C78" s="139" t="s">
        <v>62</v>
      </c>
      <c r="D78" s="139"/>
      <c r="E78" s="139" t="s">
        <v>371</v>
      </c>
      <c r="F78" s="139" t="s">
        <v>353</v>
      </c>
      <c r="G78" s="155" t="s">
        <v>409</v>
      </c>
      <c r="H78" s="139">
        <v>6</v>
      </c>
      <c r="I78" s="139">
        <v>1</v>
      </c>
      <c r="J78" s="139">
        <v>1</v>
      </c>
      <c r="K78" s="156">
        <v>1409.6</v>
      </c>
      <c r="L78" s="156"/>
      <c r="M78" s="87">
        <f t="shared" si="4"/>
        <v>1409.6</v>
      </c>
      <c r="N78" s="139"/>
      <c r="O78" s="156"/>
      <c r="P78" s="156"/>
      <c r="Q78" s="156">
        <f t="shared" si="5"/>
        <v>0</v>
      </c>
      <c r="R78" s="6"/>
    </row>
    <row r="79" spans="1:18" ht="26.25" thickBot="1" x14ac:dyDescent="0.3">
      <c r="A79" s="139">
        <v>23</v>
      </c>
      <c r="B79" s="157" t="s">
        <v>429</v>
      </c>
      <c r="C79" s="139" t="s">
        <v>62</v>
      </c>
      <c r="D79" s="139"/>
      <c r="E79" s="155" t="s">
        <v>74</v>
      </c>
      <c r="F79" s="139" t="s">
        <v>430</v>
      </c>
      <c r="G79" s="155" t="s">
        <v>409</v>
      </c>
      <c r="H79" s="139">
        <v>4</v>
      </c>
      <c r="I79" s="139">
        <v>2</v>
      </c>
      <c r="J79" s="139">
        <v>2</v>
      </c>
      <c r="K79" s="156">
        <v>2748.72</v>
      </c>
      <c r="L79" s="156">
        <v>1691.52</v>
      </c>
      <c r="M79" s="87">
        <f t="shared" si="4"/>
        <v>1057.1999999999998</v>
      </c>
      <c r="N79" s="139">
        <v>4</v>
      </c>
      <c r="O79" s="156">
        <v>3488.76</v>
      </c>
      <c r="P79" s="156">
        <v>528.6</v>
      </c>
      <c r="Q79" s="156">
        <f t="shared" si="5"/>
        <v>2960.1600000000003</v>
      </c>
      <c r="R79" s="6"/>
    </row>
    <row r="80" spans="1:18" ht="26.25" thickBot="1" x14ac:dyDescent="0.3">
      <c r="A80" s="139">
        <v>24</v>
      </c>
      <c r="B80" s="158" t="s">
        <v>130</v>
      </c>
      <c r="C80" s="139" t="s">
        <v>62</v>
      </c>
      <c r="D80" s="139"/>
      <c r="E80" s="155" t="s">
        <v>74</v>
      </c>
      <c r="F80" s="139" t="s">
        <v>431</v>
      </c>
      <c r="G80" s="155" t="s">
        <v>409</v>
      </c>
      <c r="H80" s="139">
        <v>4</v>
      </c>
      <c r="I80" s="139">
        <v>4</v>
      </c>
      <c r="J80" s="139">
        <v>4</v>
      </c>
      <c r="K80" s="156">
        <v>5204.2</v>
      </c>
      <c r="L80" s="156">
        <v>5204.2</v>
      </c>
      <c r="M80" s="87">
        <f t="shared" si="4"/>
        <v>0</v>
      </c>
      <c r="N80" s="139">
        <v>1</v>
      </c>
      <c r="O80" s="156">
        <v>845.76</v>
      </c>
      <c r="P80" s="156">
        <v>845.76</v>
      </c>
      <c r="Q80" s="156">
        <f t="shared" si="5"/>
        <v>0</v>
      </c>
      <c r="R80" s="6"/>
    </row>
    <row r="81" spans="1:18" ht="26.25" thickBot="1" x14ac:dyDescent="0.3">
      <c r="A81" s="139">
        <v>25</v>
      </c>
      <c r="B81" s="158" t="s">
        <v>32</v>
      </c>
      <c r="C81" s="139" t="s">
        <v>62</v>
      </c>
      <c r="D81" s="139"/>
      <c r="E81" s="155" t="s">
        <v>74</v>
      </c>
      <c r="F81" s="139" t="s">
        <v>432</v>
      </c>
      <c r="G81" s="155" t="s">
        <v>409</v>
      </c>
      <c r="H81" s="139">
        <v>8</v>
      </c>
      <c r="I81" s="139">
        <v>2</v>
      </c>
      <c r="J81" s="139">
        <v>2</v>
      </c>
      <c r="K81" s="156">
        <v>2114.4</v>
      </c>
      <c r="L81" s="156">
        <v>2114.4</v>
      </c>
      <c r="M81" s="87">
        <f t="shared" si="4"/>
        <v>0</v>
      </c>
      <c r="N81" s="139">
        <v>4</v>
      </c>
      <c r="O81" s="156">
        <v>4581.2</v>
      </c>
      <c r="P81" s="156">
        <v>4581.2</v>
      </c>
      <c r="Q81" s="156">
        <f t="shared" si="5"/>
        <v>0</v>
      </c>
      <c r="R81" s="6"/>
    </row>
    <row r="82" spans="1:18" ht="26.25" thickBot="1" x14ac:dyDescent="0.3">
      <c r="A82" s="139">
        <v>26</v>
      </c>
      <c r="B82" s="158" t="s">
        <v>343</v>
      </c>
      <c r="C82" s="139" t="s">
        <v>62</v>
      </c>
      <c r="D82" s="139"/>
      <c r="E82" s="155" t="s">
        <v>74</v>
      </c>
      <c r="F82" s="139" t="s">
        <v>433</v>
      </c>
      <c r="G82" s="155" t="s">
        <v>409</v>
      </c>
      <c r="H82" s="139">
        <v>8</v>
      </c>
      <c r="I82" s="139">
        <v>2</v>
      </c>
      <c r="J82" s="139">
        <v>2</v>
      </c>
      <c r="K82" s="156">
        <v>2114.4</v>
      </c>
      <c r="L82" s="156"/>
      <c r="M82" s="87">
        <f t="shared" si="4"/>
        <v>2114.4</v>
      </c>
      <c r="N82" s="139"/>
      <c r="O82" s="156"/>
      <c r="P82" s="156"/>
      <c r="Q82" s="156">
        <f t="shared" si="5"/>
        <v>0</v>
      </c>
      <c r="R82" s="6"/>
    </row>
    <row r="83" spans="1:18" ht="26.25" thickBot="1" x14ac:dyDescent="0.3">
      <c r="A83" s="139">
        <v>27</v>
      </c>
      <c r="B83" s="158" t="s">
        <v>290</v>
      </c>
      <c r="C83" s="139" t="s">
        <v>62</v>
      </c>
      <c r="D83" s="139"/>
      <c r="E83" s="139" t="s">
        <v>371</v>
      </c>
      <c r="F83" s="139" t="s">
        <v>434</v>
      </c>
      <c r="G83" s="155" t="s">
        <v>409</v>
      </c>
      <c r="H83" s="139">
        <v>3</v>
      </c>
      <c r="I83" s="139"/>
      <c r="J83" s="139"/>
      <c r="K83" s="156"/>
      <c r="L83" s="156"/>
      <c r="M83" s="87">
        <f t="shared" si="4"/>
        <v>0</v>
      </c>
      <c r="N83" s="139"/>
      <c r="O83" s="156"/>
      <c r="P83" s="156"/>
      <c r="Q83" s="156">
        <f t="shared" si="5"/>
        <v>0</v>
      </c>
      <c r="R83" s="6"/>
    </row>
    <row r="84" spans="1:18" ht="26.25" thickBot="1" x14ac:dyDescent="0.3">
      <c r="A84" s="139">
        <v>28</v>
      </c>
      <c r="B84" s="158" t="s">
        <v>315</v>
      </c>
      <c r="C84" s="139" t="s">
        <v>62</v>
      </c>
      <c r="D84" s="139"/>
      <c r="E84" s="155" t="s">
        <v>74</v>
      </c>
      <c r="F84" s="139" t="s">
        <v>435</v>
      </c>
      <c r="G84" s="155" t="s">
        <v>409</v>
      </c>
      <c r="H84" s="139">
        <v>12</v>
      </c>
      <c r="I84" s="139"/>
      <c r="J84" s="139"/>
      <c r="K84" s="156"/>
      <c r="L84" s="156"/>
      <c r="M84" s="87">
        <f t="shared" si="4"/>
        <v>0</v>
      </c>
      <c r="N84" s="139">
        <v>4</v>
      </c>
      <c r="O84" s="156">
        <v>5622.22</v>
      </c>
      <c r="P84" s="156">
        <v>1386.2</v>
      </c>
      <c r="Q84" s="156">
        <f t="shared" si="5"/>
        <v>4236.0200000000004</v>
      </c>
      <c r="R84" s="6"/>
    </row>
    <row r="85" spans="1:18" ht="26.25" thickBot="1" x14ac:dyDescent="0.3">
      <c r="A85" s="139">
        <v>29</v>
      </c>
      <c r="B85" s="158" t="s">
        <v>216</v>
      </c>
      <c r="C85" s="139" t="s">
        <v>67</v>
      </c>
      <c r="D85" s="139" t="s">
        <v>436</v>
      </c>
      <c r="E85" s="155" t="s">
        <v>74</v>
      </c>
      <c r="F85" s="139" t="s">
        <v>437</v>
      </c>
      <c r="G85" s="155" t="s">
        <v>409</v>
      </c>
      <c r="H85" s="139">
        <v>15</v>
      </c>
      <c r="I85" s="139">
        <v>3</v>
      </c>
      <c r="J85" s="139">
        <v>3</v>
      </c>
      <c r="K85" s="156">
        <v>5141.1499999999996</v>
      </c>
      <c r="L85" s="156"/>
      <c r="M85" s="87">
        <f t="shared" si="4"/>
        <v>5141.1499999999996</v>
      </c>
      <c r="N85" s="139"/>
      <c r="O85" s="156"/>
      <c r="P85" s="156"/>
      <c r="Q85" s="156">
        <f t="shared" si="5"/>
        <v>0</v>
      </c>
      <c r="R85" s="6"/>
    </row>
    <row r="86" spans="1:18" ht="26.25" thickBot="1" x14ac:dyDescent="0.3">
      <c r="A86" s="139">
        <v>30</v>
      </c>
      <c r="B86" s="158" t="s">
        <v>438</v>
      </c>
      <c r="C86" s="139" t="s">
        <v>62</v>
      </c>
      <c r="D86" s="139"/>
      <c r="E86" s="155" t="s">
        <v>74</v>
      </c>
      <c r="F86" s="139" t="s">
        <v>439</v>
      </c>
      <c r="G86" s="155" t="s">
        <v>409</v>
      </c>
      <c r="H86" s="139">
        <v>6</v>
      </c>
      <c r="I86" s="139"/>
      <c r="J86" s="139"/>
      <c r="K86" s="156"/>
      <c r="L86" s="156"/>
      <c r="M86" s="87">
        <f t="shared" si="4"/>
        <v>0</v>
      </c>
      <c r="N86" s="139"/>
      <c r="O86" s="156"/>
      <c r="P86" s="156"/>
      <c r="Q86" s="156">
        <f t="shared" si="5"/>
        <v>0</v>
      </c>
      <c r="R86" s="6"/>
    </row>
    <row r="87" spans="1:18" ht="26.25" thickBot="1" x14ac:dyDescent="0.3">
      <c r="A87" s="139">
        <v>31</v>
      </c>
      <c r="B87" s="157" t="s">
        <v>440</v>
      </c>
      <c r="C87" s="139" t="s">
        <v>62</v>
      </c>
      <c r="D87" s="139"/>
      <c r="E87" s="155" t="s">
        <v>74</v>
      </c>
      <c r="F87" s="139" t="s">
        <v>441</v>
      </c>
      <c r="G87" s="155" t="s">
        <v>409</v>
      </c>
      <c r="H87" s="139">
        <v>7</v>
      </c>
      <c r="I87" s="139">
        <v>3</v>
      </c>
      <c r="J87" s="139">
        <v>3</v>
      </c>
      <c r="K87" s="156">
        <v>3171.6</v>
      </c>
      <c r="L87" s="156"/>
      <c r="M87" s="87">
        <f t="shared" si="4"/>
        <v>3171.6</v>
      </c>
      <c r="N87" s="139"/>
      <c r="O87" s="156"/>
      <c r="P87" s="156"/>
      <c r="Q87" s="156">
        <f t="shared" si="5"/>
        <v>0</v>
      </c>
      <c r="R87" s="6"/>
    </row>
    <row r="88" spans="1:18" ht="45.75" thickBot="1" x14ac:dyDescent="0.3">
      <c r="A88" s="139">
        <v>32</v>
      </c>
      <c r="B88" s="158" t="s">
        <v>222</v>
      </c>
      <c r="C88" s="139" t="s">
        <v>64</v>
      </c>
      <c r="D88" s="149" t="s">
        <v>442</v>
      </c>
      <c r="E88" s="155" t="s">
        <v>74</v>
      </c>
      <c r="F88" s="139" t="s">
        <v>443</v>
      </c>
      <c r="G88" s="155" t="s">
        <v>409</v>
      </c>
      <c r="H88" s="139"/>
      <c r="I88" s="139"/>
      <c r="J88" s="139"/>
      <c r="K88" s="156"/>
      <c r="L88" s="156"/>
      <c r="M88" s="87">
        <f t="shared" si="4"/>
        <v>0</v>
      </c>
      <c r="N88" s="139"/>
      <c r="O88" s="156"/>
      <c r="P88" s="156"/>
      <c r="Q88" s="156">
        <f t="shared" si="5"/>
        <v>0</v>
      </c>
      <c r="R88" s="6"/>
    </row>
    <row r="89" spans="1:18" ht="26.25" thickBot="1" x14ac:dyDescent="0.3">
      <c r="A89" s="139">
        <v>33</v>
      </c>
      <c r="B89" s="158" t="s">
        <v>444</v>
      </c>
      <c r="C89" s="139" t="s">
        <v>62</v>
      </c>
      <c r="D89" s="139"/>
      <c r="E89" s="155" t="s">
        <v>74</v>
      </c>
      <c r="F89" s="139" t="s">
        <v>445</v>
      </c>
      <c r="G89" s="155" t="s">
        <v>409</v>
      </c>
      <c r="H89" s="139">
        <v>4</v>
      </c>
      <c r="I89" s="139">
        <v>2</v>
      </c>
      <c r="J89" s="139">
        <v>2</v>
      </c>
      <c r="K89" s="156">
        <v>1409.6</v>
      </c>
      <c r="L89" s="156"/>
      <c r="M89" s="87">
        <f t="shared" si="4"/>
        <v>1409.6</v>
      </c>
      <c r="N89" s="139"/>
      <c r="O89" s="156"/>
      <c r="P89" s="156"/>
      <c r="Q89" s="156">
        <f t="shared" si="5"/>
        <v>0</v>
      </c>
      <c r="R89" s="6"/>
    </row>
    <row r="90" spans="1:18" ht="26.25" thickBot="1" x14ac:dyDescent="0.3">
      <c r="A90" s="139">
        <v>34</v>
      </c>
      <c r="B90" s="158" t="s">
        <v>129</v>
      </c>
      <c r="C90" s="139" t="s">
        <v>62</v>
      </c>
      <c r="D90" s="139"/>
      <c r="E90" s="155" t="s">
        <v>74</v>
      </c>
      <c r="F90" s="139" t="s">
        <v>446</v>
      </c>
      <c r="G90" s="155" t="s">
        <v>409</v>
      </c>
      <c r="H90" s="139">
        <v>4</v>
      </c>
      <c r="I90" s="139">
        <v>3</v>
      </c>
      <c r="J90" s="139">
        <v>3</v>
      </c>
      <c r="K90" s="156">
        <v>3015.4</v>
      </c>
      <c r="L90" s="156">
        <v>1948.2</v>
      </c>
      <c r="M90" s="87">
        <f t="shared" si="4"/>
        <v>1067.2</v>
      </c>
      <c r="N90" s="139">
        <v>8</v>
      </c>
      <c r="O90" s="156">
        <v>12201.18</v>
      </c>
      <c r="P90" s="156">
        <v>7342.3</v>
      </c>
      <c r="Q90" s="156">
        <f t="shared" si="5"/>
        <v>4858.88</v>
      </c>
      <c r="R90" s="6"/>
    </row>
    <row r="91" spans="1:18" ht="25.5" x14ac:dyDescent="0.25">
      <c r="A91" s="139">
        <v>35</v>
      </c>
      <c r="B91" s="139" t="s">
        <v>104</v>
      </c>
      <c r="C91" s="139" t="s">
        <v>62</v>
      </c>
      <c r="D91" s="139"/>
      <c r="E91" s="155" t="s">
        <v>105</v>
      </c>
      <c r="F91" s="139" t="s">
        <v>447</v>
      </c>
      <c r="G91" s="155" t="s">
        <v>409</v>
      </c>
      <c r="H91" s="139"/>
      <c r="I91" s="139"/>
      <c r="J91" s="139"/>
      <c r="K91" s="156"/>
      <c r="L91" s="156"/>
      <c r="M91" s="87">
        <f t="shared" si="4"/>
        <v>0</v>
      </c>
      <c r="N91" s="139">
        <v>7</v>
      </c>
      <c r="O91" s="156">
        <v>5726.5</v>
      </c>
      <c r="P91" s="156">
        <v>5726.5</v>
      </c>
      <c r="Q91" s="156">
        <f t="shared" si="5"/>
        <v>0</v>
      </c>
      <c r="R91" s="6"/>
    </row>
    <row r="92" spans="1:18" ht="25.5" x14ac:dyDescent="0.25">
      <c r="A92" s="139">
        <v>36</v>
      </c>
      <c r="B92" s="139" t="s">
        <v>156</v>
      </c>
      <c r="C92" s="139" t="s">
        <v>67</v>
      </c>
      <c r="D92" s="139" t="s">
        <v>501</v>
      </c>
      <c r="E92" s="155" t="s">
        <v>74</v>
      </c>
      <c r="F92" s="139" t="s">
        <v>502</v>
      </c>
      <c r="G92" s="155" t="s">
        <v>409</v>
      </c>
      <c r="H92" s="139">
        <v>3</v>
      </c>
      <c r="I92" s="139"/>
      <c r="J92" s="139"/>
      <c r="K92" s="156"/>
      <c r="L92" s="156"/>
      <c r="M92" s="87">
        <f t="shared" si="4"/>
        <v>0</v>
      </c>
      <c r="N92" s="139">
        <v>3</v>
      </c>
      <c r="O92" s="156">
        <v>6167</v>
      </c>
      <c r="P92" s="156">
        <v>4757.3999999999996</v>
      </c>
      <c r="Q92" s="156">
        <f t="shared" si="5"/>
        <v>1409.6000000000004</v>
      </c>
      <c r="R92" s="6"/>
    </row>
    <row r="93" spans="1:18" ht="25.5" x14ac:dyDescent="0.25">
      <c r="A93" s="139">
        <v>37</v>
      </c>
      <c r="B93" s="139" t="s">
        <v>133</v>
      </c>
      <c r="C93" s="139" t="s">
        <v>67</v>
      </c>
      <c r="D93" s="139" t="s">
        <v>397</v>
      </c>
      <c r="E93" s="155" t="s">
        <v>74</v>
      </c>
      <c r="F93" s="139" t="s">
        <v>503</v>
      </c>
      <c r="G93" s="155" t="s">
        <v>409</v>
      </c>
      <c r="H93" s="139">
        <v>7</v>
      </c>
      <c r="I93" s="139"/>
      <c r="J93" s="139"/>
      <c r="K93" s="156"/>
      <c r="L93" s="156"/>
      <c r="M93" s="87">
        <f t="shared" si="4"/>
        <v>0</v>
      </c>
      <c r="N93" s="139">
        <v>8</v>
      </c>
      <c r="O93" s="156">
        <v>21929.06</v>
      </c>
      <c r="P93" s="156">
        <v>14551.26</v>
      </c>
      <c r="Q93" s="156">
        <f t="shared" si="5"/>
        <v>7377.8000000000011</v>
      </c>
      <c r="R93" s="6"/>
    </row>
    <row r="94" spans="1:18" ht="25.5" x14ac:dyDescent="0.25">
      <c r="A94" s="139">
        <v>38</v>
      </c>
      <c r="B94" s="139" t="s">
        <v>114</v>
      </c>
      <c r="C94" s="139" t="s">
        <v>62</v>
      </c>
      <c r="D94" s="139"/>
      <c r="E94" s="155" t="s">
        <v>115</v>
      </c>
      <c r="F94" s="139" t="s">
        <v>504</v>
      </c>
      <c r="G94" s="155" t="s">
        <v>409</v>
      </c>
      <c r="H94" s="139"/>
      <c r="I94" s="139"/>
      <c r="J94" s="139"/>
      <c r="K94" s="156"/>
      <c r="L94" s="156"/>
      <c r="M94" s="87">
        <f t="shared" si="4"/>
        <v>0</v>
      </c>
      <c r="N94" s="139">
        <v>2</v>
      </c>
      <c r="O94" s="156">
        <v>1762</v>
      </c>
      <c r="P94" s="156"/>
      <c r="Q94" s="156">
        <f t="shared" si="5"/>
        <v>1762</v>
      </c>
      <c r="R94" s="6"/>
    </row>
    <row r="95" spans="1:18" ht="25.5" x14ac:dyDescent="0.25">
      <c r="A95" s="139">
        <v>39</v>
      </c>
      <c r="B95" s="139" t="s">
        <v>505</v>
      </c>
      <c r="C95" s="139" t="s">
        <v>62</v>
      </c>
      <c r="D95" s="139"/>
      <c r="E95" s="155" t="s">
        <v>74</v>
      </c>
      <c r="F95" s="139" t="s">
        <v>506</v>
      </c>
      <c r="G95" s="155" t="s">
        <v>409</v>
      </c>
      <c r="H95" s="139">
        <v>1</v>
      </c>
      <c r="I95" s="139"/>
      <c r="J95" s="139"/>
      <c r="K95" s="156"/>
      <c r="L95" s="156"/>
      <c r="M95" s="87">
        <f t="shared" si="4"/>
        <v>0</v>
      </c>
      <c r="N95" s="139"/>
      <c r="O95" s="156"/>
      <c r="P95" s="156"/>
      <c r="Q95" s="156">
        <f t="shared" si="5"/>
        <v>0</v>
      </c>
      <c r="R95" s="6"/>
    </row>
    <row r="96" spans="1:18" ht="25.5" x14ac:dyDescent="0.25">
      <c r="A96" s="139">
        <v>40</v>
      </c>
      <c r="B96" s="139" t="s">
        <v>473</v>
      </c>
      <c r="C96" s="139" t="s">
        <v>62</v>
      </c>
      <c r="D96" s="139"/>
      <c r="E96" s="139" t="s">
        <v>74</v>
      </c>
      <c r="F96" s="139" t="s">
        <v>558</v>
      </c>
      <c r="G96" s="155" t="s">
        <v>409</v>
      </c>
      <c r="H96" s="139"/>
      <c r="I96" s="139"/>
      <c r="J96" s="139"/>
      <c r="K96" s="156"/>
      <c r="L96" s="156"/>
      <c r="M96" s="87"/>
      <c r="N96" s="139"/>
      <c r="O96" s="156"/>
      <c r="P96" s="156"/>
      <c r="Q96" s="156"/>
      <c r="R96" s="6"/>
    </row>
    <row r="97" spans="1:18" ht="25.5" x14ac:dyDescent="0.25">
      <c r="A97" s="139">
        <v>41</v>
      </c>
      <c r="B97" s="139" t="s">
        <v>376</v>
      </c>
      <c r="C97" s="139" t="s">
        <v>62</v>
      </c>
      <c r="D97" s="139"/>
      <c r="E97" s="139" t="s">
        <v>74</v>
      </c>
      <c r="F97" s="139" t="s">
        <v>559</v>
      </c>
      <c r="G97" s="155" t="s">
        <v>409</v>
      </c>
      <c r="H97" s="139"/>
      <c r="I97" s="139"/>
      <c r="J97" s="139"/>
      <c r="K97" s="156"/>
      <c r="L97" s="156"/>
      <c r="M97" s="87"/>
      <c r="N97" s="139"/>
      <c r="O97" s="156"/>
      <c r="P97" s="156"/>
      <c r="Q97" s="156"/>
      <c r="R97" s="6"/>
    </row>
    <row r="98" spans="1:18" ht="25.5" x14ac:dyDescent="0.25">
      <c r="A98" s="139">
        <v>42</v>
      </c>
      <c r="B98" s="139" t="s">
        <v>119</v>
      </c>
      <c r="C98" s="139" t="s">
        <v>62</v>
      </c>
      <c r="D98" s="139"/>
      <c r="E98" s="139" t="s">
        <v>74</v>
      </c>
      <c r="F98" s="139" t="s">
        <v>560</v>
      </c>
      <c r="G98" s="155" t="s">
        <v>409</v>
      </c>
      <c r="H98" s="139">
        <v>3</v>
      </c>
      <c r="I98" s="139"/>
      <c r="J98" s="139"/>
      <c r="K98" s="156"/>
      <c r="L98" s="156"/>
      <c r="M98" s="87"/>
      <c r="N98" s="139"/>
      <c r="O98" s="156"/>
      <c r="P98" s="156"/>
      <c r="Q98" s="156"/>
      <c r="R98" s="6"/>
    </row>
    <row r="99" spans="1:18" ht="25.5" x14ac:dyDescent="0.25">
      <c r="A99" s="139">
        <v>43</v>
      </c>
      <c r="B99" s="139" t="s">
        <v>47</v>
      </c>
      <c r="C99" s="139" t="s">
        <v>62</v>
      </c>
      <c r="D99" s="139"/>
      <c r="E99" s="139" t="s">
        <v>141</v>
      </c>
      <c r="F99" s="139" t="s">
        <v>560</v>
      </c>
      <c r="G99" s="155" t="s">
        <v>409</v>
      </c>
      <c r="H99" s="139"/>
      <c r="I99" s="139"/>
      <c r="J99" s="139"/>
      <c r="K99" s="156"/>
      <c r="L99" s="156"/>
      <c r="M99" s="139"/>
      <c r="N99" s="139"/>
      <c r="O99" s="156"/>
      <c r="P99" s="156"/>
      <c r="Q99" s="156"/>
      <c r="R99" s="6"/>
    </row>
    <row r="100" spans="1:18" ht="25.5" x14ac:dyDescent="0.25">
      <c r="A100" s="63">
        <v>1</v>
      </c>
      <c r="B100" s="63" t="s">
        <v>21</v>
      </c>
      <c r="C100" s="63" t="s">
        <v>522</v>
      </c>
      <c r="D100" s="63">
        <v>0</v>
      </c>
      <c r="E100" s="63" t="s">
        <v>157</v>
      </c>
      <c r="F100" s="63" t="s">
        <v>523</v>
      </c>
      <c r="G100" s="63" t="s">
        <v>524</v>
      </c>
      <c r="H100" s="63">
        <v>1</v>
      </c>
      <c r="I100" s="63">
        <v>0</v>
      </c>
      <c r="J100" s="63">
        <v>0</v>
      </c>
      <c r="K100" s="63">
        <v>0</v>
      </c>
      <c r="L100" s="63">
        <v>0</v>
      </c>
      <c r="M100" s="63">
        <v>0</v>
      </c>
      <c r="N100" s="63">
        <v>0</v>
      </c>
      <c r="O100" s="63">
        <v>0</v>
      </c>
      <c r="P100" s="63">
        <v>0</v>
      </c>
      <c r="Q100" s="63">
        <v>0</v>
      </c>
      <c r="R100" s="64"/>
    </row>
    <row r="101" spans="1:18" ht="25.5" x14ac:dyDescent="0.25">
      <c r="A101" s="63">
        <v>2</v>
      </c>
      <c r="B101" s="63" t="s">
        <v>147</v>
      </c>
      <c r="C101" s="63" t="s">
        <v>522</v>
      </c>
      <c r="D101" s="63">
        <v>0</v>
      </c>
      <c r="E101" s="63" t="s">
        <v>158</v>
      </c>
      <c r="F101" s="63" t="s">
        <v>525</v>
      </c>
      <c r="G101" s="63" t="s">
        <v>524</v>
      </c>
      <c r="H101" s="63">
        <v>1</v>
      </c>
      <c r="I101" s="63">
        <v>1</v>
      </c>
      <c r="J101" s="63">
        <v>1</v>
      </c>
      <c r="K101" s="63">
        <v>1762</v>
      </c>
      <c r="L101" s="63">
        <v>1762</v>
      </c>
      <c r="M101" s="63">
        <v>1762</v>
      </c>
      <c r="N101" s="63">
        <v>1</v>
      </c>
      <c r="O101" s="63">
        <v>3438.94</v>
      </c>
      <c r="P101" s="63">
        <v>3438.94</v>
      </c>
      <c r="Q101" s="63">
        <v>1938.94</v>
      </c>
      <c r="R101" s="64"/>
    </row>
    <row r="102" spans="1:18" ht="25.5" x14ac:dyDescent="0.25">
      <c r="A102" s="63">
        <v>3</v>
      </c>
      <c r="B102" s="64" t="s">
        <v>526</v>
      </c>
      <c r="C102" s="63" t="s">
        <v>522</v>
      </c>
      <c r="D102" s="63">
        <v>0</v>
      </c>
      <c r="E102" s="63" t="s">
        <v>527</v>
      </c>
      <c r="F102" s="63" t="s">
        <v>528</v>
      </c>
      <c r="G102" s="63" t="s">
        <v>524</v>
      </c>
      <c r="H102" s="63">
        <v>0</v>
      </c>
      <c r="I102" s="63">
        <v>0</v>
      </c>
      <c r="J102" s="63">
        <v>0</v>
      </c>
      <c r="K102" s="63">
        <v>0</v>
      </c>
      <c r="L102" s="63">
        <v>0</v>
      </c>
      <c r="M102" s="63">
        <v>0</v>
      </c>
      <c r="N102" s="63">
        <v>0</v>
      </c>
      <c r="O102" s="65">
        <v>0</v>
      </c>
      <c r="P102" s="63">
        <v>0</v>
      </c>
      <c r="Q102" s="63">
        <v>0</v>
      </c>
      <c r="R102" s="64"/>
    </row>
    <row r="103" spans="1:18" ht="25.5" x14ac:dyDescent="0.25">
      <c r="A103" s="63">
        <v>4</v>
      </c>
      <c r="B103" s="63" t="s">
        <v>529</v>
      </c>
      <c r="C103" s="63" t="s">
        <v>522</v>
      </c>
      <c r="D103" s="63">
        <v>0</v>
      </c>
      <c r="E103" s="63" t="s">
        <v>530</v>
      </c>
      <c r="F103" s="63" t="s">
        <v>531</v>
      </c>
      <c r="G103" s="63" t="s">
        <v>524</v>
      </c>
      <c r="H103" s="63">
        <v>3</v>
      </c>
      <c r="I103" s="63">
        <v>0</v>
      </c>
      <c r="J103" s="63">
        <v>0</v>
      </c>
      <c r="K103" s="63">
        <v>0</v>
      </c>
      <c r="L103" s="63">
        <v>0</v>
      </c>
      <c r="M103" s="63">
        <v>0</v>
      </c>
      <c r="N103" s="63">
        <v>0</v>
      </c>
      <c r="O103" s="63">
        <v>0</v>
      </c>
      <c r="P103" s="63">
        <v>0</v>
      </c>
      <c r="Q103" s="63">
        <v>0</v>
      </c>
      <c r="R103" s="64"/>
    </row>
    <row r="104" spans="1:18" ht="25.5" x14ac:dyDescent="0.25">
      <c r="A104" s="63">
        <v>5</v>
      </c>
      <c r="B104" s="63" t="s">
        <v>407</v>
      </c>
      <c r="C104" s="63" t="s">
        <v>522</v>
      </c>
      <c r="D104" s="63">
        <v>0</v>
      </c>
      <c r="E104" s="63" t="s">
        <v>530</v>
      </c>
      <c r="F104" s="63" t="s">
        <v>532</v>
      </c>
      <c r="G104" s="63" t="s">
        <v>524</v>
      </c>
      <c r="H104" s="63">
        <v>3</v>
      </c>
      <c r="I104" s="63">
        <v>0</v>
      </c>
      <c r="J104" s="63">
        <v>0</v>
      </c>
      <c r="K104" s="63">
        <v>0</v>
      </c>
      <c r="L104" s="63">
        <v>0</v>
      </c>
      <c r="M104" s="63">
        <v>0</v>
      </c>
      <c r="N104" s="63">
        <v>0</v>
      </c>
      <c r="O104" s="63">
        <v>0</v>
      </c>
      <c r="P104" s="63">
        <v>0</v>
      </c>
      <c r="Q104" s="63">
        <v>0</v>
      </c>
      <c r="R104" s="66"/>
    </row>
    <row r="105" spans="1:18" ht="25.5" x14ac:dyDescent="0.25">
      <c r="A105" s="63">
        <v>6</v>
      </c>
      <c r="B105" s="63" t="s">
        <v>185</v>
      </c>
      <c r="C105" s="63" t="s">
        <v>522</v>
      </c>
      <c r="D105" s="63">
        <v>0</v>
      </c>
      <c r="E105" s="63" t="s">
        <v>530</v>
      </c>
      <c r="F105" s="63" t="s">
        <v>533</v>
      </c>
      <c r="G105" s="63" t="s">
        <v>524</v>
      </c>
      <c r="H105" s="63">
        <v>4</v>
      </c>
      <c r="I105" s="63">
        <v>0</v>
      </c>
      <c r="J105" s="63">
        <v>0</v>
      </c>
      <c r="K105" s="63">
        <v>0</v>
      </c>
      <c r="L105" s="63">
        <v>0</v>
      </c>
      <c r="M105" s="63">
        <v>0</v>
      </c>
      <c r="N105" s="63">
        <v>0</v>
      </c>
      <c r="O105" s="63">
        <v>0</v>
      </c>
      <c r="P105" s="63">
        <v>0</v>
      </c>
      <c r="Q105" s="63">
        <v>0</v>
      </c>
      <c r="R105" s="66"/>
    </row>
    <row r="106" spans="1:18" ht="25.5" x14ac:dyDescent="0.25">
      <c r="A106" s="63">
        <v>7</v>
      </c>
      <c r="B106" s="63" t="s">
        <v>534</v>
      </c>
      <c r="C106" s="63" t="s">
        <v>522</v>
      </c>
      <c r="D106" s="63">
        <v>0</v>
      </c>
      <c r="E106" s="63" t="s">
        <v>530</v>
      </c>
      <c r="F106" s="63" t="s">
        <v>535</v>
      </c>
      <c r="G106" s="63" t="s">
        <v>524</v>
      </c>
      <c r="H106" s="63">
        <v>1</v>
      </c>
      <c r="I106" s="63">
        <v>0</v>
      </c>
      <c r="J106" s="63">
        <v>0</v>
      </c>
      <c r="K106" s="63">
        <v>0</v>
      </c>
      <c r="L106" s="63">
        <v>0</v>
      </c>
      <c r="M106" s="63">
        <v>0</v>
      </c>
      <c r="N106" s="63">
        <v>0</v>
      </c>
      <c r="O106" s="63">
        <v>0</v>
      </c>
      <c r="P106" s="63">
        <v>0</v>
      </c>
      <c r="Q106" s="63">
        <v>0</v>
      </c>
      <c r="R106" s="66"/>
    </row>
    <row r="107" spans="1:18" ht="25.5" x14ac:dyDescent="0.25">
      <c r="A107" s="67">
        <v>8</v>
      </c>
      <c r="B107" s="63" t="s">
        <v>104</v>
      </c>
      <c r="C107" s="63" t="s">
        <v>522</v>
      </c>
      <c r="D107" s="63">
        <v>0</v>
      </c>
      <c r="E107" s="63" t="s">
        <v>158</v>
      </c>
      <c r="F107" s="70" t="s">
        <v>536</v>
      </c>
      <c r="G107" s="63" t="s">
        <v>524</v>
      </c>
      <c r="H107" s="63">
        <v>0</v>
      </c>
      <c r="I107" s="63">
        <v>0</v>
      </c>
      <c r="J107" s="63">
        <v>0</v>
      </c>
      <c r="K107" s="63">
        <v>0</v>
      </c>
      <c r="L107" s="63">
        <v>0</v>
      </c>
      <c r="M107" s="63">
        <v>0</v>
      </c>
      <c r="N107" s="63">
        <v>0</v>
      </c>
      <c r="O107" s="63">
        <v>0</v>
      </c>
      <c r="P107" s="63">
        <v>0</v>
      </c>
      <c r="Q107" s="63">
        <v>0</v>
      </c>
      <c r="R107" s="66"/>
    </row>
    <row r="108" spans="1:18" ht="25.5" x14ac:dyDescent="0.25">
      <c r="A108" s="67">
        <v>9</v>
      </c>
      <c r="B108" s="68" t="s">
        <v>30</v>
      </c>
      <c r="C108" s="63" t="s">
        <v>522</v>
      </c>
      <c r="D108" s="63">
        <v>0</v>
      </c>
      <c r="E108" s="68" t="s">
        <v>537</v>
      </c>
      <c r="F108" s="63" t="s">
        <v>538</v>
      </c>
      <c r="G108" s="63" t="s">
        <v>524</v>
      </c>
      <c r="H108" s="63">
        <v>0</v>
      </c>
      <c r="I108" s="63">
        <v>0</v>
      </c>
      <c r="J108" s="63">
        <v>0</v>
      </c>
      <c r="K108" s="63">
        <v>0</v>
      </c>
      <c r="L108" s="63">
        <v>0</v>
      </c>
      <c r="M108" s="63">
        <v>0</v>
      </c>
      <c r="N108" s="63">
        <v>0</v>
      </c>
      <c r="O108" s="63">
        <v>0</v>
      </c>
      <c r="P108" s="63">
        <v>0</v>
      </c>
      <c r="Q108" s="63">
        <v>0</v>
      </c>
      <c r="R108" s="66"/>
    </row>
    <row r="109" spans="1:18" x14ac:dyDescent="0.25">
      <c r="A109" s="159">
        <v>1</v>
      </c>
      <c r="B109" s="160" t="s">
        <v>47</v>
      </c>
      <c r="C109" s="159" t="s">
        <v>62</v>
      </c>
      <c r="D109" s="160"/>
      <c r="E109" s="160" t="s">
        <v>141</v>
      </c>
      <c r="F109" s="160" t="s">
        <v>448</v>
      </c>
      <c r="G109" s="160" t="s">
        <v>142</v>
      </c>
      <c r="H109" s="161">
        <v>6</v>
      </c>
      <c r="I109" s="161">
        <v>1</v>
      </c>
      <c r="J109" s="161">
        <v>1</v>
      </c>
      <c r="K109" s="161">
        <v>1233.4000000000001</v>
      </c>
      <c r="L109" s="161">
        <v>1233.4000000000001</v>
      </c>
      <c r="M109" s="161"/>
      <c r="N109" s="161">
        <v>17</v>
      </c>
      <c r="O109" s="161">
        <v>24659.43</v>
      </c>
      <c r="P109" s="161">
        <v>24659.43</v>
      </c>
      <c r="Q109" s="161"/>
      <c r="R109" s="6"/>
    </row>
    <row r="110" spans="1:18" x14ac:dyDescent="0.25">
      <c r="A110" s="159">
        <f>A109+1</f>
        <v>2</v>
      </c>
      <c r="B110" s="160" t="s">
        <v>55</v>
      </c>
      <c r="C110" s="159" t="s">
        <v>62</v>
      </c>
      <c r="D110" s="160"/>
      <c r="E110" s="160" t="s">
        <v>141</v>
      </c>
      <c r="F110" s="160" t="s">
        <v>449</v>
      </c>
      <c r="G110" s="160" t="s">
        <v>142</v>
      </c>
      <c r="H110" s="161">
        <v>8</v>
      </c>
      <c r="I110" s="161">
        <v>3</v>
      </c>
      <c r="J110" s="161">
        <v>3</v>
      </c>
      <c r="K110" s="161">
        <v>2995.4</v>
      </c>
      <c r="L110" s="161">
        <v>2995.4</v>
      </c>
      <c r="M110" s="161"/>
      <c r="N110" s="161">
        <v>11</v>
      </c>
      <c r="O110" s="161">
        <v>21232.1</v>
      </c>
      <c r="P110" s="161">
        <v>21232.1</v>
      </c>
      <c r="Q110" s="161"/>
      <c r="R110" s="6"/>
    </row>
    <row r="111" spans="1:18" x14ac:dyDescent="0.25">
      <c r="A111" s="159">
        <f>A110+1</f>
        <v>3</v>
      </c>
      <c r="B111" s="160" t="s">
        <v>122</v>
      </c>
      <c r="C111" s="159" t="s">
        <v>62</v>
      </c>
      <c r="D111" s="160"/>
      <c r="E111" s="160" t="s">
        <v>143</v>
      </c>
      <c r="F111" s="160" t="s">
        <v>450</v>
      </c>
      <c r="G111" s="160" t="s">
        <v>142</v>
      </c>
      <c r="H111" s="161">
        <v>5</v>
      </c>
      <c r="I111" s="161"/>
      <c r="J111" s="161"/>
      <c r="K111" s="161"/>
      <c r="L111" s="161"/>
      <c r="M111" s="161"/>
      <c r="N111" s="161">
        <v>4</v>
      </c>
      <c r="O111" s="161">
        <v>8841.5400000000009</v>
      </c>
      <c r="P111" s="161">
        <v>8841.5400000000009</v>
      </c>
      <c r="Q111" s="161"/>
      <c r="R111" s="6"/>
    </row>
    <row r="112" spans="1:18" x14ac:dyDescent="0.25">
      <c r="A112" s="159">
        <f>A111+1</f>
        <v>4</v>
      </c>
      <c r="B112" s="160" t="s">
        <v>144</v>
      </c>
      <c r="C112" s="159" t="s">
        <v>62</v>
      </c>
      <c r="D112" s="160"/>
      <c r="E112" s="160" t="s">
        <v>141</v>
      </c>
      <c r="F112" s="160" t="s">
        <v>451</v>
      </c>
      <c r="G112" s="160" t="s">
        <v>142</v>
      </c>
      <c r="H112" s="161">
        <v>7</v>
      </c>
      <c r="I112" s="161">
        <v>5</v>
      </c>
      <c r="J112" s="161">
        <v>5</v>
      </c>
      <c r="K112" s="161">
        <v>6096.52</v>
      </c>
      <c r="L112" s="161">
        <v>3351.77</v>
      </c>
      <c r="M112" s="161">
        <v>2744.75</v>
      </c>
      <c r="N112" s="161">
        <v>2</v>
      </c>
      <c r="O112" s="161">
        <v>1938.2</v>
      </c>
      <c r="P112" s="161">
        <v>1938.2</v>
      </c>
      <c r="Q112" s="161"/>
      <c r="R112" s="6"/>
    </row>
    <row r="113" spans="1:18" x14ac:dyDescent="0.25">
      <c r="A113" s="159">
        <f>A112+1</f>
        <v>5</v>
      </c>
      <c r="B113" s="160" t="s">
        <v>46</v>
      </c>
      <c r="C113" s="159" t="s">
        <v>62</v>
      </c>
      <c r="D113" s="160"/>
      <c r="E113" s="160" t="s">
        <v>452</v>
      </c>
      <c r="F113" s="160" t="s">
        <v>453</v>
      </c>
      <c r="G113" s="160" t="s">
        <v>142</v>
      </c>
      <c r="H113" s="161"/>
      <c r="I113" s="161"/>
      <c r="J113" s="161"/>
      <c r="K113" s="161"/>
      <c r="L113" s="161"/>
      <c r="M113" s="161"/>
      <c r="N113" s="161"/>
      <c r="O113" s="161"/>
      <c r="P113" s="159"/>
      <c r="Q113" s="159"/>
      <c r="R113" s="6"/>
    </row>
    <row r="114" spans="1:18" x14ac:dyDescent="0.25">
      <c r="A114" s="162">
        <v>6</v>
      </c>
      <c r="B114" s="163" t="s">
        <v>133</v>
      </c>
      <c r="C114" s="162" t="s">
        <v>67</v>
      </c>
      <c r="D114" s="162" t="s">
        <v>397</v>
      </c>
      <c r="E114" s="163" t="s">
        <v>74</v>
      </c>
      <c r="F114" s="163" t="s">
        <v>454</v>
      </c>
      <c r="G114" s="160" t="s">
        <v>142</v>
      </c>
      <c r="H114" s="164"/>
      <c r="I114" s="165"/>
      <c r="J114" s="165"/>
      <c r="K114" s="165"/>
      <c r="L114" s="165"/>
      <c r="M114" s="165"/>
      <c r="N114" s="162"/>
      <c r="O114" s="162"/>
      <c r="P114" s="162"/>
      <c r="Q114" s="162"/>
      <c r="R114" s="6"/>
    </row>
    <row r="115" spans="1:18" x14ac:dyDescent="0.25">
      <c r="A115" s="162">
        <v>7</v>
      </c>
      <c r="B115" s="163" t="s">
        <v>176</v>
      </c>
      <c r="C115" s="162" t="s">
        <v>62</v>
      </c>
      <c r="D115" s="162"/>
      <c r="E115" s="163" t="s">
        <v>141</v>
      </c>
      <c r="F115" s="162" t="s">
        <v>455</v>
      </c>
      <c r="G115" s="163" t="s">
        <v>142</v>
      </c>
      <c r="H115" s="164">
        <v>9</v>
      </c>
      <c r="I115" s="164">
        <v>7</v>
      </c>
      <c r="J115" s="164">
        <v>7</v>
      </c>
      <c r="K115" s="164">
        <v>8598.56</v>
      </c>
      <c r="L115" s="164">
        <v>8598.56</v>
      </c>
      <c r="M115" s="164"/>
      <c r="N115" s="162"/>
      <c r="O115" s="162"/>
      <c r="P115" s="162"/>
      <c r="Q115" s="162"/>
      <c r="R115" s="6"/>
    </row>
    <row r="116" spans="1:18" x14ac:dyDescent="0.25">
      <c r="A116" s="162">
        <v>8</v>
      </c>
      <c r="B116" s="163" t="s">
        <v>235</v>
      </c>
      <c r="C116" s="162" t="s">
        <v>62</v>
      </c>
      <c r="D116" s="162"/>
      <c r="E116" s="163" t="s">
        <v>456</v>
      </c>
      <c r="F116" s="163" t="s">
        <v>457</v>
      </c>
      <c r="G116" s="163" t="s">
        <v>142</v>
      </c>
      <c r="H116" s="165">
        <v>2</v>
      </c>
      <c r="I116" s="165"/>
      <c r="J116" s="165"/>
      <c r="K116" s="165"/>
      <c r="L116" s="165"/>
      <c r="M116" s="165"/>
      <c r="N116" s="162"/>
      <c r="O116" s="162"/>
      <c r="P116" s="162"/>
      <c r="Q116" s="162"/>
      <c r="R116" s="6"/>
    </row>
    <row r="117" spans="1:18" x14ac:dyDescent="0.25">
      <c r="A117" s="162">
        <v>9</v>
      </c>
      <c r="B117" s="163" t="s">
        <v>251</v>
      </c>
      <c r="C117" s="162" t="s">
        <v>62</v>
      </c>
      <c r="D117" s="162"/>
      <c r="E117" s="163" t="s">
        <v>141</v>
      </c>
      <c r="F117" s="163" t="s">
        <v>458</v>
      </c>
      <c r="G117" s="163" t="s">
        <v>142</v>
      </c>
      <c r="H117" s="164">
        <v>5</v>
      </c>
      <c r="I117" s="164">
        <v>2</v>
      </c>
      <c r="J117" s="164">
        <v>2</v>
      </c>
      <c r="K117" s="164">
        <v>1409.6</v>
      </c>
      <c r="L117" s="164">
        <v>1409.6</v>
      </c>
      <c r="M117" s="164"/>
      <c r="N117" s="162"/>
      <c r="O117" s="162"/>
      <c r="P117" s="162"/>
      <c r="Q117" s="162"/>
      <c r="R117" s="6"/>
    </row>
    <row r="118" spans="1:18" x14ac:dyDescent="0.25">
      <c r="A118" s="162">
        <v>10</v>
      </c>
      <c r="B118" s="163" t="s">
        <v>30</v>
      </c>
      <c r="C118" s="162" t="s">
        <v>62</v>
      </c>
      <c r="D118" s="162"/>
      <c r="E118" s="163" t="s">
        <v>459</v>
      </c>
      <c r="F118" s="163" t="s">
        <v>460</v>
      </c>
      <c r="G118" s="162" t="s">
        <v>142</v>
      </c>
      <c r="H118" s="164">
        <v>1</v>
      </c>
      <c r="I118" s="162"/>
      <c r="J118" s="162"/>
      <c r="K118" s="162"/>
      <c r="L118" s="162"/>
      <c r="M118" s="162"/>
      <c r="N118" s="162"/>
      <c r="O118" s="162"/>
      <c r="P118" s="162"/>
      <c r="Q118" s="162"/>
      <c r="R118" s="6"/>
    </row>
    <row r="119" spans="1:18" x14ac:dyDescent="0.25">
      <c r="A119" s="162">
        <v>11</v>
      </c>
      <c r="B119" s="163" t="s">
        <v>35</v>
      </c>
      <c r="C119" s="162" t="s">
        <v>62</v>
      </c>
      <c r="D119" s="162"/>
      <c r="E119" s="163" t="s">
        <v>461</v>
      </c>
      <c r="F119" s="162" t="s">
        <v>462</v>
      </c>
      <c r="G119" s="162" t="s">
        <v>142</v>
      </c>
      <c r="H119" s="164">
        <v>1</v>
      </c>
      <c r="I119" s="162"/>
      <c r="J119" s="162"/>
      <c r="K119" s="162"/>
      <c r="L119" s="162"/>
      <c r="M119" s="162"/>
      <c r="N119" s="162"/>
      <c r="O119" s="162"/>
      <c r="P119" s="162"/>
      <c r="Q119" s="162"/>
      <c r="R119" s="6"/>
    </row>
    <row r="120" spans="1:18" x14ac:dyDescent="0.25">
      <c r="A120" s="80">
        <v>1</v>
      </c>
      <c r="B120" s="81" t="s">
        <v>19</v>
      </c>
      <c r="C120" s="81" t="s">
        <v>62</v>
      </c>
      <c r="D120" s="82"/>
      <c r="E120" s="81" t="s">
        <v>71</v>
      </c>
      <c r="F120" s="81" t="s">
        <v>394</v>
      </c>
      <c r="G120" s="83" t="s">
        <v>395</v>
      </c>
      <c r="H120" s="84">
        <v>1</v>
      </c>
      <c r="I120" s="85">
        <v>0</v>
      </c>
      <c r="J120" s="86">
        <v>0</v>
      </c>
      <c r="K120" s="87">
        <v>0</v>
      </c>
      <c r="L120" s="87">
        <v>0</v>
      </c>
      <c r="M120" s="87">
        <v>0</v>
      </c>
      <c r="N120" s="88">
        <v>0</v>
      </c>
      <c r="O120" s="89"/>
      <c r="P120" s="89"/>
      <c r="Q120" s="90">
        <f t="shared" ref="Q120:Q127" si="6">O120-P120</f>
        <v>0</v>
      </c>
      <c r="R120" s="166"/>
    </row>
    <row r="121" spans="1:18" ht="51" x14ac:dyDescent="0.25">
      <c r="A121" s="69">
        <f>A120+1</f>
        <v>2</v>
      </c>
      <c r="B121" s="81" t="s">
        <v>90</v>
      </c>
      <c r="C121" s="81" t="s">
        <v>62</v>
      </c>
      <c r="D121" s="81" t="s">
        <v>63</v>
      </c>
      <c r="E121" s="81" t="s">
        <v>205</v>
      </c>
      <c r="F121" s="81" t="s">
        <v>396</v>
      </c>
      <c r="G121" s="91" t="s">
        <v>395</v>
      </c>
      <c r="H121" s="91">
        <v>20</v>
      </c>
      <c r="I121" s="91">
        <v>6</v>
      </c>
      <c r="J121" s="91">
        <v>6</v>
      </c>
      <c r="K121" s="87">
        <v>7400.4</v>
      </c>
      <c r="L121" s="87">
        <v>4228.8</v>
      </c>
      <c r="M121" s="87">
        <f>K121-L121</f>
        <v>3171.5999999999995</v>
      </c>
      <c r="N121" s="91">
        <v>15</v>
      </c>
      <c r="O121" s="87">
        <v>23170.3</v>
      </c>
      <c r="P121" s="87">
        <v>23170.3</v>
      </c>
      <c r="Q121" s="90">
        <f t="shared" si="6"/>
        <v>0</v>
      </c>
    </row>
    <row r="122" spans="1:18" x14ac:dyDescent="0.25">
      <c r="A122" s="69">
        <f>A121+1</f>
        <v>3</v>
      </c>
      <c r="B122" s="83" t="s">
        <v>133</v>
      </c>
      <c r="C122" s="80" t="s">
        <v>67</v>
      </c>
      <c r="D122" s="82" t="s">
        <v>397</v>
      </c>
      <c r="E122" s="83" t="s">
        <v>74</v>
      </c>
      <c r="F122" s="81" t="s">
        <v>398</v>
      </c>
      <c r="G122" s="91" t="s">
        <v>395</v>
      </c>
      <c r="H122" s="91">
        <v>6</v>
      </c>
      <c r="I122" s="91">
        <v>0</v>
      </c>
      <c r="J122" s="91">
        <v>1</v>
      </c>
      <c r="K122" s="87">
        <v>1057.2</v>
      </c>
      <c r="L122" s="87">
        <v>0</v>
      </c>
      <c r="M122" s="87">
        <f t="shared" ref="M122:M127" si="7">K122-L122</f>
        <v>1057.2</v>
      </c>
      <c r="N122" s="91">
        <v>8</v>
      </c>
      <c r="O122" s="87">
        <v>11920.73</v>
      </c>
      <c r="P122" s="87">
        <v>7102.19</v>
      </c>
      <c r="Q122" s="90">
        <f t="shared" si="6"/>
        <v>4818.54</v>
      </c>
    </row>
    <row r="123" spans="1:18" ht="25.5" x14ac:dyDescent="0.25">
      <c r="A123" s="69">
        <v>4</v>
      </c>
      <c r="B123" s="81" t="s">
        <v>399</v>
      </c>
      <c r="C123" s="81" t="s">
        <v>62</v>
      </c>
      <c r="D123" s="81"/>
      <c r="E123" s="81" t="s">
        <v>400</v>
      </c>
      <c r="F123" s="81" t="s">
        <v>401</v>
      </c>
      <c r="G123" s="91" t="s">
        <v>395</v>
      </c>
      <c r="H123" s="91">
        <v>20</v>
      </c>
      <c r="I123" s="91">
        <v>1</v>
      </c>
      <c r="J123" s="91">
        <v>2</v>
      </c>
      <c r="K123" s="87">
        <v>1762</v>
      </c>
      <c r="L123" s="87">
        <v>0</v>
      </c>
      <c r="M123" s="87">
        <f t="shared" si="7"/>
        <v>1762</v>
      </c>
      <c r="N123" s="91">
        <v>0</v>
      </c>
      <c r="O123" s="87"/>
      <c r="P123" s="87">
        <v>0</v>
      </c>
      <c r="Q123" s="90">
        <f t="shared" si="6"/>
        <v>0</v>
      </c>
    </row>
    <row r="124" spans="1:18" x14ac:dyDescent="0.25">
      <c r="A124" s="69">
        <v>5</v>
      </c>
      <c r="B124" s="81" t="s">
        <v>402</v>
      </c>
      <c r="C124" s="81" t="s">
        <v>62</v>
      </c>
      <c r="D124" s="81"/>
      <c r="E124" s="83" t="s">
        <v>74</v>
      </c>
      <c r="F124" s="81" t="s">
        <v>403</v>
      </c>
      <c r="G124" s="91" t="s">
        <v>395</v>
      </c>
      <c r="H124" s="91">
        <v>2</v>
      </c>
      <c r="I124" s="91">
        <v>0</v>
      </c>
      <c r="J124" s="91">
        <v>2</v>
      </c>
      <c r="K124" s="87">
        <v>3815.6</v>
      </c>
      <c r="L124" s="87">
        <v>0</v>
      </c>
      <c r="M124" s="87">
        <f t="shared" si="7"/>
        <v>3815.6</v>
      </c>
      <c r="N124" s="91">
        <v>0</v>
      </c>
      <c r="O124" s="87"/>
      <c r="P124" s="87">
        <v>0</v>
      </c>
      <c r="Q124" s="90">
        <f t="shared" si="6"/>
        <v>0</v>
      </c>
    </row>
    <row r="125" spans="1:18" ht="25.5" x14ac:dyDescent="0.25">
      <c r="A125" s="69">
        <v>6</v>
      </c>
      <c r="B125" s="81" t="s">
        <v>48</v>
      </c>
      <c r="C125" s="81" t="s">
        <v>62</v>
      </c>
      <c r="D125" s="81"/>
      <c r="E125" s="81" t="s">
        <v>81</v>
      </c>
      <c r="F125" s="81" t="s">
        <v>404</v>
      </c>
      <c r="G125" s="91" t="s">
        <v>395</v>
      </c>
      <c r="H125" s="91">
        <v>15</v>
      </c>
      <c r="I125" s="91">
        <v>0</v>
      </c>
      <c r="J125" s="91">
        <v>2</v>
      </c>
      <c r="K125" s="87">
        <v>2114.4</v>
      </c>
      <c r="L125" s="87">
        <v>0</v>
      </c>
      <c r="M125" s="87">
        <f t="shared" si="7"/>
        <v>2114.4</v>
      </c>
      <c r="N125" s="91">
        <v>10</v>
      </c>
      <c r="O125" s="87">
        <v>18853.400000000001</v>
      </c>
      <c r="P125" s="87">
        <v>9338.6</v>
      </c>
      <c r="Q125" s="90">
        <f t="shared" si="6"/>
        <v>9514.8000000000011</v>
      </c>
    </row>
    <row r="126" spans="1:18" x14ac:dyDescent="0.25">
      <c r="A126" s="69">
        <v>7</v>
      </c>
      <c r="B126" s="81" t="s">
        <v>39</v>
      </c>
      <c r="C126" s="81" t="s">
        <v>62</v>
      </c>
      <c r="D126" s="81"/>
      <c r="E126" s="81" t="s">
        <v>77</v>
      </c>
      <c r="F126" s="81" t="s">
        <v>405</v>
      </c>
      <c r="G126" s="91" t="s">
        <v>395</v>
      </c>
      <c r="H126" s="91">
        <v>21</v>
      </c>
      <c r="I126" s="91">
        <v>0</v>
      </c>
      <c r="J126" s="91">
        <v>0</v>
      </c>
      <c r="K126" s="87">
        <v>0</v>
      </c>
      <c r="L126" s="87">
        <v>0</v>
      </c>
      <c r="M126" s="87">
        <f t="shared" si="7"/>
        <v>0</v>
      </c>
      <c r="N126" s="91">
        <v>10</v>
      </c>
      <c r="O126" s="87">
        <v>15858</v>
      </c>
      <c r="P126" s="87">
        <v>11805.4</v>
      </c>
      <c r="Q126" s="90">
        <f t="shared" si="6"/>
        <v>4052.6000000000004</v>
      </c>
    </row>
    <row r="127" spans="1:18" x14ac:dyDescent="0.25">
      <c r="A127" s="69">
        <v>8</v>
      </c>
      <c r="B127" s="1" t="s">
        <v>127</v>
      </c>
      <c r="C127" s="81" t="s">
        <v>62</v>
      </c>
      <c r="D127" s="1"/>
      <c r="E127" s="83" t="s">
        <v>74</v>
      </c>
      <c r="F127" s="1" t="s">
        <v>406</v>
      </c>
      <c r="G127" s="91" t="s">
        <v>395</v>
      </c>
      <c r="H127" s="91">
        <v>0</v>
      </c>
      <c r="I127" s="91">
        <v>0</v>
      </c>
      <c r="J127" s="91">
        <v>0</v>
      </c>
      <c r="K127" s="87">
        <v>0</v>
      </c>
      <c r="L127" s="87">
        <v>0</v>
      </c>
      <c r="M127" s="87">
        <f t="shared" si="7"/>
        <v>0</v>
      </c>
      <c r="N127" s="91">
        <v>1</v>
      </c>
      <c r="O127" s="87">
        <v>264.3</v>
      </c>
      <c r="P127" s="87">
        <v>264.3</v>
      </c>
      <c r="Q127" s="90">
        <f t="shared" si="6"/>
        <v>0</v>
      </c>
    </row>
    <row r="128" spans="1:18" ht="25.5" x14ac:dyDescent="0.25">
      <c r="A128" s="69">
        <v>9</v>
      </c>
      <c r="B128" s="81" t="s">
        <v>561</v>
      </c>
      <c r="C128" s="81" t="s">
        <v>62</v>
      </c>
      <c r="D128" s="81"/>
      <c r="E128" s="81" t="s">
        <v>81</v>
      </c>
      <c r="F128" s="81" t="s">
        <v>562</v>
      </c>
      <c r="G128" s="91" t="s">
        <v>395</v>
      </c>
      <c r="H128" s="91">
        <v>29</v>
      </c>
      <c r="I128" s="91">
        <v>0</v>
      </c>
      <c r="J128" s="91">
        <v>0</v>
      </c>
      <c r="K128" s="87">
        <v>0</v>
      </c>
      <c r="L128" s="87">
        <v>0</v>
      </c>
      <c r="M128" s="87">
        <v>0</v>
      </c>
      <c r="N128" s="91">
        <v>0</v>
      </c>
      <c r="O128" s="87">
        <v>0</v>
      </c>
      <c r="P128" s="87">
        <v>0</v>
      </c>
      <c r="Q128" s="87">
        <v>0</v>
      </c>
    </row>
    <row r="129" spans="1:18" ht="25.5" x14ac:dyDescent="0.25">
      <c r="A129" s="69">
        <v>10</v>
      </c>
      <c r="B129" s="81" t="s">
        <v>563</v>
      </c>
      <c r="C129" s="81" t="s">
        <v>62</v>
      </c>
      <c r="D129" s="81"/>
      <c r="E129" s="81" t="s">
        <v>81</v>
      </c>
      <c r="F129" s="81" t="s">
        <v>564</v>
      </c>
      <c r="G129" s="91" t="s">
        <v>395</v>
      </c>
      <c r="H129" s="91">
        <v>20</v>
      </c>
      <c r="I129" s="91">
        <v>0</v>
      </c>
      <c r="J129" s="91">
        <v>0</v>
      </c>
      <c r="K129" s="87">
        <v>0</v>
      </c>
      <c r="L129" s="87">
        <v>0</v>
      </c>
      <c r="M129" s="87">
        <v>0</v>
      </c>
      <c r="N129" s="91">
        <v>0</v>
      </c>
      <c r="O129" s="87">
        <v>0</v>
      </c>
      <c r="P129" s="87">
        <v>0</v>
      </c>
      <c r="Q129" s="87">
        <v>0</v>
      </c>
    </row>
    <row r="130" spans="1:18" x14ac:dyDescent="0.25">
      <c r="A130" s="56">
        <v>1</v>
      </c>
      <c r="B130" s="167" t="s">
        <v>159</v>
      </c>
      <c r="C130" s="167" t="s">
        <v>62</v>
      </c>
      <c r="D130" s="167" t="s">
        <v>63</v>
      </c>
      <c r="E130" s="167" t="s">
        <v>121</v>
      </c>
      <c r="F130" s="167" t="s">
        <v>160</v>
      </c>
      <c r="G130" s="167" t="s">
        <v>85</v>
      </c>
      <c r="H130" s="167">
        <v>3</v>
      </c>
      <c r="I130" s="167">
        <v>3</v>
      </c>
      <c r="J130" s="167">
        <v>3</v>
      </c>
      <c r="K130" s="168">
        <v>1493.3</v>
      </c>
      <c r="L130" s="168">
        <v>1493.3</v>
      </c>
      <c r="M130" s="168">
        <v>0</v>
      </c>
      <c r="N130" s="167">
        <v>7</v>
      </c>
      <c r="O130" s="168">
        <v>26421.62</v>
      </c>
      <c r="P130" s="168">
        <v>26421.62</v>
      </c>
      <c r="Q130" s="168">
        <v>0</v>
      </c>
      <c r="R130" s="6"/>
    </row>
    <row r="131" spans="1:18" x14ac:dyDescent="0.25">
      <c r="A131" s="29">
        <f>A130+1</f>
        <v>2</v>
      </c>
      <c r="B131" s="167" t="s">
        <v>95</v>
      </c>
      <c r="C131" s="167" t="s">
        <v>62</v>
      </c>
      <c r="D131" s="167" t="s">
        <v>63</v>
      </c>
      <c r="E131" s="167" t="s">
        <v>74</v>
      </c>
      <c r="F131" s="167" t="s">
        <v>161</v>
      </c>
      <c r="G131" s="167" t="s">
        <v>85</v>
      </c>
      <c r="H131" s="167">
        <v>31</v>
      </c>
      <c r="I131" s="167">
        <v>22</v>
      </c>
      <c r="J131" s="167">
        <v>30</v>
      </c>
      <c r="K131" s="168">
        <v>29308.959999999999</v>
      </c>
      <c r="L131" s="168">
        <v>29308.959999999999</v>
      </c>
      <c r="M131" s="168">
        <v>0</v>
      </c>
      <c r="N131" s="167">
        <v>17</v>
      </c>
      <c r="O131" s="168">
        <v>26421.62</v>
      </c>
      <c r="P131" s="168">
        <v>57450.400000000001</v>
      </c>
      <c r="Q131" s="168">
        <v>0</v>
      </c>
      <c r="R131" s="6"/>
    </row>
    <row r="132" spans="1:18" x14ac:dyDescent="0.25">
      <c r="A132" s="29">
        <f t="shared" ref="A132:A195" si="8">A131+1</f>
        <v>3</v>
      </c>
      <c r="B132" s="167" t="s">
        <v>541</v>
      </c>
      <c r="C132" s="167" t="s">
        <v>62</v>
      </c>
      <c r="D132" s="167"/>
      <c r="E132" s="167" t="s">
        <v>177</v>
      </c>
      <c r="F132" s="167" t="s">
        <v>542</v>
      </c>
      <c r="G132" s="167" t="s">
        <v>85</v>
      </c>
      <c r="H132" s="167">
        <v>11</v>
      </c>
      <c r="I132" s="167">
        <v>1</v>
      </c>
      <c r="J132" s="167">
        <v>1</v>
      </c>
      <c r="K132" s="168">
        <v>0</v>
      </c>
      <c r="L132" s="168">
        <v>0</v>
      </c>
      <c r="M132" s="168">
        <v>0</v>
      </c>
      <c r="N132" s="167">
        <v>0</v>
      </c>
      <c r="O132" s="168">
        <v>0</v>
      </c>
      <c r="P132" s="168">
        <v>0</v>
      </c>
      <c r="Q132" s="168">
        <v>0</v>
      </c>
      <c r="R132" s="6"/>
    </row>
    <row r="133" spans="1:18" x14ac:dyDescent="0.25">
      <c r="A133" s="29">
        <f t="shared" si="8"/>
        <v>4</v>
      </c>
      <c r="B133" s="167" t="s">
        <v>18</v>
      </c>
      <c r="C133" s="167" t="s">
        <v>62</v>
      </c>
      <c r="D133" s="167" t="s">
        <v>63</v>
      </c>
      <c r="E133" s="167" t="s">
        <v>70</v>
      </c>
      <c r="F133" s="167" t="s">
        <v>565</v>
      </c>
      <c r="G133" s="167" t="s">
        <v>85</v>
      </c>
      <c r="H133" s="167">
        <v>2</v>
      </c>
      <c r="I133" s="167">
        <v>0</v>
      </c>
      <c r="J133" s="167">
        <v>0</v>
      </c>
      <c r="K133" s="168">
        <v>0</v>
      </c>
      <c r="L133" s="168">
        <v>0</v>
      </c>
      <c r="M133" s="168">
        <v>0</v>
      </c>
      <c r="N133" s="167">
        <v>1</v>
      </c>
      <c r="O133" s="168">
        <v>0</v>
      </c>
      <c r="P133" s="168">
        <v>0</v>
      </c>
      <c r="Q133" s="168">
        <v>0</v>
      </c>
      <c r="R133" s="6"/>
    </row>
    <row r="134" spans="1:18" x14ac:dyDescent="0.25">
      <c r="A134" s="29">
        <f t="shared" si="8"/>
        <v>5</v>
      </c>
      <c r="B134" s="167" t="s">
        <v>19</v>
      </c>
      <c r="C134" s="167" t="s">
        <v>62</v>
      </c>
      <c r="D134" s="167" t="s">
        <v>63</v>
      </c>
      <c r="E134" s="167" t="s">
        <v>71</v>
      </c>
      <c r="F134" s="167" t="s">
        <v>162</v>
      </c>
      <c r="G134" s="167" t="s">
        <v>85</v>
      </c>
      <c r="H134" s="167">
        <v>63</v>
      </c>
      <c r="I134" s="167">
        <v>42</v>
      </c>
      <c r="J134" s="167">
        <v>52</v>
      </c>
      <c r="K134" s="168">
        <v>48258.25</v>
      </c>
      <c r="L134" s="168">
        <v>48258.25</v>
      </c>
      <c r="M134" s="168">
        <v>0</v>
      </c>
      <c r="N134" s="167">
        <v>16</v>
      </c>
      <c r="O134" s="168">
        <v>60549.22</v>
      </c>
      <c r="P134" s="168">
        <v>60549.22</v>
      </c>
      <c r="Q134" s="168">
        <v>0</v>
      </c>
      <c r="R134" s="6"/>
    </row>
    <row r="135" spans="1:18" x14ac:dyDescent="0.25">
      <c r="A135" s="29">
        <f t="shared" si="8"/>
        <v>6</v>
      </c>
      <c r="B135" s="167" t="s">
        <v>20</v>
      </c>
      <c r="C135" s="167" t="s">
        <v>62</v>
      </c>
      <c r="D135" s="167" t="s">
        <v>63</v>
      </c>
      <c r="E135" s="167" t="s">
        <v>72</v>
      </c>
      <c r="F135" s="167" t="s">
        <v>163</v>
      </c>
      <c r="G135" s="167" t="s">
        <v>85</v>
      </c>
      <c r="H135" s="167">
        <v>0</v>
      </c>
      <c r="I135" s="167">
        <v>0</v>
      </c>
      <c r="J135" s="167">
        <v>0</v>
      </c>
      <c r="K135" s="168">
        <v>0</v>
      </c>
      <c r="L135" s="168">
        <v>0</v>
      </c>
      <c r="M135" s="168">
        <v>0</v>
      </c>
      <c r="N135" s="167">
        <v>0</v>
      </c>
      <c r="O135" s="168">
        <v>6138.73</v>
      </c>
      <c r="P135" s="168">
        <v>6138.73</v>
      </c>
      <c r="Q135" s="168">
        <v>0</v>
      </c>
      <c r="R135" s="6"/>
    </row>
    <row r="136" spans="1:18" x14ac:dyDescent="0.25">
      <c r="A136" s="29">
        <f t="shared" si="8"/>
        <v>7</v>
      </c>
      <c r="B136" s="167" t="s">
        <v>100</v>
      </c>
      <c r="C136" s="167" t="s">
        <v>62</v>
      </c>
      <c r="D136" s="167" t="s">
        <v>63</v>
      </c>
      <c r="E136" s="167" t="s">
        <v>101</v>
      </c>
      <c r="F136" s="167" t="s">
        <v>164</v>
      </c>
      <c r="G136" s="167" t="s">
        <v>85</v>
      </c>
      <c r="H136" s="167">
        <v>13</v>
      </c>
      <c r="I136" s="167">
        <v>12</v>
      </c>
      <c r="J136" s="167">
        <v>14</v>
      </c>
      <c r="K136" s="168">
        <v>2236.1999999999998</v>
      </c>
      <c r="L136" s="168">
        <v>2236.1999999999998</v>
      </c>
      <c r="M136" s="168">
        <v>0</v>
      </c>
      <c r="N136" s="167">
        <v>12</v>
      </c>
      <c r="O136" s="168">
        <v>14229.95</v>
      </c>
      <c r="P136" s="168">
        <v>14229.95</v>
      </c>
      <c r="Q136" s="168">
        <v>0</v>
      </c>
      <c r="R136" s="6"/>
    </row>
    <row r="137" spans="1:18" x14ac:dyDescent="0.25">
      <c r="A137" s="29">
        <f t="shared" si="8"/>
        <v>8</v>
      </c>
      <c r="B137" s="167" t="s">
        <v>86</v>
      </c>
      <c r="C137" s="167" t="s">
        <v>62</v>
      </c>
      <c r="D137" s="167" t="s">
        <v>63</v>
      </c>
      <c r="E137" s="167" t="s">
        <v>74</v>
      </c>
      <c r="F137" s="167" t="s">
        <v>165</v>
      </c>
      <c r="G137" s="167" t="s">
        <v>85</v>
      </c>
      <c r="H137" s="167">
        <v>31</v>
      </c>
      <c r="I137" s="167">
        <v>25</v>
      </c>
      <c r="J137" s="167">
        <v>27</v>
      </c>
      <c r="K137" s="168">
        <v>20362.900000000001</v>
      </c>
      <c r="L137" s="168">
        <v>20362.900000000001</v>
      </c>
      <c r="M137" s="168">
        <v>0</v>
      </c>
      <c r="N137" s="167">
        <v>17</v>
      </c>
      <c r="O137" s="168">
        <v>41124.29</v>
      </c>
      <c r="P137" s="168">
        <v>41124.29</v>
      </c>
      <c r="Q137" s="168">
        <v>0</v>
      </c>
      <c r="R137" s="6"/>
    </row>
    <row r="138" spans="1:18" x14ac:dyDescent="0.25">
      <c r="A138" s="29">
        <f t="shared" si="8"/>
        <v>9</v>
      </c>
      <c r="B138" s="167" t="s">
        <v>166</v>
      </c>
      <c r="C138" s="167" t="s">
        <v>62</v>
      </c>
      <c r="D138" s="167"/>
      <c r="E138" s="167" t="s">
        <v>63</v>
      </c>
      <c r="F138" s="167" t="s">
        <v>167</v>
      </c>
      <c r="G138" s="167" t="s">
        <v>85</v>
      </c>
      <c r="H138" s="167">
        <v>10</v>
      </c>
      <c r="I138" s="167">
        <v>7</v>
      </c>
      <c r="J138" s="167">
        <v>7</v>
      </c>
      <c r="K138" s="168">
        <v>3373.58</v>
      </c>
      <c r="L138" s="168">
        <v>3373.58</v>
      </c>
      <c r="M138" s="168">
        <v>0</v>
      </c>
      <c r="N138" s="167">
        <v>0</v>
      </c>
      <c r="O138" s="168">
        <v>0</v>
      </c>
      <c r="P138" s="168">
        <v>0</v>
      </c>
      <c r="Q138" s="168">
        <v>0</v>
      </c>
      <c r="R138" s="6"/>
    </row>
    <row r="139" spans="1:18" x14ac:dyDescent="0.25">
      <c r="A139" s="29">
        <f t="shared" si="8"/>
        <v>10</v>
      </c>
      <c r="B139" s="167" t="s">
        <v>168</v>
      </c>
      <c r="C139" s="167" t="s">
        <v>62</v>
      </c>
      <c r="D139" s="167"/>
      <c r="E139" s="167" t="s">
        <v>63</v>
      </c>
      <c r="F139" s="167" t="s">
        <v>169</v>
      </c>
      <c r="G139" s="167" t="s">
        <v>85</v>
      </c>
      <c r="H139" s="167">
        <v>17</v>
      </c>
      <c r="I139" s="167">
        <v>11</v>
      </c>
      <c r="J139" s="167">
        <v>13</v>
      </c>
      <c r="K139" s="168">
        <v>1800.94</v>
      </c>
      <c r="L139" s="168">
        <v>1800.94</v>
      </c>
      <c r="M139" s="168">
        <v>0</v>
      </c>
      <c r="N139" s="167">
        <v>0</v>
      </c>
      <c r="O139" s="168">
        <v>0</v>
      </c>
      <c r="P139" s="168">
        <v>0</v>
      </c>
      <c r="Q139" s="168">
        <v>0</v>
      </c>
      <c r="R139" s="6"/>
    </row>
    <row r="140" spans="1:18" x14ac:dyDescent="0.25">
      <c r="A140" s="29">
        <f t="shared" si="8"/>
        <v>11</v>
      </c>
      <c r="B140" s="167" t="s">
        <v>21</v>
      </c>
      <c r="C140" s="167" t="s">
        <v>62</v>
      </c>
      <c r="D140" s="167" t="s">
        <v>63</v>
      </c>
      <c r="E140" s="167" t="s">
        <v>73</v>
      </c>
      <c r="F140" s="167" t="s">
        <v>170</v>
      </c>
      <c r="G140" s="167" t="s">
        <v>85</v>
      </c>
      <c r="H140" s="167">
        <v>38</v>
      </c>
      <c r="I140" s="167">
        <v>34</v>
      </c>
      <c r="J140" s="167">
        <v>37</v>
      </c>
      <c r="K140" s="168">
        <v>35579.82</v>
      </c>
      <c r="L140" s="168">
        <v>35579.82</v>
      </c>
      <c r="M140" s="168">
        <v>0</v>
      </c>
      <c r="N140" s="167">
        <v>29</v>
      </c>
      <c r="O140" s="168">
        <v>55974.63</v>
      </c>
      <c r="P140" s="168">
        <v>55974.63</v>
      </c>
      <c r="Q140" s="168">
        <v>0</v>
      </c>
      <c r="R140" s="6"/>
    </row>
    <row r="141" spans="1:18" x14ac:dyDescent="0.25">
      <c r="A141" s="29">
        <f t="shared" si="8"/>
        <v>12</v>
      </c>
      <c r="B141" s="167" t="s">
        <v>22</v>
      </c>
      <c r="C141" s="167" t="s">
        <v>62</v>
      </c>
      <c r="D141" s="167" t="s">
        <v>63</v>
      </c>
      <c r="E141" s="167" t="s">
        <v>74</v>
      </c>
      <c r="F141" s="167" t="s">
        <v>171</v>
      </c>
      <c r="G141" s="167" t="s">
        <v>85</v>
      </c>
      <c r="H141" s="167">
        <v>26</v>
      </c>
      <c r="I141" s="167">
        <v>20</v>
      </c>
      <c r="J141" s="167">
        <v>23</v>
      </c>
      <c r="K141" s="168">
        <v>31389.19</v>
      </c>
      <c r="L141" s="168">
        <f>25314.87+6074.32</f>
        <v>31389.19</v>
      </c>
      <c r="M141" s="168">
        <v>0</v>
      </c>
      <c r="N141" s="167">
        <v>33</v>
      </c>
      <c r="O141" s="168">
        <v>32673.99</v>
      </c>
      <c r="P141" s="168">
        <f>31511.07+1162.92</f>
        <v>32673.989999999998</v>
      </c>
      <c r="Q141" s="168">
        <v>0</v>
      </c>
      <c r="R141" s="6"/>
    </row>
    <row r="142" spans="1:18" x14ac:dyDescent="0.25">
      <c r="A142" s="29">
        <f t="shared" si="8"/>
        <v>13</v>
      </c>
      <c r="B142" s="167" t="s">
        <v>23</v>
      </c>
      <c r="C142" s="167" t="s">
        <v>62</v>
      </c>
      <c r="D142" s="167" t="s">
        <v>63</v>
      </c>
      <c r="E142" s="167" t="s">
        <v>75</v>
      </c>
      <c r="F142" s="167" t="s">
        <v>136</v>
      </c>
      <c r="G142" s="167" t="s">
        <v>85</v>
      </c>
      <c r="H142" s="167">
        <v>2</v>
      </c>
      <c r="I142" s="167">
        <v>0</v>
      </c>
      <c r="J142" s="167">
        <v>0</v>
      </c>
      <c r="K142" s="168">
        <v>0</v>
      </c>
      <c r="L142" s="168">
        <v>0</v>
      </c>
      <c r="M142" s="168">
        <v>0</v>
      </c>
      <c r="N142" s="167">
        <v>0</v>
      </c>
      <c r="O142" s="168">
        <v>0</v>
      </c>
      <c r="P142" s="168">
        <v>0</v>
      </c>
      <c r="Q142" s="168">
        <v>0</v>
      </c>
      <c r="R142" s="6"/>
    </row>
    <row r="143" spans="1:18" x14ac:dyDescent="0.25">
      <c r="A143" s="29">
        <f t="shared" si="8"/>
        <v>14</v>
      </c>
      <c r="B143" s="167" t="s">
        <v>24</v>
      </c>
      <c r="C143" s="167" t="s">
        <v>62</v>
      </c>
      <c r="D143" s="167" t="s">
        <v>63</v>
      </c>
      <c r="E143" s="167" t="s">
        <v>74</v>
      </c>
      <c r="F143" s="167" t="s">
        <v>172</v>
      </c>
      <c r="G143" s="167" t="s">
        <v>85</v>
      </c>
      <c r="H143" s="167">
        <v>25</v>
      </c>
      <c r="I143" s="167">
        <v>16</v>
      </c>
      <c r="J143" s="167">
        <v>20</v>
      </c>
      <c r="K143" s="168">
        <v>13896.45</v>
      </c>
      <c r="L143" s="168">
        <v>13896.45</v>
      </c>
      <c r="M143" s="168">
        <v>0</v>
      </c>
      <c r="N143" s="167">
        <v>20</v>
      </c>
      <c r="O143" s="168">
        <v>38937.43</v>
      </c>
      <c r="P143" s="168">
        <v>38937.43</v>
      </c>
      <c r="Q143" s="168">
        <v>0</v>
      </c>
      <c r="R143" s="6"/>
    </row>
    <row r="144" spans="1:18" x14ac:dyDescent="0.25">
      <c r="A144" s="29">
        <f t="shared" si="8"/>
        <v>15</v>
      </c>
      <c r="B144" s="167" t="s">
        <v>102</v>
      </c>
      <c r="C144" s="167" t="s">
        <v>67</v>
      </c>
      <c r="D144" s="167" t="s">
        <v>516</v>
      </c>
      <c r="E144" s="167" t="s">
        <v>74</v>
      </c>
      <c r="F144" s="167" t="s">
        <v>477</v>
      </c>
      <c r="G144" s="167" t="s">
        <v>85</v>
      </c>
      <c r="H144" s="167">
        <v>2</v>
      </c>
      <c r="I144" s="167">
        <v>1</v>
      </c>
      <c r="J144" s="167">
        <v>1</v>
      </c>
      <c r="K144" s="168">
        <v>528.6</v>
      </c>
      <c r="L144" s="168">
        <v>528.6</v>
      </c>
      <c r="M144" s="168">
        <v>0</v>
      </c>
      <c r="N144" s="167">
        <v>4</v>
      </c>
      <c r="O144" s="168">
        <v>3334.48</v>
      </c>
      <c r="P144" s="168">
        <v>3334.48</v>
      </c>
      <c r="Q144" s="168">
        <v>0</v>
      </c>
      <c r="R144" s="6"/>
    </row>
    <row r="145" spans="1:18" x14ac:dyDescent="0.25">
      <c r="A145" s="29">
        <f t="shared" si="8"/>
        <v>16</v>
      </c>
      <c r="B145" s="167" t="s">
        <v>173</v>
      </c>
      <c r="C145" s="167" t="s">
        <v>67</v>
      </c>
      <c r="D145" s="167" t="s">
        <v>478</v>
      </c>
      <c r="E145" s="167" t="s">
        <v>174</v>
      </c>
      <c r="F145" s="167" t="s">
        <v>175</v>
      </c>
      <c r="G145" s="167" t="s">
        <v>85</v>
      </c>
      <c r="H145" s="167">
        <v>19</v>
      </c>
      <c r="I145" s="167">
        <v>14</v>
      </c>
      <c r="J145" s="167">
        <v>14</v>
      </c>
      <c r="K145" s="168">
        <v>5014.49</v>
      </c>
      <c r="L145" s="168">
        <v>5014.49</v>
      </c>
      <c r="M145" s="168">
        <v>0</v>
      </c>
      <c r="N145" s="167">
        <v>0</v>
      </c>
      <c r="O145" s="168">
        <v>0</v>
      </c>
      <c r="P145" s="168">
        <v>0</v>
      </c>
      <c r="Q145" s="168">
        <v>0</v>
      </c>
      <c r="R145" s="6"/>
    </row>
    <row r="146" spans="1:18" x14ac:dyDescent="0.25">
      <c r="A146" s="29">
        <f t="shared" si="8"/>
        <v>17</v>
      </c>
      <c r="B146" s="167" t="s">
        <v>25</v>
      </c>
      <c r="C146" s="167" t="s">
        <v>62</v>
      </c>
      <c r="D146" s="167" t="s">
        <v>63</v>
      </c>
      <c r="E146" s="167" t="s">
        <v>76</v>
      </c>
      <c r="F146" s="167" t="s">
        <v>566</v>
      </c>
      <c r="G146" s="167" t="s">
        <v>85</v>
      </c>
      <c r="H146" s="167">
        <v>29</v>
      </c>
      <c r="I146" s="167">
        <v>0</v>
      </c>
      <c r="J146" s="167">
        <v>0</v>
      </c>
      <c r="K146" s="168">
        <v>0</v>
      </c>
      <c r="L146" s="168">
        <v>0</v>
      </c>
      <c r="M146" s="168">
        <v>0</v>
      </c>
      <c r="N146" s="167">
        <v>0</v>
      </c>
      <c r="O146" s="168">
        <v>0</v>
      </c>
      <c r="P146" s="168">
        <v>0</v>
      </c>
      <c r="Q146" s="168">
        <v>0</v>
      </c>
      <c r="R146" s="6"/>
    </row>
    <row r="147" spans="1:18" x14ac:dyDescent="0.25">
      <c r="A147" s="29">
        <f t="shared" si="8"/>
        <v>18</v>
      </c>
      <c r="B147" s="167" t="s">
        <v>87</v>
      </c>
      <c r="C147" s="167" t="s">
        <v>62</v>
      </c>
      <c r="D147" s="167" t="s">
        <v>63</v>
      </c>
      <c r="E147" s="167" t="s">
        <v>75</v>
      </c>
      <c r="F147" s="167" t="s">
        <v>103</v>
      </c>
      <c r="G147" s="167" t="s">
        <v>85</v>
      </c>
      <c r="H147" s="167">
        <v>0</v>
      </c>
      <c r="I147" s="167">
        <v>0</v>
      </c>
      <c r="J147" s="167">
        <v>0</v>
      </c>
      <c r="K147" s="168">
        <v>0</v>
      </c>
      <c r="L147" s="168">
        <v>0</v>
      </c>
      <c r="M147" s="168">
        <v>0</v>
      </c>
      <c r="N147" s="167">
        <v>9</v>
      </c>
      <c r="O147" s="168">
        <v>0</v>
      </c>
      <c r="P147" s="168">
        <v>0</v>
      </c>
      <c r="Q147" s="168">
        <v>0</v>
      </c>
      <c r="R147" s="6"/>
    </row>
    <row r="148" spans="1:18" x14ac:dyDescent="0.25">
      <c r="A148" s="29">
        <f t="shared" si="8"/>
        <v>19</v>
      </c>
      <c r="B148" s="167" t="s">
        <v>479</v>
      </c>
      <c r="C148" s="167" t="s">
        <v>67</v>
      </c>
      <c r="D148" s="167" t="s">
        <v>480</v>
      </c>
      <c r="E148" s="167" t="s">
        <v>271</v>
      </c>
      <c r="F148" s="167" t="s">
        <v>481</v>
      </c>
      <c r="G148" s="167" t="s">
        <v>85</v>
      </c>
      <c r="H148" s="167">
        <v>8</v>
      </c>
      <c r="I148" s="167">
        <v>3</v>
      </c>
      <c r="J148" s="167">
        <v>3</v>
      </c>
      <c r="K148" s="168">
        <v>0</v>
      </c>
      <c r="L148" s="168">
        <v>0</v>
      </c>
      <c r="M148" s="168">
        <v>0</v>
      </c>
      <c r="N148" s="167">
        <v>0</v>
      </c>
      <c r="O148" s="168">
        <v>0</v>
      </c>
      <c r="P148" s="168">
        <v>0</v>
      </c>
      <c r="Q148" s="168">
        <v>0</v>
      </c>
      <c r="R148" s="6"/>
    </row>
    <row r="149" spans="1:18" x14ac:dyDescent="0.25">
      <c r="A149" s="29">
        <f t="shared" si="8"/>
        <v>20</v>
      </c>
      <c r="B149" s="167" t="s">
        <v>176</v>
      </c>
      <c r="C149" s="167" t="s">
        <v>62</v>
      </c>
      <c r="D149" s="167"/>
      <c r="E149" s="167" t="s">
        <v>177</v>
      </c>
      <c r="F149" s="167" t="s">
        <v>178</v>
      </c>
      <c r="G149" s="167" t="s">
        <v>85</v>
      </c>
      <c r="H149" s="167">
        <v>9</v>
      </c>
      <c r="I149" s="167">
        <v>5</v>
      </c>
      <c r="J149" s="167">
        <v>6</v>
      </c>
      <c r="K149" s="168">
        <v>5215.5200000000004</v>
      </c>
      <c r="L149" s="168">
        <v>5215.5200000000004</v>
      </c>
      <c r="M149" s="168">
        <v>0</v>
      </c>
      <c r="N149" s="167">
        <v>0</v>
      </c>
      <c r="O149" s="168">
        <v>0</v>
      </c>
      <c r="P149" s="168">
        <v>0</v>
      </c>
      <c r="Q149" s="168">
        <v>0</v>
      </c>
      <c r="R149" s="6"/>
    </row>
    <row r="150" spans="1:18" x14ac:dyDescent="0.25">
      <c r="A150" s="29">
        <f t="shared" si="8"/>
        <v>21</v>
      </c>
      <c r="B150" s="167" t="s">
        <v>152</v>
      </c>
      <c r="C150" s="167" t="s">
        <v>62</v>
      </c>
      <c r="D150" s="167" t="s">
        <v>63</v>
      </c>
      <c r="E150" s="167" t="s">
        <v>63</v>
      </c>
      <c r="F150" s="167" t="s">
        <v>179</v>
      </c>
      <c r="G150" s="167" t="s">
        <v>85</v>
      </c>
      <c r="H150" s="167">
        <v>21</v>
      </c>
      <c r="I150" s="167">
        <v>8</v>
      </c>
      <c r="J150" s="167">
        <v>9</v>
      </c>
      <c r="K150" s="168">
        <v>2163.9</v>
      </c>
      <c r="L150" s="168">
        <v>2163.9</v>
      </c>
      <c r="M150" s="168">
        <v>0</v>
      </c>
      <c r="N150" s="167">
        <v>12</v>
      </c>
      <c r="O150" s="168">
        <v>10033.950000000001</v>
      </c>
      <c r="P150" s="168">
        <v>10033.950000000001</v>
      </c>
      <c r="Q150" s="168">
        <v>0</v>
      </c>
      <c r="R150" s="6"/>
    </row>
    <row r="151" spans="1:18" x14ac:dyDescent="0.25">
      <c r="A151" s="29">
        <f t="shared" si="8"/>
        <v>22</v>
      </c>
      <c r="B151" s="167" t="s">
        <v>88</v>
      </c>
      <c r="C151" s="167" t="s">
        <v>62</v>
      </c>
      <c r="D151" s="167" t="s">
        <v>63</v>
      </c>
      <c r="E151" s="167" t="s">
        <v>74</v>
      </c>
      <c r="F151" s="167" t="s">
        <v>180</v>
      </c>
      <c r="G151" s="167" t="s">
        <v>85</v>
      </c>
      <c r="H151" s="167">
        <v>7</v>
      </c>
      <c r="I151" s="167">
        <v>2</v>
      </c>
      <c r="J151" s="167">
        <v>2</v>
      </c>
      <c r="K151" s="168">
        <v>2706.43</v>
      </c>
      <c r="L151" s="168">
        <v>2706.43</v>
      </c>
      <c r="M151" s="168">
        <v>0</v>
      </c>
      <c r="N151" s="167">
        <v>2</v>
      </c>
      <c r="O151" s="168">
        <v>2692.05</v>
      </c>
      <c r="P151" s="168">
        <v>2692.05</v>
      </c>
      <c r="Q151" s="168">
        <v>0</v>
      </c>
      <c r="R151" s="6"/>
    </row>
    <row r="152" spans="1:18" x14ac:dyDescent="0.25">
      <c r="A152" s="29">
        <f t="shared" si="8"/>
        <v>23</v>
      </c>
      <c r="B152" s="167" t="s">
        <v>26</v>
      </c>
      <c r="C152" s="167" t="s">
        <v>62</v>
      </c>
      <c r="D152" s="167" t="s">
        <v>63</v>
      </c>
      <c r="E152" s="167" t="s">
        <v>74</v>
      </c>
      <c r="F152" s="167" t="s">
        <v>181</v>
      </c>
      <c r="G152" s="167" t="s">
        <v>85</v>
      </c>
      <c r="H152" s="167">
        <v>20</v>
      </c>
      <c r="I152" s="167">
        <v>15</v>
      </c>
      <c r="J152" s="167">
        <v>18</v>
      </c>
      <c r="K152" s="168">
        <v>30043.9</v>
      </c>
      <c r="L152" s="168">
        <v>30043.9</v>
      </c>
      <c r="M152" s="168">
        <v>0</v>
      </c>
      <c r="N152" s="167">
        <v>11</v>
      </c>
      <c r="O152" s="168">
        <v>14402.86</v>
      </c>
      <c r="P152" s="168">
        <v>14402.86</v>
      </c>
      <c r="Q152" s="168">
        <v>0</v>
      </c>
      <c r="R152" s="6"/>
    </row>
    <row r="153" spans="1:18" x14ac:dyDescent="0.25">
      <c r="A153" s="29">
        <f t="shared" si="8"/>
        <v>24</v>
      </c>
      <c r="B153" s="167" t="s">
        <v>182</v>
      </c>
      <c r="C153" s="167" t="s">
        <v>62</v>
      </c>
      <c r="D153" s="167"/>
      <c r="E153" s="167" t="s">
        <v>174</v>
      </c>
      <c r="F153" s="167" t="s">
        <v>183</v>
      </c>
      <c r="G153" s="167" t="s">
        <v>85</v>
      </c>
      <c r="H153" s="167">
        <v>23</v>
      </c>
      <c r="I153" s="167">
        <v>21</v>
      </c>
      <c r="J153" s="167">
        <v>24</v>
      </c>
      <c r="K153" s="168">
        <v>16674.57</v>
      </c>
      <c r="L153" s="168">
        <v>16674.57</v>
      </c>
      <c r="M153" s="168">
        <v>0</v>
      </c>
      <c r="N153" s="167">
        <v>0</v>
      </c>
      <c r="O153" s="168">
        <v>0</v>
      </c>
      <c r="P153" s="168">
        <v>0</v>
      </c>
      <c r="Q153" s="168">
        <v>0</v>
      </c>
      <c r="R153" s="6"/>
    </row>
    <row r="154" spans="1:18" x14ac:dyDescent="0.25">
      <c r="A154" s="29">
        <f t="shared" si="8"/>
        <v>25</v>
      </c>
      <c r="B154" s="167" t="s">
        <v>137</v>
      </c>
      <c r="C154" s="167" t="s">
        <v>62</v>
      </c>
      <c r="D154" s="167" t="s">
        <v>63</v>
      </c>
      <c r="E154" s="167" t="s">
        <v>78</v>
      </c>
      <c r="F154" s="167" t="s">
        <v>184</v>
      </c>
      <c r="G154" s="167" t="s">
        <v>85</v>
      </c>
      <c r="H154" s="167">
        <v>8</v>
      </c>
      <c r="I154" s="167">
        <v>3</v>
      </c>
      <c r="J154" s="167">
        <v>3</v>
      </c>
      <c r="K154" s="168">
        <v>2678.24</v>
      </c>
      <c r="L154" s="168">
        <v>2678.24</v>
      </c>
      <c r="M154" s="168">
        <v>0</v>
      </c>
      <c r="N154" s="167">
        <v>4</v>
      </c>
      <c r="O154" s="168">
        <v>6101.8</v>
      </c>
      <c r="P154" s="168">
        <v>6101.8</v>
      </c>
      <c r="Q154" s="168">
        <v>0</v>
      </c>
      <c r="R154" s="6"/>
    </row>
    <row r="155" spans="1:18" x14ac:dyDescent="0.25">
      <c r="A155" s="29">
        <f t="shared" si="8"/>
        <v>26</v>
      </c>
      <c r="B155" s="167" t="s">
        <v>185</v>
      </c>
      <c r="C155" s="167" t="s">
        <v>62</v>
      </c>
      <c r="D155" s="167"/>
      <c r="E155" s="167" t="s">
        <v>186</v>
      </c>
      <c r="F155" s="167" t="s">
        <v>463</v>
      </c>
      <c r="G155" s="167" t="s">
        <v>85</v>
      </c>
      <c r="H155" s="167">
        <v>7</v>
      </c>
      <c r="I155" s="167">
        <v>3</v>
      </c>
      <c r="J155" s="167">
        <v>3</v>
      </c>
      <c r="K155" s="168">
        <v>1409.6</v>
      </c>
      <c r="L155" s="168">
        <v>1409.6</v>
      </c>
      <c r="M155" s="168">
        <v>0</v>
      </c>
      <c r="N155" s="167">
        <v>0</v>
      </c>
      <c r="O155" s="168">
        <v>0</v>
      </c>
      <c r="P155" s="168">
        <v>0</v>
      </c>
      <c r="Q155" s="168">
        <v>0</v>
      </c>
      <c r="R155" s="6"/>
    </row>
    <row r="156" spans="1:18" x14ac:dyDescent="0.25">
      <c r="A156" s="29">
        <f t="shared" si="8"/>
        <v>27</v>
      </c>
      <c r="B156" s="167" t="s">
        <v>27</v>
      </c>
      <c r="C156" s="167" t="s">
        <v>62</v>
      </c>
      <c r="D156" s="167" t="s">
        <v>63</v>
      </c>
      <c r="E156" s="167" t="s">
        <v>74</v>
      </c>
      <c r="F156" s="167" t="s">
        <v>187</v>
      </c>
      <c r="G156" s="167" t="s">
        <v>85</v>
      </c>
      <c r="H156" s="167">
        <v>11</v>
      </c>
      <c r="I156" s="167">
        <v>6</v>
      </c>
      <c r="J156" s="167">
        <v>7</v>
      </c>
      <c r="K156" s="168">
        <v>2039.94</v>
      </c>
      <c r="L156" s="168">
        <v>2039.94</v>
      </c>
      <c r="M156" s="168">
        <v>0</v>
      </c>
      <c r="N156" s="167">
        <v>4</v>
      </c>
      <c r="O156" s="168">
        <v>25409.64</v>
      </c>
      <c r="P156" s="168">
        <v>25409.64</v>
      </c>
      <c r="Q156" s="168">
        <v>0</v>
      </c>
      <c r="R156" s="6"/>
    </row>
    <row r="157" spans="1:18" x14ac:dyDescent="0.25">
      <c r="A157" s="29">
        <f t="shared" si="8"/>
        <v>28</v>
      </c>
      <c r="B157" s="167" t="s">
        <v>482</v>
      </c>
      <c r="C157" s="167" t="s">
        <v>64</v>
      </c>
      <c r="D157" s="167" t="s">
        <v>483</v>
      </c>
      <c r="E157" s="167" t="s">
        <v>313</v>
      </c>
      <c r="F157" s="167" t="s">
        <v>484</v>
      </c>
      <c r="G157" s="167" t="s">
        <v>85</v>
      </c>
      <c r="H157" s="167">
        <v>9</v>
      </c>
      <c r="I157" s="167">
        <v>0</v>
      </c>
      <c r="J157" s="167">
        <v>0</v>
      </c>
      <c r="K157" s="168">
        <v>0</v>
      </c>
      <c r="L157" s="168">
        <v>0</v>
      </c>
      <c r="M157" s="168">
        <v>0</v>
      </c>
      <c r="N157" s="167">
        <v>0</v>
      </c>
      <c r="O157" s="168">
        <v>0</v>
      </c>
      <c r="P157" s="168">
        <v>0</v>
      </c>
      <c r="Q157" s="168">
        <v>0</v>
      </c>
      <c r="R157" s="6"/>
    </row>
    <row r="158" spans="1:18" x14ac:dyDescent="0.25">
      <c r="A158" s="29">
        <f t="shared" si="8"/>
        <v>29</v>
      </c>
      <c r="B158" s="167" t="s">
        <v>104</v>
      </c>
      <c r="C158" s="167" t="s">
        <v>62</v>
      </c>
      <c r="D158" s="167" t="s">
        <v>63</v>
      </c>
      <c r="E158" s="167" t="s">
        <v>105</v>
      </c>
      <c r="F158" s="167" t="s">
        <v>188</v>
      </c>
      <c r="G158" s="167" t="s">
        <v>85</v>
      </c>
      <c r="H158" s="167">
        <v>9</v>
      </c>
      <c r="I158" s="167">
        <v>7</v>
      </c>
      <c r="J158" s="167">
        <v>8</v>
      </c>
      <c r="K158" s="168">
        <v>2130.2600000000002</v>
      </c>
      <c r="L158" s="168">
        <v>2130.2600000000002</v>
      </c>
      <c r="M158" s="168">
        <v>0</v>
      </c>
      <c r="N158" s="167">
        <v>22</v>
      </c>
      <c r="O158" s="168">
        <f>29623.1+4863.12</f>
        <v>34486.22</v>
      </c>
      <c r="P158" s="168">
        <f>29623.1+4863.12</f>
        <v>34486.22</v>
      </c>
      <c r="Q158" s="168">
        <v>0</v>
      </c>
      <c r="R158" s="6"/>
    </row>
    <row r="159" spans="1:18" x14ac:dyDescent="0.25">
      <c r="A159" s="29">
        <f t="shared" si="8"/>
        <v>30</v>
      </c>
      <c r="B159" s="167" t="s">
        <v>517</v>
      </c>
      <c r="C159" s="167" t="s">
        <v>62</v>
      </c>
      <c r="D159" s="167"/>
      <c r="E159" s="167" t="s">
        <v>239</v>
      </c>
      <c r="F159" s="167" t="s">
        <v>567</v>
      </c>
      <c r="G159" s="167" t="s">
        <v>85</v>
      </c>
      <c r="H159" s="167">
        <v>7</v>
      </c>
      <c r="I159" s="167">
        <v>0</v>
      </c>
      <c r="J159" s="167">
        <v>0</v>
      </c>
      <c r="K159" s="168">
        <v>0</v>
      </c>
      <c r="L159" s="168">
        <v>0</v>
      </c>
      <c r="M159" s="168">
        <v>0</v>
      </c>
      <c r="N159" s="167">
        <v>0</v>
      </c>
      <c r="O159" s="168">
        <v>0</v>
      </c>
      <c r="P159" s="168">
        <v>0</v>
      </c>
      <c r="Q159" s="168">
        <v>0</v>
      </c>
      <c r="R159" s="6"/>
    </row>
    <row r="160" spans="1:18" x14ac:dyDescent="0.25">
      <c r="A160" s="29">
        <f t="shared" si="8"/>
        <v>31</v>
      </c>
      <c r="B160" s="167" t="s">
        <v>28</v>
      </c>
      <c r="C160" s="167" t="s">
        <v>62</v>
      </c>
      <c r="D160" s="167" t="s">
        <v>63</v>
      </c>
      <c r="E160" s="167" t="s">
        <v>74</v>
      </c>
      <c r="F160" s="167" t="s">
        <v>189</v>
      </c>
      <c r="G160" s="167" t="s">
        <v>85</v>
      </c>
      <c r="H160" s="167">
        <v>5</v>
      </c>
      <c r="I160" s="167">
        <v>2</v>
      </c>
      <c r="J160" s="167">
        <v>2</v>
      </c>
      <c r="K160" s="168">
        <v>581.46</v>
      </c>
      <c r="L160" s="168">
        <v>581.46</v>
      </c>
      <c r="M160" s="168">
        <v>0</v>
      </c>
      <c r="N160" s="167">
        <v>5</v>
      </c>
      <c r="O160" s="168">
        <v>6953.99</v>
      </c>
      <c r="P160" s="168">
        <v>6953.99</v>
      </c>
      <c r="Q160" s="168">
        <v>0</v>
      </c>
      <c r="R160" s="6"/>
    </row>
    <row r="161" spans="1:18" x14ac:dyDescent="0.25">
      <c r="A161" s="29">
        <f t="shared" si="8"/>
        <v>32</v>
      </c>
      <c r="B161" s="167" t="s">
        <v>190</v>
      </c>
      <c r="C161" s="167" t="s">
        <v>62</v>
      </c>
      <c r="D161" s="167"/>
      <c r="E161" s="167" t="s">
        <v>63</v>
      </c>
      <c r="F161" s="167" t="s">
        <v>191</v>
      </c>
      <c r="G161" s="167" t="s">
        <v>85</v>
      </c>
      <c r="H161" s="167">
        <v>11</v>
      </c>
      <c r="I161" s="167">
        <v>8</v>
      </c>
      <c r="J161" s="167">
        <v>8</v>
      </c>
      <c r="K161" s="168">
        <v>6494.16</v>
      </c>
      <c r="L161" s="168">
        <v>6494.16</v>
      </c>
      <c r="M161" s="168">
        <v>0</v>
      </c>
      <c r="N161" s="167">
        <v>0</v>
      </c>
      <c r="O161" s="168">
        <v>0</v>
      </c>
      <c r="P161" s="168">
        <v>0</v>
      </c>
      <c r="Q161" s="168">
        <v>0</v>
      </c>
      <c r="R161" s="6"/>
    </row>
    <row r="162" spans="1:18" ht="51.75" x14ac:dyDescent="0.25">
      <c r="A162" s="29">
        <f t="shared" si="8"/>
        <v>33</v>
      </c>
      <c r="B162" s="167" t="s">
        <v>192</v>
      </c>
      <c r="C162" s="167" t="s">
        <v>64</v>
      </c>
      <c r="D162" s="169" t="s">
        <v>568</v>
      </c>
      <c r="E162" s="167" t="s">
        <v>74</v>
      </c>
      <c r="F162" s="167" t="s">
        <v>194</v>
      </c>
      <c r="G162" s="167" t="s">
        <v>85</v>
      </c>
      <c r="H162" s="167">
        <v>1</v>
      </c>
      <c r="I162" s="167">
        <v>0</v>
      </c>
      <c r="J162" s="167">
        <v>0</v>
      </c>
      <c r="K162" s="168">
        <v>0</v>
      </c>
      <c r="L162" s="168">
        <v>0</v>
      </c>
      <c r="M162" s="168">
        <v>0</v>
      </c>
      <c r="N162" s="167">
        <v>0</v>
      </c>
      <c r="O162" s="168">
        <v>0</v>
      </c>
      <c r="P162" s="168">
        <v>0</v>
      </c>
      <c r="Q162" s="168">
        <v>0</v>
      </c>
      <c r="R162" s="6"/>
    </row>
    <row r="163" spans="1:18" x14ac:dyDescent="0.25">
      <c r="A163" s="29">
        <f t="shared" si="8"/>
        <v>34</v>
      </c>
      <c r="B163" s="167" t="s">
        <v>89</v>
      </c>
      <c r="C163" s="167" t="s">
        <v>62</v>
      </c>
      <c r="D163" s="167" t="s">
        <v>63</v>
      </c>
      <c r="E163" s="167" t="s">
        <v>74</v>
      </c>
      <c r="F163" s="167" t="s">
        <v>195</v>
      </c>
      <c r="G163" s="167" t="s">
        <v>85</v>
      </c>
      <c r="H163" s="167">
        <v>22</v>
      </c>
      <c r="I163" s="167">
        <v>17</v>
      </c>
      <c r="J163" s="167">
        <v>18</v>
      </c>
      <c r="K163" s="168">
        <v>9322.39</v>
      </c>
      <c r="L163" s="168">
        <v>8450.2000000000007</v>
      </c>
      <c r="M163" s="168">
        <v>872.19</v>
      </c>
      <c r="N163" s="167">
        <v>5</v>
      </c>
      <c r="O163" s="168">
        <v>25528.79</v>
      </c>
      <c r="P163" s="168">
        <v>25528.79</v>
      </c>
      <c r="Q163" s="168">
        <v>0</v>
      </c>
      <c r="R163" s="6"/>
    </row>
    <row r="164" spans="1:18" x14ac:dyDescent="0.25">
      <c r="A164" s="29">
        <f t="shared" si="8"/>
        <v>35</v>
      </c>
      <c r="B164" s="167" t="s">
        <v>196</v>
      </c>
      <c r="C164" s="167" t="s">
        <v>62</v>
      </c>
      <c r="D164" s="167"/>
      <c r="E164" s="167" t="s">
        <v>197</v>
      </c>
      <c r="F164" s="167" t="s">
        <v>198</v>
      </c>
      <c r="G164" s="167" t="s">
        <v>85</v>
      </c>
      <c r="H164" s="167">
        <v>16</v>
      </c>
      <c r="I164" s="167">
        <v>8</v>
      </c>
      <c r="J164" s="167">
        <v>8</v>
      </c>
      <c r="K164" s="168">
        <v>4212.17</v>
      </c>
      <c r="L164" s="168">
        <v>4212.17</v>
      </c>
      <c r="M164" s="168">
        <v>0</v>
      </c>
      <c r="N164" s="167">
        <v>0</v>
      </c>
      <c r="O164" s="168">
        <v>0</v>
      </c>
      <c r="P164" s="168">
        <v>0</v>
      </c>
      <c r="Q164" s="168">
        <v>0</v>
      </c>
      <c r="R164" s="6"/>
    </row>
    <row r="165" spans="1:18" x14ac:dyDescent="0.25">
      <c r="A165" s="29">
        <f t="shared" si="8"/>
        <v>36</v>
      </c>
      <c r="B165" s="167" t="s">
        <v>106</v>
      </c>
      <c r="C165" s="167" t="s">
        <v>62</v>
      </c>
      <c r="D165" s="167" t="s">
        <v>63</v>
      </c>
      <c r="E165" s="167" t="s">
        <v>74</v>
      </c>
      <c r="F165" s="167" t="s">
        <v>199</v>
      </c>
      <c r="G165" s="167" t="s">
        <v>85</v>
      </c>
      <c r="H165" s="167">
        <v>35</v>
      </c>
      <c r="I165" s="167">
        <v>24</v>
      </c>
      <c r="J165" s="167">
        <v>26</v>
      </c>
      <c r="K165" s="168">
        <v>30877.81</v>
      </c>
      <c r="L165" s="168">
        <v>24438.49</v>
      </c>
      <c r="M165" s="168">
        <v>6439.32</v>
      </c>
      <c r="N165" s="167">
        <v>23</v>
      </c>
      <c r="O165" s="168">
        <v>61804.6</v>
      </c>
      <c r="P165" s="168">
        <v>61804.6</v>
      </c>
      <c r="Q165" s="168">
        <v>0</v>
      </c>
      <c r="R165" s="6"/>
    </row>
    <row r="166" spans="1:18" x14ac:dyDescent="0.25">
      <c r="A166" s="29">
        <f t="shared" si="8"/>
        <v>37</v>
      </c>
      <c r="B166" s="167" t="s">
        <v>107</v>
      </c>
      <c r="C166" s="167" t="s">
        <v>62</v>
      </c>
      <c r="D166" s="167" t="s">
        <v>63</v>
      </c>
      <c r="E166" s="167" t="s">
        <v>74</v>
      </c>
      <c r="F166" s="167" t="s">
        <v>138</v>
      </c>
      <c r="G166" s="167" t="s">
        <v>85</v>
      </c>
      <c r="H166" s="167">
        <v>2</v>
      </c>
      <c r="I166" s="167">
        <v>0</v>
      </c>
      <c r="J166" s="167">
        <v>0</v>
      </c>
      <c r="K166" s="168">
        <v>0</v>
      </c>
      <c r="L166" s="168">
        <v>0</v>
      </c>
      <c r="M166" s="168">
        <v>0</v>
      </c>
      <c r="N166" s="167">
        <v>0</v>
      </c>
      <c r="O166" s="168">
        <v>0</v>
      </c>
      <c r="P166" s="168">
        <v>0</v>
      </c>
      <c r="Q166" s="168">
        <v>0</v>
      </c>
      <c r="R166" s="6"/>
    </row>
    <row r="167" spans="1:18" x14ac:dyDescent="0.25">
      <c r="A167" s="29">
        <f t="shared" si="8"/>
        <v>38</v>
      </c>
      <c r="B167" s="167" t="s">
        <v>29</v>
      </c>
      <c r="C167" s="167" t="s">
        <v>62</v>
      </c>
      <c r="D167" s="167" t="s">
        <v>63</v>
      </c>
      <c r="E167" s="167" t="s">
        <v>74</v>
      </c>
      <c r="F167" s="167" t="s">
        <v>200</v>
      </c>
      <c r="G167" s="167" t="s">
        <v>85</v>
      </c>
      <c r="H167" s="167">
        <v>21</v>
      </c>
      <c r="I167" s="167">
        <v>19</v>
      </c>
      <c r="J167" s="167">
        <v>28</v>
      </c>
      <c r="K167" s="168">
        <v>28175.68</v>
      </c>
      <c r="L167" s="168">
        <v>28175.68</v>
      </c>
      <c r="M167" s="168">
        <v>0</v>
      </c>
      <c r="N167" s="167">
        <v>17</v>
      </c>
      <c r="O167" s="168">
        <v>18910.05</v>
      </c>
      <c r="P167" s="168">
        <v>18910.05</v>
      </c>
      <c r="Q167" s="168">
        <v>0</v>
      </c>
      <c r="R167" s="6"/>
    </row>
    <row r="168" spans="1:18" x14ac:dyDescent="0.25">
      <c r="A168" s="29">
        <f t="shared" si="8"/>
        <v>39</v>
      </c>
      <c r="B168" s="167" t="s">
        <v>201</v>
      </c>
      <c r="C168" s="167" t="s">
        <v>67</v>
      </c>
      <c r="D168" s="167" t="s">
        <v>485</v>
      </c>
      <c r="E168" s="167" t="s">
        <v>74</v>
      </c>
      <c r="F168" s="167" t="s">
        <v>202</v>
      </c>
      <c r="G168" s="167" t="s">
        <v>85</v>
      </c>
      <c r="H168" s="167">
        <v>14</v>
      </c>
      <c r="I168" s="167">
        <v>11</v>
      </c>
      <c r="J168" s="167">
        <v>10</v>
      </c>
      <c r="K168" s="168">
        <v>5393.6</v>
      </c>
      <c r="L168" s="168">
        <v>5393.6</v>
      </c>
      <c r="M168" s="168">
        <v>0</v>
      </c>
      <c r="N168" s="167">
        <v>1</v>
      </c>
      <c r="O168" s="168">
        <v>1717.95</v>
      </c>
      <c r="P168" s="168">
        <v>1717.95</v>
      </c>
      <c r="Q168" s="168">
        <v>0</v>
      </c>
      <c r="R168" s="6"/>
    </row>
    <row r="169" spans="1:18" x14ac:dyDescent="0.25">
      <c r="A169" s="29">
        <f t="shared" si="8"/>
        <v>40</v>
      </c>
      <c r="B169" s="167" t="s">
        <v>30</v>
      </c>
      <c r="C169" s="167" t="s">
        <v>62</v>
      </c>
      <c r="D169" s="167" t="s">
        <v>63</v>
      </c>
      <c r="E169" s="167" t="s">
        <v>203</v>
      </c>
      <c r="F169" s="167" t="s">
        <v>204</v>
      </c>
      <c r="G169" s="167" t="s">
        <v>85</v>
      </c>
      <c r="H169" s="167">
        <v>16</v>
      </c>
      <c r="I169" s="167">
        <v>12</v>
      </c>
      <c r="J169" s="167">
        <v>16</v>
      </c>
      <c r="K169" s="168">
        <v>15082.45</v>
      </c>
      <c r="L169" s="168">
        <v>15082.45</v>
      </c>
      <c r="M169" s="168">
        <v>0</v>
      </c>
      <c r="N169" s="167">
        <v>16</v>
      </c>
      <c r="O169" s="168">
        <f>44825.3-2054.38</f>
        <v>42770.920000000006</v>
      </c>
      <c r="P169" s="168">
        <f>44825.3-2054.38</f>
        <v>42770.920000000006</v>
      </c>
      <c r="Q169" s="168">
        <v>0</v>
      </c>
      <c r="R169" s="6"/>
    </row>
    <row r="170" spans="1:18" x14ac:dyDescent="0.25">
      <c r="A170" s="29">
        <f t="shared" si="8"/>
        <v>41</v>
      </c>
      <c r="B170" s="167" t="s">
        <v>90</v>
      </c>
      <c r="C170" s="167" t="s">
        <v>62</v>
      </c>
      <c r="D170" s="167" t="s">
        <v>63</v>
      </c>
      <c r="E170" s="167" t="s">
        <v>205</v>
      </c>
      <c r="F170" s="167" t="s">
        <v>464</v>
      </c>
      <c r="G170" s="167" t="s">
        <v>85</v>
      </c>
      <c r="H170" s="167">
        <v>11</v>
      </c>
      <c r="I170" s="167">
        <v>8</v>
      </c>
      <c r="J170" s="167">
        <v>13</v>
      </c>
      <c r="K170" s="168">
        <v>5750.29</v>
      </c>
      <c r="L170" s="168">
        <v>5750.29</v>
      </c>
      <c r="M170" s="168">
        <v>0</v>
      </c>
      <c r="N170" s="167">
        <v>17</v>
      </c>
      <c r="O170" s="168">
        <v>17591.509999999998</v>
      </c>
      <c r="P170" s="168">
        <v>17591.509999999998</v>
      </c>
      <c r="Q170" s="168">
        <v>0</v>
      </c>
      <c r="R170" s="6"/>
    </row>
    <row r="171" spans="1:18" x14ac:dyDescent="0.25">
      <c r="A171" s="29">
        <f t="shared" si="8"/>
        <v>42</v>
      </c>
      <c r="B171" s="167" t="s">
        <v>31</v>
      </c>
      <c r="C171" s="167" t="s">
        <v>62</v>
      </c>
      <c r="D171" s="167" t="s">
        <v>63</v>
      </c>
      <c r="E171" s="167" t="s">
        <v>74</v>
      </c>
      <c r="F171" s="167" t="s">
        <v>206</v>
      </c>
      <c r="G171" s="167" t="s">
        <v>85</v>
      </c>
      <c r="H171" s="167">
        <v>28</v>
      </c>
      <c r="I171" s="167">
        <v>26</v>
      </c>
      <c r="J171" s="167">
        <v>26</v>
      </c>
      <c r="K171" s="168">
        <v>49451.38</v>
      </c>
      <c r="L171" s="168">
        <v>47544.62</v>
      </c>
      <c r="M171" s="168">
        <v>1906.76</v>
      </c>
      <c r="N171" s="167">
        <v>17</v>
      </c>
      <c r="O171" s="168">
        <v>66805.69</v>
      </c>
      <c r="P171" s="168">
        <v>66805.69</v>
      </c>
      <c r="Q171" s="168">
        <v>0</v>
      </c>
      <c r="R171" s="6"/>
    </row>
    <row r="172" spans="1:18" x14ac:dyDescent="0.25">
      <c r="A172" s="29">
        <f t="shared" si="8"/>
        <v>43</v>
      </c>
      <c r="B172" s="167" t="s">
        <v>32</v>
      </c>
      <c r="C172" s="167" t="s">
        <v>62</v>
      </c>
      <c r="D172" s="167" t="s">
        <v>63</v>
      </c>
      <c r="E172" s="167" t="s">
        <v>74</v>
      </c>
      <c r="F172" s="167" t="s">
        <v>207</v>
      </c>
      <c r="G172" s="167" t="s">
        <v>85</v>
      </c>
      <c r="H172" s="167">
        <v>31</v>
      </c>
      <c r="I172" s="167">
        <v>26</v>
      </c>
      <c r="J172" s="167">
        <v>28</v>
      </c>
      <c r="K172" s="168">
        <v>16467.830000000002</v>
      </c>
      <c r="L172" s="168">
        <v>16467.830000000002</v>
      </c>
      <c r="M172" s="168">
        <v>0</v>
      </c>
      <c r="N172" s="167">
        <v>32</v>
      </c>
      <c r="O172" s="168">
        <v>68188.39</v>
      </c>
      <c r="P172" s="168">
        <v>68188.39</v>
      </c>
      <c r="Q172" s="168">
        <v>0</v>
      </c>
      <c r="R172" s="6"/>
    </row>
    <row r="173" spans="1:18" x14ac:dyDescent="0.25">
      <c r="A173" s="29">
        <f t="shared" si="8"/>
        <v>44</v>
      </c>
      <c r="B173" s="167" t="s">
        <v>91</v>
      </c>
      <c r="C173" s="167" t="s">
        <v>62</v>
      </c>
      <c r="D173" s="167" t="s">
        <v>63</v>
      </c>
      <c r="E173" s="167" t="s">
        <v>63</v>
      </c>
      <c r="F173" s="167" t="s">
        <v>208</v>
      </c>
      <c r="G173" s="167" t="s">
        <v>85</v>
      </c>
      <c r="H173" s="167">
        <v>13</v>
      </c>
      <c r="I173" s="167">
        <v>9</v>
      </c>
      <c r="J173" s="167">
        <v>9</v>
      </c>
      <c r="K173" s="168">
        <v>5992.57</v>
      </c>
      <c r="L173" s="168">
        <v>5992.57</v>
      </c>
      <c r="M173" s="168">
        <v>0</v>
      </c>
      <c r="N173" s="167">
        <v>2</v>
      </c>
      <c r="O173" s="168">
        <v>5514.15</v>
      </c>
      <c r="P173" s="168">
        <v>5514.15</v>
      </c>
      <c r="Q173" s="168">
        <v>0</v>
      </c>
      <c r="R173" s="6"/>
    </row>
    <row r="174" spans="1:18" x14ac:dyDescent="0.25">
      <c r="A174" s="29">
        <f t="shared" si="8"/>
        <v>45</v>
      </c>
      <c r="B174" s="167" t="s">
        <v>33</v>
      </c>
      <c r="C174" s="167" t="s">
        <v>62</v>
      </c>
      <c r="D174" s="167" t="s">
        <v>63</v>
      </c>
      <c r="E174" s="167" t="s">
        <v>74</v>
      </c>
      <c r="F174" s="167" t="s">
        <v>209</v>
      </c>
      <c r="G174" s="167" t="s">
        <v>85</v>
      </c>
      <c r="H174" s="167">
        <v>26</v>
      </c>
      <c r="I174" s="167">
        <v>20</v>
      </c>
      <c r="J174" s="167">
        <v>24</v>
      </c>
      <c r="K174" s="168">
        <v>28490.7</v>
      </c>
      <c r="L174" s="168">
        <v>28490.7</v>
      </c>
      <c r="M174" s="168">
        <v>0</v>
      </c>
      <c r="N174" s="167">
        <v>32</v>
      </c>
      <c r="O174" s="168">
        <v>70144.429999999993</v>
      </c>
      <c r="P174" s="168">
        <v>70144.429999999993</v>
      </c>
      <c r="Q174" s="168">
        <v>0</v>
      </c>
      <c r="R174" s="6"/>
    </row>
    <row r="175" spans="1:18" x14ac:dyDescent="0.25">
      <c r="A175" s="29">
        <f t="shared" si="8"/>
        <v>46</v>
      </c>
      <c r="B175" s="167" t="s">
        <v>153</v>
      </c>
      <c r="C175" s="167" t="s">
        <v>62</v>
      </c>
      <c r="D175" s="167" t="s">
        <v>63</v>
      </c>
      <c r="E175" s="167" t="s">
        <v>74</v>
      </c>
      <c r="F175" s="167" t="s">
        <v>210</v>
      </c>
      <c r="G175" s="167" t="s">
        <v>85</v>
      </c>
      <c r="H175" s="167">
        <v>0</v>
      </c>
      <c r="I175" s="167">
        <v>0</v>
      </c>
      <c r="J175" s="167">
        <v>0</v>
      </c>
      <c r="K175" s="168">
        <v>0</v>
      </c>
      <c r="L175" s="168">
        <v>0</v>
      </c>
      <c r="M175" s="168">
        <v>0</v>
      </c>
      <c r="N175" s="167">
        <v>2</v>
      </c>
      <c r="O175" s="170">
        <v>9709.0400000000009</v>
      </c>
      <c r="P175" s="170">
        <v>9709.0400000000009</v>
      </c>
      <c r="Q175" s="168">
        <v>0</v>
      </c>
      <c r="R175" s="6"/>
    </row>
    <row r="176" spans="1:18" x14ac:dyDescent="0.25">
      <c r="A176" s="29">
        <f t="shared" si="8"/>
        <v>47</v>
      </c>
      <c r="B176" s="167" t="s">
        <v>34</v>
      </c>
      <c r="C176" s="167" t="s">
        <v>62</v>
      </c>
      <c r="D176" s="167" t="s">
        <v>63</v>
      </c>
      <c r="E176" s="167" t="s">
        <v>74</v>
      </c>
      <c r="F176" s="167" t="s">
        <v>211</v>
      </c>
      <c r="G176" s="167" t="s">
        <v>85</v>
      </c>
      <c r="H176" s="167">
        <v>13</v>
      </c>
      <c r="I176" s="167">
        <v>8</v>
      </c>
      <c r="J176" s="167">
        <v>8</v>
      </c>
      <c r="K176" s="168">
        <v>2543.62</v>
      </c>
      <c r="L176" s="168">
        <v>2543.62</v>
      </c>
      <c r="M176" s="168">
        <v>0</v>
      </c>
      <c r="N176" s="167">
        <v>20</v>
      </c>
      <c r="O176" s="168">
        <v>65010.400000000001</v>
      </c>
      <c r="P176" s="168">
        <v>65010.400000000001</v>
      </c>
      <c r="Q176" s="168">
        <v>0</v>
      </c>
      <c r="R176" s="6"/>
    </row>
    <row r="177" spans="1:18" x14ac:dyDescent="0.25">
      <c r="A177" s="29">
        <f t="shared" si="8"/>
        <v>48</v>
      </c>
      <c r="B177" s="167" t="s">
        <v>154</v>
      </c>
      <c r="C177" s="167" t="s">
        <v>62</v>
      </c>
      <c r="D177" s="167" t="s">
        <v>63</v>
      </c>
      <c r="E177" s="167" t="s">
        <v>72</v>
      </c>
      <c r="F177" s="167" t="s">
        <v>212</v>
      </c>
      <c r="G177" s="167" t="s">
        <v>85</v>
      </c>
      <c r="H177" s="167">
        <v>4</v>
      </c>
      <c r="I177" s="167">
        <v>0</v>
      </c>
      <c r="J177" s="167">
        <v>0</v>
      </c>
      <c r="K177" s="168">
        <v>0</v>
      </c>
      <c r="L177" s="168">
        <v>0</v>
      </c>
      <c r="M177" s="168">
        <v>0</v>
      </c>
      <c r="N177" s="167">
        <v>1</v>
      </c>
      <c r="O177" s="168">
        <v>4636.17</v>
      </c>
      <c r="P177" s="168">
        <v>4636.17</v>
      </c>
      <c r="Q177" s="168">
        <v>0</v>
      </c>
      <c r="R177" s="6"/>
    </row>
    <row r="178" spans="1:18" x14ac:dyDescent="0.25">
      <c r="A178" s="29">
        <f t="shared" si="8"/>
        <v>49</v>
      </c>
      <c r="B178" s="167" t="s">
        <v>109</v>
      </c>
      <c r="C178" s="167" t="s">
        <v>62</v>
      </c>
      <c r="D178" s="167" t="s">
        <v>63</v>
      </c>
      <c r="E178" s="167" t="s">
        <v>74</v>
      </c>
      <c r="F178" s="167" t="s">
        <v>213</v>
      </c>
      <c r="G178" s="167" t="s">
        <v>85</v>
      </c>
      <c r="H178" s="167">
        <v>0</v>
      </c>
      <c r="I178" s="167">
        <v>0</v>
      </c>
      <c r="J178" s="167">
        <v>0</v>
      </c>
      <c r="K178" s="168">
        <v>0</v>
      </c>
      <c r="L178" s="168">
        <v>0</v>
      </c>
      <c r="M178" s="168">
        <v>0</v>
      </c>
      <c r="N178" s="167">
        <v>2</v>
      </c>
      <c r="O178" s="168">
        <v>0</v>
      </c>
      <c r="P178" s="168">
        <v>0</v>
      </c>
      <c r="Q178" s="168">
        <v>0</v>
      </c>
      <c r="R178" s="6"/>
    </row>
    <row r="179" spans="1:18" x14ac:dyDescent="0.25">
      <c r="A179" s="29">
        <f t="shared" si="8"/>
        <v>50</v>
      </c>
      <c r="B179" s="167" t="s">
        <v>110</v>
      </c>
      <c r="C179" s="167" t="s">
        <v>62</v>
      </c>
      <c r="D179" s="167" t="s">
        <v>63</v>
      </c>
      <c r="E179" s="167" t="s">
        <v>74</v>
      </c>
      <c r="F179" s="167" t="s">
        <v>214</v>
      </c>
      <c r="G179" s="167" t="s">
        <v>85</v>
      </c>
      <c r="H179" s="167">
        <v>0</v>
      </c>
      <c r="I179" s="167">
        <v>0</v>
      </c>
      <c r="J179" s="167">
        <v>0</v>
      </c>
      <c r="K179" s="168">
        <v>0</v>
      </c>
      <c r="L179" s="168">
        <v>0</v>
      </c>
      <c r="M179" s="168">
        <v>0</v>
      </c>
      <c r="N179" s="167">
        <v>0</v>
      </c>
      <c r="O179" s="168">
        <v>12489.14</v>
      </c>
      <c r="P179" s="168">
        <v>12489.14</v>
      </c>
      <c r="Q179" s="168">
        <v>0</v>
      </c>
      <c r="R179" s="6"/>
    </row>
    <row r="180" spans="1:18" x14ac:dyDescent="0.25">
      <c r="A180" s="29">
        <f t="shared" si="8"/>
        <v>51</v>
      </c>
      <c r="B180" s="167" t="s">
        <v>111</v>
      </c>
      <c r="C180" s="167" t="s">
        <v>67</v>
      </c>
      <c r="D180" s="167" t="s">
        <v>569</v>
      </c>
      <c r="E180" s="167" t="s">
        <v>63</v>
      </c>
      <c r="F180" s="167" t="s">
        <v>139</v>
      </c>
      <c r="G180" s="167" t="s">
        <v>85</v>
      </c>
      <c r="H180" s="167">
        <v>1</v>
      </c>
      <c r="I180" s="167">
        <v>0</v>
      </c>
      <c r="J180" s="167">
        <v>0</v>
      </c>
      <c r="K180" s="168">
        <v>0</v>
      </c>
      <c r="L180" s="168">
        <v>0</v>
      </c>
      <c r="M180" s="168">
        <v>0</v>
      </c>
      <c r="N180" s="167">
        <v>0</v>
      </c>
      <c r="O180" s="168">
        <v>0</v>
      </c>
      <c r="P180" s="168">
        <v>0</v>
      </c>
      <c r="Q180" s="168">
        <v>0</v>
      </c>
      <c r="R180" s="6"/>
    </row>
    <row r="181" spans="1:18" x14ac:dyDescent="0.25">
      <c r="A181" s="29">
        <f t="shared" si="8"/>
        <v>52</v>
      </c>
      <c r="B181" s="167" t="s">
        <v>570</v>
      </c>
      <c r="C181" s="167" t="s">
        <v>62</v>
      </c>
      <c r="D181" s="167" t="s">
        <v>63</v>
      </c>
      <c r="E181" s="167" t="s">
        <v>223</v>
      </c>
      <c r="F181" s="167" t="s">
        <v>63</v>
      </c>
      <c r="G181" s="167" t="s">
        <v>85</v>
      </c>
      <c r="H181" s="167">
        <v>1</v>
      </c>
      <c r="I181" s="167">
        <v>0</v>
      </c>
      <c r="J181" s="167">
        <v>0</v>
      </c>
      <c r="K181" s="168">
        <v>0</v>
      </c>
      <c r="L181" s="168">
        <v>0</v>
      </c>
      <c r="M181" s="168">
        <v>0</v>
      </c>
      <c r="N181" s="167">
        <v>0</v>
      </c>
      <c r="O181" s="168">
        <v>0</v>
      </c>
      <c r="P181" s="168">
        <v>0</v>
      </c>
      <c r="Q181" s="168">
        <v>0</v>
      </c>
      <c r="R181" s="6"/>
    </row>
    <row r="182" spans="1:18" x14ac:dyDescent="0.25">
      <c r="A182" s="29">
        <f t="shared" si="8"/>
        <v>53</v>
      </c>
      <c r="B182" s="167" t="s">
        <v>92</v>
      </c>
      <c r="C182" s="167" t="s">
        <v>62</v>
      </c>
      <c r="D182" s="167" t="s">
        <v>63</v>
      </c>
      <c r="E182" s="167" t="s">
        <v>74</v>
      </c>
      <c r="F182" s="167" t="s">
        <v>215</v>
      </c>
      <c r="G182" s="167" t="s">
        <v>85</v>
      </c>
      <c r="H182" s="167">
        <v>27</v>
      </c>
      <c r="I182" s="167">
        <v>18</v>
      </c>
      <c r="J182" s="167">
        <v>21</v>
      </c>
      <c r="K182" s="168">
        <v>17600.349999999999</v>
      </c>
      <c r="L182" s="168">
        <v>17600.349999999999</v>
      </c>
      <c r="M182" s="168">
        <v>0</v>
      </c>
      <c r="N182" s="167">
        <v>10</v>
      </c>
      <c r="O182" s="168">
        <v>18181.04</v>
      </c>
      <c r="P182" s="168">
        <v>18181.04</v>
      </c>
      <c r="Q182" s="168">
        <v>0</v>
      </c>
      <c r="R182" s="6"/>
    </row>
    <row r="183" spans="1:18" x14ac:dyDescent="0.25">
      <c r="A183" s="29">
        <f t="shared" si="8"/>
        <v>54</v>
      </c>
      <c r="B183" s="167" t="s">
        <v>216</v>
      </c>
      <c r="C183" s="167" t="s">
        <v>67</v>
      </c>
      <c r="D183" s="167" t="s">
        <v>436</v>
      </c>
      <c r="E183" s="167" t="s">
        <v>217</v>
      </c>
      <c r="F183" s="167" t="s">
        <v>218</v>
      </c>
      <c r="G183" s="167" t="s">
        <v>85</v>
      </c>
      <c r="H183" s="167">
        <v>9</v>
      </c>
      <c r="I183" s="167">
        <v>4</v>
      </c>
      <c r="J183" s="167">
        <v>4</v>
      </c>
      <c r="K183" s="168">
        <v>3386.04</v>
      </c>
      <c r="L183" s="168">
        <v>3386.04</v>
      </c>
      <c r="M183" s="168">
        <v>0</v>
      </c>
      <c r="N183" s="167">
        <v>0</v>
      </c>
      <c r="O183" s="168">
        <v>0</v>
      </c>
      <c r="P183" s="168">
        <v>0</v>
      </c>
      <c r="Q183" s="168">
        <v>0</v>
      </c>
      <c r="R183" s="6"/>
    </row>
    <row r="184" spans="1:18" x14ac:dyDescent="0.25">
      <c r="A184" s="29">
        <f t="shared" si="8"/>
        <v>55</v>
      </c>
      <c r="B184" s="167" t="s">
        <v>35</v>
      </c>
      <c r="C184" s="167" t="s">
        <v>62</v>
      </c>
      <c r="D184" s="167" t="s">
        <v>63</v>
      </c>
      <c r="E184" s="167" t="s">
        <v>219</v>
      </c>
      <c r="F184" s="167" t="s">
        <v>220</v>
      </c>
      <c r="G184" s="167" t="s">
        <v>85</v>
      </c>
      <c r="H184" s="167">
        <v>41</v>
      </c>
      <c r="I184" s="167">
        <v>34</v>
      </c>
      <c r="J184" s="167">
        <v>38</v>
      </c>
      <c r="K184" s="168">
        <v>31130.07</v>
      </c>
      <c r="L184" s="168">
        <v>17358.23</v>
      </c>
      <c r="M184" s="168">
        <v>13771.84</v>
      </c>
      <c r="N184" s="167">
        <v>25</v>
      </c>
      <c r="O184" s="168">
        <v>52287.51</v>
      </c>
      <c r="P184" s="168">
        <v>51090.74</v>
      </c>
      <c r="Q184" s="168">
        <v>1196.77</v>
      </c>
      <c r="R184" s="6"/>
    </row>
    <row r="185" spans="1:18" x14ac:dyDescent="0.25">
      <c r="A185" s="29">
        <f t="shared" si="8"/>
        <v>56</v>
      </c>
      <c r="B185" s="167" t="s">
        <v>114</v>
      </c>
      <c r="C185" s="167" t="s">
        <v>62</v>
      </c>
      <c r="D185" s="167" t="s">
        <v>63</v>
      </c>
      <c r="E185" s="167" t="s">
        <v>115</v>
      </c>
      <c r="F185" s="167" t="s">
        <v>221</v>
      </c>
      <c r="G185" s="167" t="s">
        <v>85</v>
      </c>
      <c r="H185" s="167">
        <v>4</v>
      </c>
      <c r="I185" s="167">
        <v>0</v>
      </c>
      <c r="J185" s="167">
        <v>0</v>
      </c>
      <c r="K185" s="168">
        <v>0</v>
      </c>
      <c r="L185" s="168">
        <v>0</v>
      </c>
      <c r="M185" s="168">
        <v>0</v>
      </c>
      <c r="N185" s="167">
        <v>0</v>
      </c>
      <c r="O185" s="168">
        <v>1108.48</v>
      </c>
      <c r="P185" s="168">
        <v>1108.48</v>
      </c>
      <c r="Q185" s="168">
        <v>0</v>
      </c>
      <c r="R185" s="6"/>
    </row>
    <row r="186" spans="1:18" ht="39" x14ac:dyDescent="0.25">
      <c r="A186" s="29">
        <f t="shared" si="8"/>
        <v>57</v>
      </c>
      <c r="B186" s="167" t="s">
        <v>222</v>
      </c>
      <c r="C186" s="167" t="s">
        <v>64</v>
      </c>
      <c r="D186" s="169" t="s">
        <v>571</v>
      </c>
      <c r="E186" s="167" t="s">
        <v>223</v>
      </c>
      <c r="F186" s="167" t="s">
        <v>224</v>
      </c>
      <c r="G186" s="167" t="s">
        <v>85</v>
      </c>
      <c r="H186" s="167">
        <v>14</v>
      </c>
      <c r="I186" s="167">
        <v>10</v>
      </c>
      <c r="J186" s="167">
        <v>12</v>
      </c>
      <c r="K186" s="168">
        <v>9384.9699999999993</v>
      </c>
      <c r="L186" s="168">
        <v>9384.9699999999993</v>
      </c>
      <c r="M186" s="168">
        <v>0</v>
      </c>
      <c r="N186" s="167">
        <v>0</v>
      </c>
      <c r="O186" s="168">
        <v>0</v>
      </c>
      <c r="P186" s="168">
        <v>0</v>
      </c>
      <c r="Q186" s="168">
        <v>0</v>
      </c>
      <c r="R186" s="6"/>
    </row>
    <row r="187" spans="1:18" x14ac:dyDescent="0.25">
      <c r="A187" s="29">
        <f t="shared" si="8"/>
        <v>58</v>
      </c>
      <c r="B187" s="167" t="s">
        <v>93</v>
      </c>
      <c r="C187" s="167" t="s">
        <v>62</v>
      </c>
      <c r="D187" s="167" t="s">
        <v>63</v>
      </c>
      <c r="E187" s="167" t="s">
        <v>74</v>
      </c>
      <c r="F187" s="167" t="s">
        <v>225</v>
      </c>
      <c r="G187" s="167" t="s">
        <v>85</v>
      </c>
      <c r="H187" s="167">
        <v>11</v>
      </c>
      <c r="I187" s="167">
        <v>3</v>
      </c>
      <c r="J187" s="167">
        <v>3</v>
      </c>
      <c r="K187" s="168">
        <v>1233.4000000000001</v>
      </c>
      <c r="L187" s="168">
        <v>1233.4000000000001</v>
      </c>
      <c r="M187" s="168">
        <v>0</v>
      </c>
      <c r="N187" s="167">
        <v>6</v>
      </c>
      <c r="O187" s="168">
        <v>3194.66</v>
      </c>
      <c r="P187" s="168">
        <v>3194.66</v>
      </c>
      <c r="Q187" s="168">
        <v>0</v>
      </c>
      <c r="R187" s="6"/>
    </row>
    <row r="188" spans="1:18" x14ac:dyDescent="0.25">
      <c r="A188" s="29">
        <f t="shared" si="8"/>
        <v>59</v>
      </c>
      <c r="B188" s="167" t="s">
        <v>226</v>
      </c>
      <c r="C188" s="167" t="s">
        <v>62</v>
      </c>
      <c r="D188" s="167"/>
      <c r="E188" s="167" t="s">
        <v>174</v>
      </c>
      <c r="F188" s="167" t="s">
        <v>227</v>
      </c>
      <c r="G188" s="167" t="s">
        <v>85</v>
      </c>
      <c r="H188" s="167">
        <v>14</v>
      </c>
      <c r="I188" s="167">
        <v>7</v>
      </c>
      <c r="J188" s="167">
        <v>8</v>
      </c>
      <c r="K188" s="168">
        <v>16022.52</v>
      </c>
      <c r="L188" s="168">
        <v>7022.52</v>
      </c>
      <c r="M188" s="168">
        <v>9000</v>
      </c>
      <c r="N188" s="167">
        <v>0</v>
      </c>
      <c r="O188" s="168">
        <v>0</v>
      </c>
      <c r="P188" s="168">
        <v>0</v>
      </c>
      <c r="Q188" s="168">
        <v>0</v>
      </c>
      <c r="R188" s="6"/>
    </row>
    <row r="189" spans="1:18" x14ac:dyDescent="0.25">
      <c r="A189" s="29">
        <f t="shared" si="8"/>
        <v>60</v>
      </c>
      <c r="B189" s="167" t="s">
        <v>228</v>
      </c>
      <c r="C189" s="167" t="s">
        <v>62</v>
      </c>
      <c r="D189" s="167"/>
      <c r="E189" s="167" t="s">
        <v>229</v>
      </c>
      <c r="F189" s="167" t="s">
        <v>230</v>
      </c>
      <c r="G189" s="167" t="s">
        <v>85</v>
      </c>
      <c r="H189" s="167">
        <v>17</v>
      </c>
      <c r="I189" s="167">
        <v>4</v>
      </c>
      <c r="J189" s="167">
        <v>4</v>
      </c>
      <c r="K189" s="168">
        <v>0</v>
      </c>
      <c r="L189" s="168">
        <v>0</v>
      </c>
      <c r="M189" s="168">
        <v>0</v>
      </c>
      <c r="N189" s="167">
        <v>0</v>
      </c>
      <c r="O189" s="168">
        <v>0</v>
      </c>
      <c r="P189" s="168">
        <v>0</v>
      </c>
      <c r="Q189" s="168">
        <v>0</v>
      </c>
      <c r="R189" s="6"/>
    </row>
    <row r="190" spans="1:18" x14ac:dyDescent="0.25">
      <c r="A190" s="29">
        <f t="shared" si="8"/>
        <v>61</v>
      </c>
      <c r="B190" s="167" t="s">
        <v>116</v>
      </c>
      <c r="C190" s="167" t="s">
        <v>62</v>
      </c>
      <c r="D190" s="167" t="s">
        <v>63</v>
      </c>
      <c r="E190" s="167" t="s">
        <v>74</v>
      </c>
      <c r="F190" s="167" t="s">
        <v>231</v>
      </c>
      <c r="G190" s="167" t="s">
        <v>85</v>
      </c>
      <c r="H190" s="167">
        <v>25</v>
      </c>
      <c r="I190" s="167">
        <v>16</v>
      </c>
      <c r="J190" s="167">
        <v>18</v>
      </c>
      <c r="K190" s="168">
        <v>29296.92</v>
      </c>
      <c r="L190" s="168">
        <v>29296.92</v>
      </c>
      <c r="M190" s="168">
        <v>0</v>
      </c>
      <c r="N190" s="167">
        <v>3</v>
      </c>
      <c r="O190" s="168">
        <v>5058.49</v>
      </c>
      <c r="P190" s="168">
        <v>5058.49</v>
      </c>
      <c r="Q190" s="168">
        <v>0</v>
      </c>
      <c r="R190" s="6"/>
    </row>
    <row r="191" spans="1:18" x14ac:dyDescent="0.25">
      <c r="A191" s="29">
        <f t="shared" si="8"/>
        <v>62</v>
      </c>
      <c r="B191" s="167" t="s">
        <v>232</v>
      </c>
      <c r="C191" s="167" t="s">
        <v>62</v>
      </c>
      <c r="D191" s="167"/>
      <c r="E191" s="167" t="s">
        <v>174</v>
      </c>
      <c r="F191" s="167" t="s">
        <v>233</v>
      </c>
      <c r="G191" s="167" t="s">
        <v>85</v>
      </c>
      <c r="H191" s="167">
        <v>8</v>
      </c>
      <c r="I191" s="167">
        <v>5</v>
      </c>
      <c r="J191" s="167">
        <v>5</v>
      </c>
      <c r="K191" s="168">
        <v>0</v>
      </c>
      <c r="L191" s="168">
        <v>0</v>
      </c>
      <c r="M191" s="168">
        <v>0</v>
      </c>
      <c r="N191" s="167">
        <v>0</v>
      </c>
      <c r="O191" s="168">
        <v>0</v>
      </c>
      <c r="P191" s="168">
        <v>0</v>
      </c>
      <c r="Q191" s="168">
        <v>0</v>
      </c>
      <c r="R191" s="6"/>
    </row>
    <row r="192" spans="1:18" x14ac:dyDescent="0.25">
      <c r="A192" s="29">
        <f t="shared" si="8"/>
        <v>63</v>
      </c>
      <c r="B192" s="167" t="s">
        <v>487</v>
      </c>
      <c r="C192" s="167" t="s">
        <v>62</v>
      </c>
      <c r="D192" s="167"/>
      <c r="E192" s="167" t="s">
        <v>282</v>
      </c>
      <c r="F192" s="167" t="s">
        <v>488</v>
      </c>
      <c r="G192" s="167" t="s">
        <v>85</v>
      </c>
      <c r="H192" s="167">
        <v>8</v>
      </c>
      <c r="I192" s="167">
        <v>0</v>
      </c>
      <c r="J192" s="167">
        <v>0</v>
      </c>
      <c r="K192" s="168">
        <v>0</v>
      </c>
      <c r="L192" s="168">
        <v>0</v>
      </c>
      <c r="M192" s="168">
        <v>0</v>
      </c>
      <c r="N192" s="167">
        <v>0</v>
      </c>
      <c r="O192" s="168">
        <v>0</v>
      </c>
      <c r="P192" s="168">
        <v>0</v>
      </c>
      <c r="Q192" s="168">
        <v>0</v>
      </c>
      <c r="R192" s="6"/>
    </row>
    <row r="193" spans="1:18" ht="26.25" x14ac:dyDescent="0.25">
      <c r="A193" s="29">
        <f t="shared" si="8"/>
        <v>64</v>
      </c>
      <c r="B193" s="167" t="s">
        <v>357</v>
      </c>
      <c r="C193" s="167" t="s">
        <v>64</v>
      </c>
      <c r="D193" s="169" t="s">
        <v>572</v>
      </c>
      <c r="E193" s="167" t="s">
        <v>74</v>
      </c>
      <c r="F193" s="167" t="s">
        <v>573</v>
      </c>
      <c r="G193" s="167" t="s">
        <v>85</v>
      </c>
      <c r="H193" s="167">
        <v>0</v>
      </c>
      <c r="I193" s="167">
        <v>0</v>
      </c>
      <c r="J193" s="167">
        <v>0</v>
      </c>
      <c r="K193" s="168">
        <v>0</v>
      </c>
      <c r="L193" s="168">
        <v>0</v>
      </c>
      <c r="M193" s="168">
        <v>0</v>
      </c>
      <c r="N193" s="167">
        <v>1</v>
      </c>
      <c r="O193" s="168">
        <v>0</v>
      </c>
      <c r="P193" s="168">
        <v>0</v>
      </c>
      <c r="Q193" s="168">
        <v>0</v>
      </c>
      <c r="R193" s="6"/>
    </row>
    <row r="194" spans="1:18" x14ac:dyDescent="0.25">
      <c r="A194" s="29">
        <f t="shared" si="8"/>
        <v>65</v>
      </c>
      <c r="B194" s="167" t="s">
        <v>36</v>
      </c>
      <c r="C194" s="167" t="s">
        <v>62</v>
      </c>
      <c r="D194" s="167" t="s">
        <v>63</v>
      </c>
      <c r="E194" s="167" t="s">
        <v>74</v>
      </c>
      <c r="F194" s="167" t="s">
        <v>465</v>
      </c>
      <c r="G194" s="167" t="s">
        <v>85</v>
      </c>
      <c r="H194" s="167">
        <v>4</v>
      </c>
      <c r="I194" s="167">
        <v>0</v>
      </c>
      <c r="J194" s="167">
        <v>0</v>
      </c>
      <c r="K194" s="168">
        <v>0</v>
      </c>
      <c r="L194" s="168">
        <v>0</v>
      </c>
      <c r="M194" s="168">
        <v>0</v>
      </c>
      <c r="N194" s="167">
        <v>3</v>
      </c>
      <c r="O194" s="168">
        <f>708.32+616.7</f>
        <v>1325.02</v>
      </c>
      <c r="P194" s="168">
        <f>708.32+616.7</f>
        <v>1325.02</v>
      </c>
      <c r="Q194" s="168">
        <v>0</v>
      </c>
      <c r="R194" s="6"/>
    </row>
    <row r="195" spans="1:18" x14ac:dyDescent="0.25">
      <c r="A195" s="29">
        <f t="shared" si="8"/>
        <v>66</v>
      </c>
      <c r="B195" s="167" t="s">
        <v>37</v>
      </c>
      <c r="C195" s="167" t="s">
        <v>62</v>
      </c>
      <c r="D195" s="167" t="s">
        <v>63</v>
      </c>
      <c r="E195" s="167" t="s">
        <v>70</v>
      </c>
      <c r="F195" s="167" t="s">
        <v>234</v>
      </c>
      <c r="G195" s="167" t="s">
        <v>85</v>
      </c>
      <c r="H195" s="167">
        <v>15</v>
      </c>
      <c r="I195" s="167">
        <v>5</v>
      </c>
      <c r="J195" s="167">
        <v>5</v>
      </c>
      <c r="K195" s="168">
        <v>3700.2</v>
      </c>
      <c r="L195" s="168">
        <v>3700.2</v>
      </c>
      <c r="M195" s="168">
        <v>0</v>
      </c>
      <c r="N195" s="167">
        <v>1</v>
      </c>
      <c r="O195" s="168">
        <v>629.82000000000005</v>
      </c>
      <c r="P195" s="168">
        <v>629.82000000000005</v>
      </c>
      <c r="Q195" s="168">
        <v>0</v>
      </c>
      <c r="R195" s="6"/>
    </row>
    <row r="196" spans="1:18" x14ac:dyDescent="0.25">
      <c r="A196" s="29">
        <f t="shared" ref="A196:A259" si="9">A195+1</f>
        <v>67</v>
      </c>
      <c r="B196" s="167" t="s">
        <v>235</v>
      </c>
      <c r="C196" s="167" t="s">
        <v>62</v>
      </c>
      <c r="D196" s="167"/>
      <c r="E196" s="167" t="s">
        <v>236</v>
      </c>
      <c r="F196" s="167" t="s">
        <v>237</v>
      </c>
      <c r="G196" s="167" t="s">
        <v>85</v>
      </c>
      <c r="H196" s="167">
        <v>3</v>
      </c>
      <c r="I196" s="167">
        <v>3</v>
      </c>
      <c r="J196" s="167">
        <v>4</v>
      </c>
      <c r="K196" s="168">
        <v>528.6</v>
      </c>
      <c r="L196" s="168">
        <v>528.6</v>
      </c>
      <c r="M196" s="168">
        <v>0</v>
      </c>
      <c r="N196" s="167">
        <v>0</v>
      </c>
      <c r="O196" s="168">
        <v>0</v>
      </c>
      <c r="P196" s="168">
        <v>0</v>
      </c>
      <c r="Q196" s="168">
        <v>0</v>
      </c>
      <c r="R196" s="6"/>
    </row>
    <row r="197" spans="1:18" x14ac:dyDescent="0.25">
      <c r="A197" s="29">
        <f t="shared" si="9"/>
        <v>68</v>
      </c>
      <c r="B197" s="167" t="s">
        <v>238</v>
      </c>
      <c r="C197" s="167" t="s">
        <v>62</v>
      </c>
      <c r="D197" s="167"/>
      <c r="E197" s="167" t="s">
        <v>239</v>
      </c>
      <c r="F197" s="167" t="s">
        <v>240</v>
      </c>
      <c r="G197" s="167" t="s">
        <v>85</v>
      </c>
      <c r="H197" s="167">
        <v>9</v>
      </c>
      <c r="I197" s="167">
        <v>8</v>
      </c>
      <c r="J197" s="167">
        <v>9</v>
      </c>
      <c r="K197" s="168">
        <v>8493.5499999999993</v>
      </c>
      <c r="L197" s="168">
        <v>8493.5499999999993</v>
      </c>
      <c r="M197" s="168">
        <v>0</v>
      </c>
      <c r="N197" s="167">
        <v>0</v>
      </c>
      <c r="O197" s="168">
        <v>0</v>
      </c>
      <c r="P197" s="168">
        <v>0</v>
      </c>
      <c r="Q197" s="168">
        <v>0</v>
      </c>
      <c r="R197" s="6"/>
    </row>
    <row r="198" spans="1:18" x14ac:dyDescent="0.25">
      <c r="A198" s="29">
        <f t="shared" si="9"/>
        <v>69</v>
      </c>
      <c r="B198" s="167" t="s">
        <v>241</v>
      </c>
      <c r="C198" s="167" t="s">
        <v>62</v>
      </c>
      <c r="D198" s="167"/>
      <c r="E198" s="167" t="s">
        <v>242</v>
      </c>
      <c r="F198" s="167" t="s">
        <v>243</v>
      </c>
      <c r="G198" s="167" t="s">
        <v>85</v>
      </c>
      <c r="H198" s="167">
        <v>7</v>
      </c>
      <c r="I198" s="167">
        <v>6</v>
      </c>
      <c r="J198" s="167">
        <v>3</v>
      </c>
      <c r="K198" s="168">
        <v>3433.01</v>
      </c>
      <c r="L198" s="168">
        <v>3433.01</v>
      </c>
      <c r="M198" s="168">
        <v>0</v>
      </c>
      <c r="N198" s="167">
        <v>0</v>
      </c>
      <c r="O198" s="168">
        <v>0</v>
      </c>
      <c r="P198" s="168">
        <v>0</v>
      </c>
      <c r="Q198" s="168">
        <v>0</v>
      </c>
      <c r="R198" s="6"/>
    </row>
    <row r="199" spans="1:18" x14ac:dyDescent="0.25">
      <c r="A199" s="29">
        <f t="shared" si="9"/>
        <v>70</v>
      </c>
      <c r="B199" s="167" t="s">
        <v>38</v>
      </c>
      <c r="C199" s="167" t="s">
        <v>62</v>
      </c>
      <c r="D199" s="167" t="s">
        <v>63</v>
      </c>
      <c r="E199" s="167" t="s">
        <v>244</v>
      </c>
      <c r="F199" s="167" t="s">
        <v>245</v>
      </c>
      <c r="G199" s="167" t="s">
        <v>85</v>
      </c>
      <c r="H199" s="167">
        <v>60</v>
      </c>
      <c r="I199" s="167">
        <v>42</v>
      </c>
      <c r="J199" s="167">
        <v>66</v>
      </c>
      <c r="K199" s="168">
        <v>114587.42</v>
      </c>
      <c r="L199" s="168">
        <v>83791.94</v>
      </c>
      <c r="M199" s="168">
        <v>30795.48</v>
      </c>
      <c r="N199" s="167">
        <v>69</v>
      </c>
      <c r="O199" s="168">
        <v>203043.36</v>
      </c>
      <c r="P199" s="168">
        <v>180429.03</v>
      </c>
      <c r="Q199" s="168">
        <v>22614.33</v>
      </c>
      <c r="R199" s="6"/>
    </row>
    <row r="200" spans="1:18" x14ac:dyDescent="0.25">
      <c r="A200" s="29">
        <f t="shared" si="9"/>
        <v>71</v>
      </c>
      <c r="B200" s="167" t="s">
        <v>246</v>
      </c>
      <c r="C200" s="167" t="s">
        <v>62</v>
      </c>
      <c r="D200" s="167"/>
      <c r="E200" s="167" t="s">
        <v>247</v>
      </c>
      <c r="F200" s="167" t="s">
        <v>248</v>
      </c>
      <c r="G200" s="167" t="s">
        <v>85</v>
      </c>
      <c r="H200" s="167">
        <v>17</v>
      </c>
      <c r="I200" s="167">
        <v>9</v>
      </c>
      <c r="J200" s="167">
        <v>11</v>
      </c>
      <c r="K200" s="168">
        <v>5537.89</v>
      </c>
      <c r="L200" s="168">
        <v>5537.89</v>
      </c>
      <c r="M200" s="168">
        <v>0</v>
      </c>
      <c r="N200" s="167">
        <v>0</v>
      </c>
      <c r="O200" s="168">
        <v>0</v>
      </c>
      <c r="P200" s="168">
        <v>0</v>
      </c>
      <c r="Q200" s="168">
        <v>0</v>
      </c>
      <c r="R200" s="6"/>
    </row>
    <row r="201" spans="1:18" x14ac:dyDescent="0.25">
      <c r="A201" s="29">
        <f t="shared" si="9"/>
        <v>72</v>
      </c>
      <c r="B201" s="167" t="s">
        <v>39</v>
      </c>
      <c r="C201" s="167" t="s">
        <v>62</v>
      </c>
      <c r="D201" s="167" t="s">
        <v>63</v>
      </c>
      <c r="E201" s="167" t="s">
        <v>77</v>
      </c>
      <c r="F201" s="167" t="s">
        <v>466</v>
      </c>
      <c r="G201" s="167" t="s">
        <v>85</v>
      </c>
      <c r="H201" s="167">
        <v>56</v>
      </c>
      <c r="I201" s="167">
        <v>41</v>
      </c>
      <c r="J201" s="167">
        <v>44</v>
      </c>
      <c r="K201" s="168">
        <v>9612.9699999999993</v>
      </c>
      <c r="L201" s="168">
        <v>9612.9699999999993</v>
      </c>
      <c r="M201" s="168">
        <v>0</v>
      </c>
      <c r="N201" s="167">
        <v>6</v>
      </c>
      <c r="O201" s="168">
        <v>6247.51</v>
      </c>
      <c r="P201" s="168">
        <v>6247.51</v>
      </c>
      <c r="Q201" s="168">
        <v>0</v>
      </c>
      <c r="R201" s="6"/>
    </row>
    <row r="202" spans="1:18" x14ac:dyDescent="0.25">
      <c r="A202" s="29">
        <f t="shared" si="9"/>
        <v>73</v>
      </c>
      <c r="B202" s="167" t="s">
        <v>40</v>
      </c>
      <c r="C202" s="167" t="s">
        <v>62</v>
      </c>
      <c r="D202" s="167" t="s">
        <v>63</v>
      </c>
      <c r="E202" s="167" t="s">
        <v>249</v>
      </c>
      <c r="F202" s="167" t="s">
        <v>250</v>
      </c>
      <c r="G202" s="167" t="s">
        <v>85</v>
      </c>
      <c r="H202" s="167">
        <v>20</v>
      </c>
      <c r="I202" s="167">
        <v>18</v>
      </c>
      <c r="J202" s="167">
        <v>24</v>
      </c>
      <c r="K202" s="168">
        <v>38434.080000000002</v>
      </c>
      <c r="L202" s="168">
        <v>38434.080000000002</v>
      </c>
      <c r="M202" s="168">
        <v>0</v>
      </c>
      <c r="N202" s="167">
        <v>17</v>
      </c>
      <c r="O202" s="168">
        <v>41463</v>
      </c>
      <c r="P202" s="168">
        <v>41463</v>
      </c>
      <c r="Q202" s="168">
        <v>0</v>
      </c>
      <c r="R202" s="6"/>
    </row>
    <row r="203" spans="1:18" x14ac:dyDescent="0.25">
      <c r="A203" s="29">
        <f t="shared" si="9"/>
        <v>74</v>
      </c>
      <c r="B203" s="167" t="s">
        <v>251</v>
      </c>
      <c r="C203" s="167" t="s">
        <v>62</v>
      </c>
      <c r="D203" s="167">
        <v>0</v>
      </c>
      <c r="E203" s="167" t="s">
        <v>177</v>
      </c>
      <c r="F203" s="167" t="s">
        <v>252</v>
      </c>
      <c r="G203" s="167" t="s">
        <v>85</v>
      </c>
      <c r="H203" s="167">
        <v>20</v>
      </c>
      <c r="I203" s="167">
        <v>13</v>
      </c>
      <c r="J203" s="167">
        <v>18</v>
      </c>
      <c r="K203" s="168">
        <v>22050.89</v>
      </c>
      <c r="L203" s="168">
        <v>22050.89</v>
      </c>
      <c r="M203" s="168">
        <v>0</v>
      </c>
      <c r="N203" s="167">
        <v>0</v>
      </c>
      <c r="O203" s="168">
        <v>0</v>
      </c>
      <c r="P203" s="168">
        <v>0</v>
      </c>
      <c r="Q203" s="168">
        <v>0</v>
      </c>
      <c r="R203" s="6"/>
    </row>
    <row r="204" spans="1:18" x14ac:dyDescent="0.25">
      <c r="A204" s="29">
        <f t="shared" si="9"/>
        <v>75</v>
      </c>
      <c r="B204" s="167" t="s">
        <v>117</v>
      </c>
      <c r="C204" s="167" t="s">
        <v>62</v>
      </c>
      <c r="D204" s="167" t="s">
        <v>63</v>
      </c>
      <c r="E204" s="167" t="s">
        <v>74</v>
      </c>
      <c r="F204" s="167" t="s">
        <v>520</v>
      </c>
      <c r="G204" s="167" t="s">
        <v>85</v>
      </c>
      <c r="H204" s="167">
        <v>1</v>
      </c>
      <c r="I204" s="167">
        <v>1</v>
      </c>
      <c r="J204" s="167">
        <v>1</v>
      </c>
      <c r="K204" s="168">
        <v>2616.5700000000002</v>
      </c>
      <c r="L204" s="168">
        <v>2616.5700000000002</v>
      </c>
      <c r="M204" s="168">
        <v>0</v>
      </c>
      <c r="N204" s="167">
        <v>1</v>
      </c>
      <c r="O204" s="168">
        <v>581.46</v>
      </c>
      <c r="P204" s="168">
        <v>581.46</v>
      </c>
      <c r="Q204" s="168">
        <v>0</v>
      </c>
      <c r="R204" s="6"/>
    </row>
    <row r="205" spans="1:18" x14ac:dyDescent="0.25">
      <c r="A205" s="29">
        <f t="shared" si="9"/>
        <v>76</v>
      </c>
      <c r="B205" s="167" t="s">
        <v>41</v>
      </c>
      <c r="C205" s="167" t="s">
        <v>64</v>
      </c>
      <c r="D205" s="167" t="s">
        <v>65</v>
      </c>
      <c r="E205" s="167" t="s">
        <v>72</v>
      </c>
      <c r="F205" s="167" t="s">
        <v>253</v>
      </c>
      <c r="G205" s="167" t="s">
        <v>85</v>
      </c>
      <c r="H205" s="167">
        <v>2</v>
      </c>
      <c r="I205" s="167">
        <v>2</v>
      </c>
      <c r="J205" s="167">
        <v>2</v>
      </c>
      <c r="K205" s="168">
        <v>1575.23</v>
      </c>
      <c r="L205" s="168">
        <v>1575.23</v>
      </c>
      <c r="M205" s="168">
        <v>0</v>
      </c>
      <c r="N205" s="167">
        <v>12</v>
      </c>
      <c r="O205" s="168">
        <v>31906.02</v>
      </c>
      <c r="P205" s="168">
        <v>31906.02</v>
      </c>
      <c r="Q205" s="168">
        <v>0</v>
      </c>
      <c r="R205" s="6"/>
    </row>
    <row r="206" spans="1:18" x14ac:dyDescent="0.25">
      <c r="A206" s="29">
        <f t="shared" si="9"/>
        <v>77</v>
      </c>
      <c r="B206" s="167" t="s">
        <v>118</v>
      </c>
      <c r="C206" s="167" t="s">
        <v>62</v>
      </c>
      <c r="D206" s="167" t="s">
        <v>63</v>
      </c>
      <c r="E206" s="167" t="s">
        <v>63</v>
      </c>
      <c r="F206" s="167" t="s">
        <v>467</v>
      </c>
      <c r="G206" s="167" t="s">
        <v>85</v>
      </c>
      <c r="H206" s="167">
        <v>4</v>
      </c>
      <c r="I206" s="167">
        <v>1</v>
      </c>
      <c r="J206" s="167">
        <v>1</v>
      </c>
      <c r="K206" s="170">
        <v>9832.0300000000007</v>
      </c>
      <c r="L206" s="170">
        <v>9832.0300000000007</v>
      </c>
      <c r="M206" s="168">
        <v>0</v>
      </c>
      <c r="N206" s="167">
        <v>0</v>
      </c>
      <c r="O206" s="168">
        <v>0</v>
      </c>
      <c r="P206" s="168">
        <v>0</v>
      </c>
      <c r="Q206" s="168">
        <v>0</v>
      </c>
      <c r="R206" s="6"/>
    </row>
    <row r="207" spans="1:18" x14ac:dyDescent="0.25">
      <c r="A207" s="29">
        <f t="shared" si="9"/>
        <v>78</v>
      </c>
      <c r="B207" s="167" t="s">
        <v>548</v>
      </c>
      <c r="C207" s="167" t="s">
        <v>62</v>
      </c>
      <c r="D207" s="167"/>
      <c r="E207" s="167" t="s">
        <v>549</v>
      </c>
      <c r="F207" s="167" t="s">
        <v>550</v>
      </c>
      <c r="G207" s="167" t="s">
        <v>85</v>
      </c>
      <c r="H207" s="167">
        <v>3</v>
      </c>
      <c r="I207" s="167">
        <v>1</v>
      </c>
      <c r="J207" s="167">
        <v>1</v>
      </c>
      <c r="K207" s="168">
        <v>0</v>
      </c>
      <c r="L207" s="168">
        <v>0</v>
      </c>
      <c r="M207" s="168">
        <v>0</v>
      </c>
      <c r="N207" s="167">
        <v>0</v>
      </c>
      <c r="O207" s="168">
        <v>0</v>
      </c>
      <c r="P207" s="168">
        <v>0</v>
      </c>
      <c r="Q207" s="168">
        <v>0</v>
      </c>
      <c r="R207" s="6"/>
    </row>
    <row r="208" spans="1:18" x14ac:dyDescent="0.25">
      <c r="A208" s="29">
        <f t="shared" si="9"/>
        <v>79</v>
      </c>
      <c r="B208" s="167" t="s">
        <v>254</v>
      </c>
      <c r="C208" s="167" t="s">
        <v>62</v>
      </c>
      <c r="D208" s="167"/>
      <c r="E208" s="167" t="s">
        <v>239</v>
      </c>
      <c r="F208" s="167" t="s">
        <v>255</v>
      </c>
      <c r="G208" s="167" t="s">
        <v>85</v>
      </c>
      <c r="H208" s="167">
        <v>6</v>
      </c>
      <c r="I208" s="167">
        <v>0</v>
      </c>
      <c r="J208" s="167">
        <v>0</v>
      </c>
      <c r="K208" s="168">
        <v>0</v>
      </c>
      <c r="L208" s="168">
        <v>0</v>
      </c>
      <c r="M208" s="168">
        <v>0</v>
      </c>
      <c r="N208" s="167">
        <v>0</v>
      </c>
      <c r="O208" s="168">
        <v>0</v>
      </c>
      <c r="P208" s="168">
        <v>0</v>
      </c>
      <c r="Q208" s="168">
        <v>0</v>
      </c>
      <c r="R208" s="6"/>
    </row>
    <row r="209" spans="1:18" x14ac:dyDescent="0.25">
      <c r="A209" s="29">
        <f t="shared" si="9"/>
        <v>80</v>
      </c>
      <c r="B209" s="167" t="s">
        <v>256</v>
      </c>
      <c r="C209" s="167" t="s">
        <v>62</v>
      </c>
      <c r="D209" s="167"/>
      <c r="E209" s="167" t="s">
        <v>158</v>
      </c>
      <c r="F209" s="167" t="s">
        <v>257</v>
      </c>
      <c r="G209" s="167" t="s">
        <v>85</v>
      </c>
      <c r="H209" s="167">
        <v>6</v>
      </c>
      <c r="I209" s="167">
        <v>2</v>
      </c>
      <c r="J209" s="167">
        <v>2</v>
      </c>
      <c r="K209" s="168">
        <v>2079.16</v>
      </c>
      <c r="L209" s="168">
        <v>2079.16</v>
      </c>
      <c r="M209" s="168">
        <v>0</v>
      </c>
      <c r="N209" s="167">
        <v>0</v>
      </c>
      <c r="O209" s="168">
        <v>0</v>
      </c>
      <c r="P209" s="168">
        <v>0</v>
      </c>
      <c r="Q209" s="168">
        <v>0</v>
      </c>
      <c r="R209" s="6"/>
    </row>
    <row r="210" spans="1:18" x14ac:dyDescent="0.25">
      <c r="A210" s="29">
        <f t="shared" si="9"/>
        <v>81</v>
      </c>
      <c r="B210" s="167" t="s">
        <v>574</v>
      </c>
      <c r="C210" s="167" t="s">
        <v>62</v>
      </c>
      <c r="D210" s="167" t="s">
        <v>63</v>
      </c>
      <c r="E210" s="167" t="s">
        <v>575</v>
      </c>
      <c r="F210" s="167" t="s">
        <v>576</v>
      </c>
      <c r="G210" s="167" t="s">
        <v>85</v>
      </c>
      <c r="H210" s="167">
        <v>0</v>
      </c>
      <c r="I210" s="167">
        <v>0</v>
      </c>
      <c r="J210" s="167">
        <v>0</v>
      </c>
      <c r="K210" s="168">
        <v>0</v>
      </c>
      <c r="L210" s="168">
        <v>0</v>
      </c>
      <c r="M210" s="168">
        <v>0</v>
      </c>
      <c r="N210" s="167">
        <v>3</v>
      </c>
      <c r="O210" s="168">
        <v>2509.4</v>
      </c>
      <c r="P210" s="168">
        <v>2509.4</v>
      </c>
      <c r="Q210" s="168">
        <v>0</v>
      </c>
      <c r="R210" s="6"/>
    </row>
    <row r="211" spans="1:18" x14ac:dyDescent="0.25">
      <c r="A211" s="29">
        <f t="shared" si="9"/>
        <v>82</v>
      </c>
      <c r="B211" s="167" t="s">
        <v>258</v>
      </c>
      <c r="C211" s="167" t="s">
        <v>62</v>
      </c>
      <c r="D211" s="167"/>
      <c r="E211" s="167" t="s">
        <v>239</v>
      </c>
      <c r="F211" s="167" t="s">
        <v>259</v>
      </c>
      <c r="G211" s="167" t="s">
        <v>85</v>
      </c>
      <c r="H211" s="167">
        <v>11</v>
      </c>
      <c r="I211" s="167">
        <v>6</v>
      </c>
      <c r="J211" s="167">
        <v>6</v>
      </c>
      <c r="K211" s="168">
        <v>1347.43</v>
      </c>
      <c r="L211" s="168">
        <v>1347.43</v>
      </c>
      <c r="M211" s="168">
        <v>0</v>
      </c>
      <c r="N211" s="167">
        <v>0</v>
      </c>
      <c r="O211" s="168">
        <v>0</v>
      </c>
      <c r="P211" s="168">
        <v>0</v>
      </c>
      <c r="Q211" s="168">
        <v>0</v>
      </c>
      <c r="R211" s="6"/>
    </row>
    <row r="212" spans="1:18" x14ac:dyDescent="0.25">
      <c r="A212" s="29">
        <f t="shared" si="9"/>
        <v>83</v>
      </c>
      <c r="B212" s="167" t="s">
        <v>42</v>
      </c>
      <c r="C212" s="167" t="s">
        <v>62</v>
      </c>
      <c r="D212" s="167" t="s">
        <v>63</v>
      </c>
      <c r="E212" s="167" t="s">
        <v>78</v>
      </c>
      <c r="F212" s="167" t="s">
        <v>260</v>
      </c>
      <c r="G212" s="167" t="s">
        <v>85</v>
      </c>
      <c r="H212" s="167">
        <v>31</v>
      </c>
      <c r="I212" s="167">
        <v>23</v>
      </c>
      <c r="J212" s="167">
        <v>26</v>
      </c>
      <c r="K212" s="168">
        <v>26521.88</v>
      </c>
      <c r="L212" s="168">
        <v>25596.83</v>
      </c>
      <c r="M212" s="168">
        <v>925.05</v>
      </c>
      <c r="N212" s="167">
        <v>26</v>
      </c>
      <c r="O212" s="168">
        <v>59423.99</v>
      </c>
      <c r="P212" s="168">
        <v>59423.99</v>
      </c>
      <c r="Q212" s="168">
        <v>0</v>
      </c>
      <c r="R212" s="6"/>
    </row>
    <row r="213" spans="1:18" x14ac:dyDescent="0.25">
      <c r="A213" s="29">
        <f t="shared" si="9"/>
        <v>84</v>
      </c>
      <c r="B213" s="167" t="s">
        <v>43</v>
      </c>
      <c r="C213" s="167" t="s">
        <v>62</v>
      </c>
      <c r="D213" s="167" t="s">
        <v>63</v>
      </c>
      <c r="E213" s="167" t="s">
        <v>72</v>
      </c>
      <c r="F213" s="167" t="s">
        <v>261</v>
      </c>
      <c r="G213" s="167" t="s">
        <v>85</v>
      </c>
      <c r="H213" s="167">
        <v>17</v>
      </c>
      <c r="I213" s="167">
        <v>10</v>
      </c>
      <c r="J213" s="167">
        <v>14</v>
      </c>
      <c r="K213" s="168">
        <v>18615.32</v>
      </c>
      <c r="L213" s="168">
        <v>18615.32</v>
      </c>
      <c r="M213" s="168">
        <v>0</v>
      </c>
      <c r="N213" s="167">
        <v>31</v>
      </c>
      <c r="O213" s="168">
        <v>87291.33</v>
      </c>
      <c r="P213" s="168">
        <v>87291.33</v>
      </c>
      <c r="Q213" s="168">
        <v>0</v>
      </c>
      <c r="R213" s="6"/>
    </row>
    <row r="214" spans="1:18" x14ac:dyDescent="0.25">
      <c r="A214" s="29">
        <f t="shared" si="9"/>
        <v>85</v>
      </c>
      <c r="B214" s="167" t="s">
        <v>44</v>
      </c>
      <c r="C214" s="167" t="s">
        <v>62</v>
      </c>
      <c r="D214" s="167" t="s">
        <v>63</v>
      </c>
      <c r="E214" s="167" t="s">
        <v>74</v>
      </c>
      <c r="F214" s="167" t="s">
        <v>262</v>
      </c>
      <c r="G214" s="167" t="s">
        <v>85</v>
      </c>
      <c r="H214" s="167">
        <v>30</v>
      </c>
      <c r="I214" s="167">
        <v>18</v>
      </c>
      <c r="J214" s="167">
        <v>20</v>
      </c>
      <c r="K214" s="168">
        <v>7151.96</v>
      </c>
      <c r="L214" s="168">
        <v>7151.96</v>
      </c>
      <c r="M214" s="168">
        <v>0</v>
      </c>
      <c r="N214" s="167">
        <v>26</v>
      </c>
      <c r="O214" s="168">
        <v>80034.320000000007</v>
      </c>
      <c r="P214" s="168">
        <v>80034.320000000007</v>
      </c>
      <c r="Q214" s="168">
        <v>0</v>
      </c>
      <c r="R214" s="6"/>
    </row>
    <row r="215" spans="1:18" x14ac:dyDescent="0.25">
      <c r="A215" s="29">
        <f t="shared" si="9"/>
        <v>86</v>
      </c>
      <c r="B215" s="167" t="s">
        <v>45</v>
      </c>
      <c r="C215" s="167" t="s">
        <v>62</v>
      </c>
      <c r="D215" s="167" t="s">
        <v>63</v>
      </c>
      <c r="E215" s="167" t="s">
        <v>79</v>
      </c>
      <c r="F215" s="167" t="s">
        <v>263</v>
      </c>
      <c r="G215" s="167" t="s">
        <v>85</v>
      </c>
      <c r="H215" s="167">
        <v>9</v>
      </c>
      <c r="I215" s="167">
        <v>6</v>
      </c>
      <c r="J215" s="167">
        <v>10</v>
      </c>
      <c r="K215" s="168">
        <v>7644.39</v>
      </c>
      <c r="L215" s="168">
        <v>7644.39</v>
      </c>
      <c r="M215" s="168">
        <v>0</v>
      </c>
      <c r="N215" s="167">
        <v>1</v>
      </c>
      <c r="O215" s="168">
        <v>12181.77</v>
      </c>
      <c r="P215" s="168">
        <v>12181.77</v>
      </c>
      <c r="Q215" s="168">
        <v>0</v>
      </c>
      <c r="R215" s="6"/>
    </row>
    <row r="216" spans="1:18" x14ac:dyDescent="0.25">
      <c r="A216" s="29">
        <f t="shared" si="9"/>
        <v>87</v>
      </c>
      <c r="B216" s="167" t="s">
        <v>264</v>
      </c>
      <c r="C216" s="167" t="s">
        <v>62</v>
      </c>
      <c r="D216" s="167" t="s">
        <v>63</v>
      </c>
      <c r="E216" s="167" t="s">
        <v>74</v>
      </c>
      <c r="F216" s="167" t="s">
        <v>265</v>
      </c>
      <c r="G216" s="167" t="s">
        <v>85</v>
      </c>
      <c r="H216" s="167">
        <v>19</v>
      </c>
      <c r="I216" s="167">
        <v>17</v>
      </c>
      <c r="J216" s="167">
        <v>18</v>
      </c>
      <c r="K216" s="168">
        <v>6523.63</v>
      </c>
      <c r="L216" s="168">
        <v>6523.63</v>
      </c>
      <c r="M216" s="168">
        <v>0</v>
      </c>
      <c r="N216" s="167">
        <v>0</v>
      </c>
      <c r="O216" s="168">
        <v>0</v>
      </c>
      <c r="P216" s="168">
        <v>0</v>
      </c>
      <c r="Q216" s="168">
        <v>0</v>
      </c>
      <c r="R216" s="6"/>
    </row>
    <row r="217" spans="1:18" x14ac:dyDescent="0.25">
      <c r="A217" s="29">
        <f t="shared" si="9"/>
        <v>88</v>
      </c>
      <c r="B217" s="167" t="s">
        <v>119</v>
      </c>
      <c r="C217" s="167" t="s">
        <v>62</v>
      </c>
      <c r="D217" s="167" t="s">
        <v>63</v>
      </c>
      <c r="E217" s="167" t="s">
        <v>108</v>
      </c>
      <c r="F217" s="167" t="s">
        <v>266</v>
      </c>
      <c r="G217" s="167" t="s">
        <v>85</v>
      </c>
      <c r="H217" s="167">
        <v>16</v>
      </c>
      <c r="I217" s="167">
        <v>11</v>
      </c>
      <c r="J217" s="167">
        <v>10</v>
      </c>
      <c r="K217" s="168">
        <v>6931.42</v>
      </c>
      <c r="L217" s="168">
        <v>6931.42</v>
      </c>
      <c r="M217" s="168">
        <v>0</v>
      </c>
      <c r="N217" s="167">
        <v>2</v>
      </c>
      <c r="O217" s="168">
        <v>768.04</v>
      </c>
      <c r="P217" s="168">
        <v>768.04</v>
      </c>
      <c r="Q217" s="168">
        <v>0</v>
      </c>
      <c r="R217" s="6"/>
    </row>
    <row r="218" spans="1:18" x14ac:dyDescent="0.25">
      <c r="A218" s="29">
        <f t="shared" si="9"/>
        <v>89</v>
      </c>
      <c r="B218" s="167" t="s">
        <v>46</v>
      </c>
      <c r="C218" s="167" t="s">
        <v>62</v>
      </c>
      <c r="D218" s="167" t="s">
        <v>63</v>
      </c>
      <c r="E218" s="167" t="s">
        <v>267</v>
      </c>
      <c r="F218" s="167" t="s">
        <v>268</v>
      </c>
      <c r="G218" s="167" t="s">
        <v>85</v>
      </c>
      <c r="H218" s="167">
        <v>18</v>
      </c>
      <c r="I218" s="167">
        <v>13</v>
      </c>
      <c r="J218" s="167">
        <v>18</v>
      </c>
      <c r="K218" s="168">
        <v>26906.22</v>
      </c>
      <c r="L218" s="168">
        <v>14591.44</v>
      </c>
      <c r="M218" s="168">
        <v>12314.78</v>
      </c>
      <c r="N218" s="167">
        <v>20</v>
      </c>
      <c r="O218" s="168">
        <v>104529.03</v>
      </c>
      <c r="P218" s="168">
        <v>91463.84</v>
      </c>
      <c r="Q218" s="168">
        <v>13065.19</v>
      </c>
      <c r="R218" s="6"/>
    </row>
    <row r="219" spans="1:18" x14ac:dyDescent="0.25">
      <c r="A219" s="29">
        <f t="shared" si="9"/>
        <v>90</v>
      </c>
      <c r="B219" s="167" t="s">
        <v>47</v>
      </c>
      <c r="C219" s="167" t="s">
        <v>62</v>
      </c>
      <c r="D219" s="167" t="s">
        <v>63</v>
      </c>
      <c r="E219" s="167" t="s">
        <v>80</v>
      </c>
      <c r="F219" s="167" t="s">
        <v>269</v>
      </c>
      <c r="G219" s="167" t="s">
        <v>85</v>
      </c>
      <c r="H219" s="167">
        <v>47</v>
      </c>
      <c r="I219" s="167">
        <v>30</v>
      </c>
      <c r="J219" s="167">
        <v>46</v>
      </c>
      <c r="K219" s="168">
        <v>75452.800000000003</v>
      </c>
      <c r="L219" s="168">
        <v>61380.47</v>
      </c>
      <c r="M219" s="168">
        <v>14072.33</v>
      </c>
      <c r="N219" s="167">
        <v>101</v>
      </c>
      <c r="O219" s="168">
        <v>370643.57</v>
      </c>
      <c r="P219" s="168">
        <v>292071.21000000002</v>
      </c>
      <c r="Q219" s="168">
        <v>78572.36</v>
      </c>
      <c r="R219" s="6"/>
    </row>
    <row r="220" spans="1:18" x14ac:dyDescent="0.25">
      <c r="A220" s="29">
        <f t="shared" si="9"/>
        <v>91</v>
      </c>
      <c r="B220" s="167" t="s">
        <v>270</v>
      </c>
      <c r="C220" s="167" t="s">
        <v>62</v>
      </c>
      <c r="D220" s="167"/>
      <c r="E220" s="167" t="s">
        <v>271</v>
      </c>
      <c r="F220" s="167" t="s">
        <v>272</v>
      </c>
      <c r="G220" s="167" t="s">
        <v>85</v>
      </c>
      <c r="H220" s="167">
        <v>8</v>
      </c>
      <c r="I220" s="167">
        <v>5</v>
      </c>
      <c r="J220" s="167">
        <v>6</v>
      </c>
      <c r="K220" s="168">
        <v>6888.14</v>
      </c>
      <c r="L220" s="168">
        <v>6888.14</v>
      </c>
      <c r="M220" s="168">
        <v>0</v>
      </c>
      <c r="N220" s="167">
        <v>0</v>
      </c>
      <c r="O220" s="168">
        <v>0</v>
      </c>
      <c r="P220" s="168">
        <v>0</v>
      </c>
      <c r="Q220" s="168">
        <v>0</v>
      </c>
      <c r="R220" s="6"/>
    </row>
    <row r="221" spans="1:18" x14ac:dyDescent="0.25">
      <c r="A221" s="29">
        <f t="shared" si="9"/>
        <v>92</v>
      </c>
      <c r="B221" s="167" t="s">
        <v>273</v>
      </c>
      <c r="C221" s="167" t="s">
        <v>62</v>
      </c>
      <c r="D221" s="167"/>
      <c r="E221" s="167" t="s">
        <v>186</v>
      </c>
      <c r="F221" s="167" t="s">
        <v>63</v>
      </c>
      <c r="G221" s="167" t="s">
        <v>85</v>
      </c>
      <c r="H221" s="167">
        <v>5</v>
      </c>
      <c r="I221" s="167">
        <v>0</v>
      </c>
      <c r="J221" s="167">
        <v>0</v>
      </c>
      <c r="K221" s="168">
        <v>0</v>
      </c>
      <c r="L221" s="168">
        <v>0</v>
      </c>
      <c r="M221" s="168">
        <v>0</v>
      </c>
      <c r="N221" s="167">
        <v>0</v>
      </c>
      <c r="O221" s="168">
        <v>0</v>
      </c>
      <c r="P221" s="168">
        <v>0</v>
      </c>
      <c r="Q221" s="168">
        <v>0</v>
      </c>
      <c r="R221" s="6"/>
    </row>
    <row r="222" spans="1:18" x14ac:dyDescent="0.25">
      <c r="A222" s="29">
        <f t="shared" si="9"/>
        <v>93</v>
      </c>
      <c r="B222" s="167" t="s">
        <v>490</v>
      </c>
      <c r="C222" s="167" t="s">
        <v>62</v>
      </c>
      <c r="D222" s="167"/>
      <c r="E222" s="167" t="s">
        <v>491</v>
      </c>
      <c r="F222" s="167" t="s">
        <v>492</v>
      </c>
      <c r="G222" s="167" t="s">
        <v>85</v>
      </c>
      <c r="H222" s="167">
        <v>7</v>
      </c>
      <c r="I222" s="167">
        <v>1</v>
      </c>
      <c r="J222" s="167">
        <v>1</v>
      </c>
      <c r="K222" s="168">
        <v>0</v>
      </c>
      <c r="L222" s="168">
        <v>0</v>
      </c>
      <c r="M222" s="168">
        <v>0</v>
      </c>
      <c r="N222" s="167">
        <v>0</v>
      </c>
      <c r="O222" s="168">
        <v>0</v>
      </c>
      <c r="P222" s="168">
        <v>0</v>
      </c>
      <c r="Q222" s="168">
        <v>0</v>
      </c>
      <c r="R222" s="6"/>
    </row>
    <row r="223" spans="1:18" x14ac:dyDescent="0.25">
      <c r="A223" s="29">
        <f t="shared" si="9"/>
        <v>94</v>
      </c>
      <c r="B223" s="167" t="s">
        <v>94</v>
      </c>
      <c r="C223" s="167" t="s">
        <v>62</v>
      </c>
      <c r="D223" s="167" t="s">
        <v>63</v>
      </c>
      <c r="E223" s="167" t="s">
        <v>74</v>
      </c>
      <c r="F223" s="167" t="s">
        <v>274</v>
      </c>
      <c r="G223" s="167" t="s">
        <v>85</v>
      </c>
      <c r="H223" s="167">
        <v>11</v>
      </c>
      <c r="I223" s="167">
        <v>1</v>
      </c>
      <c r="J223" s="167">
        <v>1</v>
      </c>
      <c r="K223" s="168">
        <v>1613.29</v>
      </c>
      <c r="L223" s="168">
        <v>1613.29</v>
      </c>
      <c r="M223" s="168">
        <v>0</v>
      </c>
      <c r="N223" s="167">
        <v>4</v>
      </c>
      <c r="O223" s="168">
        <v>4493.33</v>
      </c>
      <c r="P223" s="168">
        <v>4493.33</v>
      </c>
      <c r="Q223" s="168">
        <v>0</v>
      </c>
      <c r="R223" s="6"/>
    </row>
    <row r="224" spans="1:18" x14ac:dyDescent="0.25">
      <c r="A224" s="29">
        <f t="shared" si="9"/>
        <v>95</v>
      </c>
      <c r="B224" s="167" t="s">
        <v>120</v>
      </c>
      <c r="C224" s="167" t="s">
        <v>67</v>
      </c>
      <c r="D224" s="167" t="s">
        <v>493</v>
      </c>
      <c r="E224" s="167" t="s">
        <v>121</v>
      </c>
      <c r="F224" s="167" t="s">
        <v>468</v>
      </c>
      <c r="G224" s="167" t="s">
        <v>85</v>
      </c>
      <c r="H224" s="167">
        <v>7</v>
      </c>
      <c r="I224" s="167">
        <v>5</v>
      </c>
      <c r="J224" s="167">
        <v>4</v>
      </c>
      <c r="K224" s="168">
        <v>1127.68</v>
      </c>
      <c r="L224" s="168">
        <v>1127.68</v>
      </c>
      <c r="M224" s="168">
        <v>0</v>
      </c>
      <c r="N224" s="167">
        <v>0</v>
      </c>
      <c r="O224" s="168">
        <v>0</v>
      </c>
      <c r="P224" s="168">
        <v>0</v>
      </c>
      <c r="Q224" s="168">
        <v>0</v>
      </c>
      <c r="R224" s="6"/>
    </row>
    <row r="225" spans="1:18" x14ac:dyDescent="0.25">
      <c r="A225" s="29">
        <f t="shared" si="9"/>
        <v>96</v>
      </c>
      <c r="B225" s="167" t="s">
        <v>407</v>
      </c>
      <c r="C225" s="167" t="s">
        <v>62</v>
      </c>
      <c r="D225" s="167"/>
      <c r="E225" s="167" t="s">
        <v>186</v>
      </c>
      <c r="F225" s="167" t="s">
        <v>63</v>
      </c>
      <c r="G225" s="167" t="s">
        <v>85</v>
      </c>
      <c r="H225" s="167">
        <v>1</v>
      </c>
      <c r="I225" s="167">
        <v>0</v>
      </c>
      <c r="J225" s="167">
        <v>0</v>
      </c>
      <c r="K225" s="168">
        <v>0</v>
      </c>
      <c r="L225" s="168">
        <v>0</v>
      </c>
      <c r="M225" s="168">
        <v>0</v>
      </c>
      <c r="N225" s="167">
        <v>0</v>
      </c>
      <c r="O225" s="168">
        <v>0</v>
      </c>
      <c r="P225" s="168">
        <v>0</v>
      </c>
      <c r="Q225" s="168">
        <v>0</v>
      </c>
      <c r="R225" s="6"/>
    </row>
    <row r="226" spans="1:18" x14ac:dyDescent="0.25">
      <c r="A226" s="29">
        <f t="shared" si="9"/>
        <v>97</v>
      </c>
      <c r="B226" s="167" t="s">
        <v>122</v>
      </c>
      <c r="C226" s="167" t="s">
        <v>62</v>
      </c>
      <c r="D226" s="167" t="s">
        <v>63</v>
      </c>
      <c r="E226" s="167" t="s">
        <v>275</v>
      </c>
      <c r="F226" s="167" t="s">
        <v>276</v>
      </c>
      <c r="G226" s="167" t="s">
        <v>85</v>
      </c>
      <c r="H226" s="167">
        <v>11</v>
      </c>
      <c r="I226" s="167">
        <v>5</v>
      </c>
      <c r="J226" s="167">
        <v>8</v>
      </c>
      <c r="K226" s="168">
        <v>5471.36</v>
      </c>
      <c r="L226" s="168">
        <v>5471.36</v>
      </c>
      <c r="M226" s="168">
        <v>0</v>
      </c>
      <c r="N226" s="167">
        <v>5</v>
      </c>
      <c r="O226" s="168">
        <v>7270.27</v>
      </c>
      <c r="P226" s="168">
        <v>7270.27</v>
      </c>
      <c r="Q226" s="168">
        <v>0</v>
      </c>
      <c r="R226" s="6"/>
    </row>
    <row r="227" spans="1:18" x14ac:dyDescent="0.25">
      <c r="A227" s="29">
        <f t="shared" si="9"/>
        <v>98</v>
      </c>
      <c r="B227" s="167" t="s">
        <v>133</v>
      </c>
      <c r="C227" s="167" t="s">
        <v>67</v>
      </c>
      <c r="D227" s="167" t="s">
        <v>494</v>
      </c>
      <c r="E227" s="167" t="s">
        <v>74</v>
      </c>
      <c r="F227" s="167" t="s">
        <v>577</v>
      </c>
      <c r="G227" s="167" t="s">
        <v>85</v>
      </c>
      <c r="H227" s="167">
        <v>8</v>
      </c>
      <c r="I227" s="167">
        <v>3</v>
      </c>
      <c r="J227" s="167">
        <v>4</v>
      </c>
      <c r="K227" s="168">
        <v>5018.91</v>
      </c>
      <c r="L227" s="168">
        <v>5018.91</v>
      </c>
      <c r="M227" s="168">
        <v>0</v>
      </c>
      <c r="N227" s="167">
        <v>0</v>
      </c>
      <c r="O227" s="168">
        <v>0</v>
      </c>
      <c r="P227" s="168">
        <v>0</v>
      </c>
      <c r="Q227" s="168">
        <v>0</v>
      </c>
      <c r="R227" s="6"/>
    </row>
    <row r="228" spans="1:18" x14ac:dyDescent="0.25">
      <c r="A228" s="29">
        <f t="shared" si="9"/>
        <v>99</v>
      </c>
      <c r="B228" s="167" t="s">
        <v>96</v>
      </c>
      <c r="C228" s="167" t="s">
        <v>62</v>
      </c>
      <c r="D228" s="167" t="s">
        <v>63</v>
      </c>
      <c r="E228" s="167" t="s">
        <v>98</v>
      </c>
      <c r="F228" s="167" t="s">
        <v>277</v>
      </c>
      <c r="G228" s="167" t="s">
        <v>85</v>
      </c>
      <c r="H228" s="167">
        <v>22</v>
      </c>
      <c r="I228" s="167">
        <v>6</v>
      </c>
      <c r="J228" s="167">
        <v>3</v>
      </c>
      <c r="K228" s="168">
        <v>7539.6</v>
      </c>
      <c r="L228" s="168">
        <v>7539.6</v>
      </c>
      <c r="M228" s="168">
        <v>0</v>
      </c>
      <c r="N228" s="167">
        <v>8</v>
      </c>
      <c r="O228" s="168">
        <v>18644</v>
      </c>
      <c r="P228" s="168">
        <v>18644</v>
      </c>
      <c r="Q228" s="168">
        <v>0</v>
      </c>
      <c r="R228" s="6"/>
    </row>
    <row r="229" spans="1:18" x14ac:dyDescent="0.25">
      <c r="A229" s="29">
        <f t="shared" si="9"/>
        <v>100</v>
      </c>
      <c r="B229" s="167" t="s">
        <v>48</v>
      </c>
      <c r="C229" s="167" t="s">
        <v>62</v>
      </c>
      <c r="D229" s="167" t="s">
        <v>63</v>
      </c>
      <c r="E229" s="167" t="s">
        <v>81</v>
      </c>
      <c r="F229" s="167" t="s">
        <v>278</v>
      </c>
      <c r="G229" s="167" t="s">
        <v>85</v>
      </c>
      <c r="H229" s="167">
        <v>32</v>
      </c>
      <c r="I229" s="167">
        <v>20</v>
      </c>
      <c r="J229" s="167">
        <v>24</v>
      </c>
      <c r="K229" s="168">
        <v>7356.8</v>
      </c>
      <c r="L229" s="168">
        <v>7356.8</v>
      </c>
      <c r="M229" s="168">
        <v>0</v>
      </c>
      <c r="N229" s="167">
        <v>8</v>
      </c>
      <c r="O229" s="168">
        <v>34796.1</v>
      </c>
      <c r="P229" s="168">
        <v>34796.1</v>
      </c>
      <c r="Q229" s="168">
        <v>0</v>
      </c>
      <c r="R229" s="6"/>
    </row>
    <row r="230" spans="1:18" x14ac:dyDescent="0.25">
      <c r="A230" s="29">
        <f t="shared" si="9"/>
        <v>101</v>
      </c>
      <c r="B230" s="167" t="s">
        <v>49</v>
      </c>
      <c r="C230" s="167" t="s">
        <v>62</v>
      </c>
      <c r="D230" s="167" t="s">
        <v>63</v>
      </c>
      <c r="E230" s="167" t="s">
        <v>74</v>
      </c>
      <c r="F230" s="167" t="s">
        <v>279</v>
      </c>
      <c r="G230" s="167" t="s">
        <v>85</v>
      </c>
      <c r="H230" s="167">
        <v>19</v>
      </c>
      <c r="I230" s="167">
        <v>12</v>
      </c>
      <c r="J230" s="167">
        <v>12</v>
      </c>
      <c r="K230" s="168">
        <v>10483.14</v>
      </c>
      <c r="L230" s="168">
        <v>10483.14</v>
      </c>
      <c r="M230" s="168">
        <v>0</v>
      </c>
      <c r="N230" s="167">
        <v>5</v>
      </c>
      <c r="O230" s="168">
        <v>37590.26</v>
      </c>
      <c r="P230" s="168">
        <v>37590.26</v>
      </c>
      <c r="Q230" s="168">
        <v>0</v>
      </c>
      <c r="R230" s="6"/>
    </row>
    <row r="231" spans="1:18" ht="39" x14ac:dyDescent="0.25">
      <c r="A231" s="29">
        <f t="shared" si="9"/>
        <v>102</v>
      </c>
      <c r="B231" s="167" t="s">
        <v>50</v>
      </c>
      <c r="C231" s="167" t="s">
        <v>67</v>
      </c>
      <c r="D231" s="169" t="s">
        <v>578</v>
      </c>
      <c r="E231" s="167" t="s">
        <v>82</v>
      </c>
      <c r="F231" s="167" t="s">
        <v>280</v>
      </c>
      <c r="G231" s="167" t="s">
        <v>85</v>
      </c>
      <c r="H231" s="167">
        <v>7</v>
      </c>
      <c r="I231" s="167">
        <v>0</v>
      </c>
      <c r="J231" s="167">
        <v>0</v>
      </c>
      <c r="K231" s="168">
        <v>0</v>
      </c>
      <c r="L231" s="168">
        <v>0</v>
      </c>
      <c r="M231" s="168">
        <v>0</v>
      </c>
      <c r="N231" s="167">
        <v>3</v>
      </c>
      <c r="O231" s="168">
        <v>7205.22</v>
      </c>
      <c r="P231" s="168">
        <v>7205.22</v>
      </c>
      <c r="Q231" s="168">
        <v>0</v>
      </c>
      <c r="R231" s="6"/>
    </row>
    <row r="232" spans="1:18" x14ac:dyDescent="0.25">
      <c r="A232" s="29">
        <f t="shared" si="9"/>
        <v>103</v>
      </c>
      <c r="B232" s="167" t="s">
        <v>281</v>
      </c>
      <c r="C232" s="167" t="s">
        <v>62</v>
      </c>
      <c r="D232" s="167" t="s">
        <v>63</v>
      </c>
      <c r="E232" s="167" t="s">
        <v>282</v>
      </c>
      <c r="F232" s="167" t="s">
        <v>283</v>
      </c>
      <c r="G232" s="167" t="s">
        <v>85</v>
      </c>
      <c r="H232" s="167">
        <v>14</v>
      </c>
      <c r="I232" s="167">
        <v>4</v>
      </c>
      <c r="J232" s="167">
        <v>4</v>
      </c>
      <c r="K232" s="168">
        <v>0</v>
      </c>
      <c r="L232" s="168">
        <v>0</v>
      </c>
      <c r="M232" s="168">
        <v>0</v>
      </c>
      <c r="N232" s="167">
        <v>0</v>
      </c>
      <c r="O232" s="168">
        <v>0</v>
      </c>
      <c r="P232" s="168">
        <v>0</v>
      </c>
      <c r="Q232" s="168">
        <v>0</v>
      </c>
      <c r="R232" s="6"/>
    </row>
    <row r="233" spans="1:18" x14ac:dyDescent="0.25">
      <c r="A233" s="29">
        <f t="shared" si="9"/>
        <v>104</v>
      </c>
      <c r="B233" s="167" t="s">
        <v>124</v>
      </c>
      <c r="C233" s="167" t="s">
        <v>62</v>
      </c>
      <c r="D233" s="167" t="s">
        <v>63</v>
      </c>
      <c r="E233" s="167" t="s">
        <v>63</v>
      </c>
      <c r="F233" s="167" t="s">
        <v>284</v>
      </c>
      <c r="G233" s="167" t="s">
        <v>85</v>
      </c>
      <c r="H233" s="167">
        <v>25</v>
      </c>
      <c r="I233" s="167">
        <v>18</v>
      </c>
      <c r="J233" s="167">
        <v>24</v>
      </c>
      <c r="K233" s="168">
        <v>14298.11</v>
      </c>
      <c r="L233" s="168">
        <v>14298.11</v>
      </c>
      <c r="M233" s="168">
        <v>0</v>
      </c>
      <c r="N233" s="167">
        <v>14</v>
      </c>
      <c r="O233" s="168">
        <v>18186.439999999999</v>
      </c>
      <c r="P233" s="168">
        <v>18186.439999999999</v>
      </c>
      <c r="Q233" s="168">
        <v>0</v>
      </c>
      <c r="R233" s="6"/>
    </row>
    <row r="234" spans="1:18" x14ac:dyDescent="0.25">
      <c r="A234" s="29">
        <f t="shared" si="9"/>
        <v>105</v>
      </c>
      <c r="B234" s="167" t="s">
        <v>51</v>
      </c>
      <c r="C234" s="167" t="s">
        <v>62</v>
      </c>
      <c r="D234" s="167" t="s">
        <v>63</v>
      </c>
      <c r="E234" s="167" t="s">
        <v>74</v>
      </c>
      <c r="F234" s="167" t="s">
        <v>285</v>
      </c>
      <c r="G234" s="167" t="s">
        <v>85</v>
      </c>
      <c r="H234" s="167">
        <v>13</v>
      </c>
      <c r="I234" s="167">
        <v>6</v>
      </c>
      <c r="J234" s="167">
        <v>6</v>
      </c>
      <c r="K234" s="168">
        <v>2325.7399999999998</v>
      </c>
      <c r="L234" s="168">
        <v>2325.7399999999998</v>
      </c>
      <c r="M234" s="168">
        <v>0</v>
      </c>
      <c r="N234" s="167">
        <v>10</v>
      </c>
      <c r="O234" s="168">
        <v>1797.24</v>
      </c>
      <c r="P234" s="168">
        <v>1797.24</v>
      </c>
      <c r="Q234" s="168">
        <v>0</v>
      </c>
      <c r="R234" s="6"/>
    </row>
    <row r="235" spans="1:18" x14ac:dyDescent="0.25">
      <c r="A235" s="29">
        <f t="shared" si="9"/>
        <v>106</v>
      </c>
      <c r="B235" s="167" t="s">
        <v>286</v>
      </c>
      <c r="C235" s="167" t="s">
        <v>62</v>
      </c>
      <c r="D235" s="167"/>
      <c r="E235" s="167" t="s">
        <v>174</v>
      </c>
      <c r="F235" s="167" t="s">
        <v>287</v>
      </c>
      <c r="G235" s="167" t="s">
        <v>85</v>
      </c>
      <c r="H235" s="167">
        <v>7</v>
      </c>
      <c r="I235" s="167">
        <v>2</v>
      </c>
      <c r="J235" s="167">
        <v>2</v>
      </c>
      <c r="K235" s="168">
        <v>1399.03</v>
      </c>
      <c r="L235" s="168">
        <v>1399.03</v>
      </c>
      <c r="M235" s="168">
        <v>0</v>
      </c>
      <c r="N235" s="167">
        <v>0</v>
      </c>
      <c r="O235" s="168">
        <v>0</v>
      </c>
      <c r="P235" s="168">
        <v>0</v>
      </c>
      <c r="Q235" s="168">
        <v>0</v>
      </c>
      <c r="R235" s="6"/>
    </row>
    <row r="236" spans="1:18" x14ac:dyDescent="0.25">
      <c r="A236" s="29">
        <f t="shared" si="9"/>
        <v>107</v>
      </c>
      <c r="B236" s="167" t="s">
        <v>52</v>
      </c>
      <c r="C236" s="167" t="s">
        <v>62</v>
      </c>
      <c r="D236" s="167" t="s">
        <v>63</v>
      </c>
      <c r="E236" s="167" t="s">
        <v>74</v>
      </c>
      <c r="F236" s="167" t="s">
        <v>125</v>
      </c>
      <c r="G236" s="167" t="s">
        <v>85</v>
      </c>
      <c r="H236" s="167">
        <v>3</v>
      </c>
      <c r="I236" s="167">
        <v>0</v>
      </c>
      <c r="J236" s="167">
        <v>0</v>
      </c>
      <c r="K236" s="168">
        <v>0</v>
      </c>
      <c r="L236" s="168">
        <v>0</v>
      </c>
      <c r="M236" s="168">
        <v>0</v>
      </c>
      <c r="N236" s="167">
        <v>0</v>
      </c>
      <c r="O236" s="168">
        <v>0</v>
      </c>
      <c r="P236" s="168">
        <v>0</v>
      </c>
      <c r="Q236" s="168">
        <v>0</v>
      </c>
      <c r="R236" s="6"/>
    </row>
    <row r="237" spans="1:18" x14ac:dyDescent="0.25">
      <c r="A237" s="29">
        <f t="shared" si="9"/>
        <v>108</v>
      </c>
      <c r="B237" s="167" t="s">
        <v>469</v>
      </c>
      <c r="C237" s="167" t="s">
        <v>62</v>
      </c>
      <c r="D237" s="167" t="s">
        <v>63</v>
      </c>
      <c r="E237" s="167" t="s">
        <v>74</v>
      </c>
      <c r="F237" s="167" t="s">
        <v>470</v>
      </c>
      <c r="G237" s="167" t="s">
        <v>85</v>
      </c>
      <c r="H237" s="167">
        <v>1</v>
      </c>
      <c r="I237" s="167">
        <v>0</v>
      </c>
      <c r="J237" s="167">
        <v>0</v>
      </c>
      <c r="K237" s="168">
        <v>0</v>
      </c>
      <c r="L237" s="168">
        <v>0</v>
      </c>
      <c r="M237" s="168">
        <v>0</v>
      </c>
      <c r="N237" s="167">
        <v>0</v>
      </c>
      <c r="O237" s="168">
        <v>0</v>
      </c>
      <c r="P237" s="168">
        <v>0</v>
      </c>
      <c r="Q237" s="168">
        <v>0</v>
      </c>
      <c r="R237" s="6"/>
    </row>
    <row r="238" spans="1:18" x14ac:dyDescent="0.25">
      <c r="A238" s="29">
        <f t="shared" si="9"/>
        <v>109</v>
      </c>
      <c r="B238" s="167" t="s">
        <v>53</v>
      </c>
      <c r="C238" s="167" t="s">
        <v>62</v>
      </c>
      <c r="D238" s="167" t="s">
        <v>63</v>
      </c>
      <c r="E238" s="167" t="s">
        <v>74</v>
      </c>
      <c r="F238" s="167" t="s">
        <v>126</v>
      </c>
      <c r="G238" s="167" t="s">
        <v>85</v>
      </c>
      <c r="H238" s="167">
        <v>8</v>
      </c>
      <c r="I238" s="167">
        <v>0</v>
      </c>
      <c r="J238" s="167">
        <v>0</v>
      </c>
      <c r="K238" s="168">
        <v>0</v>
      </c>
      <c r="L238" s="168">
        <v>0</v>
      </c>
      <c r="M238" s="168">
        <v>0</v>
      </c>
      <c r="N238" s="167">
        <v>0</v>
      </c>
      <c r="O238" s="168">
        <v>0</v>
      </c>
      <c r="P238" s="168">
        <v>0</v>
      </c>
      <c r="Q238" s="168">
        <v>0</v>
      </c>
      <c r="R238" s="6"/>
    </row>
    <row r="239" spans="1:18" x14ac:dyDescent="0.25">
      <c r="A239" s="29">
        <f t="shared" si="9"/>
        <v>110</v>
      </c>
      <c r="B239" s="167" t="s">
        <v>151</v>
      </c>
      <c r="C239" s="167" t="s">
        <v>62</v>
      </c>
      <c r="D239" s="167" t="s">
        <v>63</v>
      </c>
      <c r="E239" s="167" t="s">
        <v>74</v>
      </c>
      <c r="F239" s="167" t="s">
        <v>288</v>
      </c>
      <c r="G239" s="167" t="s">
        <v>85</v>
      </c>
      <c r="H239" s="167">
        <v>9</v>
      </c>
      <c r="I239" s="167">
        <v>6</v>
      </c>
      <c r="J239" s="167">
        <v>6</v>
      </c>
      <c r="K239" s="168">
        <v>974.39</v>
      </c>
      <c r="L239" s="168">
        <v>974.39</v>
      </c>
      <c r="M239" s="168">
        <v>0</v>
      </c>
      <c r="N239" s="167">
        <v>5</v>
      </c>
      <c r="O239" s="168">
        <v>4554.97</v>
      </c>
      <c r="P239" s="168">
        <v>4554.97</v>
      </c>
      <c r="Q239" s="168">
        <v>0</v>
      </c>
      <c r="R239" s="6"/>
    </row>
    <row r="240" spans="1:18" x14ac:dyDescent="0.25">
      <c r="A240" s="29">
        <f t="shared" si="9"/>
        <v>111</v>
      </c>
      <c r="B240" s="167" t="s">
        <v>155</v>
      </c>
      <c r="C240" s="167" t="s">
        <v>62</v>
      </c>
      <c r="D240" s="167" t="s">
        <v>63</v>
      </c>
      <c r="E240" s="167" t="s">
        <v>74</v>
      </c>
      <c r="F240" s="167" t="s">
        <v>289</v>
      </c>
      <c r="G240" s="167" t="s">
        <v>85</v>
      </c>
      <c r="H240" s="167">
        <v>8</v>
      </c>
      <c r="I240" s="167">
        <v>7</v>
      </c>
      <c r="J240" s="167">
        <v>9</v>
      </c>
      <c r="K240" s="168">
        <v>25762.27</v>
      </c>
      <c r="L240" s="168">
        <v>25762.27</v>
      </c>
      <c r="M240" s="168">
        <v>0</v>
      </c>
      <c r="N240" s="167">
        <v>2</v>
      </c>
      <c r="O240" s="168">
        <v>15810.55</v>
      </c>
      <c r="P240" s="168">
        <v>15810.55</v>
      </c>
      <c r="Q240" s="168">
        <v>0</v>
      </c>
      <c r="R240" s="6"/>
    </row>
    <row r="241" spans="1:18" x14ac:dyDescent="0.25">
      <c r="A241" s="29">
        <f t="shared" si="9"/>
        <v>112</v>
      </c>
      <c r="B241" s="167" t="s">
        <v>290</v>
      </c>
      <c r="C241" s="167" t="s">
        <v>62</v>
      </c>
      <c r="D241" s="167"/>
      <c r="E241" s="167" t="s">
        <v>291</v>
      </c>
      <c r="F241" s="167" t="s">
        <v>292</v>
      </c>
      <c r="G241" s="167" t="s">
        <v>85</v>
      </c>
      <c r="H241" s="167">
        <v>21</v>
      </c>
      <c r="I241" s="167">
        <v>12</v>
      </c>
      <c r="J241" s="167">
        <v>13</v>
      </c>
      <c r="K241" s="168">
        <v>2466.8000000000002</v>
      </c>
      <c r="L241" s="168">
        <v>2466.8000000000002</v>
      </c>
      <c r="M241" s="168">
        <v>0</v>
      </c>
      <c r="N241" s="167">
        <v>0</v>
      </c>
      <c r="O241" s="168">
        <v>0</v>
      </c>
      <c r="P241" s="168">
        <v>0</v>
      </c>
      <c r="Q241" s="168">
        <v>0</v>
      </c>
      <c r="R241" s="6"/>
    </row>
    <row r="242" spans="1:18" x14ac:dyDescent="0.25">
      <c r="A242" s="29">
        <f t="shared" si="9"/>
        <v>113</v>
      </c>
      <c r="B242" s="167" t="s">
        <v>495</v>
      </c>
      <c r="C242" s="167" t="s">
        <v>62</v>
      </c>
      <c r="D242" s="167"/>
      <c r="E242" s="167" t="s">
        <v>313</v>
      </c>
      <c r="F242" s="167" t="s">
        <v>496</v>
      </c>
      <c r="G242" s="167" t="s">
        <v>85</v>
      </c>
      <c r="H242" s="167">
        <v>13</v>
      </c>
      <c r="I242" s="167">
        <v>3</v>
      </c>
      <c r="J242" s="167">
        <v>3</v>
      </c>
      <c r="K242" s="168">
        <v>0</v>
      </c>
      <c r="L242" s="168">
        <v>0</v>
      </c>
      <c r="M242" s="168">
        <v>0</v>
      </c>
      <c r="N242" s="167">
        <v>0</v>
      </c>
      <c r="O242" s="168">
        <v>0</v>
      </c>
      <c r="P242" s="168">
        <v>0</v>
      </c>
      <c r="Q242" s="168">
        <v>0</v>
      </c>
      <c r="R242" s="6"/>
    </row>
    <row r="243" spans="1:18" x14ac:dyDescent="0.25">
      <c r="A243" s="29">
        <f t="shared" si="9"/>
        <v>114</v>
      </c>
      <c r="B243" s="167" t="s">
        <v>134</v>
      </c>
      <c r="C243" s="167" t="s">
        <v>62</v>
      </c>
      <c r="D243" s="167" t="s">
        <v>63</v>
      </c>
      <c r="E243" s="167" t="s">
        <v>74</v>
      </c>
      <c r="F243" s="167" t="s">
        <v>293</v>
      </c>
      <c r="G243" s="167" t="s">
        <v>85</v>
      </c>
      <c r="H243" s="167">
        <v>1</v>
      </c>
      <c r="I243" s="167">
        <v>0</v>
      </c>
      <c r="J243" s="167">
        <v>0</v>
      </c>
      <c r="K243" s="168">
        <v>0</v>
      </c>
      <c r="L243" s="168">
        <v>0</v>
      </c>
      <c r="M243" s="168">
        <v>0</v>
      </c>
      <c r="N243" s="167">
        <v>1</v>
      </c>
      <c r="O243" s="170">
        <v>14690.8</v>
      </c>
      <c r="P243" s="170">
        <v>14690.8</v>
      </c>
      <c r="Q243" s="168">
        <v>0</v>
      </c>
      <c r="R243" s="6"/>
    </row>
    <row r="244" spans="1:18" x14ac:dyDescent="0.25">
      <c r="A244" s="29">
        <f t="shared" si="9"/>
        <v>115</v>
      </c>
      <c r="B244" s="167" t="s">
        <v>127</v>
      </c>
      <c r="C244" s="167" t="s">
        <v>62</v>
      </c>
      <c r="D244" s="167" t="s">
        <v>63</v>
      </c>
      <c r="E244" s="167" t="s">
        <v>74</v>
      </c>
      <c r="F244" s="167" t="s">
        <v>294</v>
      </c>
      <c r="G244" s="167" t="s">
        <v>85</v>
      </c>
      <c r="H244" s="167">
        <v>4</v>
      </c>
      <c r="I244" s="167">
        <v>1</v>
      </c>
      <c r="J244" s="167">
        <v>1</v>
      </c>
      <c r="K244" s="168">
        <v>0</v>
      </c>
      <c r="L244" s="168">
        <v>0</v>
      </c>
      <c r="M244" s="168">
        <v>0</v>
      </c>
      <c r="N244" s="167">
        <v>2</v>
      </c>
      <c r="O244" s="168">
        <v>0</v>
      </c>
      <c r="P244" s="168">
        <v>0</v>
      </c>
      <c r="Q244" s="168">
        <v>0</v>
      </c>
      <c r="R244" s="6"/>
    </row>
    <row r="245" spans="1:18" x14ac:dyDescent="0.25">
      <c r="A245" s="29">
        <f t="shared" si="9"/>
        <v>116</v>
      </c>
      <c r="B245" s="167" t="s">
        <v>55</v>
      </c>
      <c r="C245" s="167" t="s">
        <v>64</v>
      </c>
      <c r="D245" s="167" t="s">
        <v>66</v>
      </c>
      <c r="E245" s="167" t="s">
        <v>80</v>
      </c>
      <c r="F245" s="167" t="s">
        <v>295</v>
      </c>
      <c r="G245" s="167" t="s">
        <v>85</v>
      </c>
      <c r="H245" s="167">
        <v>3</v>
      </c>
      <c r="I245" s="167">
        <v>1</v>
      </c>
      <c r="J245" s="167">
        <v>1</v>
      </c>
      <c r="K245" s="168">
        <v>528.6</v>
      </c>
      <c r="L245" s="168">
        <v>528.6</v>
      </c>
      <c r="M245" s="168">
        <v>0</v>
      </c>
      <c r="N245" s="167">
        <v>2</v>
      </c>
      <c r="O245" s="168">
        <v>555.72</v>
      </c>
      <c r="P245" s="168">
        <v>555.72</v>
      </c>
      <c r="Q245" s="168">
        <v>0</v>
      </c>
      <c r="R245" s="6"/>
    </row>
    <row r="246" spans="1:18" x14ac:dyDescent="0.25">
      <c r="A246" s="29">
        <f t="shared" si="9"/>
        <v>117</v>
      </c>
      <c r="B246" s="167" t="s">
        <v>135</v>
      </c>
      <c r="C246" s="167" t="s">
        <v>62</v>
      </c>
      <c r="D246" s="167" t="s">
        <v>63</v>
      </c>
      <c r="E246" s="167" t="s">
        <v>63</v>
      </c>
      <c r="F246" s="167" t="s">
        <v>296</v>
      </c>
      <c r="G246" s="167" t="s">
        <v>85</v>
      </c>
      <c r="H246" s="167">
        <v>5</v>
      </c>
      <c r="I246" s="167">
        <v>0</v>
      </c>
      <c r="J246" s="167">
        <v>0</v>
      </c>
      <c r="K246" s="168">
        <v>0</v>
      </c>
      <c r="L246" s="168">
        <v>0</v>
      </c>
      <c r="M246" s="168">
        <v>0</v>
      </c>
      <c r="N246" s="167">
        <v>8</v>
      </c>
      <c r="O246" s="168">
        <v>13233.91</v>
      </c>
      <c r="P246" s="168">
        <v>13233.91</v>
      </c>
      <c r="Q246" s="168">
        <v>0</v>
      </c>
      <c r="R246" s="6"/>
    </row>
    <row r="247" spans="1:18" x14ac:dyDescent="0.25">
      <c r="A247" s="29">
        <f t="shared" si="9"/>
        <v>118</v>
      </c>
      <c r="B247" s="167" t="s">
        <v>128</v>
      </c>
      <c r="C247" s="167" t="s">
        <v>62</v>
      </c>
      <c r="D247" s="167" t="s">
        <v>63</v>
      </c>
      <c r="E247" s="167" t="s">
        <v>74</v>
      </c>
      <c r="F247" s="167" t="s">
        <v>297</v>
      </c>
      <c r="G247" s="167" t="s">
        <v>85</v>
      </c>
      <c r="H247" s="167">
        <v>2</v>
      </c>
      <c r="I247" s="167">
        <v>0</v>
      </c>
      <c r="J247" s="167">
        <v>0</v>
      </c>
      <c r="K247" s="168">
        <v>0</v>
      </c>
      <c r="L247" s="168">
        <v>0</v>
      </c>
      <c r="M247" s="168">
        <v>0</v>
      </c>
      <c r="N247" s="167">
        <v>1</v>
      </c>
      <c r="O247" s="168">
        <v>264.3</v>
      </c>
      <c r="P247" s="168">
        <v>264.3</v>
      </c>
      <c r="Q247" s="168">
        <v>0</v>
      </c>
      <c r="R247" s="6"/>
    </row>
    <row r="248" spans="1:18" x14ac:dyDescent="0.25">
      <c r="A248" s="29">
        <f t="shared" si="9"/>
        <v>119</v>
      </c>
      <c r="B248" s="167" t="s">
        <v>508</v>
      </c>
      <c r="C248" s="167" t="s">
        <v>64</v>
      </c>
      <c r="D248" s="167" t="s">
        <v>551</v>
      </c>
      <c r="E248" s="167" t="s">
        <v>282</v>
      </c>
      <c r="F248" s="167" t="s">
        <v>552</v>
      </c>
      <c r="G248" s="167" t="s">
        <v>85</v>
      </c>
      <c r="H248" s="167">
        <v>6</v>
      </c>
      <c r="I248" s="167">
        <v>0</v>
      </c>
      <c r="J248" s="167">
        <v>0</v>
      </c>
      <c r="K248" s="168">
        <v>0</v>
      </c>
      <c r="L248" s="168">
        <v>0</v>
      </c>
      <c r="M248" s="168">
        <v>0</v>
      </c>
      <c r="N248" s="167">
        <v>0</v>
      </c>
      <c r="O248" s="168">
        <v>0</v>
      </c>
      <c r="P248" s="168">
        <v>0</v>
      </c>
      <c r="Q248" s="168">
        <v>0</v>
      </c>
      <c r="R248" s="6"/>
    </row>
    <row r="249" spans="1:18" x14ac:dyDescent="0.25">
      <c r="A249" s="29">
        <f t="shared" si="9"/>
        <v>120</v>
      </c>
      <c r="B249" s="167" t="s">
        <v>497</v>
      </c>
      <c r="C249" s="167" t="s">
        <v>62</v>
      </c>
      <c r="D249" s="167"/>
      <c r="E249" s="167" t="s">
        <v>313</v>
      </c>
      <c r="F249" s="167" t="s">
        <v>498</v>
      </c>
      <c r="G249" s="167" t="s">
        <v>85</v>
      </c>
      <c r="H249" s="167">
        <v>30</v>
      </c>
      <c r="I249" s="167">
        <v>9</v>
      </c>
      <c r="J249" s="167">
        <v>9</v>
      </c>
      <c r="K249" s="168">
        <v>0</v>
      </c>
      <c r="L249" s="168">
        <v>0</v>
      </c>
      <c r="M249" s="168">
        <v>0</v>
      </c>
      <c r="N249" s="167">
        <v>0</v>
      </c>
      <c r="O249" s="168">
        <v>0</v>
      </c>
      <c r="P249" s="168">
        <v>0</v>
      </c>
      <c r="Q249" s="168">
        <v>0</v>
      </c>
      <c r="R249" s="6"/>
    </row>
    <row r="250" spans="1:18" x14ac:dyDescent="0.25">
      <c r="A250" s="29">
        <f t="shared" si="9"/>
        <v>121</v>
      </c>
      <c r="B250" s="167" t="s">
        <v>56</v>
      </c>
      <c r="C250" s="167" t="s">
        <v>62</v>
      </c>
      <c r="D250" s="167" t="s">
        <v>63</v>
      </c>
      <c r="E250" s="167" t="s">
        <v>83</v>
      </c>
      <c r="F250" s="167" t="s">
        <v>298</v>
      </c>
      <c r="G250" s="167" t="s">
        <v>85</v>
      </c>
      <c r="H250" s="167">
        <v>49</v>
      </c>
      <c r="I250" s="167">
        <v>40</v>
      </c>
      <c r="J250" s="167">
        <v>54</v>
      </c>
      <c r="K250" s="168">
        <v>50469.58</v>
      </c>
      <c r="L250" s="168">
        <v>50469.58</v>
      </c>
      <c r="M250" s="168">
        <v>0</v>
      </c>
      <c r="N250" s="167">
        <v>29</v>
      </c>
      <c r="O250" s="168">
        <v>81103.64</v>
      </c>
      <c r="P250" s="168">
        <v>81103.64</v>
      </c>
      <c r="Q250" s="168">
        <v>0</v>
      </c>
      <c r="R250" s="6"/>
    </row>
    <row r="251" spans="1:18" x14ac:dyDescent="0.25">
      <c r="A251" s="29">
        <f t="shared" si="9"/>
        <v>122</v>
      </c>
      <c r="B251" s="167" t="s">
        <v>299</v>
      </c>
      <c r="C251" s="167" t="s">
        <v>62</v>
      </c>
      <c r="D251" s="167"/>
      <c r="E251" s="167" t="s">
        <v>174</v>
      </c>
      <c r="F251" s="167" t="s">
        <v>300</v>
      </c>
      <c r="G251" s="167" t="s">
        <v>85</v>
      </c>
      <c r="H251" s="167">
        <v>15</v>
      </c>
      <c r="I251" s="167">
        <v>8</v>
      </c>
      <c r="J251" s="167">
        <v>8</v>
      </c>
      <c r="K251" s="168">
        <v>2924.92</v>
      </c>
      <c r="L251" s="168">
        <v>2924.92</v>
      </c>
      <c r="M251" s="168">
        <v>0</v>
      </c>
      <c r="N251" s="167">
        <v>0</v>
      </c>
      <c r="O251" s="168">
        <v>0</v>
      </c>
      <c r="P251" s="168">
        <v>0</v>
      </c>
      <c r="Q251" s="168">
        <v>0</v>
      </c>
      <c r="R251" s="6"/>
    </row>
    <row r="252" spans="1:18" x14ac:dyDescent="0.25">
      <c r="A252" s="29">
        <f t="shared" si="9"/>
        <v>123</v>
      </c>
      <c r="B252" s="167" t="s">
        <v>156</v>
      </c>
      <c r="C252" s="167" t="s">
        <v>67</v>
      </c>
      <c r="D252" s="167" t="s">
        <v>499</v>
      </c>
      <c r="E252" s="167" t="s">
        <v>74</v>
      </c>
      <c r="F252" s="167" t="s">
        <v>301</v>
      </c>
      <c r="G252" s="167" t="s">
        <v>85</v>
      </c>
      <c r="H252" s="167">
        <v>27</v>
      </c>
      <c r="I252" s="167">
        <v>19</v>
      </c>
      <c r="J252" s="167">
        <v>22</v>
      </c>
      <c r="K252" s="168">
        <v>17669.95</v>
      </c>
      <c r="L252" s="168">
        <v>17669.95</v>
      </c>
      <c r="M252" s="168">
        <v>0</v>
      </c>
      <c r="N252" s="167">
        <v>33</v>
      </c>
      <c r="O252" s="168">
        <v>48427.18</v>
      </c>
      <c r="P252" s="168">
        <v>48427.18</v>
      </c>
      <c r="Q252" s="168">
        <v>0</v>
      </c>
      <c r="R252" s="6"/>
    </row>
    <row r="253" spans="1:18" x14ac:dyDescent="0.25">
      <c r="A253" s="29">
        <f t="shared" si="9"/>
        <v>124</v>
      </c>
      <c r="B253" s="167" t="s">
        <v>302</v>
      </c>
      <c r="C253" s="167" t="s">
        <v>62</v>
      </c>
      <c r="D253" s="167">
        <v>0</v>
      </c>
      <c r="E253" s="167" t="s">
        <v>63</v>
      </c>
      <c r="F253" s="167" t="s">
        <v>303</v>
      </c>
      <c r="G253" s="167" t="s">
        <v>85</v>
      </c>
      <c r="H253" s="167">
        <v>7</v>
      </c>
      <c r="I253" s="167">
        <v>6</v>
      </c>
      <c r="J253" s="167">
        <v>6</v>
      </c>
      <c r="K253" s="168">
        <v>3188.78</v>
      </c>
      <c r="L253" s="168">
        <v>3188.78</v>
      </c>
      <c r="M253" s="168">
        <v>0</v>
      </c>
      <c r="N253" s="167">
        <v>0</v>
      </c>
      <c r="O253" s="168">
        <v>0</v>
      </c>
      <c r="P253" s="168">
        <v>0</v>
      </c>
      <c r="Q253" s="168">
        <v>0</v>
      </c>
      <c r="R253" s="6"/>
    </row>
    <row r="254" spans="1:18" x14ac:dyDescent="0.25">
      <c r="A254" s="29">
        <f t="shared" si="9"/>
        <v>125</v>
      </c>
      <c r="B254" s="167" t="s">
        <v>140</v>
      </c>
      <c r="C254" s="167" t="s">
        <v>62</v>
      </c>
      <c r="D254" s="167" t="s">
        <v>63</v>
      </c>
      <c r="E254" s="167" t="s">
        <v>74</v>
      </c>
      <c r="F254" s="167" t="s">
        <v>304</v>
      </c>
      <c r="G254" s="167" t="s">
        <v>85</v>
      </c>
      <c r="H254" s="167">
        <v>41</v>
      </c>
      <c r="I254" s="167">
        <v>31</v>
      </c>
      <c r="J254" s="167">
        <v>34</v>
      </c>
      <c r="K254" s="168">
        <v>30811.9</v>
      </c>
      <c r="L254" s="168">
        <v>30811.9</v>
      </c>
      <c r="M254" s="168">
        <v>0</v>
      </c>
      <c r="N254" s="167">
        <v>18</v>
      </c>
      <c r="O254" s="168">
        <v>27386.41</v>
      </c>
      <c r="P254" s="168">
        <v>27386.41</v>
      </c>
      <c r="Q254" s="168">
        <v>0</v>
      </c>
      <c r="R254" s="6"/>
    </row>
    <row r="255" spans="1:18" x14ac:dyDescent="0.25">
      <c r="A255" s="29">
        <f t="shared" si="9"/>
        <v>126</v>
      </c>
      <c r="B255" s="167" t="s">
        <v>305</v>
      </c>
      <c r="C255" s="167" t="s">
        <v>62</v>
      </c>
      <c r="D255" s="167"/>
      <c r="E255" s="167" t="s">
        <v>186</v>
      </c>
      <c r="F255" s="167" t="s">
        <v>63</v>
      </c>
      <c r="G255" s="167" t="s">
        <v>85</v>
      </c>
      <c r="H255" s="167">
        <v>8</v>
      </c>
      <c r="I255" s="167">
        <v>7</v>
      </c>
      <c r="J255" s="167">
        <v>8</v>
      </c>
      <c r="K255" s="168">
        <v>0</v>
      </c>
      <c r="L255" s="168">
        <v>0</v>
      </c>
      <c r="M255" s="168">
        <v>0</v>
      </c>
      <c r="N255" s="167">
        <v>0</v>
      </c>
      <c r="O255" s="168">
        <v>0</v>
      </c>
      <c r="P255" s="168">
        <v>0</v>
      </c>
      <c r="Q255" s="168">
        <v>0</v>
      </c>
      <c r="R255" s="6"/>
    </row>
    <row r="256" spans="1:18" x14ac:dyDescent="0.25">
      <c r="A256" s="29">
        <f t="shared" si="9"/>
        <v>127</v>
      </c>
      <c r="B256" s="167" t="s">
        <v>471</v>
      </c>
      <c r="C256" s="167" t="s">
        <v>64</v>
      </c>
      <c r="D256" s="167" t="s">
        <v>65</v>
      </c>
      <c r="E256" s="167" t="s">
        <v>74</v>
      </c>
      <c r="F256" s="167" t="s">
        <v>472</v>
      </c>
      <c r="G256" s="167" t="s">
        <v>85</v>
      </c>
      <c r="H256" s="167">
        <v>0</v>
      </c>
      <c r="I256" s="167">
        <v>0</v>
      </c>
      <c r="J256" s="167">
        <v>0</v>
      </c>
      <c r="K256" s="168">
        <v>0</v>
      </c>
      <c r="L256" s="168">
        <v>0</v>
      </c>
      <c r="M256" s="168">
        <v>0</v>
      </c>
      <c r="N256" s="167">
        <v>1</v>
      </c>
      <c r="O256" s="168">
        <v>0</v>
      </c>
      <c r="P256" s="168">
        <v>0</v>
      </c>
      <c r="Q256" s="168">
        <v>0</v>
      </c>
      <c r="R256" s="6"/>
    </row>
    <row r="257" spans="1:18" x14ac:dyDescent="0.25">
      <c r="A257" s="29">
        <f t="shared" si="9"/>
        <v>128</v>
      </c>
      <c r="B257" s="167" t="s">
        <v>57</v>
      </c>
      <c r="C257" s="167" t="s">
        <v>62</v>
      </c>
      <c r="D257" s="167" t="s">
        <v>63</v>
      </c>
      <c r="E257" s="167" t="s">
        <v>244</v>
      </c>
      <c r="F257" s="167" t="s">
        <v>306</v>
      </c>
      <c r="G257" s="167" t="s">
        <v>85</v>
      </c>
      <c r="H257" s="167">
        <v>14</v>
      </c>
      <c r="I257" s="167">
        <v>8</v>
      </c>
      <c r="J257" s="167">
        <v>9</v>
      </c>
      <c r="K257" s="168">
        <v>10382.219999999999</v>
      </c>
      <c r="L257" s="168">
        <v>10382.219999999999</v>
      </c>
      <c r="M257" s="168">
        <v>0</v>
      </c>
      <c r="N257" s="167">
        <v>12</v>
      </c>
      <c r="O257" s="168">
        <v>36203.47</v>
      </c>
      <c r="P257" s="168">
        <v>36203.47</v>
      </c>
      <c r="Q257" s="168">
        <v>0</v>
      </c>
      <c r="R257" s="6"/>
    </row>
    <row r="258" spans="1:18" x14ac:dyDescent="0.25">
      <c r="A258" s="29">
        <f t="shared" si="9"/>
        <v>129</v>
      </c>
      <c r="B258" s="167" t="s">
        <v>473</v>
      </c>
      <c r="C258" s="167" t="s">
        <v>62</v>
      </c>
      <c r="D258" s="167"/>
      <c r="E258" s="167" t="s">
        <v>63</v>
      </c>
      <c r="F258" s="167" t="s">
        <v>500</v>
      </c>
      <c r="G258" s="167" t="s">
        <v>85</v>
      </c>
      <c r="H258" s="167">
        <v>5</v>
      </c>
      <c r="I258" s="167">
        <v>2</v>
      </c>
      <c r="J258" s="167">
        <v>3</v>
      </c>
      <c r="K258" s="168">
        <v>0</v>
      </c>
      <c r="L258" s="168">
        <v>0</v>
      </c>
      <c r="M258" s="168">
        <v>0</v>
      </c>
      <c r="N258" s="167">
        <v>3</v>
      </c>
      <c r="O258" s="168">
        <v>17280.25</v>
      </c>
      <c r="P258" s="168">
        <v>17280.25</v>
      </c>
      <c r="Q258" s="168">
        <v>0</v>
      </c>
      <c r="R258" s="6"/>
    </row>
    <row r="259" spans="1:18" x14ac:dyDescent="0.25">
      <c r="A259" s="29">
        <f t="shared" si="9"/>
        <v>130</v>
      </c>
      <c r="B259" s="167" t="s">
        <v>129</v>
      </c>
      <c r="C259" s="167" t="s">
        <v>62</v>
      </c>
      <c r="D259" s="167" t="s">
        <v>63</v>
      </c>
      <c r="E259" s="167" t="s">
        <v>74</v>
      </c>
      <c r="F259" s="167" t="s">
        <v>307</v>
      </c>
      <c r="G259" s="167" t="s">
        <v>85</v>
      </c>
      <c r="H259" s="167">
        <v>0</v>
      </c>
      <c r="I259" s="167">
        <v>0</v>
      </c>
      <c r="J259" s="167">
        <v>0</v>
      </c>
      <c r="K259" s="168">
        <v>0</v>
      </c>
      <c r="L259" s="168">
        <v>0</v>
      </c>
      <c r="M259" s="168">
        <v>0</v>
      </c>
      <c r="N259" s="167">
        <v>2</v>
      </c>
      <c r="O259" s="170">
        <v>4386.5600000000004</v>
      </c>
      <c r="P259" s="170">
        <v>4386.5600000000004</v>
      </c>
      <c r="Q259" s="168">
        <v>0</v>
      </c>
      <c r="R259" s="6"/>
    </row>
    <row r="260" spans="1:18" x14ac:dyDescent="0.25">
      <c r="A260" s="29">
        <f t="shared" ref="A260:A271" si="10">A259+1</f>
        <v>131</v>
      </c>
      <c r="B260" s="167" t="s">
        <v>58</v>
      </c>
      <c r="C260" s="167" t="s">
        <v>62</v>
      </c>
      <c r="D260" s="167" t="s">
        <v>63</v>
      </c>
      <c r="E260" s="167" t="s">
        <v>84</v>
      </c>
      <c r="F260" s="167" t="s">
        <v>308</v>
      </c>
      <c r="G260" s="167" t="s">
        <v>85</v>
      </c>
      <c r="H260" s="167">
        <v>119</v>
      </c>
      <c r="I260" s="167">
        <v>109</v>
      </c>
      <c r="J260" s="167">
        <v>124</v>
      </c>
      <c r="K260" s="168">
        <f>L260+M260</f>
        <v>90379.94</v>
      </c>
      <c r="L260" s="168">
        <f>75652.51+14727.43</f>
        <v>90379.94</v>
      </c>
      <c r="M260" s="168">
        <v>0</v>
      </c>
      <c r="N260" s="167">
        <v>54</v>
      </c>
      <c r="O260" s="168">
        <f>P260+Q260</f>
        <v>143309.15</v>
      </c>
      <c r="P260" s="168">
        <f>128223.2+15085.95</f>
        <v>143309.15</v>
      </c>
      <c r="Q260" s="168">
        <v>0</v>
      </c>
      <c r="R260" s="6"/>
    </row>
    <row r="261" spans="1:18" x14ac:dyDescent="0.25">
      <c r="A261" s="29">
        <f t="shared" si="10"/>
        <v>132</v>
      </c>
      <c r="B261" s="167" t="s">
        <v>59</v>
      </c>
      <c r="C261" s="167" t="s">
        <v>64</v>
      </c>
      <c r="D261" s="167" t="s">
        <v>66</v>
      </c>
      <c r="E261" s="167" t="s">
        <v>80</v>
      </c>
      <c r="F261" s="167" t="s">
        <v>309</v>
      </c>
      <c r="G261" s="167" t="s">
        <v>85</v>
      </c>
      <c r="H261" s="167">
        <v>31</v>
      </c>
      <c r="I261" s="167">
        <v>25</v>
      </c>
      <c r="J261" s="167">
        <v>31</v>
      </c>
      <c r="K261" s="168">
        <v>26899.22</v>
      </c>
      <c r="L261" s="168">
        <v>26317.759999999998</v>
      </c>
      <c r="M261" s="168">
        <v>581.46</v>
      </c>
      <c r="N261" s="167">
        <v>24</v>
      </c>
      <c r="O261" s="168">
        <v>60246.84</v>
      </c>
      <c r="P261" s="168">
        <v>60246.84</v>
      </c>
      <c r="Q261" s="168">
        <v>0</v>
      </c>
      <c r="R261" s="6"/>
    </row>
    <row r="262" spans="1:18" x14ac:dyDescent="0.25">
      <c r="A262" s="29">
        <f t="shared" si="10"/>
        <v>133</v>
      </c>
      <c r="B262" s="167" t="s">
        <v>130</v>
      </c>
      <c r="C262" s="167" t="s">
        <v>62</v>
      </c>
      <c r="D262" s="167" t="s">
        <v>63</v>
      </c>
      <c r="E262" s="167" t="s">
        <v>74</v>
      </c>
      <c r="F262" s="167" t="s">
        <v>553</v>
      </c>
      <c r="G262" s="167" t="s">
        <v>85</v>
      </c>
      <c r="H262" s="167">
        <v>2</v>
      </c>
      <c r="I262" s="167">
        <v>1</v>
      </c>
      <c r="J262" s="167">
        <v>1</v>
      </c>
      <c r="K262" s="168">
        <v>0</v>
      </c>
      <c r="L262" s="168">
        <v>0</v>
      </c>
      <c r="M262" s="168">
        <v>0</v>
      </c>
      <c r="N262" s="167">
        <v>1</v>
      </c>
      <c r="O262" s="168">
        <v>0</v>
      </c>
      <c r="P262" s="168">
        <v>0</v>
      </c>
      <c r="Q262" s="168">
        <v>0</v>
      </c>
      <c r="R262" s="6"/>
    </row>
    <row r="263" spans="1:18" x14ac:dyDescent="0.25">
      <c r="A263" s="29">
        <f t="shared" si="10"/>
        <v>134</v>
      </c>
      <c r="B263" s="167" t="s">
        <v>97</v>
      </c>
      <c r="C263" s="167" t="s">
        <v>62</v>
      </c>
      <c r="D263" s="167" t="s">
        <v>63</v>
      </c>
      <c r="E263" s="167" t="s">
        <v>74</v>
      </c>
      <c r="F263" s="167" t="s">
        <v>310</v>
      </c>
      <c r="G263" s="167" t="s">
        <v>85</v>
      </c>
      <c r="H263" s="167">
        <v>6</v>
      </c>
      <c r="I263" s="167">
        <v>2</v>
      </c>
      <c r="J263" s="167">
        <v>2</v>
      </c>
      <c r="K263" s="168">
        <v>687.18</v>
      </c>
      <c r="L263" s="168">
        <v>687.18</v>
      </c>
      <c r="M263" s="168">
        <v>0</v>
      </c>
      <c r="N263" s="167">
        <v>1</v>
      </c>
      <c r="O263" s="168">
        <v>808.76</v>
      </c>
      <c r="P263" s="168">
        <v>808.76</v>
      </c>
      <c r="Q263" s="168">
        <v>0</v>
      </c>
      <c r="R263" s="6"/>
    </row>
    <row r="264" spans="1:18" x14ac:dyDescent="0.25">
      <c r="A264" s="29">
        <f t="shared" si="10"/>
        <v>135</v>
      </c>
      <c r="B264" s="167" t="s">
        <v>514</v>
      </c>
      <c r="C264" s="167" t="s">
        <v>62</v>
      </c>
      <c r="D264" s="167"/>
      <c r="E264" s="167" t="s">
        <v>223</v>
      </c>
      <c r="F264" s="167" t="s">
        <v>63</v>
      </c>
      <c r="G264" s="167" t="s">
        <v>85</v>
      </c>
      <c r="H264" s="167">
        <v>10</v>
      </c>
      <c r="I264" s="167">
        <v>0</v>
      </c>
      <c r="J264" s="167">
        <v>0</v>
      </c>
      <c r="K264" s="168">
        <v>0</v>
      </c>
      <c r="L264" s="168">
        <v>0</v>
      </c>
      <c r="M264" s="168">
        <v>0</v>
      </c>
      <c r="N264" s="167">
        <v>0</v>
      </c>
      <c r="O264" s="168">
        <v>0</v>
      </c>
      <c r="P264" s="168">
        <v>0</v>
      </c>
      <c r="Q264" s="168">
        <v>0</v>
      </c>
      <c r="R264" s="6"/>
    </row>
    <row r="265" spans="1:18" x14ac:dyDescent="0.25">
      <c r="A265" s="29">
        <f t="shared" si="10"/>
        <v>136</v>
      </c>
      <c r="B265" s="167" t="s">
        <v>132</v>
      </c>
      <c r="C265" s="167" t="s">
        <v>62</v>
      </c>
      <c r="D265" s="167" t="s">
        <v>63</v>
      </c>
      <c r="E265" s="167" t="s">
        <v>74</v>
      </c>
      <c r="F265" s="167" t="s">
        <v>311</v>
      </c>
      <c r="G265" s="167" t="s">
        <v>85</v>
      </c>
      <c r="H265" s="167">
        <v>13</v>
      </c>
      <c r="I265" s="167">
        <v>6</v>
      </c>
      <c r="J265" s="167">
        <v>7</v>
      </c>
      <c r="K265" s="168">
        <v>422.88</v>
      </c>
      <c r="L265" s="168">
        <v>422.88</v>
      </c>
      <c r="M265" s="168">
        <v>0</v>
      </c>
      <c r="N265" s="167">
        <v>6</v>
      </c>
      <c r="O265" s="168">
        <v>5554.71</v>
      </c>
      <c r="P265" s="168">
        <v>5554.71</v>
      </c>
      <c r="Q265" s="168">
        <v>0</v>
      </c>
      <c r="R265" s="6"/>
    </row>
    <row r="266" spans="1:18" x14ac:dyDescent="0.25">
      <c r="A266" s="29">
        <f t="shared" si="10"/>
        <v>137</v>
      </c>
      <c r="B266" s="167" t="s">
        <v>312</v>
      </c>
      <c r="C266" s="167" t="s">
        <v>62</v>
      </c>
      <c r="D266" s="167"/>
      <c r="E266" s="167" t="s">
        <v>313</v>
      </c>
      <c r="F266" s="167" t="s">
        <v>314</v>
      </c>
      <c r="G266" s="167" t="s">
        <v>85</v>
      </c>
      <c r="H266" s="167">
        <v>21</v>
      </c>
      <c r="I266" s="167">
        <v>1</v>
      </c>
      <c r="J266" s="167">
        <v>1</v>
      </c>
      <c r="K266" s="168">
        <v>0</v>
      </c>
      <c r="L266" s="168">
        <v>0</v>
      </c>
      <c r="M266" s="168">
        <v>0</v>
      </c>
      <c r="N266" s="167">
        <v>0</v>
      </c>
      <c r="O266" s="168">
        <v>0</v>
      </c>
      <c r="P266" s="168">
        <v>0</v>
      </c>
      <c r="Q266" s="168">
        <v>0</v>
      </c>
      <c r="R266" s="6"/>
    </row>
    <row r="267" spans="1:18" x14ac:dyDescent="0.25">
      <c r="A267" s="29">
        <f t="shared" si="10"/>
        <v>138</v>
      </c>
      <c r="B267" s="167" t="s">
        <v>315</v>
      </c>
      <c r="C267" s="167" t="s">
        <v>62</v>
      </c>
      <c r="D267" s="167" t="s">
        <v>63</v>
      </c>
      <c r="E267" s="167" t="s">
        <v>74</v>
      </c>
      <c r="F267" s="167" t="s">
        <v>316</v>
      </c>
      <c r="G267" s="167" t="s">
        <v>85</v>
      </c>
      <c r="H267" s="167">
        <v>13</v>
      </c>
      <c r="I267" s="167">
        <v>5</v>
      </c>
      <c r="J267" s="167">
        <v>6</v>
      </c>
      <c r="K267" s="168">
        <v>7088.53</v>
      </c>
      <c r="L267" s="168">
        <v>7088.53</v>
      </c>
      <c r="M267" s="168">
        <v>0</v>
      </c>
      <c r="N267" s="167">
        <v>2</v>
      </c>
      <c r="O267" s="168">
        <v>2596.64</v>
      </c>
      <c r="P267" s="168">
        <v>2596.64</v>
      </c>
      <c r="Q267" s="168">
        <v>0</v>
      </c>
      <c r="R267" s="6"/>
    </row>
    <row r="268" spans="1:18" x14ac:dyDescent="0.25">
      <c r="A268" s="29">
        <f t="shared" si="10"/>
        <v>139</v>
      </c>
      <c r="B268" s="167" t="s">
        <v>317</v>
      </c>
      <c r="C268" s="167" t="s">
        <v>62</v>
      </c>
      <c r="D268" s="167"/>
      <c r="E268" s="167" t="s">
        <v>158</v>
      </c>
      <c r="F268" s="167" t="s">
        <v>474</v>
      </c>
      <c r="G268" s="167" t="s">
        <v>85</v>
      </c>
      <c r="H268" s="167">
        <v>4</v>
      </c>
      <c r="I268" s="167">
        <v>0</v>
      </c>
      <c r="J268" s="167">
        <v>0</v>
      </c>
      <c r="K268" s="168">
        <v>0</v>
      </c>
      <c r="L268" s="168">
        <v>0</v>
      </c>
      <c r="M268" s="168">
        <v>0</v>
      </c>
      <c r="N268" s="167">
        <v>0</v>
      </c>
      <c r="O268" s="168">
        <v>0</v>
      </c>
      <c r="P268" s="168">
        <v>0</v>
      </c>
      <c r="Q268" s="168">
        <v>0</v>
      </c>
      <c r="R268" s="6"/>
    </row>
    <row r="269" spans="1:18" x14ac:dyDescent="0.25">
      <c r="A269" s="29">
        <f t="shared" si="10"/>
        <v>140</v>
      </c>
      <c r="B269" s="167" t="s">
        <v>318</v>
      </c>
      <c r="C269" s="167" t="s">
        <v>62</v>
      </c>
      <c r="D269" s="167"/>
      <c r="E269" s="167" t="s">
        <v>174</v>
      </c>
      <c r="F269" s="167" t="s">
        <v>319</v>
      </c>
      <c r="G269" s="167" t="s">
        <v>85</v>
      </c>
      <c r="H269" s="167">
        <v>16</v>
      </c>
      <c r="I269" s="167">
        <v>13</v>
      </c>
      <c r="J269" s="167">
        <v>15</v>
      </c>
      <c r="K269" s="168">
        <v>4160.83</v>
      </c>
      <c r="L269" s="168">
        <v>4160.83</v>
      </c>
      <c r="M269" s="168">
        <v>0</v>
      </c>
      <c r="N269" s="167">
        <v>0</v>
      </c>
      <c r="O269" s="168">
        <v>0</v>
      </c>
      <c r="P269" s="168">
        <v>0</v>
      </c>
      <c r="Q269" s="168">
        <v>0</v>
      </c>
      <c r="R269" s="6"/>
    </row>
    <row r="270" spans="1:18" x14ac:dyDescent="0.25">
      <c r="A270" s="29">
        <f t="shared" si="10"/>
        <v>141</v>
      </c>
      <c r="B270" s="167" t="s">
        <v>60</v>
      </c>
      <c r="C270" s="167" t="s">
        <v>67</v>
      </c>
      <c r="D270" s="167" t="s">
        <v>68</v>
      </c>
      <c r="E270" s="167" t="s">
        <v>74</v>
      </c>
      <c r="F270" s="167" t="s">
        <v>320</v>
      </c>
      <c r="G270" s="167" t="s">
        <v>85</v>
      </c>
      <c r="H270" s="167">
        <v>39</v>
      </c>
      <c r="I270" s="167">
        <v>38</v>
      </c>
      <c r="J270" s="167">
        <v>57</v>
      </c>
      <c r="K270" s="168">
        <f>L270+M270</f>
        <v>90670.16</v>
      </c>
      <c r="L270" s="168">
        <v>74524.3</v>
      </c>
      <c r="M270" s="168">
        <v>16145.86</v>
      </c>
      <c r="N270" s="167">
        <v>35</v>
      </c>
      <c r="O270" s="168">
        <f>P270+Q270</f>
        <v>71818.070000000007</v>
      </c>
      <c r="P270" s="168">
        <v>53586.82</v>
      </c>
      <c r="Q270" s="168">
        <v>18231.25</v>
      </c>
      <c r="R270" s="6"/>
    </row>
    <row r="271" spans="1:18" x14ac:dyDescent="0.25">
      <c r="A271" s="29">
        <f t="shared" si="10"/>
        <v>142</v>
      </c>
      <c r="B271" s="167" t="s">
        <v>61</v>
      </c>
      <c r="C271" s="167" t="s">
        <v>67</v>
      </c>
      <c r="D271" s="167" t="s">
        <v>69</v>
      </c>
      <c r="E271" s="167" t="s">
        <v>74</v>
      </c>
      <c r="F271" s="167" t="s">
        <v>321</v>
      </c>
      <c r="G271" s="167" t="s">
        <v>85</v>
      </c>
      <c r="H271" s="167">
        <v>4</v>
      </c>
      <c r="I271" s="167">
        <v>3</v>
      </c>
      <c r="J271" s="167">
        <v>3</v>
      </c>
      <c r="K271" s="168">
        <v>9051.74</v>
      </c>
      <c r="L271" s="168">
        <v>0</v>
      </c>
      <c r="M271" s="168">
        <v>9051.74</v>
      </c>
      <c r="N271" s="167">
        <v>7</v>
      </c>
      <c r="O271" s="168">
        <v>7602.26</v>
      </c>
      <c r="P271" s="168">
        <v>6202.26</v>
      </c>
      <c r="Q271" s="168">
        <v>1400</v>
      </c>
      <c r="R271" s="6"/>
    </row>
  </sheetData>
  <autoFilter ref="A8:Q8"/>
  <mergeCells count="8">
    <mergeCell ref="B7:G7"/>
    <mergeCell ref="H7:M7"/>
    <mergeCell ref="N7:Q7"/>
    <mergeCell ref="O1:Q1"/>
    <mergeCell ref="A3:Q3"/>
    <mergeCell ref="A4:Q4"/>
    <mergeCell ref="A5:Q5"/>
    <mergeCell ref="A6:Q6"/>
  </mergeCells>
  <pageMargins left="0.31496062992125984" right="0.31496062992125984" top="0.55118110236220474" bottom="0.55118110236220474" header="0" footer="0"/>
  <pageSetup paperSize="9" scale="18" fitToWidth="2" orientation="landscape" horizontalDpi="300" verticalDpi="300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263"/>
  <sheetViews>
    <sheetView topLeftCell="C1" workbookViewId="0">
      <selection activeCell="D60" sqref="D60"/>
    </sheetView>
  </sheetViews>
  <sheetFormatPr defaultRowHeight="15" customHeight="1" x14ac:dyDescent="0.25"/>
  <cols>
    <col min="1" max="1" width="7.42578125" bestFit="1" customWidth="1"/>
    <col min="2" max="2" width="36.28515625" customWidth="1"/>
    <col min="3" max="3" width="11.28515625" customWidth="1"/>
    <col min="4" max="4" width="26.28515625" customWidth="1"/>
    <col min="5" max="5" width="15.7109375" customWidth="1"/>
    <col min="6" max="8" width="19.28515625" customWidth="1"/>
    <col min="9" max="9" width="11.85546875" customWidth="1"/>
    <col min="10" max="10" width="13.140625" customWidth="1"/>
    <col min="11" max="11" width="14.5703125" customWidth="1"/>
    <col min="12" max="12" width="13.42578125" customWidth="1"/>
    <col min="13" max="13" width="13.5703125" customWidth="1"/>
    <col min="14" max="14" width="13.28515625" customWidth="1"/>
    <col min="15" max="15" width="14.42578125" customWidth="1"/>
    <col min="16" max="17" width="13.42578125" customWidth="1"/>
  </cols>
  <sheetData>
    <row r="1" spans="1:18" ht="94.5" customHeight="1" x14ac:dyDescent="0.25">
      <c r="A1" s="57"/>
      <c r="B1" s="57"/>
      <c r="C1" s="57"/>
      <c r="D1" s="57"/>
      <c r="E1" s="57"/>
      <c r="F1" s="57"/>
      <c r="G1" s="57"/>
      <c r="H1" s="57"/>
      <c r="I1" s="57"/>
      <c r="J1" s="57"/>
      <c r="K1" s="7"/>
      <c r="L1" s="7"/>
      <c r="M1" s="7"/>
      <c r="N1" s="57"/>
      <c r="O1" s="620" t="s">
        <v>15</v>
      </c>
      <c r="P1" s="620"/>
      <c r="Q1" s="620"/>
      <c r="R1" s="6"/>
    </row>
    <row r="2" spans="1:18" x14ac:dyDescent="0.25">
      <c r="A2" s="57"/>
      <c r="B2" s="57"/>
      <c r="C2" s="57"/>
      <c r="D2" s="57"/>
      <c r="E2" s="57"/>
      <c r="F2" s="57"/>
      <c r="G2" s="57"/>
      <c r="H2" s="57"/>
      <c r="I2" s="57"/>
      <c r="J2" s="57"/>
      <c r="K2" s="7"/>
      <c r="L2" s="7"/>
      <c r="M2" s="7"/>
      <c r="N2" s="57"/>
      <c r="O2" s="7"/>
      <c r="P2" s="7"/>
      <c r="Q2" s="7"/>
      <c r="R2" s="6"/>
    </row>
    <row r="3" spans="1:18" ht="15" customHeight="1" x14ac:dyDescent="0.25">
      <c r="A3" s="621" t="s">
        <v>323</v>
      </c>
      <c r="B3" s="621"/>
      <c r="C3" s="621"/>
      <c r="D3" s="621"/>
      <c r="E3" s="621"/>
      <c r="F3" s="621"/>
      <c r="G3" s="621"/>
      <c r="H3" s="621"/>
      <c r="I3" s="621"/>
      <c r="J3" s="621"/>
      <c r="K3" s="621"/>
      <c r="L3" s="621"/>
      <c r="M3" s="621"/>
      <c r="N3" s="621"/>
      <c r="O3" s="621"/>
      <c r="P3" s="621"/>
      <c r="Q3" s="621"/>
      <c r="R3" s="6"/>
    </row>
    <row r="4" spans="1:18" ht="18.75" x14ac:dyDescent="0.25">
      <c r="A4" s="622" t="s">
        <v>16</v>
      </c>
      <c r="B4" s="622"/>
      <c r="C4" s="622"/>
      <c r="D4" s="622"/>
      <c r="E4" s="622"/>
      <c r="F4" s="622"/>
      <c r="G4" s="622"/>
      <c r="H4" s="622"/>
      <c r="I4" s="622"/>
      <c r="J4" s="622"/>
      <c r="K4" s="622"/>
      <c r="L4" s="622"/>
      <c r="M4" s="622"/>
      <c r="N4" s="622"/>
      <c r="O4" s="622"/>
      <c r="P4" s="622"/>
      <c r="Q4" s="622"/>
      <c r="R4" s="6"/>
    </row>
    <row r="5" spans="1:18" ht="12.75" customHeight="1" x14ac:dyDescent="0.25">
      <c r="A5" s="623" t="s">
        <v>14</v>
      </c>
      <c r="B5" s="623"/>
      <c r="C5" s="623"/>
      <c r="D5" s="623"/>
      <c r="E5" s="623"/>
      <c r="F5" s="623"/>
      <c r="G5" s="623"/>
      <c r="H5" s="623"/>
      <c r="I5" s="623"/>
      <c r="J5" s="623"/>
      <c r="K5" s="623"/>
      <c r="L5" s="623"/>
      <c r="M5" s="623"/>
      <c r="N5" s="623"/>
      <c r="O5" s="623"/>
      <c r="P5" s="623"/>
      <c r="Q5" s="623"/>
      <c r="R5" s="6"/>
    </row>
    <row r="6" spans="1:18" ht="21" x14ac:dyDescent="0.25">
      <c r="A6" s="624" t="s">
        <v>17</v>
      </c>
      <c r="B6" s="624"/>
      <c r="C6" s="624"/>
      <c r="D6" s="624"/>
      <c r="E6" s="624"/>
      <c r="F6" s="624"/>
      <c r="G6" s="624"/>
      <c r="H6" s="624"/>
      <c r="I6" s="624"/>
      <c r="J6" s="624"/>
      <c r="K6" s="624"/>
      <c r="L6" s="624"/>
      <c r="M6" s="624"/>
      <c r="N6" s="624"/>
      <c r="O6" s="624"/>
      <c r="P6" s="624"/>
      <c r="Q6" s="624"/>
      <c r="R6" s="6"/>
    </row>
    <row r="7" spans="1:18" ht="48.75" customHeight="1" x14ac:dyDescent="0.25">
      <c r="A7" s="9" t="s">
        <v>0</v>
      </c>
      <c r="B7" s="617" t="s">
        <v>10</v>
      </c>
      <c r="C7" s="618"/>
      <c r="D7" s="618"/>
      <c r="E7" s="618"/>
      <c r="F7" s="618"/>
      <c r="G7" s="619"/>
      <c r="H7" s="617" t="s">
        <v>322</v>
      </c>
      <c r="I7" s="618"/>
      <c r="J7" s="618"/>
      <c r="K7" s="618"/>
      <c r="L7" s="618"/>
      <c r="M7" s="618"/>
      <c r="N7" s="617" t="s">
        <v>324</v>
      </c>
      <c r="O7" s="618"/>
      <c r="P7" s="618"/>
      <c r="Q7" s="619"/>
      <c r="R7" s="6"/>
    </row>
    <row r="8" spans="1:18" ht="107.25" customHeight="1" x14ac:dyDescent="0.25">
      <c r="A8" s="10"/>
      <c r="B8" s="11" t="s">
        <v>4</v>
      </c>
      <c r="C8" s="11" t="s">
        <v>1</v>
      </c>
      <c r="D8" s="11" t="s">
        <v>3</v>
      </c>
      <c r="E8" s="11" t="s">
        <v>2</v>
      </c>
      <c r="F8" s="11" t="s">
        <v>6</v>
      </c>
      <c r="G8" s="11" t="s">
        <v>5</v>
      </c>
      <c r="H8" s="12" t="s">
        <v>7</v>
      </c>
      <c r="I8" s="13" t="s">
        <v>8</v>
      </c>
      <c r="J8" s="13" t="s">
        <v>9</v>
      </c>
      <c r="K8" s="14" t="s">
        <v>11</v>
      </c>
      <c r="L8" s="14" t="s">
        <v>12</v>
      </c>
      <c r="M8" s="14" t="s">
        <v>13</v>
      </c>
      <c r="N8" s="13" t="s">
        <v>9</v>
      </c>
      <c r="O8" s="14" t="s">
        <v>11</v>
      </c>
      <c r="P8" s="14" t="s">
        <v>12</v>
      </c>
      <c r="Q8" s="15" t="s">
        <v>13</v>
      </c>
      <c r="R8" s="6"/>
    </row>
    <row r="9" spans="1:18" x14ac:dyDescent="0.25">
      <c r="A9" s="16">
        <v>1</v>
      </c>
      <c r="B9" s="16">
        <f>A9+1</f>
        <v>2</v>
      </c>
      <c r="C9" s="16">
        <f t="shared" ref="C9:Q9" si="0">B9+1</f>
        <v>3</v>
      </c>
      <c r="D9" s="16">
        <f t="shared" si="0"/>
        <v>4</v>
      </c>
      <c r="E9" s="16">
        <f t="shared" si="0"/>
        <v>5</v>
      </c>
      <c r="F9" s="16">
        <f t="shared" si="0"/>
        <v>6</v>
      </c>
      <c r="G9" s="16">
        <f t="shared" si="0"/>
        <v>7</v>
      </c>
      <c r="H9" s="16">
        <f t="shared" si="0"/>
        <v>8</v>
      </c>
      <c r="I9" s="16">
        <f t="shared" si="0"/>
        <v>9</v>
      </c>
      <c r="J9" s="16">
        <f t="shared" si="0"/>
        <v>10</v>
      </c>
      <c r="K9" s="17">
        <f t="shared" si="0"/>
        <v>11</v>
      </c>
      <c r="L9" s="17">
        <f t="shared" si="0"/>
        <v>12</v>
      </c>
      <c r="M9" s="17">
        <f t="shared" si="0"/>
        <v>13</v>
      </c>
      <c r="N9" s="17">
        <f t="shared" si="0"/>
        <v>14</v>
      </c>
      <c r="O9" s="17">
        <f t="shared" si="0"/>
        <v>15</v>
      </c>
      <c r="P9" s="17">
        <f t="shared" si="0"/>
        <v>16</v>
      </c>
      <c r="Q9" s="17">
        <f t="shared" si="0"/>
        <v>17</v>
      </c>
      <c r="R9" s="6"/>
    </row>
    <row r="10" spans="1:18" ht="25.5" x14ac:dyDescent="0.25">
      <c r="A10" s="63">
        <v>1</v>
      </c>
      <c r="B10" s="63" t="s">
        <v>21</v>
      </c>
      <c r="C10" s="63" t="s">
        <v>522</v>
      </c>
      <c r="D10" s="63">
        <v>0</v>
      </c>
      <c r="E10" s="63" t="s">
        <v>157</v>
      </c>
      <c r="F10" s="63" t="s">
        <v>523</v>
      </c>
      <c r="G10" s="63" t="s">
        <v>524</v>
      </c>
      <c r="H10" s="63">
        <v>1</v>
      </c>
      <c r="I10" s="63">
        <v>0</v>
      </c>
      <c r="J10" s="63">
        <v>0</v>
      </c>
      <c r="K10" s="63">
        <v>0</v>
      </c>
      <c r="L10" s="63">
        <v>0</v>
      </c>
      <c r="M10" s="63">
        <v>0</v>
      </c>
      <c r="N10" s="63">
        <v>0</v>
      </c>
      <c r="O10" s="63">
        <v>0</v>
      </c>
      <c r="P10" s="63">
        <v>0</v>
      </c>
      <c r="Q10" s="63">
        <v>0</v>
      </c>
      <c r="R10" s="64"/>
    </row>
    <row r="11" spans="1:18" ht="25.5" x14ac:dyDescent="0.25">
      <c r="A11" s="63">
        <v>2</v>
      </c>
      <c r="B11" s="63" t="s">
        <v>147</v>
      </c>
      <c r="C11" s="63" t="s">
        <v>522</v>
      </c>
      <c r="D11" s="63">
        <v>0</v>
      </c>
      <c r="E11" s="63" t="s">
        <v>158</v>
      </c>
      <c r="F11" s="63" t="s">
        <v>525</v>
      </c>
      <c r="G11" s="63" t="s">
        <v>524</v>
      </c>
      <c r="H11" s="63">
        <v>1</v>
      </c>
      <c r="I11" s="63">
        <v>1</v>
      </c>
      <c r="J11" s="63">
        <v>1</v>
      </c>
      <c r="K11" s="63">
        <v>1762</v>
      </c>
      <c r="L11" s="63">
        <v>1762</v>
      </c>
      <c r="M11" s="63">
        <v>1762</v>
      </c>
      <c r="N11" s="63">
        <v>1</v>
      </c>
      <c r="O11" s="63">
        <v>3438.94</v>
      </c>
      <c r="P11" s="63">
        <v>3438.94</v>
      </c>
      <c r="Q11" s="63">
        <v>1938.94</v>
      </c>
      <c r="R11" s="64"/>
    </row>
    <row r="12" spans="1:18" ht="25.5" x14ac:dyDescent="0.25">
      <c r="A12" s="63">
        <v>3</v>
      </c>
      <c r="B12" s="64" t="s">
        <v>526</v>
      </c>
      <c r="C12" s="63" t="s">
        <v>522</v>
      </c>
      <c r="D12" s="63">
        <v>0</v>
      </c>
      <c r="E12" s="63" t="s">
        <v>527</v>
      </c>
      <c r="F12" s="63" t="s">
        <v>528</v>
      </c>
      <c r="G12" s="63" t="s">
        <v>524</v>
      </c>
      <c r="H12" s="63">
        <v>0</v>
      </c>
      <c r="I12" s="63">
        <v>0</v>
      </c>
      <c r="J12" s="63">
        <v>0</v>
      </c>
      <c r="K12" s="63">
        <v>0</v>
      </c>
      <c r="L12" s="63">
        <v>0</v>
      </c>
      <c r="M12" s="63">
        <v>0</v>
      </c>
      <c r="N12" s="63">
        <v>0</v>
      </c>
      <c r="O12" s="65">
        <v>0</v>
      </c>
      <c r="P12" s="63">
        <v>0</v>
      </c>
      <c r="Q12" s="63">
        <v>0</v>
      </c>
      <c r="R12" s="64"/>
    </row>
    <row r="13" spans="1:18" ht="25.5" x14ac:dyDescent="0.25">
      <c r="A13" s="63">
        <v>4</v>
      </c>
      <c r="B13" s="63" t="s">
        <v>529</v>
      </c>
      <c r="C13" s="63" t="s">
        <v>522</v>
      </c>
      <c r="D13" s="63">
        <v>0</v>
      </c>
      <c r="E13" s="63" t="s">
        <v>530</v>
      </c>
      <c r="F13" s="63" t="s">
        <v>531</v>
      </c>
      <c r="G13" s="63" t="s">
        <v>524</v>
      </c>
      <c r="H13" s="63">
        <v>3</v>
      </c>
      <c r="I13" s="63">
        <v>0</v>
      </c>
      <c r="J13" s="63">
        <v>0</v>
      </c>
      <c r="K13" s="63">
        <v>0</v>
      </c>
      <c r="L13" s="63">
        <v>0</v>
      </c>
      <c r="M13" s="63">
        <v>0</v>
      </c>
      <c r="N13" s="63">
        <v>0</v>
      </c>
      <c r="O13" s="63">
        <v>0</v>
      </c>
      <c r="P13" s="63">
        <v>0</v>
      </c>
      <c r="Q13" s="63">
        <v>0</v>
      </c>
      <c r="R13" s="64"/>
    </row>
    <row r="14" spans="1:18" ht="25.5" x14ac:dyDescent="0.25">
      <c r="A14" s="63">
        <v>5</v>
      </c>
      <c r="B14" s="63" t="s">
        <v>407</v>
      </c>
      <c r="C14" s="63" t="s">
        <v>522</v>
      </c>
      <c r="D14" s="63">
        <v>0</v>
      </c>
      <c r="E14" s="63" t="s">
        <v>530</v>
      </c>
      <c r="F14" s="63" t="s">
        <v>532</v>
      </c>
      <c r="G14" s="63" t="s">
        <v>524</v>
      </c>
      <c r="H14" s="63">
        <v>2</v>
      </c>
      <c r="I14" s="63">
        <v>0</v>
      </c>
      <c r="J14" s="63">
        <v>0</v>
      </c>
      <c r="K14" s="63">
        <v>0</v>
      </c>
      <c r="L14" s="63">
        <v>0</v>
      </c>
      <c r="M14" s="63">
        <v>0</v>
      </c>
      <c r="N14" s="63">
        <v>0</v>
      </c>
      <c r="O14" s="63">
        <v>0</v>
      </c>
      <c r="P14" s="63">
        <v>0</v>
      </c>
      <c r="Q14" s="63">
        <v>0</v>
      </c>
      <c r="R14" s="66"/>
    </row>
    <row r="15" spans="1:18" ht="25.5" x14ac:dyDescent="0.25">
      <c r="A15" s="63">
        <v>6</v>
      </c>
      <c r="B15" s="63" t="s">
        <v>185</v>
      </c>
      <c r="C15" s="63" t="s">
        <v>522</v>
      </c>
      <c r="D15" s="63">
        <v>0</v>
      </c>
      <c r="E15" s="63" t="s">
        <v>530</v>
      </c>
      <c r="F15" s="63" t="s">
        <v>533</v>
      </c>
      <c r="G15" s="63" t="s">
        <v>524</v>
      </c>
      <c r="H15" s="63">
        <v>3</v>
      </c>
      <c r="I15" s="63">
        <v>0</v>
      </c>
      <c r="J15" s="63">
        <v>0</v>
      </c>
      <c r="K15" s="63">
        <v>0</v>
      </c>
      <c r="L15" s="63">
        <v>0</v>
      </c>
      <c r="M15" s="63">
        <v>0</v>
      </c>
      <c r="N15" s="63">
        <v>0</v>
      </c>
      <c r="O15" s="63">
        <v>0</v>
      </c>
      <c r="P15" s="63">
        <v>0</v>
      </c>
      <c r="Q15" s="63">
        <v>0</v>
      </c>
      <c r="R15" s="66"/>
    </row>
    <row r="16" spans="1:18" ht="25.5" x14ac:dyDescent="0.25">
      <c r="A16" s="63">
        <v>7</v>
      </c>
      <c r="B16" s="63" t="s">
        <v>534</v>
      </c>
      <c r="C16" s="63" t="s">
        <v>522</v>
      </c>
      <c r="D16" s="63">
        <v>0</v>
      </c>
      <c r="E16" s="63" t="s">
        <v>530</v>
      </c>
      <c r="F16" s="63" t="s">
        <v>535</v>
      </c>
      <c r="G16" s="63" t="s">
        <v>524</v>
      </c>
      <c r="H16" s="63">
        <v>1</v>
      </c>
      <c r="I16" s="63">
        <v>0</v>
      </c>
      <c r="J16" s="63">
        <v>0</v>
      </c>
      <c r="K16" s="63">
        <v>0</v>
      </c>
      <c r="L16" s="63">
        <v>0</v>
      </c>
      <c r="M16" s="63">
        <v>0</v>
      </c>
      <c r="N16" s="63">
        <v>0</v>
      </c>
      <c r="O16" s="63">
        <v>0</v>
      </c>
      <c r="P16" s="63">
        <v>0</v>
      </c>
      <c r="Q16" s="63">
        <v>0</v>
      </c>
      <c r="R16" s="66"/>
    </row>
    <row r="17" spans="1:18" ht="25.5" x14ac:dyDescent="0.25">
      <c r="A17" s="67">
        <v>8</v>
      </c>
      <c r="B17" s="63" t="s">
        <v>104</v>
      </c>
      <c r="C17" s="63" t="s">
        <v>522</v>
      </c>
      <c r="D17" s="63">
        <v>0</v>
      </c>
      <c r="E17" s="63" t="s">
        <v>158</v>
      </c>
      <c r="F17" s="70" t="s">
        <v>536</v>
      </c>
      <c r="G17" s="63" t="s">
        <v>524</v>
      </c>
      <c r="H17" s="63">
        <v>0</v>
      </c>
      <c r="I17" s="63">
        <v>0</v>
      </c>
      <c r="J17" s="63">
        <v>0</v>
      </c>
      <c r="K17" s="63">
        <v>0</v>
      </c>
      <c r="L17" s="63">
        <v>0</v>
      </c>
      <c r="M17" s="63">
        <v>0</v>
      </c>
      <c r="N17" s="63">
        <v>0</v>
      </c>
      <c r="O17" s="63">
        <v>0</v>
      </c>
      <c r="P17" s="63">
        <v>0</v>
      </c>
      <c r="Q17" s="63">
        <v>0</v>
      </c>
      <c r="R17" s="66"/>
    </row>
    <row r="18" spans="1:18" ht="25.5" x14ac:dyDescent="0.25">
      <c r="A18" s="67">
        <v>9</v>
      </c>
      <c r="B18" s="68" t="s">
        <v>30</v>
      </c>
      <c r="C18" s="63" t="s">
        <v>522</v>
      </c>
      <c r="D18" s="63">
        <v>0</v>
      </c>
      <c r="E18" s="68" t="s">
        <v>537</v>
      </c>
      <c r="F18" s="63" t="s">
        <v>538</v>
      </c>
      <c r="G18" s="63" t="s">
        <v>524</v>
      </c>
      <c r="H18" s="63">
        <v>0</v>
      </c>
      <c r="I18" s="63">
        <v>0</v>
      </c>
      <c r="J18" s="63">
        <v>0</v>
      </c>
      <c r="K18" s="63">
        <v>0</v>
      </c>
      <c r="L18" s="63">
        <v>0</v>
      </c>
      <c r="M18" s="63">
        <v>0</v>
      </c>
      <c r="N18" s="63">
        <v>0</v>
      </c>
      <c r="O18" s="63">
        <v>0</v>
      </c>
      <c r="P18" s="63">
        <v>0</v>
      </c>
      <c r="Q18" s="63">
        <v>0</v>
      </c>
      <c r="R18" s="66"/>
    </row>
    <row r="19" spans="1:18" x14ac:dyDescent="0.25">
      <c r="A19" s="71">
        <v>1</v>
      </c>
      <c r="B19" s="72" t="s">
        <v>47</v>
      </c>
      <c r="C19" s="71" t="s">
        <v>62</v>
      </c>
      <c r="D19" s="72"/>
      <c r="E19" s="72" t="s">
        <v>141</v>
      </c>
      <c r="F19" s="72" t="s">
        <v>448</v>
      </c>
      <c r="G19" s="72" t="s">
        <v>142</v>
      </c>
      <c r="H19" s="73">
        <v>6</v>
      </c>
      <c r="I19" s="73">
        <v>1</v>
      </c>
      <c r="J19" s="73">
        <v>1</v>
      </c>
      <c r="K19" s="73">
        <v>1233.4000000000001</v>
      </c>
      <c r="L19" s="73"/>
      <c r="M19" s="73">
        <v>1233.4000000000001</v>
      </c>
      <c r="N19" s="73">
        <v>17</v>
      </c>
      <c r="O19" s="73">
        <v>24659.43</v>
      </c>
      <c r="P19" s="73">
        <v>13831.96</v>
      </c>
      <c r="Q19" s="73">
        <v>10827.47</v>
      </c>
      <c r="R19" s="74"/>
    </row>
    <row r="20" spans="1:18" x14ac:dyDescent="0.25">
      <c r="A20" s="71">
        <f>A19+1</f>
        <v>2</v>
      </c>
      <c r="B20" s="72" t="s">
        <v>55</v>
      </c>
      <c r="C20" s="71" t="s">
        <v>62</v>
      </c>
      <c r="D20" s="72"/>
      <c r="E20" s="72" t="s">
        <v>141</v>
      </c>
      <c r="F20" s="72" t="s">
        <v>449</v>
      </c>
      <c r="G20" s="72" t="s">
        <v>142</v>
      </c>
      <c r="H20" s="73">
        <v>8</v>
      </c>
      <c r="I20" s="73">
        <v>3</v>
      </c>
      <c r="J20" s="73">
        <v>3</v>
      </c>
      <c r="K20" s="73">
        <v>2995.4</v>
      </c>
      <c r="L20" s="73">
        <v>1409.6</v>
      </c>
      <c r="M20" s="73">
        <v>1585.8</v>
      </c>
      <c r="N20" s="73">
        <v>11</v>
      </c>
      <c r="O20" s="73">
        <v>21232.1</v>
      </c>
      <c r="P20" s="73">
        <v>7312.3</v>
      </c>
      <c r="Q20" s="73">
        <v>13919.8</v>
      </c>
      <c r="R20" s="74"/>
    </row>
    <row r="21" spans="1:18" x14ac:dyDescent="0.25">
      <c r="A21" s="71">
        <f>A20+1</f>
        <v>3</v>
      </c>
      <c r="B21" s="72" t="s">
        <v>122</v>
      </c>
      <c r="C21" s="71" t="s">
        <v>62</v>
      </c>
      <c r="D21" s="72"/>
      <c r="E21" s="72" t="s">
        <v>143</v>
      </c>
      <c r="F21" s="72" t="s">
        <v>450</v>
      </c>
      <c r="G21" s="72" t="s">
        <v>142</v>
      </c>
      <c r="H21" s="73">
        <v>5</v>
      </c>
      <c r="I21" s="73"/>
      <c r="J21" s="73"/>
      <c r="K21" s="73"/>
      <c r="L21" s="73"/>
      <c r="M21" s="73"/>
      <c r="N21" s="73">
        <v>4</v>
      </c>
      <c r="O21" s="73">
        <v>8841.5400000000009</v>
      </c>
      <c r="P21" s="73">
        <v>5141.34</v>
      </c>
      <c r="Q21" s="73">
        <v>3700.2</v>
      </c>
      <c r="R21" s="74"/>
    </row>
    <row r="22" spans="1:18" x14ac:dyDescent="0.25">
      <c r="A22" s="71">
        <f>A21+1</f>
        <v>4</v>
      </c>
      <c r="B22" s="72" t="s">
        <v>144</v>
      </c>
      <c r="C22" s="71" t="s">
        <v>62</v>
      </c>
      <c r="D22" s="72"/>
      <c r="E22" s="72" t="s">
        <v>141</v>
      </c>
      <c r="F22" s="72" t="s">
        <v>451</v>
      </c>
      <c r="G22" s="72" t="s">
        <v>142</v>
      </c>
      <c r="H22" s="73">
        <v>7</v>
      </c>
      <c r="I22" s="73">
        <v>5</v>
      </c>
      <c r="J22" s="73">
        <v>5</v>
      </c>
      <c r="K22" s="73">
        <v>6096.52</v>
      </c>
      <c r="L22" s="73"/>
      <c r="M22" s="73">
        <v>6096.52</v>
      </c>
      <c r="N22" s="73">
        <v>2</v>
      </c>
      <c r="O22" s="73">
        <v>1938.2</v>
      </c>
      <c r="P22" s="71"/>
      <c r="Q22" s="73">
        <v>1938.2</v>
      </c>
      <c r="R22" s="74"/>
    </row>
    <row r="23" spans="1:18" ht="25.5" x14ac:dyDescent="0.25">
      <c r="A23" s="71">
        <f>A22+1</f>
        <v>5</v>
      </c>
      <c r="B23" s="72" t="s">
        <v>46</v>
      </c>
      <c r="C23" s="71" t="s">
        <v>62</v>
      </c>
      <c r="D23" s="72"/>
      <c r="E23" s="72" t="s">
        <v>452</v>
      </c>
      <c r="F23" s="72" t="s">
        <v>453</v>
      </c>
      <c r="G23" s="72" t="s">
        <v>142</v>
      </c>
      <c r="H23" s="73"/>
      <c r="I23" s="73"/>
      <c r="J23" s="73"/>
      <c r="K23" s="73"/>
      <c r="L23" s="73"/>
      <c r="M23" s="73"/>
      <c r="N23" s="73"/>
      <c r="O23" s="73"/>
      <c r="P23" s="71"/>
      <c r="Q23" s="71"/>
      <c r="R23" s="75"/>
    </row>
    <row r="24" spans="1:18" x14ac:dyDescent="0.25">
      <c r="A24" s="76">
        <v>6</v>
      </c>
      <c r="B24" s="77" t="s">
        <v>133</v>
      </c>
      <c r="C24" s="76" t="s">
        <v>67</v>
      </c>
      <c r="D24" s="76" t="s">
        <v>397</v>
      </c>
      <c r="E24" s="77" t="s">
        <v>74</v>
      </c>
      <c r="F24" s="77" t="s">
        <v>454</v>
      </c>
      <c r="G24" s="72" t="s">
        <v>142</v>
      </c>
      <c r="H24" s="78"/>
      <c r="I24" s="79"/>
      <c r="J24" s="79"/>
      <c r="K24" s="79"/>
      <c r="L24" s="79"/>
      <c r="M24" s="79"/>
      <c r="N24" s="76"/>
      <c r="O24" s="76"/>
      <c r="P24" s="76"/>
      <c r="Q24" s="76"/>
      <c r="R24" s="75"/>
    </row>
    <row r="25" spans="1:18" x14ac:dyDescent="0.25">
      <c r="A25" s="76">
        <v>7</v>
      </c>
      <c r="B25" s="77" t="s">
        <v>176</v>
      </c>
      <c r="C25" s="76" t="s">
        <v>62</v>
      </c>
      <c r="D25" s="76"/>
      <c r="E25" s="77" t="s">
        <v>141</v>
      </c>
      <c r="F25" s="76" t="s">
        <v>455</v>
      </c>
      <c r="G25" s="77" t="s">
        <v>142</v>
      </c>
      <c r="H25" s="78">
        <v>9</v>
      </c>
      <c r="I25" s="78">
        <v>7</v>
      </c>
      <c r="J25" s="78">
        <v>7</v>
      </c>
      <c r="K25" s="78">
        <v>8598.56</v>
      </c>
      <c r="L25" s="78">
        <v>704.8</v>
      </c>
      <c r="M25" s="78">
        <v>7893.76</v>
      </c>
      <c r="N25" s="76"/>
      <c r="O25" s="76"/>
      <c r="P25" s="76"/>
      <c r="Q25" s="76"/>
      <c r="R25" s="75"/>
    </row>
    <row r="26" spans="1:18" x14ac:dyDescent="0.25">
      <c r="A26" s="76">
        <v>8</v>
      </c>
      <c r="B26" s="77" t="s">
        <v>235</v>
      </c>
      <c r="C26" s="76" t="s">
        <v>62</v>
      </c>
      <c r="D26" s="76"/>
      <c r="E26" s="77" t="s">
        <v>456</v>
      </c>
      <c r="F26" s="77" t="s">
        <v>457</v>
      </c>
      <c r="G26" s="77" t="s">
        <v>142</v>
      </c>
      <c r="H26" s="79">
        <v>2</v>
      </c>
      <c r="I26" s="79"/>
      <c r="J26" s="79"/>
      <c r="K26" s="79"/>
      <c r="L26" s="76"/>
      <c r="M26" s="79"/>
      <c r="N26" s="76"/>
      <c r="O26" s="76"/>
      <c r="P26" s="76"/>
      <c r="Q26" s="76"/>
      <c r="R26" s="75"/>
    </row>
    <row r="27" spans="1:18" x14ac:dyDescent="0.25">
      <c r="A27" s="76">
        <v>9</v>
      </c>
      <c r="B27" s="77" t="s">
        <v>251</v>
      </c>
      <c r="C27" s="76" t="s">
        <v>62</v>
      </c>
      <c r="D27" s="76"/>
      <c r="E27" s="77" t="s">
        <v>141</v>
      </c>
      <c r="F27" s="77" t="s">
        <v>458</v>
      </c>
      <c r="G27" s="77" t="s">
        <v>142</v>
      </c>
      <c r="H27" s="78">
        <v>5</v>
      </c>
      <c r="I27" s="78">
        <v>2</v>
      </c>
      <c r="J27" s="78">
        <v>2</v>
      </c>
      <c r="K27" s="78">
        <v>1409.6</v>
      </c>
      <c r="L27" s="76"/>
      <c r="M27" s="78">
        <v>1409.6</v>
      </c>
      <c r="N27" s="76"/>
      <c r="O27" s="76"/>
      <c r="P27" s="76"/>
      <c r="Q27" s="76"/>
      <c r="R27" s="75"/>
    </row>
    <row r="28" spans="1:18" x14ac:dyDescent="0.25">
      <c r="A28" s="76">
        <v>10</v>
      </c>
      <c r="B28" s="77" t="s">
        <v>30</v>
      </c>
      <c r="C28" s="76" t="s">
        <v>62</v>
      </c>
      <c r="D28" s="76"/>
      <c r="E28" s="77" t="s">
        <v>459</v>
      </c>
      <c r="F28" s="77" t="s">
        <v>460</v>
      </c>
      <c r="G28" s="76" t="s">
        <v>142</v>
      </c>
      <c r="H28" s="78">
        <v>1</v>
      </c>
      <c r="I28" s="76"/>
      <c r="J28" s="76"/>
      <c r="K28" s="76"/>
      <c r="L28" s="76"/>
      <c r="M28" s="76"/>
      <c r="N28" s="76"/>
      <c r="O28" s="76"/>
      <c r="P28" s="76"/>
      <c r="Q28" s="76"/>
      <c r="R28" s="75"/>
    </row>
    <row r="29" spans="1:18" x14ac:dyDescent="0.25">
      <c r="A29" s="76">
        <v>11</v>
      </c>
      <c r="B29" s="77" t="s">
        <v>35</v>
      </c>
      <c r="C29" s="76" t="s">
        <v>62</v>
      </c>
      <c r="D29" s="76"/>
      <c r="E29" s="77" t="s">
        <v>461</v>
      </c>
      <c r="F29" s="76" t="s">
        <v>462</v>
      </c>
      <c r="G29" s="76" t="s">
        <v>142</v>
      </c>
      <c r="H29" s="78">
        <v>1</v>
      </c>
      <c r="I29" s="76"/>
      <c r="J29" s="76"/>
      <c r="K29" s="76"/>
      <c r="L29" s="76"/>
      <c r="M29" s="76"/>
      <c r="N29" s="76"/>
      <c r="O29" s="76"/>
      <c r="P29" s="76"/>
      <c r="Q29" s="76"/>
      <c r="R29" s="75"/>
    </row>
    <row r="30" spans="1:18" x14ac:dyDescent="0.25">
      <c r="A30" s="80">
        <v>1</v>
      </c>
      <c r="B30" s="81" t="s">
        <v>19</v>
      </c>
      <c r="C30" s="81" t="s">
        <v>62</v>
      </c>
      <c r="D30" s="82"/>
      <c r="E30" s="81" t="s">
        <v>71</v>
      </c>
      <c r="F30" s="81" t="s">
        <v>394</v>
      </c>
      <c r="G30" s="83" t="s">
        <v>395</v>
      </c>
      <c r="H30" s="84">
        <v>0</v>
      </c>
      <c r="I30" s="85">
        <v>0</v>
      </c>
      <c r="J30" s="86">
        <v>0</v>
      </c>
      <c r="K30" s="87">
        <v>0</v>
      </c>
      <c r="L30" s="87">
        <v>0</v>
      </c>
      <c r="M30" s="87">
        <v>0</v>
      </c>
      <c r="N30" s="88">
        <v>0</v>
      </c>
      <c r="O30" s="89"/>
      <c r="P30" s="89"/>
      <c r="Q30" s="90">
        <f t="shared" ref="Q30:Q36" si="1">O30-P30</f>
        <v>0</v>
      </c>
      <c r="R30" s="6"/>
    </row>
    <row r="31" spans="1:18" ht="51" x14ac:dyDescent="0.25">
      <c r="A31" s="69">
        <f>A30+1</f>
        <v>2</v>
      </c>
      <c r="B31" s="81" t="s">
        <v>90</v>
      </c>
      <c r="C31" s="81" t="s">
        <v>62</v>
      </c>
      <c r="D31" s="81" t="s">
        <v>63</v>
      </c>
      <c r="E31" s="81" t="s">
        <v>205</v>
      </c>
      <c r="F31" s="81" t="s">
        <v>396</v>
      </c>
      <c r="G31" s="91" t="s">
        <v>395</v>
      </c>
      <c r="H31" s="91">
        <v>20</v>
      </c>
      <c r="I31" s="91">
        <v>6</v>
      </c>
      <c r="J31" s="91">
        <v>6</v>
      </c>
      <c r="K31" s="87">
        <v>7400.4</v>
      </c>
      <c r="L31" s="87">
        <v>4228.8</v>
      </c>
      <c r="M31" s="87">
        <f>K31-L31</f>
        <v>3171.5999999999995</v>
      </c>
      <c r="N31" s="91">
        <v>15</v>
      </c>
      <c r="O31" s="87">
        <v>23170.3</v>
      </c>
      <c r="P31" s="87">
        <v>23170.3</v>
      </c>
      <c r="Q31" s="90">
        <f t="shared" si="1"/>
        <v>0</v>
      </c>
      <c r="R31" s="6"/>
    </row>
    <row r="32" spans="1:18" x14ac:dyDescent="0.25">
      <c r="A32" s="69">
        <f>A31+1</f>
        <v>3</v>
      </c>
      <c r="B32" s="83" t="s">
        <v>133</v>
      </c>
      <c r="C32" s="80" t="s">
        <v>67</v>
      </c>
      <c r="D32" s="82" t="s">
        <v>397</v>
      </c>
      <c r="E32" s="83" t="s">
        <v>74</v>
      </c>
      <c r="F32" s="81" t="s">
        <v>398</v>
      </c>
      <c r="G32" s="91" t="s">
        <v>395</v>
      </c>
      <c r="H32" s="91">
        <v>6</v>
      </c>
      <c r="I32" s="91">
        <v>0</v>
      </c>
      <c r="J32" s="91">
        <v>0</v>
      </c>
      <c r="K32" s="87">
        <v>0</v>
      </c>
      <c r="L32" s="87">
        <v>0</v>
      </c>
      <c r="M32" s="87">
        <f t="shared" ref="M32:M88" si="2">K32-L32</f>
        <v>0</v>
      </c>
      <c r="N32" s="91">
        <v>4</v>
      </c>
      <c r="O32" s="87">
        <v>7102.19</v>
      </c>
      <c r="P32" s="87">
        <v>7102.19</v>
      </c>
      <c r="Q32" s="90">
        <f t="shared" si="1"/>
        <v>0</v>
      </c>
      <c r="R32" s="6"/>
    </row>
    <row r="33" spans="1:18" ht="25.5" x14ac:dyDescent="0.25">
      <c r="A33" s="69">
        <v>4</v>
      </c>
      <c r="B33" s="81" t="s">
        <v>399</v>
      </c>
      <c r="C33" s="81" t="s">
        <v>62</v>
      </c>
      <c r="D33" s="81"/>
      <c r="E33" s="81" t="s">
        <v>400</v>
      </c>
      <c r="F33" s="81" t="s">
        <v>401</v>
      </c>
      <c r="G33" s="91" t="s">
        <v>395</v>
      </c>
      <c r="H33" s="91">
        <v>20</v>
      </c>
      <c r="I33" s="91">
        <v>1</v>
      </c>
      <c r="J33" s="91">
        <v>1</v>
      </c>
      <c r="K33" s="87">
        <v>528.6</v>
      </c>
      <c r="L33" s="87">
        <v>0</v>
      </c>
      <c r="M33" s="87">
        <f t="shared" si="2"/>
        <v>528.6</v>
      </c>
      <c r="N33" s="91">
        <v>0</v>
      </c>
      <c r="O33" s="87"/>
      <c r="P33" s="87">
        <v>0</v>
      </c>
      <c r="Q33" s="90">
        <f t="shared" si="1"/>
        <v>0</v>
      </c>
      <c r="R33" s="6"/>
    </row>
    <row r="34" spans="1:18" x14ac:dyDescent="0.25">
      <c r="A34" s="69">
        <v>5</v>
      </c>
      <c r="B34" s="81" t="s">
        <v>402</v>
      </c>
      <c r="C34" s="81" t="s">
        <v>62</v>
      </c>
      <c r="D34" s="81"/>
      <c r="E34" s="83" t="s">
        <v>74</v>
      </c>
      <c r="F34" s="81" t="s">
        <v>403</v>
      </c>
      <c r="G34" s="91" t="s">
        <v>395</v>
      </c>
      <c r="H34" s="91">
        <v>2</v>
      </c>
      <c r="I34" s="91">
        <v>0</v>
      </c>
      <c r="J34" s="91">
        <v>0</v>
      </c>
      <c r="K34" s="87">
        <v>0</v>
      </c>
      <c r="L34" s="87">
        <v>0</v>
      </c>
      <c r="M34" s="87">
        <f t="shared" si="2"/>
        <v>0</v>
      </c>
      <c r="N34" s="91">
        <v>0</v>
      </c>
      <c r="O34" s="87"/>
      <c r="P34" s="87">
        <v>0</v>
      </c>
      <c r="Q34" s="90">
        <f t="shared" si="1"/>
        <v>0</v>
      </c>
      <c r="R34" s="6"/>
    </row>
    <row r="35" spans="1:18" ht="25.5" x14ac:dyDescent="0.25">
      <c r="A35" s="69">
        <v>6</v>
      </c>
      <c r="B35" s="81" t="s">
        <v>48</v>
      </c>
      <c r="C35" s="81" t="s">
        <v>62</v>
      </c>
      <c r="D35" s="81"/>
      <c r="E35" s="81" t="s">
        <v>81</v>
      </c>
      <c r="F35" s="81" t="s">
        <v>404</v>
      </c>
      <c r="G35" s="91" t="s">
        <v>395</v>
      </c>
      <c r="H35" s="91">
        <v>15</v>
      </c>
      <c r="I35" s="91">
        <v>0</v>
      </c>
      <c r="J35" s="91">
        <v>0</v>
      </c>
      <c r="K35" s="87">
        <v>0</v>
      </c>
      <c r="L35" s="87">
        <v>0</v>
      </c>
      <c r="M35" s="87">
        <f t="shared" si="2"/>
        <v>0</v>
      </c>
      <c r="N35" s="91">
        <v>8</v>
      </c>
      <c r="O35" s="87">
        <v>11453</v>
      </c>
      <c r="P35" s="87">
        <v>8810</v>
      </c>
      <c r="Q35" s="90">
        <f t="shared" si="1"/>
        <v>2643</v>
      </c>
      <c r="R35" s="6"/>
    </row>
    <row r="36" spans="1:18" x14ac:dyDescent="0.25">
      <c r="A36" s="69">
        <v>7</v>
      </c>
      <c r="B36" s="81" t="s">
        <v>39</v>
      </c>
      <c r="C36" s="81" t="s">
        <v>62</v>
      </c>
      <c r="D36" s="81"/>
      <c r="E36" s="81" t="s">
        <v>77</v>
      </c>
      <c r="F36" s="81" t="s">
        <v>405</v>
      </c>
      <c r="G36" s="91" t="s">
        <v>395</v>
      </c>
      <c r="H36" s="91">
        <v>20</v>
      </c>
      <c r="I36" s="91">
        <v>0</v>
      </c>
      <c r="J36" s="91">
        <v>0</v>
      </c>
      <c r="K36" s="87">
        <v>0</v>
      </c>
      <c r="L36" s="87">
        <v>0</v>
      </c>
      <c r="M36" s="87">
        <f t="shared" si="2"/>
        <v>0</v>
      </c>
      <c r="N36" s="91">
        <v>10</v>
      </c>
      <c r="O36" s="87">
        <v>15858</v>
      </c>
      <c r="P36" s="87">
        <v>11788.71</v>
      </c>
      <c r="Q36" s="90">
        <f t="shared" si="1"/>
        <v>4069.2900000000009</v>
      </c>
      <c r="R36" s="6"/>
    </row>
    <row r="37" spans="1:18" x14ac:dyDescent="0.25">
      <c r="A37" s="92">
        <v>8</v>
      </c>
      <c r="B37" s="93" t="s">
        <v>127</v>
      </c>
      <c r="C37" s="94" t="s">
        <v>62</v>
      </c>
      <c r="D37" s="93"/>
      <c r="E37" s="95" t="s">
        <v>74</v>
      </c>
      <c r="F37" s="93" t="s">
        <v>406</v>
      </c>
      <c r="G37" s="96" t="s">
        <v>395</v>
      </c>
      <c r="H37" s="96">
        <v>0</v>
      </c>
      <c r="I37" s="96">
        <v>0</v>
      </c>
      <c r="J37" s="96">
        <v>0</v>
      </c>
      <c r="K37" s="97">
        <v>0</v>
      </c>
      <c r="L37" s="97">
        <v>0</v>
      </c>
      <c r="M37" s="97">
        <f t="shared" si="2"/>
        <v>0</v>
      </c>
      <c r="N37" s="96">
        <v>1</v>
      </c>
      <c r="O37" s="97">
        <v>264.3</v>
      </c>
      <c r="P37" s="97">
        <v>0</v>
      </c>
      <c r="Q37" s="97">
        <v>264.3</v>
      </c>
      <c r="R37" s="6"/>
    </row>
    <row r="38" spans="1:18" ht="25.5" x14ac:dyDescent="0.25">
      <c r="A38" s="98">
        <v>1</v>
      </c>
      <c r="B38" s="101" t="s">
        <v>134</v>
      </c>
      <c r="C38" s="101" t="s">
        <v>62</v>
      </c>
      <c r="D38" s="101"/>
      <c r="E38" s="101" t="s">
        <v>74</v>
      </c>
      <c r="F38" s="101" t="s">
        <v>408</v>
      </c>
      <c r="G38" s="101" t="s">
        <v>409</v>
      </c>
      <c r="H38" s="98">
        <v>22</v>
      </c>
      <c r="I38" s="98">
        <v>4</v>
      </c>
      <c r="J38" s="98">
        <v>4</v>
      </c>
      <c r="K38" s="99">
        <v>3910.4</v>
      </c>
      <c r="L38" s="99">
        <v>3910.4</v>
      </c>
      <c r="M38" s="102">
        <f t="shared" si="2"/>
        <v>0</v>
      </c>
      <c r="N38" s="98">
        <v>5</v>
      </c>
      <c r="O38" s="99">
        <v>13457.2</v>
      </c>
      <c r="P38" s="99">
        <v>10109.4</v>
      </c>
      <c r="Q38" s="99">
        <f t="shared" ref="Q38:Q88" si="3">O38-P38</f>
        <v>3347.8000000000011</v>
      </c>
      <c r="R38" s="98"/>
    </row>
    <row r="39" spans="1:18" ht="25.5" x14ac:dyDescent="0.25">
      <c r="A39" s="98">
        <v>2</v>
      </c>
      <c r="B39" s="101" t="s">
        <v>335</v>
      </c>
      <c r="C39" s="101" t="s">
        <v>62</v>
      </c>
      <c r="D39" s="101"/>
      <c r="E39" s="101" t="s">
        <v>74</v>
      </c>
      <c r="F39" s="101" t="s">
        <v>410</v>
      </c>
      <c r="G39" s="101" t="s">
        <v>409</v>
      </c>
      <c r="H39" s="98">
        <v>9</v>
      </c>
      <c r="I39" s="98">
        <v>3</v>
      </c>
      <c r="J39" s="98">
        <v>3</v>
      </c>
      <c r="K39" s="99">
        <v>4089.6</v>
      </c>
      <c r="L39" s="99">
        <v>4089.6</v>
      </c>
      <c r="M39" s="102">
        <f t="shared" si="2"/>
        <v>0</v>
      </c>
      <c r="N39" s="98">
        <v>8</v>
      </c>
      <c r="O39" s="99">
        <v>10652</v>
      </c>
      <c r="P39" s="99">
        <v>8185.2</v>
      </c>
      <c r="Q39" s="99">
        <f t="shared" si="3"/>
        <v>2466.8000000000002</v>
      </c>
      <c r="R39" s="98"/>
    </row>
    <row r="40" spans="1:18" ht="38.25" x14ac:dyDescent="0.25">
      <c r="A40" s="98">
        <v>3</v>
      </c>
      <c r="B40" s="101" t="s">
        <v>46</v>
      </c>
      <c r="C40" s="101" t="s">
        <v>62</v>
      </c>
      <c r="D40" s="101"/>
      <c r="E40" s="101" t="s">
        <v>267</v>
      </c>
      <c r="F40" s="101" t="s">
        <v>411</v>
      </c>
      <c r="G40" s="101" t="s">
        <v>409</v>
      </c>
      <c r="H40" s="98">
        <v>20</v>
      </c>
      <c r="I40" s="98">
        <v>4</v>
      </c>
      <c r="J40" s="98">
        <v>4</v>
      </c>
      <c r="K40" s="99">
        <v>5462.2</v>
      </c>
      <c r="L40" s="99">
        <v>4933.6000000000004</v>
      </c>
      <c r="M40" s="102">
        <f t="shared" si="2"/>
        <v>528.59999999999945</v>
      </c>
      <c r="N40" s="98">
        <v>17</v>
      </c>
      <c r="O40" s="99">
        <v>25515.45</v>
      </c>
      <c r="P40" s="99">
        <v>14509.49</v>
      </c>
      <c r="Q40" s="99">
        <f t="shared" si="3"/>
        <v>11005.960000000001</v>
      </c>
      <c r="R40" s="98"/>
    </row>
    <row r="41" spans="1:18" ht="25.5" x14ac:dyDescent="0.25">
      <c r="A41" s="98">
        <v>4</v>
      </c>
      <c r="B41" s="101" t="s">
        <v>36</v>
      </c>
      <c r="C41" s="101" t="s">
        <v>62</v>
      </c>
      <c r="D41" s="101"/>
      <c r="E41" s="101" t="s">
        <v>74</v>
      </c>
      <c r="F41" s="101" t="s">
        <v>412</v>
      </c>
      <c r="G41" s="101" t="s">
        <v>409</v>
      </c>
      <c r="H41" s="98">
        <v>18</v>
      </c>
      <c r="I41" s="98">
        <v>8</v>
      </c>
      <c r="J41" s="98">
        <v>8</v>
      </c>
      <c r="K41" s="99">
        <v>12615.92</v>
      </c>
      <c r="L41" s="99">
        <v>7682.32</v>
      </c>
      <c r="M41" s="102">
        <f t="shared" si="2"/>
        <v>4933.6000000000004</v>
      </c>
      <c r="N41" s="98">
        <v>10</v>
      </c>
      <c r="O41" s="99">
        <v>26042.36</v>
      </c>
      <c r="P41" s="99">
        <v>22165.96</v>
      </c>
      <c r="Q41" s="99">
        <f t="shared" si="3"/>
        <v>3876.4000000000015</v>
      </c>
      <c r="R41" s="98"/>
    </row>
    <row r="42" spans="1:18" ht="25.5" x14ac:dyDescent="0.25">
      <c r="A42" s="98">
        <v>5</v>
      </c>
      <c r="B42" s="101" t="s">
        <v>27</v>
      </c>
      <c r="C42" s="101" t="s">
        <v>62</v>
      </c>
      <c r="D42" s="101"/>
      <c r="E42" s="101" t="s">
        <v>74</v>
      </c>
      <c r="F42" s="101" t="s">
        <v>413</v>
      </c>
      <c r="G42" s="101" t="s">
        <v>409</v>
      </c>
      <c r="H42" s="98">
        <v>7</v>
      </c>
      <c r="I42" s="98">
        <v>3</v>
      </c>
      <c r="J42" s="98">
        <v>3</v>
      </c>
      <c r="K42" s="99">
        <v>5051.82</v>
      </c>
      <c r="L42" s="99">
        <v>2761.22</v>
      </c>
      <c r="M42" s="102">
        <f t="shared" si="2"/>
        <v>2290.6</v>
      </c>
      <c r="N42" s="98">
        <v>8</v>
      </c>
      <c r="O42" s="99">
        <v>16676.7</v>
      </c>
      <c r="P42" s="99">
        <v>12712.3</v>
      </c>
      <c r="Q42" s="99">
        <f t="shared" si="3"/>
        <v>3964.4000000000015</v>
      </c>
      <c r="R42" s="98"/>
    </row>
    <row r="43" spans="1:18" ht="25.5" x14ac:dyDescent="0.25">
      <c r="A43" s="98">
        <v>6</v>
      </c>
      <c r="B43" s="101" t="s">
        <v>28</v>
      </c>
      <c r="C43" s="101" t="s">
        <v>62</v>
      </c>
      <c r="D43" s="101"/>
      <c r="E43" s="101" t="s">
        <v>74</v>
      </c>
      <c r="F43" s="101" t="s">
        <v>414</v>
      </c>
      <c r="G43" s="101" t="s">
        <v>409</v>
      </c>
      <c r="H43" s="98">
        <v>26</v>
      </c>
      <c r="I43" s="98">
        <v>7</v>
      </c>
      <c r="J43" s="98">
        <v>7</v>
      </c>
      <c r="K43" s="99">
        <v>7858.52</v>
      </c>
      <c r="L43" s="99">
        <v>7858.52</v>
      </c>
      <c r="M43" s="102">
        <f t="shared" si="2"/>
        <v>0</v>
      </c>
      <c r="N43" s="98">
        <v>7</v>
      </c>
      <c r="O43" s="99">
        <v>12334</v>
      </c>
      <c r="P43" s="99">
        <v>9867.2000000000007</v>
      </c>
      <c r="Q43" s="99">
        <f t="shared" si="3"/>
        <v>2466.7999999999993</v>
      </c>
      <c r="R43" s="98"/>
    </row>
    <row r="44" spans="1:18" ht="25.5" x14ac:dyDescent="0.25">
      <c r="A44" s="98">
        <v>7</v>
      </c>
      <c r="B44" s="98" t="s">
        <v>246</v>
      </c>
      <c r="C44" s="98" t="s">
        <v>62</v>
      </c>
      <c r="D44" s="98"/>
      <c r="E44" s="101" t="s">
        <v>74</v>
      </c>
      <c r="F44" s="98" t="s">
        <v>415</v>
      </c>
      <c r="G44" s="101" t="s">
        <v>409</v>
      </c>
      <c r="H44" s="98">
        <v>22</v>
      </c>
      <c r="I44" s="98">
        <v>2</v>
      </c>
      <c r="J44" s="98">
        <v>2</v>
      </c>
      <c r="K44" s="99">
        <v>1374.36</v>
      </c>
      <c r="L44" s="99">
        <v>1374.36</v>
      </c>
      <c r="M44" s="102">
        <f t="shared" si="2"/>
        <v>0</v>
      </c>
      <c r="N44" s="98"/>
      <c r="O44" s="99"/>
      <c r="P44" s="99"/>
      <c r="Q44" s="99">
        <f t="shared" si="3"/>
        <v>0</v>
      </c>
      <c r="R44" s="98"/>
    </row>
    <row r="45" spans="1:18" ht="25.5" x14ac:dyDescent="0.25">
      <c r="A45" s="98">
        <v>8</v>
      </c>
      <c r="B45" s="100" t="s">
        <v>330</v>
      </c>
      <c r="C45" s="98" t="s">
        <v>62</v>
      </c>
      <c r="D45" s="98"/>
      <c r="E45" s="101" t="s">
        <v>74</v>
      </c>
      <c r="F45" s="98" t="s">
        <v>416</v>
      </c>
      <c r="G45" s="101" t="s">
        <v>409</v>
      </c>
      <c r="H45" s="98">
        <v>5</v>
      </c>
      <c r="I45" s="98"/>
      <c r="J45" s="98"/>
      <c r="K45" s="99"/>
      <c r="L45" s="99"/>
      <c r="M45" s="102">
        <f t="shared" si="2"/>
        <v>0</v>
      </c>
      <c r="N45" s="98"/>
      <c r="O45" s="99"/>
      <c r="P45" s="99"/>
      <c r="Q45" s="99">
        <f t="shared" si="3"/>
        <v>0</v>
      </c>
      <c r="R45" s="98"/>
    </row>
    <row r="46" spans="1:18" ht="25.5" x14ac:dyDescent="0.25">
      <c r="A46" s="98">
        <v>9</v>
      </c>
      <c r="B46" s="100" t="s">
        <v>402</v>
      </c>
      <c r="C46" s="98" t="s">
        <v>62</v>
      </c>
      <c r="D46" s="98"/>
      <c r="E46" s="101" t="s">
        <v>74</v>
      </c>
      <c r="F46" s="98" t="s">
        <v>417</v>
      </c>
      <c r="G46" s="101" t="s">
        <v>409</v>
      </c>
      <c r="H46" s="98">
        <v>13</v>
      </c>
      <c r="I46" s="98">
        <v>3</v>
      </c>
      <c r="J46" s="98">
        <v>3</v>
      </c>
      <c r="K46" s="99">
        <v>3735.42</v>
      </c>
      <c r="L46" s="99">
        <v>2114.4</v>
      </c>
      <c r="M46" s="102">
        <f t="shared" si="2"/>
        <v>1621.02</v>
      </c>
      <c r="N46" s="98"/>
      <c r="O46" s="99"/>
      <c r="P46" s="99"/>
      <c r="Q46" s="99">
        <f t="shared" si="3"/>
        <v>0</v>
      </c>
      <c r="R46" s="98"/>
    </row>
    <row r="47" spans="1:18" ht="25.5" x14ac:dyDescent="0.25">
      <c r="A47" s="98">
        <v>10</v>
      </c>
      <c r="B47" s="100" t="s">
        <v>154</v>
      </c>
      <c r="C47" s="98" t="s">
        <v>62</v>
      </c>
      <c r="D47" s="98"/>
      <c r="E47" s="101" t="s">
        <v>72</v>
      </c>
      <c r="F47" s="98" t="s">
        <v>418</v>
      </c>
      <c r="G47" s="101" t="s">
        <v>409</v>
      </c>
      <c r="H47" s="98">
        <v>4</v>
      </c>
      <c r="I47" s="98"/>
      <c r="J47" s="98"/>
      <c r="K47" s="99"/>
      <c r="L47" s="99"/>
      <c r="M47" s="102">
        <f t="shared" si="2"/>
        <v>0</v>
      </c>
      <c r="N47" s="98">
        <v>5</v>
      </c>
      <c r="O47" s="99">
        <v>4737.8999999999996</v>
      </c>
      <c r="P47" s="99">
        <v>4737.8999999999996</v>
      </c>
      <c r="Q47" s="99">
        <f t="shared" si="3"/>
        <v>0</v>
      </c>
      <c r="R47" s="98"/>
    </row>
    <row r="48" spans="1:18" ht="25.5" x14ac:dyDescent="0.25">
      <c r="A48" s="98">
        <v>11</v>
      </c>
      <c r="B48" s="100" t="s">
        <v>153</v>
      </c>
      <c r="C48" s="98" t="s">
        <v>62</v>
      </c>
      <c r="D48" s="98"/>
      <c r="E48" s="101" t="s">
        <v>74</v>
      </c>
      <c r="F48" s="98" t="s">
        <v>419</v>
      </c>
      <c r="G48" s="101" t="s">
        <v>409</v>
      </c>
      <c r="H48" s="98">
        <v>4</v>
      </c>
      <c r="I48" s="98"/>
      <c r="J48" s="98"/>
      <c r="K48" s="99"/>
      <c r="L48" s="99"/>
      <c r="M48" s="102">
        <f t="shared" si="2"/>
        <v>0</v>
      </c>
      <c r="N48" s="98">
        <v>4</v>
      </c>
      <c r="O48" s="99">
        <v>15237.6</v>
      </c>
      <c r="P48" s="99">
        <v>15237.6</v>
      </c>
      <c r="Q48" s="99">
        <f t="shared" si="3"/>
        <v>0</v>
      </c>
      <c r="R48" s="98"/>
    </row>
    <row r="49" spans="1:18" ht="25.5" x14ac:dyDescent="0.25">
      <c r="A49" s="98">
        <v>12</v>
      </c>
      <c r="B49" s="100" t="s">
        <v>89</v>
      </c>
      <c r="C49" s="98" t="s">
        <v>62</v>
      </c>
      <c r="D49" s="98"/>
      <c r="E49" s="101" t="s">
        <v>74</v>
      </c>
      <c r="F49" s="98" t="s">
        <v>420</v>
      </c>
      <c r="G49" s="101" t="s">
        <v>409</v>
      </c>
      <c r="H49" s="98">
        <v>8</v>
      </c>
      <c r="I49" s="98">
        <v>1</v>
      </c>
      <c r="J49" s="98">
        <v>1</v>
      </c>
      <c r="K49" s="99">
        <v>528.6</v>
      </c>
      <c r="L49" s="99">
        <v>528.6</v>
      </c>
      <c r="M49" s="102">
        <f t="shared" si="2"/>
        <v>0</v>
      </c>
      <c r="N49" s="98">
        <v>2</v>
      </c>
      <c r="O49" s="99">
        <v>4052.6</v>
      </c>
      <c r="P49" s="99">
        <v>4052.6</v>
      </c>
      <c r="Q49" s="99">
        <f t="shared" si="3"/>
        <v>0</v>
      </c>
      <c r="R49" s="98"/>
    </row>
    <row r="50" spans="1:18" ht="25.5" x14ac:dyDescent="0.25">
      <c r="A50" s="98">
        <v>13</v>
      </c>
      <c r="B50" s="100" t="s">
        <v>379</v>
      </c>
      <c r="C50" s="98" t="s">
        <v>62</v>
      </c>
      <c r="D50" s="98"/>
      <c r="E50" s="101" t="s">
        <v>74</v>
      </c>
      <c r="F50" s="98" t="s">
        <v>421</v>
      </c>
      <c r="G50" s="101" t="s">
        <v>409</v>
      </c>
      <c r="H50" s="98">
        <v>5</v>
      </c>
      <c r="I50" s="98">
        <v>2</v>
      </c>
      <c r="J50" s="98">
        <v>2</v>
      </c>
      <c r="K50" s="99">
        <v>1409.6</v>
      </c>
      <c r="L50" s="99">
        <v>1409.6</v>
      </c>
      <c r="M50" s="102">
        <f t="shared" si="2"/>
        <v>0</v>
      </c>
      <c r="N50" s="98"/>
      <c r="O50" s="99"/>
      <c r="P50" s="99"/>
      <c r="Q50" s="99">
        <f t="shared" si="3"/>
        <v>0</v>
      </c>
      <c r="R50" s="98"/>
    </row>
    <row r="51" spans="1:18" ht="25.5" x14ac:dyDescent="0.25">
      <c r="A51" s="98">
        <v>14</v>
      </c>
      <c r="B51" s="100" t="s">
        <v>264</v>
      </c>
      <c r="C51" s="98" t="s">
        <v>62</v>
      </c>
      <c r="D51" s="98"/>
      <c r="E51" s="101" t="s">
        <v>74</v>
      </c>
      <c r="F51" s="98" t="s">
        <v>422</v>
      </c>
      <c r="G51" s="101" t="s">
        <v>409</v>
      </c>
      <c r="H51" s="98">
        <v>3</v>
      </c>
      <c r="I51" s="98"/>
      <c r="J51" s="98"/>
      <c r="K51" s="99"/>
      <c r="L51" s="99"/>
      <c r="M51" s="102">
        <f t="shared" si="2"/>
        <v>0</v>
      </c>
      <c r="N51" s="98"/>
      <c r="O51" s="99"/>
      <c r="P51" s="99"/>
      <c r="Q51" s="99">
        <f t="shared" si="3"/>
        <v>0</v>
      </c>
      <c r="R51" s="98"/>
    </row>
    <row r="52" spans="1:18" ht="25.5" x14ac:dyDescent="0.25">
      <c r="A52" s="98">
        <v>15</v>
      </c>
      <c r="B52" s="100" t="s">
        <v>475</v>
      </c>
      <c r="C52" s="98" t="s">
        <v>67</v>
      </c>
      <c r="D52" s="101" t="s">
        <v>123</v>
      </c>
      <c r="E52" s="101" t="s">
        <v>82</v>
      </c>
      <c r="F52" s="98" t="s">
        <v>423</v>
      </c>
      <c r="G52" s="101" t="s">
        <v>409</v>
      </c>
      <c r="H52" s="98">
        <v>3</v>
      </c>
      <c r="I52" s="98"/>
      <c r="J52" s="98"/>
      <c r="K52" s="99"/>
      <c r="L52" s="99"/>
      <c r="M52" s="102">
        <f t="shared" si="2"/>
        <v>0</v>
      </c>
      <c r="N52" s="98"/>
      <c r="O52" s="99"/>
      <c r="P52" s="99"/>
      <c r="Q52" s="99">
        <f t="shared" si="3"/>
        <v>0</v>
      </c>
      <c r="R52" s="98"/>
    </row>
    <row r="53" spans="1:18" ht="25.5" x14ac:dyDescent="0.25">
      <c r="A53" s="98">
        <v>16</v>
      </c>
      <c r="B53" s="100" t="s">
        <v>137</v>
      </c>
      <c r="C53" s="98" t="s">
        <v>62</v>
      </c>
      <c r="D53" s="98"/>
      <c r="E53" s="101" t="s">
        <v>78</v>
      </c>
      <c r="F53" s="98" t="s">
        <v>424</v>
      </c>
      <c r="G53" s="101" t="s">
        <v>409</v>
      </c>
      <c r="H53" s="98">
        <v>4</v>
      </c>
      <c r="I53" s="98">
        <v>1</v>
      </c>
      <c r="J53" s="98">
        <v>1</v>
      </c>
      <c r="K53" s="99">
        <v>1691.52</v>
      </c>
      <c r="L53" s="99">
        <v>1691.52</v>
      </c>
      <c r="M53" s="102">
        <f t="shared" si="2"/>
        <v>0</v>
      </c>
      <c r="N53" s="98"/>
      <c r="O53" s="99"/>
      <c r="P53" s="99"/>
      <c r="Q53" s="99">
        <f t="shared" si="3"/>
        <v>0</v>
      </c>
      <c r="R53" s="98"/>
    </row>
    <row r="54" spans="1:18" ht="25.5" x14ac:dyDescent="0.25">
      <c r="A54" s="98">
        <v>17</v>
      </c>
      <c r="B54" s="100" t="s">
        <v>173</v>
      </c>
      <c r="C54" s="98" t="s">
        <v>67</v>
      </c>
      <c r="D54" s="98" t="s">
        <v>425</v>
      </c>
      <c r="E54" s="101" t="s">
        <v>74</v>
      </c>
      <c r="F54" s="98" t="s">
        <v>426</v>
      </c>
      <c r="G54" s="101" t="s">
        <v>409</v>
      </c>
      <c r="H54" s="98">
        <v>9</v>
      </c>
      <c r="I54" s="98">
        <v>2</v>
      </c>
      <c r="J54" s="98">
        <v>2</v>
      </c>
      <c r="K54" s="99">
        <v>2114.4</v>
      </c>
      <c r="L54" s="99">
        <v>2114.4</v>
      </c>
      <c r="M54" s="102">
        <f t="shared" si="2"/>
        <v>0</v>
      </c>
      <c r="N54" s="98"/>
      <c r="O54" s="99"/>
      <c r="P54" s="99"/>
      <c r="Q54" s="99">
        <f t="shared" si="3"/>
        <v>0</v>
      </c>
      <c r="R54" s="98"/>
    </row>
    <row r="55" spans="1:18" ht="25.5" x14ac:dyDescent="0.25">
      <c r="A55" s="98">
        <v>18</v>
      </c>
      <c r="B55" s="100" t="s">
        <v>135</v>
      </c>
      <c r="C55" s="98" t="s">
        <v>62</v>
      </c>
      <c r="D55" s="98"/>
      <c r="E55" s="101" t="s">
        <v>74</v>
      </c>
      <c r="F55" s="98" t="s">
        <v>427</v>
      </c>
      <c r="G55" s="101" t="s">
        <v>409</v>
      </c>
      <c r="H55" s="98">
        <v>2</v>
      </c>
      <c r="I55" s="98">
        <v>1</v>
      </c>
      <c r="J55" s="98">
        <v>1</v>
      </c>
      <c r="K55" s="99">
        <v>1691.52</v>
      </c>
      <c r="L55" s="99">
        <v>1691.52</v>
      </c>
      <c r="M55" s="102">
        <f t="shared" si="2"/>
        <v>0</v>
      </c>
      <c r="N55" s="98"/>
      <c r="O55" s="99"/>
      <c r="P55" s="99"/>
      <c r="Q55" s="99">
        <f t="shared" si="3"/>
        <v>0</v>
      </c>
      <c r="R55" s="98"/>
    </row>
    <row r="56" spans="1:18" ht="25.5" x14ac:dyDescent="0.25">
      <c r="A56" s="98">
        <v>19</v>
      </c>
      <c r="B56" s="100" t="s">
        <v>148</v>
      </c>
      <c r="C56" s="98" t="s">
        <v>62</v>
      </c>
      <c r="D56" s="98"/>
      <c r="E56" s="101" t="s">
        <v>149</v>
      </c>
      <c r="F56" s="98" t="s">
        <v>375</v>
      </c>
      <c r="G56" s="101" t="s">
        <v>409</v>
      </c>
      <c r="H56" s="98">
        <v>14</v>
      </c>
      <c r="I56" s="98"/>
      <c r="J56" s="98"/>
      <c r="K56" s="99"/>
      <c r="L56" s="99"/>
      <c r="M56" s="102">
        <f t="shared" si="2"/>
        <v>0</v>
      </c>
      <c r="N56" s="98">
        <v>12</v>
      </c>
      <c r="O56" s="99">
        <v>34273.47</v>
      </c>
      <c r="P56" s="99">
        <v>22187.47</v>
      </c>
      <c r="Q56" s="99">
        <f t="shared" si="3"/>
        <v>12086</v>
      </c>
      <c r="R56" s="98"/>
    </row>
    <row r="57" spans="1:18" ht="25.5" x14ac:dyDescent="0.25">
      <c r="A57" s="98">
        <v>20</v>
      </c>
      <c r="B57" s="100" t="s">
        <v>147</v>
      </c>
      <c r="C57" s="98" t="s">
        <v>62</v>
      </c>
      <c r="D57" s="98"/>
      <c r="E57" s="101" t="s">
        <v>74</v>
      </c>
      <c r="F57" s="98" t="s">
        <v>331</v>
      </c>
      <c r="G57" s="101" t="s">
        <v>409</v>
      </c>
      <c r="H57" s="98">
        <v>4</v>
      </c>
      <c r="I57" s="98"/>
      <c r="J57" s="98"/>
      <c r="K57" s="99"/>
      <c r="L57" s="99"/>
      <c r="M57" s="102">
        <f t="shared" si="2"/>
        <v>0</v>
      </c>
      <c r="N57" s="98">
        <v>5</v>
      </c>
      <c r="O57" s="99">
        <v>8120.2</v>
      </c>
      <c r="P57" s="99">
        <v>8120.2</v>
      </c>
      <c r="Q57" s="99">
        <f t="shared" si="3"/>
        <v>0</v>
      </c>
      <c r="R57" s="98"/>
    </row>
    <row r="58" spans="1:18" ht="25.5" x14ac:dyDescent="0.25">
      <c r="A58" s="98">
        <v>21</v>
      </c>
      <c r="B58" s="100" t="s">
        <v>124</v>
      </c>
      <c r="C58" s="98" t="s">
        <v>62</v>
      </c>
      <c r="D58" s="98"/>
      <c r="E58" s="101" t="s">
        <v>428</v>
      </c>
      <c r="F58" s="98" t="s">
        <v>329</v>
      </c>
      <c r="G58" s="101" t="s">
        <v>409</v>
      </c>
      <c r="H58" s="98">
        <v>14</v>
      </c>
      <c r="I58" s="98"/>
      <c r="J58" s="98"/>
      <c r="K58" s="99"/>
      <c r="L58" s="99"/>
      <c r="M58" s="102">
        <f t="shared" si="2"/>
        <v>0</v>
      </c>
      <c r="N58" s="98">
        <v>16</v>
      </c>
      <c r="O58" s="99">
        <v>18611.14</v>
      </c>
      <c r="P58" s="99">
        <v>8061.16</v>
      </c>
      <c r="Q58" s="99">
        <f t="shared" si="3"/>
        <v>10549.98</v>
      </c>
      <c r="R58" s="98"/>
    </row>
    <row r="59" spans="1:18" ht="25.5" x14ac:dyDescent="0.25">
      <c r="A59" s="98">
        <v>22</v>
      </c>
      <c r="B59" s="100" t="s">
        <v>168</v>
      </c>
      <c r="C59" s="98" t="s">
        <v>62</v>
      </c>
      <c r="D59" s="98"/>
      <c r="E59" s="98" t="s">
        <v>371</v>
      </c>
      <c r="F59" s="98" t="s">
        <v>353</v>
      </c>
      <c r="G59" s="101" t="s">
        <v>409</v>
      </c>
      <c r="H59" s="98">
        <v>6</v>
      </c>
      <c r="I59" s="98"/>
      <c r="J59" s="98"/>
      <c r="K59" s="99"/>
      <c r="L59" s="99"/>
      <c r="M59" s="102">
        <f t="shared" si="2"/>
        <v>0</v>
      </c>
      <c r="N59" s="98"/>
      <c r="O59" s="99"/>
      <c r="P59" s="99"/>
      <c r="Q59" s="99">
        <f t="shared" si="3"/>
        <v>0</v>
      </c>
      <c r="R59" s="98"/>
    </row>
    <row r="60" spans="1:18" ht="25.5" x14ac:dyDescent="0.25">
      <c r="A60" s="98">
        <v>23</v>
      </c>
      <c r="B60" s="100" t="s">
        <v>429</v>
      </c>
      <c r="C60" s="98" t="s">
        <v>62</v>
      </c>
      <c r="D60" s="98"/>
      <c r="E60" s="101" t="s">
        <v>74</v>
      </c>
      <c r="F60" s="98" t="s">
        <v>430</v>
      </c>
      <c r="G60" s="101" t="s">
        <v>409</v>
      </c>
      <c r="H60" s="98">
        <v>4</v>
      </c>
      <c r="I60" s="98">
        <v>1</v>
      </c>
      <c r="J60" s="98">
        <v>1</v>
      </c>
      <c r="K60" s="99">
        <v>1691.52</v>
      </c>
      <c r="L60" s="99">
        <v>1691.52</v>
      </c>
      <c r="M60" s="102">
        <f t="shared" si="2"/>
        <v>0</v>
      </c>
      <c r="N60" s="98">
        <v>1</v>
      </c>
      <c r="O60" s="99">
        <v>528.6</v>
      </c>
      <c r="P60" s="99">
        <v>528.6</v>
      </c>
      <c r="Q60" s="99">
        <f t="shared" si="3"/>
        <v>0</v>
      </c>
      <c r="R60" s="98"/>
    </row>
    <row r="61" spans="1:18" ht="25.5" x14ac:dyDescent="0.25">
      <c r="A61" s="98">
        <v>24</v>
      </c>
      <c r="B61" s="100" t="s">
        <v>130</v>
      </c>
      <c r="C61" s="98" t="s">
        <v>62</v>
      </c>
      <c r="D61" s="98"/>
      <c r="E61" s="101" t="s">
        <v>74</v>
      </c>
      <c r="F61" s="98" t="s">
        <v>431</v>
      </c>
      <c r="G61" s="101" t="s">
        <v>409</v>
      </c>
      <c r="H61" s="98">
        <v>4</v>
      </c>
      <c r="I61" s="98">
        <v>2</v>
      </c>
      <c r="J61" s="98">
        <v>2</v>
      </c>
      <c r="K61" s="99">
        <v>2220.12</v>
      </c>
      <c r="L61" s="99">
        <v>2220.12</v>
      </c>
      <c r="M61" s="102">
        <f t="shared" si="2"/>
        <v>0</v>
      </c>
      <c r="N61" s="98">
        <v>1</v>
      </c>
      <c r="O61" s="99">
        <v>845.76</v>
      </c>
      <c r="P61" s="99">
        <v>845.76</v>
      </c>
      <c r="Q61" s="99">
        <f t="shared" si="3"/>
        <v>0</v>
      </c>
      <c r="R61" s="98"/>
    </row>
    <row r="62" spans="1:18" ht="25.5" x14ac:dyDescent="0.25">
      <c r="A62" s="98">
        <v>25</v>
      </c>
      <c r="B62" s="100" t="s">
        <v>32</v>
      </c>
      <c r="C62" s="98" t="s">
        <v>62</v>
      </c>
      <c r="D62" s="98"/>
      <c r="E62" s="101" t="s">
        <v>74</v>
      </c>
      <c r="F62" s="98" t="s">
        <v>432</v>
      </c>
      <c r="G62" s="101" t="s">
        <v>409</v>
      </c>
      <c r="H62" s="98">
        <v>8</v>
      </c>
      <c r="I62" s="98">
        <v>2</v>
      </c>
      <c r="J62" s="98">
        <v>2</v>
      </c>
      <c r="K62" s="99">
        <v>2114.4</v>
      </c>
      <c r="L62" s="99">
        <v>2114.4</v>
      </c>
      <c r="M62" s="102">
        <f t="shared" si="2"/>
        <v>0</v>
      </c>
      <c r="N62" s="98">
        <v>4</v>
      </c>
      <c r="O62" s="99">
        <v>4581.2</v>
      </c>
      <c r="P62" s="99">
        <v>4581.2</v>
      </c>
      <c r="Q62" s="99">
        <f t="shared" si="3"/>
        <v>0</v>
      </c>
      <c r="R62" s="98"/>
    </row>
    <row r="63" spans="1:18" ht="25.5" x14ac:dyDescent="0.25">
      <c r="A63" s="98">
        <v>26</v>
      </c>
      <c r="B63" s="100" t="s">
        <v>343</v>
      </c>
      <c r="C63" s="98" t="s">
        <v>62</v>
      </c>
      <c r="D63" s="98"/>
      <c r="E63" s="101" t="s">
        <v>74</v>
      </c>
      <c r="F63" s="98" t="s">
        <v>433</v>
      </c>
      <c r="G63" s="101" t="s">
        <v>409</v>
      </c>
      <c r="H63" s="98">
        <v>8</v>
      </c>
      <c r="I63" s="98">
        <v>1</v>
      </c>
      <c r="J63" s="98">
        <v>1</v>
      </c>
      <c r="K63" s="99">
        <v>1585.8</v>
      </c>
      <c r="L63" s="99"/>
      <c r="M63" s="102">
        <f t="shared" si="2"/>
        <v>1585.8</v>
      </c>
      <c r="N63" s="98"/>
      <c r="O63" s="99"/>
      <c r="P63" s="99"/>
      <c r="Q63" s="99">
        <f t="shared" si="3"/>
        <v>0</v>
      </c>
      <c r="R63" s="98"/>
    </row>
    <row r="64" spans="1:18" ht="25.5" x14ac:dyDescent="0.25">
      <c r="A64" s="98">
        <v>27</v>
      </c>
      <c r="B64" s="100" t="s">
        <v>290</v>
      </c>
      <c r="C64" s="98" t="s">
        <v>62</v>
      </c>
      <c r="D64" s="98"/>
      <c r="E64" s="98" t="s">
        <v>371</v>
      </c>
      <c r="F64" s="98" t="s">
        <v>434</v>
      </c>
      <c r="G64" s="101" t="s">
        <v>409</v>
      </c>
      <c r="H64" s="98">
        <v>3</v>
      </c>
      <c r="I64" s="98"/>
      <c r="J64" s="98"/>
      <c r="K64" s="99"/>
      <c r="L64" s="99"/>
      <c r="M64" s="102">
        <f t="shared" si="2"/>
        <v>0</v>
      </c>
      <c r="N64" s="98"/>
      <c r="O64" s="99"/>
      <c r="P64" s="99"/>
      <c r="Q64" s="99">
        <f t="shared" si="3"/>
        <v>0</v>
      </c>
      <c r="R64" s="98"/>
    </row>
    <row r="65" spans="1:18" ht="25.5" x14ac:dyDescent="0.25">
      <c r="A65" s="98">
        <v>28</v>
      </c>
      <c r="B65" s="100" t="s">
        <v>315</v>
      </c>
      <c r="C65" s="98" t="s">
        <v>62</v>
      </c>
      <c r="D65" s="98"/>
      <c r="E65" s="101" t="s">
        <v>74</v>
      </c>
      <c r="F65" s="98" t="s">
        <v>435</v>
      </c>
      <c r="G65" s="101" t="s">
        <v>409</v>
      </c>
      <c r="H65" s="98">
        <v>12</v>
      </c>
      <c r="I65" s="98"/>
      <c r="J65" s="98"/>
      <c r="K65" s="99"/>
      <c r="L65" s="99"/>
      <c r="M65" s="102">
        <f t="shared" si="2"/>
        <v>0</v>
      </c>
      <c r="N65" s="98">
        <v>2</v>
      </c>
      <c r="O65" s="99">
        <v>1386.2</v>
      </c>
      <c r="P65" s="99">
        <v>1386.2</v>
      </c>
      <c r="Q65" s="99">
        <f t="shared" si="3"/>
        <v>0</v>
      </c>
      <c r="R65" s="98"/>
    </row>
    <row r="66" spans="1:18" ht="25.5" x14ac:dyDescent="0.25">
      <c r="A66" s="98">
        <v>29</v>
      </c>
      <c r="B66" s="100" t="s">
        <v>216</v>
      </c>
      <c r="C66" s="98" t="s">
        <v>67</v>
      </c>
      <c r="D66" s="98" t="s">
        <v>436</v>
      </c>
      <c r="E66" s="101" t="s">
        <v>74</v>
      </c>
      <c r="F66" s="98" t="s">
        <v>437</v>
      </c>
      <c r="G66" s="101" t="s">
        <v>409</v>
      </c>
      <c r="H66" s="98">
        <v>14</v>
      </c>
      <c r="I66" s="98">
        <v>2</v>
      </c>
      <c r="J66" s="98">
        <v>2</v>
      </c>
      <c r="K66" s="99">
        <v>1409.6</v>
      </c>
      <c r="L66" s="99"/>
      <c r="M66" s="102">
        <f t="shared" si="2"/>
        <v>1409.6</v>
      </c>
      <c r="N66" s="98"/>
      <c r="O66" s="99"/>
      <c r="P66" s="99"/>
      <c r="Q66" s="99">
        <f t="shared" si="3"/>
        <v>0</v>
      </c>
      <c r="R66" s="98"/>
    </row>
    <row r="67" spans="1:18" ht="25.5" x14ac:dyDescent="0.25">
      <c r="A67" s="98">
        <v>30</v>
      </c>
      <c r="B67" s="100" t="s">
        <v>438</v>
      </c>
      <c r="C67" s="98" t="s">
        <v>62</v>
      </c>
      <c r="D67" s="98"/>
      <c r="E67" s="101" t="s">
        <v>74</v>
      </c>
      <c r="F67" s="98" t="s">
        <v>439</v>
      </c>
      <c r="G67" s="101" t="s">
        <v>409</v>
      </c>
      <c r="H67" s="98">
        <v>5</v>
      </c>
      <c r="I67" s="98"/>
      <c r="J67" s="98"/>
      <c r="K67" s="99"/>
      <c r="L67" s="99"/>
      <c r="M67" s="102">
        <f t="shared" si="2"/>
        <v>0</v>
      </c>
      <c r="N67" s="98"/>
      <c r="O67" s="99"/>
      <c r="P67" s="99"/>
      <c r="Q67" s="99">
        <f t="shared" si="3"/>
        <v>0</v>
      </c>
      <c r="R67" s="98"/>
    </row>
    <row r="68" spans="1:18" ht="25.5" x14ac:dyDescent="0.25">
      <c r="A68" s="98">
        <v>31</v>
      </c>
      <c r="B68" s="100" t="s">
        <v>440</v>
      </c>
      <c r="C68" s="98" t="s">
        <v>62</v>
      </c>
      <c r="D68" s="98"/>
      <c r="E68" s="101" t="s">
        <v>74</v>
      </c>
      <c r="F68" s="98" t="s">
        <v>441</v>
      </c>
      <c r="G68" s="101" t="s">
        <v>409</v>
      </c>
      <c r="H68" s="98">
        <v>7</v>
      </c>
      <c r="I68" s="98">
        <v>2</v>
      </c>
      <c r="J68" s="98">
        <v>2</v>
      </c>
      <c r="K68" s="99">
        <v>1409.6</v>
      </c>
      <c r="L68" s="99"/>
      <c r="M68" s="102">
        <f t="shared" si="2"/>
        <v>1409.6</v>
      </c>
      <c r="N68" s="98"/>
      <c r="O68" s="99"/>
      <c r="P68" s="99"/>
      <c r="Q68" s="99">
        <f t="shared" si="3"/>
        <v>0</v>
      </c>
      <c r="R68" s="98"/>
    </row>
    <row r="69" spans="1:18" ht="25.5" x14ac:dyDescent="0.25">
      <c r="A69" s="98">
        <v>32</v>
      </c>
      <c r="B69" s="100" t="s">
        <v>222</v>
      </c>
      <c r="C69" s="98" t="s">
        <v>64</v>
      </c>
      <c r="D69" s="98" t="s">
        <v>442</v>
      </c>
      <c r="E69" s="101" t="s">
        <v>74</v>
      </c>
      <c r="F69" s="98" t="s">
        <v>443</v>
      </c>
      <c r="G69" s="101" t="s">
        <v>409</v>
      </c>
      <c r="H69" s="98"/>
      <c r="I69" s="98"/>
      <c r="J69" s="98"/>
      <c r="K69" s="99"/>
      <c r="L69" s="99"/>
      <c r="M69" s="102">
        <f t="shared" si="2"/>
        <v>0</v>
      </c>
      <c r="N69" s="98"/>
      <c r="O69" s="99"/>
      <c r="P69" s="99"/>
      <c r="Q69" s="99">
        <f t="shared" si="3"/>
        <v>0</v>
      </c>
      <c r="R69" s="98"/>
    </row>
    <row r="70" spans="1:18" ht="25.5" x14ac:dyDescent="0.25">
      <c r="A70" s="98">
        <v>33</v>
      </c>
      <c r="B70" s="100" t="s">
        <v>444</v>
      </c>
      <c r="C70" s="98" t="s">
        <v>62</v>
      </c>
      <c r="D70" s="98"/>
      <c r="E70" s="101" t="s">
        <v>74</v>
      </c>
      <c r="F70" s="98" t="s">
        <v>445</v>
      </c>
      <c r="G70" s="101" t="s">
        <v>409</v>
      </c>
      <c r="H70" s="98">
        <v>4</v>
      </c>
      <c r="I70" s="98">
        <v>2</v>
      </c>
      <c r="J70" s="98">
        <v>2</v>
      </c>
      <c r="K70" s="99">
        <v>1409.6</v>
      </c>
      <c r="L70" s="99"/>
      <c r="M70" s="102">
        <f t="shared" si="2"/>
        <v>1409.6</v>
      </c>
      <c r="N70" s="98"/>
      <c r="O70" s="99"/>
      <c r="P70" s="99"/>
      <c r="Q70" s="99">
        <f t="shared" si="3"/>
        <v>0</v>
      </c>
      <c r="R70" s="98"/>
    </row>
    <row r="71" spans="1:18" ht="25.5" x14ac:dyDescent="0.25">
      <c r="A71" s="98">
        <v>34</v>
      </c>
      <c r="B71" s="100" t="s">
        <v>129</v>
      </c>
      <c r="C71" s="98" t="s">
        <v>62</v>
      </c>
      <c r="D71" s="98"/>
      <c r="E71" s="101" t="s">
        <v>74</v>
      </c>
      <c r="F71" s="98" t="s">
        <v>446</v>
      </c>
      <c r="G71" s="101" t="s">
        <v>409</v>
      </c>
      <c r="H71" s="98">
        <v>4</v>
      </c>
      <c r="I71" s="98">
        <v>3</v>
      </c>
      <c r="J71" s="98">
        <v>3</v>
      </c>
      <c r="K71" s="99">
        <v>2975.4</v>
      </c>
      <c r="L71" s="99">
        <v>1948.2</v>
      </c>
      <c r="M71" s="102">
        <f t="shared" si="2"/>
        <v>1027.2</v>
      </c>
      <c r="N71" s="98">
        <v>7</v>
      </c>
      <c r="O71" s="99">
        <v>10947.78</v>
      </c>
      <c r="P71" s="99">
        <v>7342.3</v>
      </c>
      <c r="Q71" s="99">
        <f t="shared" si="3"/>
        <v>3605.4800000000005</v>
      </c>
      <c r="R71" s="98"/>
    </row>
    <row r="72" spans="1:18" ht="25.5" x14ac:dyDescent="0.25">
      <c r="A72" s="98">
        <v>35</v>
      </c>
      <c r="B72" s="98" t="s">
        <v>104</v>
      </c>
      <c r="C72" s="98" t="s">
        <v>62</v>
      </c>
      <c r="D72" s="98"/>
      <c r="E72" s="101" t="s">
        <v>105</v>
      </c>
      <c r="F72" s="98" t="s">
        <v>447</v>
      </c>
      <c r="G72" s="101" t="s">
        <v>409</v>
      </c>
      <c r="H72" s="98"/>
      <c r="I72" s="98"/>
      <c r="J72" s="98"/>
      <c r="K72" s="99"/>
      <c r="L72" s="99"/>
      <c r="M72" s="102">
        <f t="shared" si="2"/>
        <v>0</v>
      </c>
      <c r="N72" s="98">
        <v>7</v>
      </c>
      <c r="O72" s="99">
        <v>5726.5</v>
      </c>
      <c r="P72" s="99">
        <v>5726.5</v>
      </c>
      <c r="Q72" s="99">
        <f t="shared" si="3"/>
        <v>0</v>
      </c>
      <c r="R72" s="98"/>
    </row>
    <row r="73" spans="1:18" ht="25.5" x14ac:dyDescent="0.25">
      <c r="A73" s="98">
        <v>36</v>
      </c>
      <c r="B73" s="98" t="s">
        <v>156</v>
      </c>
      <c r="C73" s="98" t="s">
        <v>67</v>
      </c>
      <c r="D73" s="98" t="s">
        <v>501</v>
      </c>
      <c r="E73" s="101" t="s">
        <v>74</v>
      </c>
      <c r="F73" s="98" t="s">
        <v>502</v>
      </c>
      <c r="G73" s="101" t="s">
        <v>409</v>
      </c>
      <c r="H73" s="98">
        <v>3</v>
      </c>
      <c r="I73" s="98"/>
      <c r="J73" s="98"/>
      <c r="K73" s="99"/>
      <c r="L73" s="99"/>
      <c r="M73" s="102">
        <f t="shared" si="2"/>
        <v>0</v>
      </c>
      <c r="N73" s="98">
        <v>3</v>
      </c>
      <c r="O73" s="99">
        <v>6167</v>
      </c>
      <c r="P73" s="99">
        <v>4757.3999999999996</v>
      </c>
      <c r="Q73" s="99">
        <f t="shared" si="3"/>
        <v>1409.6000000000004</v>
      </c>
      <c r="R73" s="98"/>
    </row>
    <row r="74" spans="1:18" ht="25.5" x14ac:dyDescent="0.25">
      <c r="A74" s="98">
        <v>37</v>
      </c>
      <c r="B74" s="98" t="s">
        <v>133</v>
      </c>
      <c r="C74" s="98" t="s">
        <v>67</v>
      </c>
      <c r="D74" s="98" t="s">
        <v>397</v>
      </c>
      <c r="E74" s="101" t="s">
        <v>74</v>
      </c>
      <c r="F74" s="98" t="s">
        <v>503</v>
      </c>
      <c r="G74" s="101" t="s">
        <v>409</v>
      </c>
      <c r="H74" s="98">
        <v>7</v>
      </c>
      <c r="I74" s="98"/>
      <c r="J74" s="98"/>
      <c r="K74" s="99"/>
      <c r="L74" s="99"/>
      <c r="M74" s="102">
        <f t="shared" si="2"/>
        <v>0</v>
      </c>
      <c r="N74" s="98">
        <v>8</v>
      </c>
      <c r="O74" s="99">
        <v>21929.06</v>
      </c>
      <c r="P74" s="99">
        <v>14551.26</v>
      </c>
      <c r="Q74" s="99">
        <f t="shared" si="3"/>
        <v>7377.8000000000011</v>
      </c>
      <c r="R74" s="98"/>
    </row>
    <row r="75" spans="1:18" ht="25.5" x14ac:dyDescent="0.25">
      <c r="A75" s="98">
        <v>38</v>
      </c>
      <c r="B75" s="98" t="s">
        <v>114</v>
      </c>
      <c r="C75" s="98" t="s">
        <v>62</v>
      </c>
      <c r="D75" s="98"/>
      <c r="E75" s="101" t="s">
        <v>115</v>
      </c>
      <c r="F75" s="98" t="s">
        <v>504</v>
      </c>
      <c r="G75" s="101" t="s">
        <v>409</v>
      </c>
      <c r="H75" s="98"/>
      <c r="I75" s="98"/>
      <c r="J75" s="98"/>
      <c r="K75" s="99"/>
      <c r="L75" s="99"/>
      <c r="M75" s="102">
        <f t="shared" si="2"/>
        <v>0</v>
      </c>
      <c r="N75" s="98">
        <v>2</v>
      </c>
      <c r="O75" s="99">
        <v>1762</v>
      </c>
      <c r="P75" s="99"/>
      <c r="Q75" s="99">
        <f t="shared" si="3"/>
        <v>1762</v>
      </c>
      <c r="R75" s="98"/>
    </row>
    <row r="76" spans="1:18" ht="25.5" x14ac:dyDescent="0.25">
      <c r="A76" s="98">
        <v>39</v>
      </c>
      <c r="B76" s="98" t="s">
        <v>505</v>
      </c>
      <c r="C76" s="98" t="s">
        <v>62</v>
      </c>
      <c r="D76" s="98"/>
      <c r="E76" s="101" t="s">
        <v>74</v>
      </c>
      <c r="F76" s="98" t="s">
        <v>506</v>
      </c>
      <c r="G76" s="101" t="s">
        <v>409</v>
      </c>
      <c r="H76" s="98">
        <v>1</v>
      </c>
      <c r="I76" s="98"/>
      <c r="J76" s="98"/>
      <c r="K76" s="99"/>
      <c r="L76" s="99"/>
      <c r="M76" s="102">
        <f t="shared" si="2"/>
        <v>0</v>
      </c>
      <c r="N76" s="98"/>
      <c r="O76" s="99"/>
      <c r="P76" s="99"/>
      <c r="Q76" s="99">
        <f t="shared" si="3"/>
        <v>0</v>
      </c>
      <c r="R76" s="98"/>
    </row>
    <row r="77" spans="1:18" x14ac:dyDescent="0.25">
      <c r="A77" s="103">
        <v>1</v>
      </c>
      <c r="B77" s="104" t="s">
        <v>146</v>
      </c>
      <c r="C77" s="105" t="s">
        <v>62</v>
      </c>
      <c r="D77" s="105"/>
      <c r="E77" s="105" t="s">
        <v>74</v>
      </c>
      <c r="F77" s="106" t="s">
        <v>325</v>
      </c>
      <c r="G77" s="107" t="s">
        <v>326</v>
      </c>
      <c r="H77" s="107">
        <v>12</v>
      </c>
      <c r="I77" s="107">
        <v>3</v>
      </c>
      <c r="J77" s="107">
        <v>3</v>
      </c>
      <c r="K77" s="108">
        <f>2643+2466.8</f>
        <v>5109.8</v>
      </c>
      <c r="L77" s="108">
        <f>5109.8</f>
        <v>5109.8</v>
      </c>
      <c r="M77" s="108">
        <f t="shared" si="2"/>
        <v>0</v>
      </c>
      <c r="N77" s="109">
        <v>6</v>
      </c>
      <c r="O77" s="108">
        <v>5374.1</v>
      </c>
      <c r="P77" s="110">
        <f>2378.7+2995.4</f>
        <v>5374.1</v>
      </c>
      <c r="Q77" s="110">
        <f t="shared" si="3"/>
        <v>0</v>
      </c>
      <c r="R77" s="120"/>
    </row>
    <row r="78" spans="1:18" x14ac:dyDescent="0.25">
      <c r="A78" s="103">
        <v>2</v>
      </c>
      <c r="B78" s="104" t="s">
        <v>166</v>
      </c>
      <c r="C78" s="105" t="s">
        <v>62</v>
      </c>
      <c r="D78" s="105"/>
      <c r="E78" s="105" t="s">
        <v>158</v>
      </c>
      <c r="F78" s="106" t="s">
        <v>327</v>
      </c>
      <c r="G78" s="106" t="s">
        <v>326</v>
      </c>
      <c r="H78" s="107">
        <v>3</v>
      </c>
      <c r="I78" s="107">
        <v>1</v>
      </c>
      <c r="J78" s="107">
        <v>1</v>
      </c>
      <c r="K78" s="108">
        <v>1233.4000000000001</v>
      </c>
      <c r="L78" s="108">
        <f>73.95</f>
        <v>73.95</v>
      </c>
      <c r="M78" s="108">
        <f t="shared" si="2"/>
        <v>1159.45</v>
      </c>
      <c r="N78" s="109">
        <v>0</v>
      </c>
      <c r="O78" s="108">
        <v>0</v>
      </c>
      <c r="P78" s="110">
        <v>0</v>
      </c>
      <c r="Q78" s="110">
        <f t="shared" si="3"/>
        <v>0</v>
      </c>
      <c r="R78" s="120"/>
    </row>
    <row r="79" spans="1:18" x14ac:dyDescent="0.25">
      <c r="A79" s="103">
        <v>3</v>
      </c>
      <c r="B79" s="104" t="s">
        <v>173</v>
      </c>
      <c r="C79" s="105" t="s">
        <v>67</v>
      </c>
      <c r="D79" s="105" t="s">
        <v>328</v>
      </c>
      <c r="E79" s="105" t="s">
        <v>158</v>
      </c>
      <c r="F79" s="106" t="s">
        <v>329</v>
      </c>
      <c r="G79" s="106" t="s">
        <v>326</v>
      </c>
      <c r="H79" s="107">
        <v>6</v>
      </c>
      <c r="I79" s="107">
        <v>1</v>
      </c>
      <c r="J79" s="107">
        <v>1</v>
      </c>
      <c r="K79" s="108">
        <f>704.8</f>
        <v>704.8</v>
      </c>
      <c r="L79" s="108">
        <v>0</v>
      </c>
      <c r="M79" s="108">
        <f t="shared" si="2"/>
        <v>704.8</v>
      </c>
      <c r="N79" s="109">
        <v>0</v>
      </c>
      <c r="O79" s="108">
        <v>0</v>
      </c>
      <c r="P79" s="110">
        <v>0</v>
      </c>
      <c r="Q79" s="110">
        <f t="shared" si="3"/>
        <v>0</v>
      </c>
      <c r="R79" s="120"/>
    </row>
    <row r="80" spans="1:18" x14ac:dyDescent="0.25">
      <c r="A80" s="103">
        <v>4</v>
      </c>
      <c r="B80" s="104" t="s">
        <v>330</v>
      </c>
      <c r="C80" s="105" t="s">
        <v>62</v>
      </c>
      <c r="D80" s="105"/>
      <c r="E80" s="105" t="s">
        <v>158</v>
      </c>
      <c r="F80" s="106" t="s">
        <v>331</v>
      </c>
      <c r="G80" s="106" t="s">
        <v>326</v>
      </c>
      <c r="H80" s="107">
        <v>11</v>
      </c>
      <c r="I80" s="107">
        <v>9</v>
      </c>
      <c r="J80" s="107">
        <v>9</v>
      </c>
      <c r="K80" s="108">
        <f>704.8+11276.8</f>
        <v>11981.599999999999</v>
      </c>
      <c r="L80" s="108">
        <f>704.8</f>
        <v>704.8</v>
      </c>
      <c r="M80" s="108">
        <f t="shared" si="2"/>
        <v>11276.8</v>
      </c>
      <c r="N80" s="109">
        <v>0</v>
      </c>
      <c r="O80" s="108">
        <v>0</v>
      </c>
      <c r="P80" s="110">
        <v>0</v>
      </c>
      <c r="Q80" s="110">
        <f t="shared" si="3"/>
        <v>0</v>
      </c>
      <c r="R80" s="120"/>
    </row>
    <row r="81" spans="1:18" x14ac:dyDescent="0.25">
      <c r="A81" s="103">
        <v>5</v>
      </c>
      <c r="B81" s="104" t="s">
        <v>147</v>
      </c>
      <c r="C81" s="105" t="s">
        <v>62</v>
      </c>
      <c r="D81" s="121"/>
      <c r="E81" s="105" t="s">
        <v>74</v>
      </c>
      <c r="F81" s="106" t="s">
        <v>332</v>
      </c>
      <c r="G81" s="106" t="s">
        <v>326</v>
      </c>
      <c r="H81" s="111">
        <v>12</v>
      </c>
      <c r="I81" s="111">
        <v>3</v>
      </c>
      <c r="J81" s="111">
        <v>3</v>
      </c>
      <c r="K81" s="112">
        <f>1409.6+1762</f>
        <v>3171.6</v>
      </c>
      <c r="L81" s="108">
        <f>1409.6</f>
        <v>1409.6</v>
      </c>
      <c r="M81" s="108">
        <f t="shared" si="2"/>
        <v>1762</v>
      </c>
      <c r="N81" s="109">
        <v>3</v>
      </c>
      <c r="O81" s="113">
        <v>4757.3999999999996</v>
      </c>
      <c r="P81" s="114">
        <f>4052.6+704.8</f>
        <v>4757.3999999999996</v>
      </c>
      <c r="Q81" s="110">
        <f t="shared" si="3"/>
        <v>0</v>
      </c>
      <c r="R81" s="120"/>
    </row>
    <row r="82" spans="1:18" x14ac:dyDescent="0.25">
      <c r="A82" s="103">
        <v>6</v>
      </c>
      <c r="B82" s="104" t="s">
        <v>88</v>
      </c>
      <c r="C82" s="105" t="s">
        <v>62</v>
      </c>
      <c r="D82" s="121"/>
      <c r="E82" s="105" t="s">
        <v>74</v>
      </c>
      <c r="F82" s="106" t="s">
        <v>333</v>
      </c>
      <c r="G82" s="106" t="s">
        <v>326</v>
      </c>
      <c r="H82" s="111">
        <v>2</v>
      </c>
      <c r="I82" s="111">
        <v>2</v>
      </c>
      <c r="J82" s="111">
        <v>2</v>
      </c>
      <c r="K82" s="112">
        <f>704.8+1585.8</f>
        <v>2290.6</v>
      </c>
      <c r="L82" s="108">
        <v>704.8</v>
      </c>
      <c r="M82" s="108">
        <f t="shared" si="2"/>
        <v>1585.8</v>
      </c>
      <c r="N82" s="109">
        <v>1</v>
      </c>
      <c r="O82" s="113">
        <v>1145.3</v>
      </c>
      <c r="P82" s="110">
        <v>1145.3</v>
      </c>
      <c r="Q82" s="110">
        <f t="shared" si="3"/>
        <v>0</v>
      </c>
      <c r="R82" s="120"/>
    </row>
    <row r="83" spans="1:18" x14ac:dyDescent="0.25">
      <c r="A83" s="103">
        <v>7</v>
      </c>
      <c r="B83" s="104" t="s">
        <v>182</v>
      </c>
      <c r="C83" s="105" t="s">
        <v>62</v>
      </c>
      <c r="D83" s="121"/>
      <c r="E83" s="105" t="s">
        <v>158</v>
      </c>
      <c r="F83" s="106" t="s">
        <v>334</v>
      </c>
      <c r="G83" s="106" t="s">
        <v>326</v>
      </c>
      <c r="H83" s="111">
        <v>5</v>
      </c>
      <c r="I83" s="111">
        <v>1</v>
      </c>
      <c r="J83" s="111">
        <v>1</v>
      </c>
      <c r="K83" s="112"/>
      <c r="L83" s="108">
        <v>0</v>
      </c>
      <c r="M83" s="108">
        <f t="shared" si="2"/>
        <v>0</v>
      </c>
      <c r="N83" s="109">
        <v>0</v>
      </c>
      <c r="O83" s="113"/>
      <c r="P83" s="110">
        <v>0</v>
      </c>
      <c r="Q83" s="110">
        <f t="shared" si="3"/>
        <v>0</v>
      </c>
      <c r="R83" s="120"/>
    </row>
    <row r="84" spans="1:18" x14ac:dyDescent="0.25">
      <c r="A84" s="103">
        <v>8</v>
      </c>
      <c r="B84" s="104" t="s">
        <v>335</v>
      </c>
      <c r="C84" s="105" t="s">
        <v>62</v>
      </c>
      <c r="D84" s="122"/>
      <c r="E84" s="105" t="s">
        <v>74</v>
      </c>
      <c r="F84" s="106" t="s">
        <v>336</v>
      </c>
      <c r="G84" s="106" t="s">
        <v>326</v>
      </c>
      <c r="H84" s="111">
        <v>12</v>
      </c>
      <c r="I84" s="111">
        <v>2</v>
      </c>
      <c r="J84" s="111">
        <v>2</v>
      </c>
      <c r="K84" s="112">
        <f>3700.2</f>
        <v>3700.2</v>
      </c>
      <c r="L84" s="108">
        <v>0</v>
      </c>
      <c r="M84" s="108">
        <f t="shared" si="2"/>
        <v>3700.2</v>
      </c>
      <c r="N84" s="109">
        <v>7</v>
      </c>
      <c r="O84" s="115">
        <f>3435.9+3171.6+132.15</f>
        <v>6739.65</v>
      </c>
      <c r="P84" s="110">
        <f>3435.9+3171.6</f>
        <v>6607.5</v>
      </c>
      <c r="Q84" s="110">
        <f t="shared" si="3"/>
        <v>132.14999999999964</v>
      </c>
      <c r="R84" s="120"/>
    </row>
    <row r="85" spans="1:18" x14ac:dyDescent="0.25">
      <c r="A85" s="103">
        <v>9</v>
      </c>
      <c r="B85" s="104" t="s">
        <v>27</v>
      </c>
      <c r="C85" s="105" t="s">
        <v>62</v>
      </c>
      <c r="D85" s="121"/>
      <c r="E85" s="105" t="s">
        <v>158</v>
      </c>
      <c r="F85" s="106" t="s">
        <v>337</v>
      </c>
      <c r="G85" s="106" t="s">
        <v>326</v>
      </c>
      <c r="H85" s="111">
        <v>12</v>
      </c>
      <c r="I85" s="111">
        <v>10</v>
      </c>
      <c r="J85" s="111">
        <v>10</v>
      </c>
      <c r="K85" s="112">
        <v>5638.4</v>
      </c>
      <c r="L85" s="108">
        <f>1233.4+4405</f>
        <v>5638.4</v>
      </c>
      <c r="M85" s="108">
        <f t="shared" si="2"/>
        <v>0</v>
      </c>
      <c r="N85" s="109">
        <v>0</v>
      </c>
      <c r="O85" s="113"/>
      <c r="P85" s="114">
        <v>0</v>
      </c>
      <c r="Q85" s="110">
        <f t="shared" si="3"/>
        <v>0</v>
      </c>
      <c r="R85" s="120"/>
    </row>
    <row r="86" spans="1:18" x14ac:dyDescent="0.25">
      <c r="A86" s="123">
        <v>10</v>
      </c>
      <c r="B86" s="104" t="s">
        <v>190</v>
      </c>
      <c r="C86" s="105" t="s">
        <v>62</v>
      </c>
      <c r="D86" s="121"/>
      <c r="E86" s="105" t="s">
        <v>338</v>
      </c>
      <c r="F86" s="106" t="s">
        <v>339</v>
      </c>
      <c r="G86" s="106" t="s">
        <v>326</v>
      </c>
      <c r="H86" s="111">
        <v>10</v>
      </c>
      <c r="I86" s="111">
        <v>5</v>
      </c>
      <c r="J86" s="111">
        <v>5</v>
      </c>
      <c r="K86" s="112">
        <f>1938.2+2819.2</f>
        <v>4757.3999999999996</v>
      </c>
      <c r="L86" s="108">
        <f>704.8+704.8+528.6</f>
        <v>1938.1999999999998</v>
      </c>
      <c r="M86" s="108">
        <f t="shared" si="2"/>
        <v>2819.2</v>
      </c>
      <c r="N86" s="109">
        <v>0</v>
      </c>
      <c r="O86" s="113"/>
      <c r="P86" s="110">
        <v>0</v>
      </c>
      <c r="Q86" s="110">
        <f t="shared" si="3"/>
        <v>0</v>
      </c>
      <c r="R86" s="120"/>
    </row>
    <row r="87" spans="1:18" x14ac:dyDescent="0.25">
      <c r="A87" s="123">
        <v>11</v>
      </c>
      <c r="B87" s="104" t="s">
        <v>89</v>
      </c>
      <c r="C87" s="105" t="s">
        <v>62</v>
      </c>
      <c r="D87" s="121"/>
      <c r="E87" s="105" t="s">
        <v>74</v>
      </c>
      <c r="F87" s="106" t="s">
        <v>340</v>
      </c>
      <c r="G87" s="106" t="s">
        <v>326</v>
      </c>
      <c r="H87" s="111">
        <v>5</v>
      </c>
      <c r="I87" s="111">
        <v>4</v>
      </c>
      <c r="J87" s="111">
        <v>4</v>
      </c>
      <c r="K87" s="112">
        <v>1762</v>
      </c>
      <c r="L87" s="108">
        <f>1762</f>
        <v>1762</v>
      </c>
      <c r="M87" s="108">
        <f t="shared" si="2"/>
        <v>0</v>
      </c>
      <c r="N87" s="109">
        <v>3</v>
      </c>
      <c r="O87" s="113">
        <v>440.5</v>
      </c>
      <c r="P87" s="110">
        <f>440.5</f>
        <v>440.5</v>
      </c>
      <c r="Q87" s="110">
        <f t="shared" si="3"/>
        <v>0</v>
      </c>
      <c r="R87" s="120"/>
    </row>
    <row r="88" spans="1:18" x14ac:dyDescent="0.25">
      <c r="A88" s="123">
        <v>12</v>
      </c>
      <c r="B88" s="104" t="s">
        <v>196</v>
      </c>
      <c r="C88" s="105" t="s">
        <v>62</v>
      </c>
      <c r="D88" s="121"/>
      <c r="E88" s="105" t="s">
        <v>341</v>
      </c>
      <c r="F88" s="106" t="s">
        <v>342</v>
      </c>
      <c r="G88" s="106" t="s">
        <v>326</v>
      </c>
      <c r="H88" s="111">
        <v>7</v>
      </c>
      <c r="I88" s="111">
        <v>5</v>
      </c>
      <c r="J88" s="111">
        <v>5</v>
      </c>
      <c r="K88" s="112">
        <v>4933.6000000000004</v>
      </c>
      <c r="L88" s="108">
        <v>0</v>
      </c>
      <c r="M88" s="108">
        <f t="shared" si="2"/>
        <v>4933.6000000000004</v>
      </c>
      <c r="N88" s="109">
        <v>0</v>
      </c>
      <c r="O88" s="113"/>
      <c r="P88" s="110">
        <v>0</v>
      </c>
      <c r="Q88" s="110">
        <f t="shared" si="3"/>
        <v>0</v>
      </c>
      <c r="R88" s="120"/>
    </row>
    <row r="89" spans="1:18" x14ac:dyDescent="0.25">
      <c r="A89" s="123">
        <v>13</v>
      </c>
      <c r="B89" s="104" t="s">
        <v>343</v>
      </c>
      <c r="C89" s="105" t="s">
        <v>62</v>
      </c>
      <c r="D89" s="121"/>
      <c r="E89" s="105" t="s">
        <v>74</v>
      </c>
      <c r="F89" s="106" t="s">
        <v>344</v>
      </c>
      <c r="G89" s="106" t="s">
        <v>326</v>
      </c>
      <c r="H89" s="111">
        <v>9</v>
      </c>
      <c r="I89" s="111">
        <v>0</v>
      </c>
      <c r="J89" s="111">
        <v>0</v>
      </c>
      <c r="K89" s="112"/>
      <c r="L89" s="108"/>
      <c r="M89" s="108"/>
      <c r="N89" s="109">
        <v>0</v>
      </c>
      <c r="O89" s="113"/>
      <c r="P89" s="110"/>
      <c r="Q89" s="110"/>
      <c r="R89" s="120"/>
    </row>
    <row r="90" spans="1:18" x14ac:dyDescent="0.25">
      <c r="A90" s="123">
        <v>14</v>
      </c>
      <c r="B90" s="104" t="s">
        <v>154</v>
      </c>
      <c r="C90" s="105" t="s">
        <v>62</v>
      </c>
      <c r="D90" s="121"/>
      <c r="E90" s="105" t="s">
        <v>74</v>
      </c>
      <c r="F90" s="106" t="s">
        <v>345</v>
      </c>
      <c r="G90" s="106" t="s">
        <v>326</v>
      </c>
      <c r="H90" s="111">
        <v>4</v>
      </c>
      <c r="I90" s="111">
        <v>2</v>
      </c>
      <c r="J90" s="111">
        <v>2</v>
      </c>
      <c r="K90" s="112"/>
      <c r="L90" s="108">
        <v>0</v>
      </c>
      <c r="M90" s="108">
        <f t="shared" ref="M90:M100" si="4">K90-L90</f>
        <v>0</v>
      </c>
      <c r="N90" s="109">
        <v>5</v>
      </c>
      <c r="O90" s="113">
        <v>4228.8</v>
      </c>
      <c r="P90" s="114">
        <f>4228.8</f>
        <v>4228.8</v>
      </c>
      <c r="Q90" s="110">
        <f t="shared" ref="Q90:Q100" si="5">O90-P90</f>
        <v>0</v>
      </c>
      <c r="R90" s="120"/>
    </row>
    <row r="91" spans="1:18" x14ac:dyDescent="0.25">
      <c r="A91" s="123">
        <v>15</v>
      </c>
      <c r="B91" s="104" t="s">
        <v>346</v>
      </c>
      <c r="C91" s="105" t="s">
        <v>62</v>
      </c>
      <c r="D91" s="121"/>
      <c r="E91" s="105" t="s">
        <v>158</v>
      </c>
      <c r="F91" s="106" t="s">
        <v>347</v>
      </c>
      <c r="G91" s="106" t="s">
        <v>326</v>
      </c>
      <c r="H91" s="111">
        <v>2</v>
      </c>
      <c r="I91" s="111">
        <v>0</v>
      </c>
      <c r="J91" s="111">
        <v>0</v>
      </c>
      <c r="K91" s="112"/>
      <c r="L91" s="108">
        <v>0</v>
      </c>
      <c r="M91" s="108">
        <f t="shared" si="4"/>
        <v>0</v>
      </c>
      <c r="N91" s="109">
        <v>0</v>
      </c>
      <c r="O91" s="113"/>
      <c r="P91" s="110">
        <v>0</v>
      </c>
      <c r="Q91" s="110">
        <f t="shared" si="5"/>
        <v>0</v>
      </c>
      <c r="R91" s="120"/>
    </row>
    <row r="92" spans="1:18" x14ac:dyDescent="0.25">
      <c r="A92" s="123">
        <v>16</v>
      </c>
      <c r="B92" s="104" t="s">
        <v>348</v>
      </c>
      <c r="C92" s="105" t="s">
        <v>62</v>
      </c>
      <c r="D92" s="121"/>
      <c r="E92" s="105" t="s">
        <v>158</v>
      </c>
      <c r="F92" s="106" t="s">
        <v>349</v>
      </c>
      <c r="G92" s="106" t="s">
        <v>326</v>
      </c>
      <c r="H92" s="111">
        <v>5</v>
      </c>
      <c r="I92" s="111">
        <v>0</v>
      </c>
      <c r="J92" s="111">
        <v>0</v>
      </c>
      <c r="K92" s="112"/>
      <c r="L92" s="108">
        <v>0</v>
      </c>
      <c r="M92" s="108">
        <f t="shared" si="4"/>
        <v>0</v>
      </c>
      <c r="N92" s="109">
        <v>0</v>
      </c>
      <c r="O92" s="113"/>
      <c r="P92" s="110">
        <v>0</v>
      </c>
      <c r="Q92" s="110">
        <f t="shared" si="5"/>
        <v>0</v>
      </c>
      <c r="R92" s="120"/>
    </row>
    <row r="93" spans="1:18" x14ac:dyDescent="0.25">
      <c r="A93" s="123">
        <v>17</v>
      </c>
      <c r="B93" s="104" t="s">
        <v>350</v>
      </c>
      <c r="C93" s="105" t="s">
        <v>62</v>
      </c>
      <c r="D93" s="121"/>
      <c r="E93" s="105" t="s">
        <v>74</v>
      </c>
      <c r="F93" s="106" t="s">
        <v>351</v>
      </c>
      <c r="G93" s="106" t="s">
        <v>326</v>
      </c>
      <c r="H93" s="111">
        <v>1</v>
      </c>
      <c r="I93" s="111">
        <v>0</v>
      </c>
      <c r="J93" s="111">
        <v>0</v>
      </c>
      <c r="K93" s="112"/>
      <c r="L93" s="108">
        <v>0</v>
      </c>
      <c r="M93" s="108">
        <f t="shared" si="4"/>
        <v>0</v>
      </c>
      <c r="N93" s="109">
        <v>4</v>
      </c>
      <c r="O93" s="113">
        <v>5065.75</v>
      </c>
      <c r="P93" s="110">
        <f>1894.15+3171.6</f>
        <v>5065.75</v>
      </c>
      <c r="Q93" s="110">
        <f t="shared" si="5"/>
        <v>0</v>
      </c>
      <c r="R93" s="120"/>
    </row>
    <row r="94" spans="1:18" ht="39" x14ac:dyDescent="0.25">
      <c r="A94" s="124">
        <v>18</v>
      </c>
      <c r="B94" s="104" t="s">
        <v>222</v>
      </c>
      <c r="C94" s="105" t="s">
        <v>64</v>
      </c>
      <c r="D94" s="125" t="s">
        <v>352</v>
      </c>
      <c r="E94" s="105" t="s">
        <v>158</v>
      </c>
      <c r="F94" s="106" t="s">
        <v>353</v>
      </c>
      <c r="G94" s="106" t="s">
        <v>326</v>
      </c>
      <c r="H94" s="111">
        <v>6</v>
      </c>
      <c r="I94" s="111">
        <v>2</v>
      </c>
      <c r="J94" s="111">
        <v>2</v>
      </c>
      <c r="K94" s="112">
        <f>1233.4+2290.6</f>
        <v>3524</v>
      </c>
      <c r="L94" s="108">
        <f>1233.4+2290.6</f>
        <v>3524</v>
      </c>
      <c r="M94" s="108">
        <f t="shared" si="4"/>
        <v>0</v>
      </c>
      <c r="N94" s="109">
        <v>0</v>
      </c>
      <c r="O94" s="113"/>
      <c r="P94" s="116">
        <v>0</v>
      </c>
      <c r="Q94" s="110">
        <f t="shared" si="5"/>
        <v>0</v>
      </c>
      <c r="R94" s="120"/>
    </row>
    <row r="95" spans="1:18" x14ac:dyDescent="0.25">
      <c r="A95" s="123">
        <v>19</v>
      </c>
      <c r="B95" s="104" t="s">
        <v>238</v>
      </c>
      <c r="C95" s="105" t="s">
        <v>62</v>
      </c>
      <c r="D95" s="121"/>
      <c r="E95" s="105" t="s">
        <v>158</v>
      </c>
      <c r="F95" s="106" t="s">
        <v>354</v>
      </c>
      <c r="G95" s="106" t="s">
        <v>326</v>
      </c>
      <c r="H95" s="111">
        <v>5</v>
      </c>
      <c r="I95" s="111">
        <v>2</v>
      </c>
      <c r="J95" s="111">
        <v>2</v>
      </c>
      <c r="K95" s="112">
        <f>2466.8</f>
        <v>2466.8000000000002</v>
      </c>
      <c r="L95" s="108">
        <f>1233.4+1233.4</f>
        <v>2466.8000000000002</v>
      </c>
      <c r="M95" s="108">
        <f t="shared" si="4"/>
        <v>0</v>
      </c>
      <c r="N95" s="109">
        <v>0</v>
      </c>
      <c r="O95" s="113"/>
      <c r="P95" s="110">
        <v>0</v>
      </c>
      <c r="Q95" s="110">
        <f t="shared" si="5"/>
        <v>0</v>
      </c>
      <c r="R95" s="120"/>
    </row>
    <row r="96" spans="1:18" x14ac:dyDescent="0.25">
      <c r="A96" s="123">
        <v>20</v>
      </c>
      <c r="B96" s="104" t="s">
        <v>355</v>
      </c>
      <c r="C96" s="105" t="s">
        <v>62</v>
      </c>
      <c r="D96" s="121"/>
      <c r="E96" s="105" t="s">
        <v>158</v>
      </c>
      <c r="F96" s="106" t="s">
        <v>356</v>
      </c>
      <c r="G96" s="106" t="s">
        <v>326</v>
      </c>
      <c r="H96" s="111">
        <v>7</v>
      </c>
      <c r="I96" s="111">
        <v>2</v>
      </c>
      <c r="J96" s="111">
        <v>2</v>
      </c>
      <c r="K96" s="112">
        <v>1762</v>
      </c>
      <c r="L96" s="108">
        <f>1233.4+528.6</f>
        <v>1762</v>
      </c>
      <c r="M96" s="108">
        <f t="shared" si="4"/>
        <v>0</v>
      </c>
      <c r="N96" s="109">
        <v>0</v>
      </c>
      <c r="O96" s="113"/>
      <c r="P96" s="110">
        <v>0</v>
      </c>
      <c r="Q96" s="110">
        <f t="shared" si="5"/>
        <v>0</v>
      </c>
      <c r="R96" s="120"/>
    </row>
    <row r="97" spans="1:18" ht="38.25" x14ac:dyDescent="0.25">
      <c r="A97" s="124">
        <v>21</v>
      </c>
      <c r="B97" s="104" t="s">
        <v>357</v>
      </c>
      <c r="C97" s="105" t="s">
        <v>64</v>
      </c>
      <c r="D97" s="103" t="s">
        <v>358</v>
      </c>
      <c r="E97" s="105" t="s">
        <v>158</v>
      </c>
      <c r="F97" s="105" t="s">
        <v>507</v>
      </c>
      <c r="G97" s="106" t="s">
        <v>326</v>
      </c>
      <c r="H97" s="111">
        <v>1</v>
      </c>
      <c r="I97" s="122">
        <v>0</v>
      </c>
      <c r="J97" s="122">
        <v>0</v>
      </c>
      <c r="K97" s="112"/>
      <c r="L97" s="108">
        <v>0</v>
      </c>
      <c r="M97" s="108">
        <f t="shared" si="4"/>
        <v>0</v>
      </c>
      <c r="N97" s="109">
        <v>0</v>
      </c>
      <c r="O97" s="113"/>
      <c r="P97" s="110">
        <v>0</v>
      </c>
      <c r="Q97" s="110">
        <f t="shared" si="5"/>
        <v>0</v>
      </c>
      <c r="R97" s="120"/>
    </row>
    <row r="98" spans="1:18" x14ac:dyDescent="0.25">
      <c r="A98" s="123">
        <v>22</v>
      </c>
      <c r="B98" s="104" t="s">
        <v>359</v>
      </c>
      <c r="C98" s="105" t="s">
        <v>62</v>
      </c>
      <c r="D98" s="103"/>
      <c r="E98" s="105" t="s">
        <v>158</v>
      </c>
      <c r="F98" s="105" t="s">
        <v>360</v>
      </c>
      <c r="G98" s="106" t="s">
        <v>326</v>
      </c>
      <c r="H98" s="111">
        <v>5</v>
      </c>
      <c r="I98" s="111">
        <v>3</v>
      </c>
      <c r="J98" s="111">
        <v>3</v>
      </c>
      <c r="K98" s="112">
        <v>1409.6</v>
      </c>
      <c r="L98" s="108">
        <f>704.8+704.8</f>
        <v>1409.6</v>
      </c>
      <c r="M98" s="108">
        <f t="shared" si="4"/>
        <v>0</v>
      </c>
      <c r="N98" s="109">
        <v>0</v>
      </c>
      <c r="O98" s="113"/>
      <c r="P98" s="114">
        <v>0</v>
      </c>
      <c r="Q98" s="110">
        <f t="shared" si="5"/>
        <v>0</v>
      </c>
      <c r="R98" s="120"/>
    </row>
    <row r="99" spans="1:18" x14ac:dyDescent="0.25">
      <c r="A99" s="123">
        <v>23</v>
      </c>
      <c r="B99" s="104" t="s">
        <v>118</v>
      </c>
      <c r="C99" s="105" t="s">
        <v>62</v>
      </c>
      <c r="D99" s="121"/>
      <c r="E99" s="105" t="s">
        <v>338</v>
      </c>
      <c r="F99" s="106" t="s">
        <v>361</v>
      </c>
      <c r="G99" s="106" t="s">
        <v>326</v>
      </c>
      <c r="H99" s="111">
        <v>1</v>
      </c>
      <c r="I99" s="111">
        <v>0</v>
      </c>
      <c r="J99" s="111">
        <v>0</v>
      </c>
      <c r="K99" s="112"/>
      <c r="L99" s="108">
        <v>0</v>
      </c>
      <c r="M99" s="108">
        <f t="shared" si="4"/>
        <v>0</v>
      </c>
      <c r="N99" s="109">
        <v>0</v>
      </c>
      <c r="O99" s="113"/>
      <c r="P99" s="110">
        <v>0</v>
      </c>
      <c r="Q99" s="110">
        <f t="shared" si="5"/>
        <v>0</v>
      </c>
      <c r="R99" s="120"/>
    </row>
    <row r="100" spans="1:18" x14ac:dyDescent="0.25">
      <c r="A100" s="123">
        <v>24</v>
      </c>
      <c r="B100" s="104" t="s">
        <v>246</v>
      </c>
      <c r="C100" s="105" t="s">
        <v>62</v>
      </c>
      <c r="D100" s="121"/>
      <c r="E100" s="105" t="s">
        <v>158</v>
      </c>
      <c r="F100" s="106" t="s">
        <v>362</v>
      </c>
      <c r="G100" s="106" t="s">
        <v>326</v>
      </c>
      <c r="H100" s="111">
        <v>3</v>
      </c>
      <c r="I100" s="111">
        <v>1</v>
      </c>
      <c r="J100" s="111">
        <v>1</v>
      </c>
      <c r="K100" s="112"/>
      <c r="L100" s="108">
        <v>0</v>
      </c>
      <c r="M100" s="108">
        <f t="shared" si="4"/>
        <v>0</v>
      </c>
      <c r="N100" s="109">
        <v>0</v>
      </c>
      <c r="O100" s="113"/>
      <c r="P100" s="110">
        <v>0</v>
      </c>
      <c r="Q100" s="110">
        <f t="shared" si="5"/>
        <v>0</v>
      </c>
      <c r="R100" s="120"/>
    </row>
    <row r="101" spans="1:18" x14ac:dyDescent="0.25">
      <c r="A101" s="123">
        <v>25</v>
      </c>
      <c r="B101" s="104" t="s">
        <v>43</v>
      </c>
      <c r="C101" s="105" t="s">
        <v>62</v>
      </c>
      <c r="D101" s="121"/>
      <c r="E101" s="105" t="s">
        <v>74</v>
      </c>
      <c r="F101" s="106" t="s">
        <v>363</v>
      </c>
      <c r="G101" s="106" t="s">
        <v>326</v>
      </c>
      <c r="H101" s="111">
        <v>3</v>
      </c>
      <c r="I101" s="111">
        <v>0</v>
      </c>
      <c r="J101" s="111">
        <v>0</v>
      </c>
      <c r="K101" s="112"/>
      <c r="L101" s="108"/>
      <c r="M101" s="108"/>
      <c r="N101" s="109">
        <v>0</v>
      </c>
      <c r="O101" s="113"/>
      <c r="P101" s="110"/>
      <c r="Q101" s="110"/>
      <c r="R101" s="120"/>
    </row>
    <row r="102" spans="1:18" x14ac:dyDescent="0.25">
      <c r="A102" s="123">
        <v>26</v>
      </c>
      <c r="B102" s="104" t="s">
        <v>364</v>
      </c>
      <c r="C102" s="105" t="s">
        <v>62</v>
      </c>
      <c r="D102" s="121"/>
      <c r="E102" s="105" t="s">
        <v>74</v>
      </c>
      <c r="F102" s="106" t="s">
        <v>365</v>
      </c>
      <c r="G102" s="106" t="s">
        <v>326</v>
      </c>
      <c r="H102" s="111">
        <v>8</v>
      </c>
      <c r="I102" s="111">
        <v>2</v>
      </c>
      <c r="J102" s="111">
        <v>2</v>
      </c>
      <c r="K102" s="112">
        <v>2466.8000000000002</v>
      </c>
      <c r="L102" s="108">
        <v>2466.8000000000002</v>
      </c>
      <c r="M102" s="108">
        <f>K102-L102</f>
        <v>0</v>
      </c>
      <c r="N102" s="109">
        <v>2</v>
      </c>
      <c r="O102" s="113">
        <v>3524</v>
      </c>
      <c r="P102" s="110">
        <v>3524</v>
      </c>
      <c r="Q102" s="110">
        <f>O102-P102</f>
        <v>0</v>
      </c>
      <c r="R102" s="120"/>
    </row>
    <row r="103" spans="1:18" x14ac:dyDescent="0.25">
      <c r="A103" s="123">
        <v>27</v>
      </c>
      <c r="B103" s="104" t="s">
        <v>46</v>
      </c>
      <c r="C103" s="105" t="s">
        <v>62</v>
      </c>
      <c r="D103" s="121"/>
      <c r="E103" s="105" t="s">
        <v>366</v>
      </c>
      <c r="F103" s="106" t="s">
        <v>367</v>
      </c>
      <c r="G103" s="106" t="s">
        <v>326</v>
      </c>
      <c r="H103" s="111">
        <v>0</v>
      </c>
      <c r="I103" s="111">
        <v>0</v>
      </c>
      <c r="J103" s="111">
        <v>0</v>
      </c>
      <c r="K103" s="112"/>
      <c r="L103" s="108">
        <v>0</v>
      </c>
      <c r="M103" s="108">
        <f>K103-L103</f>
        <v>0</v>
      </c>
      <c r="N103" s="109">
        <v>1</v>
      </c>
      <c r="O103" s="113">
        <v>4140.7</v>
      </c>
      <c r="P103" s="114">
        <v>4140.7</v>
      </c>
      <c r="Q103" s="110">
        <f>O103-P103</f>
        <v>0</v>
      </c>
      <c r="R103" s="120"/>
    </row>
    <row r="104" spans="1:18" x14ac:dyDescent="0.25">
      <c r="A104" s="123">
        <v>28</v>
      </c>
      <c r="B104" s="104" t="s">
        <v>270</v>
      </c>
      <c r="C104" s="105" t="s">
        <v>62</v>
      </c>
      <c r="D104" s="121"/>
      <c r="E104" s="105" t="s">
        <v>74</v>
      </c>
      <c r="F104" s="106" t="s">
        <v>539</v>
      </c>
      <c r="G104" s="106" t="s">
        <v>326</v>
      </c>
      <c r="H104" s="111">
        <v>0</v>
      </c>
      <c r="I104" s="111">
        <v>0</v>
      </c>
      <c r="J104" s="111">
        <v>0</v>
      </c>
      <c r="K104" s="112"/>
      <c r="L104" s="108"/>
      <c r="M104" s="108"/>
      <c r="N104" s="109">
        <v>0</v>
      </c>
      <c r="O104" s="113"/>
      <c r="P104" s="114"/>
      <c r="Q104" s="110"/>
      <c r="R104" s="120"/>
    </row>
    <row r="105" spans="1:18" x14ac:dyDescent="0.25">
      <c r="A105" s="123">
        <v>29</v>
      </c>
      <c r="B105" s="104" t="s">
        <v>96</v>
      </c>
      <c r="C105" s="105" t="s">
        <v>62</v>
      </c>
      <c r="D105" s="121"/>
      <c r="E105" s="105" t="s">
        <v>98</v>
      </c>
      <c r="F105" s="106" t="s">
        <v>540</v>
      </c>
      <c r="G105" s="106" t="s">
        <v>326</v>
      </c>
      <c r="H105" s="111">
        <v>0</v>
      </c>
      <c r="I105" s="111">
        <v>0</v>
      </c>
      <c r="J105" s="111">
        <v>0</v>
      </c>
      <c r="K105" s="112"/>
      <c r="L105" s="108"/>
      <c r="M105" s="108"/>
      <c r="N105" s="109">
        <v>0</v>
      </c>
      <c r="O105" s="113"/>
      <c r="P105" s="114"/>
      <c r="Q105" s="110"/>
      <c r="R105" s="120"/>
    </row>
    <row r="106" spans="1:18" x14ac:dyDescent="0.25">
      <c r="A106" s="123">
        <v>30</v>
      </c>
      <c r="B106" s="104" t="s">
        <v>124</v>
      </c>
      <c r="C106" s="105" t="s">
        <v>62</v>
      </c>
      <c r="D106" s="121"/>
      <c r="E106" s="105" t="s">
        <v>74</v>
      </c>
      <c r="F106" s="106" t="s">
        <v>368</v>
      </c>
      <c r="G106" s="106" t="s">
        <v>326</v>
      </c>
      <c r="H106" s="111">
        <v>18</v>
      </c>
      <c r="I106" s="111">
        <v>10</v>
      </c>
      <c r="J106" s="111">
        <v>10</v>
      </c>
      <c r="K106" s="112">
        <v>6343.2</v>
      </c>
      <c r="L106" s="108">
        <f>1762+1762+2819.2</f>
        <v>6343.2</v>
      </c>
      <c r="M106" s="108">
        <f t="shared" ref="M106:M112" si="6">K106-L106</f>
        <v>0</v>
      </c>
      <c r="N106" s="109">
        <v>8</v>
      </c>
      <c r="O106" s="113">
        <f>3171.6+88+1493.8</f>
        <v>4753.3999999999996</v>
      </c>
      <c r="P106" s="110">
        <f>1765.8+1493.8</f>
        <v>3259.6</v>
      </c>
      <c r="Q106" s="108">
        <f>O106-P106</f>
        <v>1493.7999999999997</v>
      </c>
      <c r="R106" s="120"/>
    </row>
    <row r="107" spans="1:18" x14ac:dyDescent="0.25">
      <c r="A107" s="123">
        <v>31</v>
      </c>
      <c r="B107" s="104" t="s">
        <v>51</v>
      </c>
      <c r="C107" s="105" t="s">
        <v>62</v>
      </c>
      <c r="D107" s="121"/>
      <c r="E107" s="105" t="s">
        <v>74</v>
      </c>
      <c r="F107" s="106" t="s">
        <v>369</v>
      </c>
      <c r="G107" s="106" t="s">
        <v>326</v>
      </c>
      <c r="H107" s="111">
        <v>0</v>
      </c>
      <c r="I107" s="111">
        <v>0</v>
      </c>
      <c r="J107" s="111">
        <v>0</v>
      </c>
      <c r="K107" s="112"/>
      <c r="L107" s="108">
        <v>0</v>
      </c>
      <c r="M107" s="108">
        <f t="shared" si="6"/>
        <v>0</v>
      </c>
      <c r="N107" s="109">
        <v>1</v>
      </c>
      <c r="O107" s="113">
        <v>2290.6</v>
      </c>
      <c r="P107" s="110">
        <v>2290.6</v>
      </c>
      <c r="Q107" s="110">
        <f>O107-P107</f>
        <v>0</v>
      </c>
      <c r="R107" s="120"/>
    </row>
    <row r="108" spans="1:18" x14ac:dyDescent="0.25">
      <c r="A108" s="123">
        <v>32</v>
      </c>
      <c r="B108" s="104" t="s">
        <v>150</v>
      </c>
      <c r="C108" s="105" t="s">
        <v>62</v>
      </c>
      <c r="D108" s="121"/>
      <c r="E108" s="105" t="s">
        <v>74</v>
      </c>
      <c r="F108" s="117" t="s">
        <v>370</v>
      </c>
      <c r="G108" s="106" t="s">
        <v>326</v>
      </c>
      <c r="H108" s="111">
        <v>0</v>
      </c>
      <c r="I108" s="111">
        <v>0</v>
      </c>
      <c r="J108" s="111">
        <v>0</v>
      </c>
      <c r="K108" s="112"/>
      <c r="L108" s="108">
        <v>0</v>
      </c>
      <c r="M108" s="108">
        <f t="shared" si="6"/>
        <v>0</v>
      </c>
      <c r="N108" s="109">
        <v>0</v>
      </c>
      <c r="O108" s="113"/>
      <c r="P108" s="110">
        <v>0</v>
      </c>
      <c r="Q108" s="110">
        <f>O108-P108</f>
        <v>0</v>
      </c>
      <c r="R108" s="120"/>
    </row>
    <row r="109" spans="1:18" x14ac:dyDescent="0.25">
      <c r="A109" s="123">
        <v>33</v>
      </c>
      <c r="B109" s="104" t="s">
        <v>286</v>
      </c>
      <c r="C109" s="105" t="s">
        <v>62</v>
      </c>
      <c r="D109" s="121"/>
      <c r="E109" s="105" t="s">
        <v>74</v>
      </c>
      <c r="F109" s="106" t="s">
        <v>476</v>
      </c>
      <c r="G109" s="106" t="s">
        <v>326</v>
      </c>
      <c r="H109" s="111">
        <v>4</v>
      </c>
      <c r="I109" s="111">
        <v>1</v>
      </c>
      <c r="J109" s="111">
        <v>1</v>
      </c>
      <c r="K109" s="112">
        <v>1233.4000000000001</v>
      </c>
      <c r="L109" s="108"/>
      <c r="M109" s="108">
        <f t="shared" si="6"/>
        <v>1233.4000000000001</v>
      </c>
      <c r="N109" s="109">
        <v>0</v>
      </c>
      <c r="O109" s="113"/>
      <c r="P109" s="110"/>
      <c r="Q109" s="110"/>
      <c r="R109" s="120"/>
    </row>
    <row r="110" spans="1:18" x14ac:dyDescent="0.25">
      <c r="A110" s="123">
        <v>34</v>
      </c>
      <c r="B110" s="104" t="s">
        <v>290</v>
      </c>
      <c r="C110" s="105" t="s">
        <v>62</v>
      </c>
      <c r="D110" s="121"/>
      <c r="E110" s="105" t="s">
        <v>371</v>
      </c>
      <c r="F110" s="106" t="s">
        <v>372</v>
      </c>
      <c r="G110" s="106" t="s">
        <v>326</v>
      </c>
      <c r="H110" s="111">
        <v>6</v>
      </c>
      <c r="I110" s="111">
        <v>3</v>
      </c>
      <c r="J110" s="111">
        <v>3</v>
      </c>
      <c r="K110" s="112">
        <f>1409.6+704.8</f>
        <v>2114.3999999999996</v>
      </c>
      <c r="L110" s="108">
        <f>1409.6</f>
        <v>1409.6</v>
      </c>
      <c r="M110" s="108">
        <f t="shared" si="6"/>
        <v>704.79999999999973</v>
      </c>
      <c r="N110" s="109">
        <v>0</v>
      </c>
      <c r="O110" s="113"/>
      <c r="P110" s="114">
        <v>0</v>
      </c>
      <c r="Q110" s="110">
        <f>O110-P110</f>
        <v>0</v>
      </c>
      <c r="R110" s="120"/>
    </row>
    <row r="111" spans="1:18" x14ac:dyDescent="0.25">
      <c r="A111" s="123">
        <v>35</v>
      </c>
      <c r="B111" s="104" t="s">
        <v>134</v>
      </c>
      <c r="C111" s="105" t="s">
        <v>62</v>
      </c>
      <c r="D111" s="121"/>
      <c r="E111" s="105" t="s">
        <v>74</v>
      </c>
      <c r="F111" s="106" t="s">
        <v>373</v>
      </c>
      <c r="G111" s="106" t="s">
        <v>326</v>
      </c>
      <c r="H111" s="111">
        <v>3</v>
      </c>
      <c r="I111" s="111">
        <v>1</v>
      </c>
      <c r="J111" s="111">
        <v>1</v>
      </c>
      <c r="K111" s="112">
        <f>1938.2</f>
        <v>1938.2</v>
      </c>
      <c r="L111" s="108">
        <v>0</v>
      </c>
      <c r="M111" s="108">
        <f t="shared" si="6"/>
        <v>1938.2</v>
      </c>
      <c r="N111" s="109">
        <v>2</v>
      </c>
      <c r="O111" s="113">
        <v>2643</v>
      </c>
      <c r="P111" s="110">
        <f>881+1762</f>
        <v>2643</v>
      </c>
      <c r="Q111" s="110">
        <f>O111-P111</f>
        <v>0</v>
      </c>
      <c r="R111" s="120"/>
    </row>
    <row r="112" spans="1:18" x14ac:dyDescent="0.25">
      <c r="A112" s="123">
        <v>36</v>
      </c>
      <c r="B112" s="104" t="s">
        <v>135</v>
      </c>
      <c r="C112" s="105" t="s">
        <v>62</v>
      </c>
      <c r="D112" s="121"/>
      <c r="E112" s="105" t="s">
        <v>74</v>
      </c>
      <c r="F112" s="106" t="s">
        <v>374</v>
      </c>
      <c r="G112" s="106" t="s">
        <v>326</v>
      </c>
      <c r="H112" s="111">
        <v>17</v>
      </c>
      <c r="I112" s="111">
        <v>4</v>
      </c>
      <c r="J112" s="111">
        <v>4</v>
      </c>
      <c r="K112" s="112">
        <f>5109.8+881</f>
        <v>5990.8</v>
      </c>
      <c r="L112" s="108">
        <f>2290.6+2819.2</f>
        <v>5109.7999999999993</v>
      </c>
      <c r="M112" s="108">
        <f t="shared" si="6"/>
        <v>881.00000000000091</v>
      </c>
      <c r="N112" s="109">
        <v>35</v>
      </c>
      <c r="O112" s="113">
        <f>15109.16+9717</f>
        <v>24826.16</v>
      </c>
      <c r="P112" s="110">
        <f>14228.16+881</f>
        <v>15109.16</v>
      </c>
      <c r="Q112" s="108">
        <f>O112-P112</f>
        <v>9717</v>
      </c>
      <c r="R112" s="120"/>
    </row>
    <row r="113" spans="1:18" ht="25.5" x14ac:dyDescent="0.25">
      <c r="A113" s="124">
        <v>37</v>
      </c>
      <c r="B113" s="104" t="s">
        <v>508</v>
      </c>
      <c r="C113" s="105" t="s">
        <v>64</v>
      </c>
      <c r="D113" s="103" t="s">
        <v>509</v>
      </c>
      <c r="E113" s="105" t="s">
        <v>74</v>
      </c>
      <c r="F113" s="106" t="s">
        <v>510</v>
      </c>
      <c r="G113" s="106" t="s">
        <v>326</v>
      </c>
      <c r="H113" s="111">
        <v>3</v>
      </c>
      <c r="I113" s="111">
        <v>0</v>
      </c>
      <c r="J113" s="111">
        <v>0</v>
      </c>
      <c r="K113" s="112"/>
      <c r="L113" s="108"/>
      <c r="M113" s="108"/>
      <c r="N113" s="109">
        <v>0</v>
      </c>
      <c r="O113" s="113"/>
      <c r="P113" s="110"/>
      <c r="Q113" s="110"/>
      <c r="R113" s="120"/>
    </row>
    <row r="114" spans="1:18" x14ac:dyDescent="0.25">
      <c r="A114" s="123">
        <v>38</v>
      </c>
      <c r="B114" s="104" t="s">
        <v>299</v>
      </c>
      <c r="C114" s="105" t="s">
        <v>62</v>
      </c>
      <c r="D114" s="121"/>
      <c r="E114" s="105" t="s">
        <v>158</v>
      </c>
      <c r="F114" s="106" t="s">
        <v>375</v>
      </c>
      <c r="G114" s="106" t="s">
        <v>326</v>
      </c>
      <c r="H114" s="111">
        <v>3</v>
      </c>
      <c r="I114" s="111">
        <v>1</v>
      </c>
      <c r="J114" s="111">
        <v>1</v>
      </c>
      <c r="K114" s="112">
        <f>704.8</f>
        <v>704.8</v>
      </c>
      <c r="L114" s="108">
        <f>704.8</f>
        <v>704.8</v>
      </c>
      <c r="M114" s="108">
        <f t="shared" ref="M114:M123" si="7">K114-L114</f>
        <v>0</v>
      </c>
      <c r="N114" s="109">
        <v>0</v>
      </c>
      <c r="O114" s="113"/>
      <c r="P114" s="110">
        <v>0</v>
      </c>
      <c r="Q114" s="110">
        <f>O114-P114</f>
        <v>0</v>
      </c>
      <c r="R114" s="120"/>
    </row>
    <row r="115" spans="1:18" x14ac:dyDescent="0.25">
      <c r="A115" s="123">
        <v>39</v>
      </c>
      <c r="B115" s="104" t="s">
        <v>376</v>
      </c>
      <c r="C115" s="105" t="s">
        <v>62</v>
      </c>
      <c r="D115" s="121"/>
      <c r="E115" s="105" t="s">
        <v>74</v>
      </c>
      <c r="F115" s="106" t="s">
        <v>377</v>
      </c>
      <c r="G115" s="106" t="s">
        <v>326</v>
      </c>
      <c r="H115" s="111">
        <v>3</v>
      </c>
      <c r="I115" s="111">
        <v>1</v>
      </c>
      <c r="J115" s="111">
        <v>1</v>
      </c>
      <c r="K115" s="112">
        <f>1409.6</f>
        <v>1409.6</v>
      </c>
      <c r="L115" s="108"/>
      <c r="M115" s="108">
        <f t="shared" si="7"/>
        <v>1409.6</v>
      </c>
      <c r="N115" s="109">
        <v>0</v>
      </c>
      <c r="O115" s="113"/>
      <c r="P115" s="110"/>
      <c r="Q115" s="110"/>
      <c r="R115" s="120"/>
    </row>
    <row r="116" spans="1:18" x14ac:dyDescent="0.25">
      <c r="A116" s="123">
        <v>40</v>
      </c>
      <c r="B116" s="104" t="s">
        <v>129</v>
      </c>
      <c r="C116" s="105" t="s">
        <v>62</v>
      </c>
      <c r="D116" s="121"/>
      <c r="E116" s="105" t="s">
        <v>74</v>
      </c>
      <c r="F116" s="106" t="s">
        <v>378</v>
      </c>
      <c r="G116" s="106" t="s">
        <v>326</v>
      </c>
      <c r="H116" s="111">
        <v>26</v>
      </c>
      <c r="I116" s="111">
        <v>11</v>
      </c>
      <c r="J116" s="111">
        <v>11</v>
      </c>
      <c r="K116" s="112">
        <f>7355.96+1306.55+4415.93</f>
        <v>13078.44</v>
      </c>
      <c r="L116" s="108">
        <f>3615.96+5046.55</f>
        <v>8662.51</v>
      </c>
      <c r="M116" s="108">
        <f t="shared" si="7"/>
        <v>4415.93</v>
      </c>
      <c r="N116" s="109">
        <v>23</v>
      </c>
      <c r="O116" s="113">
        <f>28417.04+2923.96+3402.23+528.6</f>
        <v>35271.83</v>
      </c>
      <c r="P116" s="114">
        <f>22002.43+5101.53+1313.08+2923.96+3402.23</f>
        <v>34743.230000000003</v>
      </c>
      <c r="Q116" s="110">
        <f t="shared" ref="Q116:Q123" si="8">O116-P116</f>
        <v>528.59999999999854</v>
      </c>
      <c r="R116" s="120"/>
    </row>
    <row r="117" spans="1:18" x14ac:dyDescent="0.25">
      <c r="A117" s="123">
        <v>41</v>
      </c>
      <c r="B117" s="104" t="s">
        <v>379</v>
      </c>
      <c r="C117" s="105" t="s">
        <v>62</v>
      </c>
      <c r="D117" s="121"/>
      <c r="E117" s="105" t="s">
        <v>158</v>
      </c>
      <c r="F117" s="106" t="s">
        <v>380</v>
      </c>
      <c r="G117" s="106" t="s">
        <v>326</v>
      </c>
      <c r="H117" s="111">
        <v>2</v>
      </c>
      <c r="I117" s="111">
        <v>1</v>
      </c>
      <c r="J117" s="111">
        <v>1</v>
      </c>
      <c r="K117" s="112">
        <v>704.8</v>
      </c>
      <c r="L117" s="108">
        <f>704.8</f>
        <v>704.8</v>
      </c>
      <c r="M117" s="108">
        <f t="shared" si="7"/>
        <v>0</v>
      </c>
      <c r="N117" s="109">
        <v>0</v>
      </c>
      <c r="O117" s="113"/>
      <c r="P117" s="110">
        <v>0</v>
      </c>
      <c r="Q117" s="110">
        <f t="shared" si="8"/>
        <v>0</v>
      </c>
      <c r="R117" s="120"/>
    </row>
    <row r="118" spans="1:18" x14ac:dyDescent="0.25">
      <c r="A118" s="123">
        <v>42</v>
      </c>
      <c r="B118" s="104" t="s">
        <v>130</v>
      </c>
      <c r="C118" s="105" t="s">
        <v>62</v>
      </c>
      <c r="D118" s="121"/>
      <c r="E118" s="105" t="s">
        <v>74</v>
      </c>
      <c r="F118" s="117" t="s">
        <v>381</v>
      </c>
      <c r="G118" s="106" t="s">
        <v>326</v>
      </c>
      <c r="H118" s="111">
        <v>0</v>
      </c>
      <c r="I118" s="111">
        <v>0</v>
      </c>
      <c r="J118" s="111">
        <v>0</v>
      </c>
      <c r="K118" s="112"/>
      <c r="L118" s="108"/>
      <c r="M118" s="108">
        <f t="shared" si="7"/>
        <v>0</v>
      </c>
      <c r="N118" s="109">
        <v>2</v>
      </c>
      <c r="O118" s="113"/>
      <c r="P118" s="110">
        <v>0</v>
      </c>
      <c r="Q118" s="110">
        <f t="shared" si="8"/>
        <v>0</v>
      </c>
      <c r="R118" s="120"/>
    </row>
    <row r="119" spans="1:18" x14ac:dyDescent="0.25">
      <c r="A119" s="123">
        <v>43</v>
      </c>
      <c r="B119" s="104" t="s">
        <v>382</v>
      </c>
      <c r="C119" s="105" t="s">
        <v>62</v>
      </c>
      <c r="D119" s="121"/>
      <c r="E119" s="105" t="s">
        <v>383</v>
      </c>
      <c r="F119" s="106" t="s">
        <v>384</v>
      </c>
      <c r="G119" s="106" t="s">
        <v>326</v>
      </c>
      <c r="H119" s="111">
        <v>1</v>
      </c>
      <c r="I119" s="111">
        <v>1</v>
      </c>
      <c r="J119" s="111">
        <v>1</v>
      </c>
      <c r="K119" s="112">
        <v>704.8</v>
      </c>
      <c r="L119" s="108">
        <v>0</v>
      </c>
      <c r="M119" s="108">
        <f t="shared" si="7"/>
        <v>704.8</v>
      </c>
      <c r="N119" s="109">
        <v>0</v>
      </c>
      <c r="O119" s="113"/>
      <c r="P119" s="110">
        <v>0</v>
      </c>
      <c r="Q119" s="110">
        <f t="shared" si="8"/>
        <v>0</v>
      </c>
      <c r="R119" s="120"/>
    </row>
    <row r="120" spans="1:18" x14ac:dyDescent="0.25">
      <c r="A120" s="123">
        <v>44</v>
      </c>
      <c r="B120" s="104" t="s">
        <v>385</v>
      </c>
      <c r="C120" s="105" t="s">
        <v>62</v>
      </c>
      <c r="D120" s="121"/>
      <c r="E120" s="121" t="s">
        <v>145</v>
      </c>
      <c r="F120" s="106" t="s">
        <v>386</v>
      </c>
      <c r="G120" s="106" t="s">
        <v>326</v>
      </c>
      <c r="H120" s="111">
        <v>11</v>
      </c>
      <c r="I120" s="111">
        <v>2</v>
      </c>
      <c r="J120" s="111">
        <v>2</v>
      </c>
      <c r="K120" s="112">
        <v>1762</v>
      </c>
      <c r="L120" s="108">
        <f>1057.2+704.8</f>
        <v>1762</v>
      </c>
      <c r="M120" s="108">
        <f t="shared" si="7"/>
        <v>0</v>
      </c>
      <c r="N120" s="109">
        <v>18</v>
      </c>
      <c r="O120" s="113">
        <v>9602.9</v>
      </c>
      <c r="P120" s="114">
        <f>9074.3+528.6</f>
        <v>9602.9</v>
      </c>
      <c r="Q120" s="110">
        <f t="shared" si="8"/>
        <v>0</v>
      </c>
      <c r="R120" s="120"/>
    </row>
    <row r="121" spans="1:18" x14ac:dyDescent="0.25">
      <c r="A121" s="123">
        <v>45</v>
      </c>
      <c r="B121" s="104" t="s">
        <v>387</v>
      </c>
      <c r="C121" s="105" t="s">
        <v>62</v>
      </c>
      <c r="D121" s="121"/>
      <c r="E121" s="105" t="s">
        <v>157</v>
      </c>
      <c r="F121" s="117" t="s">
        <v>388</v>
      </c>
      <c r="G121" s="106" t="s">
        <v>326</v>
      </c>
      <c r="H121" s="111">
        <v>0</v>
      </c>
      <c r="I121" s="111">
        <v>0</v>
      </c>
      <c r="J121" s="111">
        <v>0</v>
      </c>
      <c r="K121" s="126"/>
      <c r="L121" s="108">
        <v>0</v>
      </c>
      <c r="M121" s="108">
        <f t="shared" si="7"/>
        <v>0</v>
      </c>
      <c r="N121" s="109">
        <v>0</v>
      </c>
      <c r="O121" s="113"/>
      <c r="P121" s="110">
        <v>0</v>
      </c>
      <c r="Q121" s="110">
        <f t="shared" si="8"/>
        <v>0</v>
      </c>
      <c r="R121" s="120"/>
    </row>
    <row r="122" spans="1:18" x14ac:dyDescent="0.25">
      <c r="A122" s="123">
        <v>46</v>
      </c>
      <c r="B122" s="104" t="s">
        <v>54</v>
      </c>
      <c r="C122" s="105" t="s">
        <v>62</v>
      </c>
      <c r="D122" s="121"/>
      <c r="E122" s="105" t="s">
        <v>338</v>
      </c>
      <c r="F122" s="117" t="s">
        <v>391</v>
      </c>
      <c r="G122" s="106" t="s">
        <v>326</v>
      </c>
      <c r="H122" s="111">
        <v>0</v>
      </c>
      <c r="I122" s="111">
        <v>0</v>
      </c>
      <c r="J122" s="121">
        <v>0</v>
      </c>
      <c r="K122" s="126"/>
      <c r="L122" s="108">
        <v>0</v>
      </c>
      <c r="M122" s="108">
        <f t="shared" si="7"/>
        <v>0</v>
      </c>
      <c r="N122" s="109">
        <v>0</v>
      </c>
      <c r="O122" s="113"/>
      <c r="P122" s="114">
        <v>0</v>
      </c>
      <c r="Q122" s="110">
        <f t="shared" si="8"/>
        <v>0</v>
      </c>
      <c r="R122" s="120"/>
    </row>
    <row r="123" spans="1:18" ht="39" x14ac:dyDescent="0.25">
      <c r="A123" s="124">
        <v>47</v>
      </c>
      <c r="B123" s="104" t="s">
        <v>131</v>
      </c>
      <c r="C123" s="105" t="s">
        <v>64</v>
      </c>
      <c r="D123" s="118" t="s">
        <v>392</v>
      </c>
      <c r="E123" s="105" t="s">
        <v>158</v>
      </c>
      <c r="F123" s="119" t="s">
        <v>393</v>
      </c>
      <c r="G123" s="106" t="s">
        <v>326</v>
      </c>
      <c r="H123" s="111">
        <v>0</v>
      </c>
      <c r="I123" s="111">
        <v>0</v>
      </c>
      <c r="J123" s="122">
        <v>0</v>
      </c>
      <c r="K123" s="121"/>
      <c r="L123" s="110">
        <v>0</v>
      </c>
      <c r="M123" s="110">
        <f t="shared" si="7"/>
        <v>0</v>
      </c>
      <c r="N123" s="107">
        <v>0</v>
      </c>
      <c r="O123" s="114"/>
      <c r="P123" s="110">
        <v>0</v>
      </c>
      <c r="Q123" s="110">
        <f t="shared" si="8"/>
        <v>0</v>
      </c>
      <c r="R123" s="120"/>
    </row>
    <row r="124" spans="1:18" ht="25.5" x14ac:dyDescent="0.25">
      <c r="A124" s="128">
        <v>1</v>
      </c>
      <c r="B124" s="129" t="s">
        <v>159</v>
      </c>
      <c r="C124" s="130" t="s">
        <v>62</v>
      </c>
      <c r="D124" s="129" t="s">
        <v>63</v>
      </c>
      <c r="E124" s="129" t="s">
        <v>121</v>
      </c>
      <c r="F124" s="129" t="s">
        <v>160</v>
      </c>
      <c r="G124" s="130" t="s">
        <v>85</v>
      </c>
      <c r="H124" s="130">
        <v>3</v>
      </c>
      <c r="I124" s="130">
        <v>3</v>
      </c>
      <c r="J124" s="130">
        <v>3</v>
      </c>
      <c r="K124" s="131">
        <v>1493.3</v>
      </c>
      <c r="L124" s="131">
        <v>1493.3</v>
      </c>
      <c r="M124" s="131">
        <v>0</v>
      </c>
      <c r="N124" s="130">
        <v>7</v>
      </c>
      <c r="O124" s="131">
        <v>28053.94</v>
      </c>
      <c r="P124" s="131">
        <f>26421.62+1632.32</f>
        <v>28053.94</v>
      </c>
      <c r="Q124" s="131">
        <v>0</v>
      </c>
      <c r="R124" s="6"/>
    </row>
    <row r="125" spans="1:18" x14ac:dyDescent="0.25">
      <c r="A125" s="132">
        <f>A124+1</f>
        <v>2</v>
      </c>
      <c r="B125" s="129" t="s">
        <v>95</v>
      </c>
      <c r="C125" s="130" t="s">
        <v>62</v>
      </c>
      <c r="D125" s="129" t="s">
        <v>63</v>
      </c>
      <c r="E125" s="129" t="s">
        <v>74</v>
      </c>
      <c r="F125" s="129" t="s">
        <v>161</v>
      </c>
      <c r="G125" s="130" t="s">
        <v>85</v>
      </c>
      <c r="H125" s="130">
        <v>30</v>
      </c>
      <c r="I125" s="130">
        <v>22</v>
      </c>
      <c r="J125" s="130">
        <v>30</v>
      </c>
      <c r="K125" s="131">
        <v>29308.959999999999</v>
      </c>
      <c r="L125" s="131">
        <v>29308.959999999999</v>
      </c>
      <c r="M125" s="131">
        <v>0</v>
      </c>
      <c r="N125" s="130">
        <v>17</v>
      </c>
      <c r="O125" s="131">
        <v>57450.400000000001</v>
      </c>
      <c r="P125" s="131">
        <v>57450.400000000001</v>
      </c>
      <c r="Q125" s="131">
        <v>0</v>
      </c>
      <c r="R125" s="6"/>
    </row>
    <row r="126" spans="1:18" ht="25.5" x14ac:dyDescent="0.25">
      <c r="A126" s="132">
        <f t="shared" ref="A126:A189" si="9">A125+1</f>
        <v>3</v>
      </c>
      <c r="B126" s="129" t="s">
        <v>541</v>
      </c>
      <c r="C126" s="130" t="s">
        <v>62</v>
      </c>
      <c r="D126" s="129" t="s">
        <v>63</v>
      </c>
      <c r="E126" s="129" t="s">
        <v>177</v>
      </c>
      <c r="F126" s="129" t="s">
        <v>542</v>
      </c>
      <c r="G126" s="130" t="s">
        <v>85</v>
      </c>
      <c r="H126" s="130">
        <v>10</v>
      </c>
      <c r="I126" s="130">
        <v>1</v>
      </c>
      <c r="J126" s="130">
        <v>1</v>
      </c>
      <c r="K126" s="131">
        <v>0</v>
      </c>
      <c r="L126" s="131">
        <v>0</v>
      </c>
      <c r="M126" s="131">
        <v>0</v>
      </c>
      <c r="N126" s="130">
        <v>0</v>
      </c>
      <c r="O126" s="131">
        <v>0</v>
      </c>
      <c r="P126" s="131">
        <v>0</v>
      </c>
      <c r="Q126" s="131">
        <v>0</v>
      </c>
      <c r="R126" s="6"/>
    </row>
    <row r="127" spans="1:18" ht="25.5" x14ac:dyDescent="0.25">
      <c r="A127" s="132">
        <f t="shared" si="9"/>
        <v>4</v>
      </c>
      <c r="B127" s="129" t="s">
        <v>18</v>
      </c>
      <c r="C127" s="130" t="s">
        <v>62</v>
      </c>
      <c r="D127" s="129" t="s">
        <v>63</v>
      </c>
      <c r="E127" s="129" t="s">
        <v>70</v>
      </c>
      <c r="F127" s="129" t="s">
        <v>99</v>
      </c>
      <c r="G127" s="130" t="s">
        <v>85</v>
      </c>
      <c r="H127" s="130">
        <v>2</v>
      </c>
      <c r="I127" s="130">
        <v>0</v>
      </c>
      <c r="J127" s="130">
        <v>0</v>
      </c>
      <c r="K127" s="131">
        <v>0</v>
      </c>
      <c r="L127" s="131">
        <v>0</v>
      </c>
      <c r="M127" s="131">
        <v>0</v>
      </c>
      <c r="N127" s="130">
        <v>1</v>
      </c>
      <c r="O127" s="131">
        <v>0</v>
      </c>
      <c r="P127" s="131">
        <v>0</v>
      </c>
      <c r="Q127" s="131">
        <v>0</v>
      </c>
      <c r="R127" s="6"/>
    </row>
    <row r="128" spans="1:18" x14ac:dyDescent="0.25">
      <c r="A128" s="132">
        <f t="shared" si="9"/>
        <v>5</v>
      </c>
      <c r="B128" s="129" t="s">
        <v>19</v>
      </c>
      <c r="C128" s="130" t="s">
        <v>62</v>
      </c>
      <c r="D128" s="129" t="s">
        <v>63</v>
      </c>
      <c r="E128" s="129" t="s">
        <v>71</v>
      </c>
      <c r="F128" s="129" t="s">
        <v>162</v>
      </c>
      <c r="G128" s="130" t="s">
        <v>85</v>
      </c>
      <c r="H128" s="130">
        <v>60</v>
      </c>
      <c r="I128" s="130">
        <v>42</v>
      </c>
      <c r="J128" s="130">
        <v>52</v>
      </c>
      <c r="K128" s="131">
        <v>48258.25</v>
      </c>
      <c r="L128" s="131">
        <v>40140.370000000003</v>
      </c>
      <c r="M128" s="131">
        <v>8117.88</v>
      </c>
      <c r="N128" s="130">
        <v>16</v>
      </c>
      <c r="O128" s="131">
        <v>60549.22</v>
      </c>
      <c r="P128" s="131">
        <v>39799.199999999997</v>
      </c>
      <c r="Q128" s="131">
        <v>20750.02</v>
      </c>
      <c r="R128" s="6"/>
    </row>
    <row r="129" spans="1:18" ht="25.5" x14ac:dyDescent="0.25">
      <c r="A129" s="132">
        <f t="shared" si="9"/>
        <v>6</v>
      </c>
      <c r="B129" s="129" t="s">
        <v>20</v>
      </c>
      <c r="C129" s="130" t="s">
        <v>62</v>
      </c>
      <c r="D129" s="129" t="s">
        <v>63</v>
      </c>
      <c r="E129" s="129" t="s">
        <v>72</v>
      </c>
      <c r="F129" s="129" t="s">
        <v>163</v>
      </c>
      <c r="G129" s="130" t="s">
        <v>85</v>
      </c>
      <c r="H129" s="130">
        <v>0</v>
      </c>
      <c r="I129" s="130">
        <v>0</v>
      </c>
      <c r="J129" s="130">
        <v>0</v>
      </c>
      <c r="K129" s="131">
        <v>0</v>
      </c>
      <c r="L129" s="131">
        <v>0</v>
      </c>
      <c r="M129" s="131">
        <v>0</v>
      </c>
      <c r="N129" s="130">
        <v>0</v>
      </c>
      <c r="O129" s="131">
        <v>6138.73</v>
      </c>
      <c r="P129" s="131">
        <v>6138.73</v>
      </c>
      <c r="Q129" s="131">
        <v>0</v>
      </c>
      <c r="R129" s="6"/>
    </row>
    <row r="130" spans="1:18" ht="25.5" x14ac:dyDescent="0.25">
      <c r="A130" s="132">
        <f t="shared" si="9"/>
        <v>7</v>
      </c>
      <c r="B130" s="129" t="s">
        <v>100</v>
      </c>
      <c r="C130" s="130" t="s">
        <v>62</v>
      </c>
      <c r="D130" s="129" t="s">
        <v>63</v>
      </c>
      <c r="E130" s="129" t="s">
        <v>101</v>
      </c>
      <c r="F130" s="129" t="s">
        <v>164</v>
      </c>
      <c r="G130" s="130" t="s">
        <v>85</v>
      </c>
      <c r="H130" s="130">
        <v>13</v>
      </c>
      <c r="I130" s="130">
        <v>13</v>
      </c>
      <c r="J130" s="130">
        <v>16</v>
      </c>
      <c r="K130" s="131">
        <v>2236.1999999999998</v>
      </c>
      <c r="L130" s="131">
        <v>2236.1999999999998</v>
      </c>
      <c r="M130" s="131">
        <v>0</v>
      </c>
      <c r="N130" s="130">
        <v>12</v>
      </c>
      <c r="O130" s="131">
        <v>14229.95</v>
      </c>
      <c r="P130" s="131">
        <v>14229.95</v>
      </c>
      <c r="Q130" s="131">
        <v>0</v>
      </c>
      <c r="R130" s="6"/>
    </row>
    <row r="131" spans="1:18" x14ac:dyDescent="0.25">
      <c r="A131" s="132">
        <f t="shared" si="9"/>
        <v>8</v>
      </c>
      <c r="B131" s="129" t="s">
        <v>86</v>
      </c>
      <c r="C131" s="130" t="s">
        <v>62</v>
      </c>
      <c r="D131" s="129" t="s">
        <v>63</v>
      </c>
      <c r="E131" s="129" t="s">
        <v>74</v>
      </c>
      <c r="F131" s="129" t="s">
        <v>165</v>
      </c>
      <c r="G131" s="130" t="s">
        <v>85</v>
      </c>
      <c r="H131" s="130">
        <v>30</v>
      </c>
      <c r="I131" s="130">
        <v>25</v>
      </c>
      <c r="J131" s="130">
        <v>27</v>
      </c>
      <c r="K131" s="131">
        <v>20362.900000000001</v>
      </c>
      <c r="L131" s="131">
        <v>20362.900000000001</v>
      </c>
      <c r="M131" s="131">
        <v>0</v>
      </c>
      <c r="N131" s="130">
        <v>17</v>
      </c>
      <c r="O131" s="131">
        <f>41124.29+607.89</f>
        <v>41732.18</v>
      </c>
      <c r="P131" s="131">
        <f>41124.29+607.89</f>
        <v>41732.18</v>
      </c>
      <c r="Q131" s="131">
        <v>0</v>
      </c>
      <c r="R131" s="6"/>
    </row>
    <row r="132" spans="1:18" x14ac:dyDescent="0.25">
      <c r="A132" s="132">
        <f t="shared" si="9"/>
        <v>9</v>
      </c>
      <c r="B132" s="129" t="s">
        <v>166</v>
      </c>
      <c r="C132" s="130" t="s">
        <v>62</v>
      </c>
      <c r="D132" s="129" t="s">
        <v>63</v>
      </c>
      <c r="E132" s="129" t="s">
        <v>63</v>
      </c>
      <c r="F132" s="129" t="s">
        <v>167</v>
      </c>
      <c r="G132" s="130" t="s">
        <v>85</v>
      </c>
      <c r="H132" s="130">
        <v>10</v>
      </c>
      <c r="I132" s="130">
        <v>7</v>
      </c>
      <c r="J132" s="130">
        <v>7</v>
      </c>
      <c r="K132" s="131">
        <v>3373.58</v>
      </c>
      <c r="L132" s="131">
        <v>3373.58</v>
      </c>
      <c r="M132" s="131">
        <v>0</v>
      </c>
      <c r="N132" s="130">
        <v>0</v>
      </c>
      <c r="O132" s="131">
        <v>0</v>
      </c>
      <c r="P132" s="131">
        <v>0</v>
      </c>
      <c r="Q132" s="131">
        <v>0</v>
      </c>
      <c r="R132" s="6"/>
    </row>
    <row r="133" spans="1:18" x14ac:dyDescent="0.25">
      <c r="A133" s="132">
        <f t="shared" si="9"/>
        <v>10</v>
      </c>
      <c r="B133" s="129" t="s">
        <v>168</v>
      </c>
      <c r="C133" s="130" t="s">
        <v>62</v>
      </c>
      <c r="D133" s="129" t="s">
        <v>63</v>
      </c>
      <c r="E133" s="129" t="s">
        <v>63</v>
      </c>
      <c r="F133" s="129" t="s">
        <v>169</v>
      </c>
      <c r="G133" s="130" t="s">
        <v>85</v>
      </c>
      <c r="H133" s="130">
        <v>17</v>
      </c>
      <c r="I133" s="130">
        <v>11</v>
      </c>
      <c r="J133" s="130">
        <v>13</v>
      </c>
      <c r="K133" s="131">
        <v>1800.94</v>
      </c>
      <c r="L133" s="131">
        <v>1800.94</v>
      </c>
      <c r="M133" s="131">
        <v>0</v>
      </c>
      <c r="N133" s="130">
        <v>0</v>
      </c>
      <c r="O133" s="131">
        <v>0</v>
      </c>
      <c r="P133" s="131">
        <v>0</v>
      </c>
      <c r="Q133" s="131">
        <v>0</v>
      </c>
      <c r="R133" s="6"/>
    </row>
    <row r="134" spans="1:18" x14ac:dyDescent="0.25">
      <c r="A134" s="132">
        <f t="shared" si="9"/>
        <v>11</v>
      </c>
      <c r="B134" s="129" t="s">
        <v>21</v>
      </c>
      <c r="C134" s="130" t="s">
        <v>62</v>
      </c>
      <c r="D134" s="129" t="s">
        <v>63</v>
      </c>
      <c r="E134" s="129" t="s">
        <v>73</v>
      </c>
      <c r="F134" s="129" t="s">
        <v>170</v>
      </c>
      <c r="G134" s="130" t="s">
        <v>85</v>
      </c>
      <c r="H134" s="130">
        <v>38</v>
      </c>
      <c r="I134" s="130">
        <v>34</v>
      </c>
      <c r="J134" s="130">
        <v>37</v>
      </c>
      <c r="K134" s="131">
        <v>35579.82</v>
      </c>
      <c r="L134" s="131">
        <v>35579.82</v>
      </c>
      <c r="M134" s="131">
        <v>0</v>
      </c>
      <c r="N134" s="130">
        <v>29</v>
      </c>
      <c r="O134" s="131">
        <v>55974.63</v>
      </c>
      <c r="P134" s="131">
        <v>55974.63</v>
      </c>
      <c r="Q134" s="131">
        <v>0</v>
      </c>
      <c r="R134" s="6"/>
    </row>
    <row r="135" spans="1:18" x14ac:dyDescent="0.25">
      <c r="A135" s="132">
        <f t="shared" si="9"/>
        <v>12</v>
      </c>
      <c r="B135" s="129" t="s">
        <v>22</v>
      </c>
      <c r="C135" s="130" t="s">
        <v>62</v>
      </c>
      <c r="D135" s="129" t="s">
        <v>63</v>
      </c>
      <c r="E135" s="129" t="s">
        <v>74</v>
      </c>
      <c r="F135" s="129" t="s">
        <v>171</v>
      </c>
      <c r="G135" s="130" t="s">
        <v>85</v>
      </c>
      <c r="H135" s="130">
        <v>24</v>
      </c>
      <c r="I135" s="130">
        <v>20</v>
      </c>
      <c r="J135" s="130">
        <v>23</v>
      </c>
      <c r="K135" s="131">
        <v>31389.19</v>
      </c>
      <c r="L135" s="131">
        <v>25314.87</v>
      </c>
      <c r="M135" s="131">
        <v>6074.32</v>
      </c>
      <c r="N135" s="130">
        <v>33</v>
      </c>
      <c r="O135" s="131">
        <v>32673.99</v>
      </c>
      <c r="P135" s="131">
        <v>31511.07</v>
      </c>
      <c r="Q135" s="131">
        <v>1162.92</v>
      </c>
      <c r="R135" s="6"/>
    </row>
    <row r="136" spans="1:18" ht="25.5" x14ac:dyDescent="0.25">
      <c r="A136" s="132">
        <f t="shared" si="9"/>
        <v>13</v>
      </c>
      <c r="B136" s="129" t="s">
        <v>23</v>
      </c>
      <c r="C136" s="130" t="s">
        <v>62</v>
      </c>
      <c r="D136" s="129" t="s">
        <v>63</v>
      </c>
      <c r="E136" s="129" t="s">
        <v>75</v>
      </c>
      <c r="F136" s="129" t="s">
        <v>136</v>
      </c>
      <c r="G136" s="130" t="s">
        <v>85</v>
      </c>
      <c r="H136" s="130">
        <v>2</v>
      </c>
      <c r="I136" s="130">
        <v>0</v>
      </c>
      <c r="J136" s="130">
        <v>0</v>
      </c>
      <c r="K136" s="131">
        <v>0</v>
      </c>
      <c r="L136" s="131">
        <v>0</v>
      </c>
      <c r="M136" s="131">
        <v>0</v>
      </c>
      <c r="N136" s="130">
        <v>0</v>
      </c>
      <c r="O136" s="131">
        <v>0</v>
      </c>
      <c r="P136" s="131">
        <v>0</v>
      </c>
      <c r="Q136" s="131">
        <v>0</v>
      </c>
      <c r="R136" s="6"/>
    </row>
    <row r="137" spans="1:18" x14ac:dyDescent="0.25">
      <c r="A137" s="132">
        <f t="shared" si="9"/>
        <v>14</v>
      </c>
      <c r="B137" s="129" t="s">
        <v>24</v>
      </c>
      <c r="C137" s="130" t="s">
        <v>62</v>
      </c>
      <c r="D137" s="129" t="s">
        <v>63</v>
      </c>
      <c r="E137" s="129" t="s">
        <v>74</v>
      </c>
      <c r="F137" s="129" t="s">
        <v>172</v>
      </c>
      <c r="G137" s="130" t="s">
        <v>85</v>
      </c>
      <c r="H137" s="130">
        <v>23</v>
      </c>
      <c r="I137" s="130">
        <v>16</v>
      </c>
      <c r="J137" s="130">
        <v>20</v>
      </c>
      <c r="K137" s="131">
        <v>13896.45</v>
      </c>
      <c r="L137" s="131">
        <v>13896.45</v>
      </c>
      <c r="M137" s="131">
        <v>0</v>
      </c>
      <c r="N137" s="130">
        <v>20</v>
      </c>
      <c r="O137" s="131">
        <v>38937.43</v>
      </c>
      <c r="P137" s="131">
        <v>38937.43</v>
      </c>
      <c r="Q137" s="131">
        <v>0</v>
      </c>
      <c r="R137" s="6"/>
    </row>
    <row r="138" spans="1:18" x14ac:dyDescent="0.25">
      <c r="A138" s="132">
        <f t="shared" si="9"/>
        <v>15</v>
      </c>
      <c r="B138" s="129" t="s">
        <v>102</v>
      </c>
      <c r="C138" s="130" t="s">
        <v>62</v>
      </c>
      <c r="D138" s="129" t="s">
        <v>63</v>
      </c>
      <c r="E138" s="129" t="s">
        <v>74</v>
      </c>
      <c r="F138" s="129" t="s">
        <v>477</v>
      </c>
      <c r="G138" s="130" t="s">
        <v>85</v>
      </c>
      <c r="H138" s="130">
        <v>2</v>
      </c>
      <c r="I138" s="130">
        <v>1</v>
      </c>
      <c r="J138" s="130">
        <v>1</v>
      </c>
      <c r="K138" s="131">
        <v>528.6</v>
      </c>
      <c r="L138" s="131">
        <v>528.6</v>
      </c>
      <c r="M138" s="131">
        <v>0</v>
      </c>
      <c r="N138" s="130">
        <v>4</v>
      </c>
      <c r="O138" s="131">
        <v>3334.48</v>
      </c>
      <c r="P138" s="131">
        <v>3334.48</v>
      </c>
      <c r="Q138" s="131">
        <v>0</v>
      </c>
      <c r="R138" s="6"/>
    </row>
    <row r="139" spans="1:18" ht="25.5" x14ac:dyDescent="0.25">
      <c r="A139" s="132">
        <f t="shared" si="9"/>
        <v>16</v>
      </c>
      <c r="B139" s="129" t="s">
        <v>173</v>
      </c>
      <c r="C139" s="130" t="s">
        <v>67</v>
      </c>
      <c r="D139" s="129" t="s">
        <v>478</v>
      </c>
      <c r="E139" s="129" t="s">
        <v>174</v>
      </c>
      <c r="F139" s="129" t="s">
        <v>175</v>
      </c>
      <c r="G139" s="130" t="s">
        <v>85</v>
      </c>
      <c r="H139" s="130">
        <v>19</v>
      </c>
      <c r="I139" s="130">
        <v>14</v>
      </c>
      <c r="J139" s="130">
        <v>14</v>
      </c>
      <c r="K139" s="131">
        <v>5014.49</v>
      </c>
      <c r="L139" s="131">
        <v>5014.49</v>
      </c>
      <c r="M139" s="131">
        <v>0</v>
      </c>
      <c r="N139" s="130">
        <v>0</v>
      </c>
      <c r="O139" s="131">
        <v>0</v>
      </c>
      <c r="P139" s="131">
        <v>0</v>
      </c>
      <c r="Q139" s="131">
        <v>0</v>
      </c>
      <c r="R139" s="6"/>
    </row>
    <row r="140" spans="1:18" ht="25.5" x14ac:dyDescent="0.25">
      <c r="A140" s="132">
        <f t="shared" si="9"/>
        <v>17</v>
      </c>
      <c r="B140" s="129" t="s">
        <v>25</v>
      </c>
      <c r="C140" s="130" t="s">
        <v>62</v>
      </c>
      <c r="D140" s="129" t="s">
        <v>63</v>
      </c>
      <c r="E140" s="129" t="s">
        <v>76</v>
      </c>
      <c r="F140" s="129" t="s">
        <v>543</v>
      </c>
      <c r="G140" s="130" t="s">
        <v>85</v>
      </c>
      <c r="H140" s="130">
        <v>29</v>
      </c>
      <c r="I140" s="130">
        <v>0</v>
      </c>
      <c r="J140" s="130">
        <v>0</v>
      </c>
      <c r="K140" s="131">
        <v>0</v>
      </c>
      <c r="L140" s="131">
        <v>0</v>
      </c>
      <c r="M140" s="131">
        <v>0</v>
      </c>
      <c r="N140" s="130">
        <v>0</v>
      </c>
      <c r="O140" s="131">
        <v>0</v>
      </c>
      <c r="P140" s="131">
        <v>0</v>
      </c>
      <c r="Q140" s="131">
        <v>0</v>
      </c>
      <c r="R140" s="6"/>
    </row>
    <row r="141" spans="1:18" ht="25.5" x14ac:dyDescent="0.25">
      <c r="A141" s="132">
        <f t="shared" si="9"/>
        <v>18</v>
      </c>
      <c r="B141" s="129" t="s">
        <v>87</v>
      </c>
      <c r="C141" s="130" t="s">
        <v>62</v>
      </c>
      <c r="D141" s="129" t="s">
        <v>63</v>
      </c>
      <c r="E141" s="129" t="s">
        <v>75</v>
      </c>
      <c r="F141" s="129" t="s">
        <v>103</v>
      </c>
      <c r="G141" s="130" t="s">
        <v>85</v>
      </c>
      <c r="H141" s="130">
        <v>0</v>
      </c>
      <c r="I141" s="130">
        <v>0</v>
      </c>
      <c r="J141" s="130">
        <v>0</v>
      </c>
      <c r="K141" s="131">
        <v>0</v>
      </c>
      <c r="L141" s="131">
        <v>0</v>
      </c>
      <c r="M141" s="131">
        <v>0</v>
      </c>
      <c r="N141" s="130">
        <v>9</v>
      </c>
      <c r="O141" s="131">
        <v>0</v>
      </c>
      <c r="P141" s="131">
        <v>0</v>
      </c>
      <c r="Q141" s="131">
        <v>0</v>
      </c>
      <c r="R141" s="6"/>
    </row>
    <row r="142" spans="1:18" ht="25.5" x14ac:dyDescent="0.25">
      <c r="A142" s="132">
        <f t="shared" si="9"/>
        <v>19</v>
      </c>
      <c r="B142" s="129" t="s">
        <v>479</v>
      </c>
      <c r="C142" s="130" t="s">
        <v>67</v>
      </c>
      <c r="D142" s="129" t="s">
        <v>480</v>
      </c>
      <c r="E142" s="129" t="s">
        <v>271</v>
      </c>
      <c r="F142" s="129" t="s">
        <v>481</v>
      </c>
      <c r="G142" s="130" t="s">
        <v>85</v>
      </c>
      <c r="H142" s="130">
        <v>8</v>
      </c>
      <c r="I142" s="130">
        <v>0</v>
      </c>
      <c r="J142" s="130">
        <v>0</v>
      </c>
      <c r="K142" s="131">
        <v>0</v>
      </c>
      <c r="L142" s="131">
        <v>0</v>
      </c>
      <c r="M142" s="131">
        <v>0</v>
      </c>
      <c r="N142" s="130">
        <v>0</v>
      </c>
      <c r="O142" s="131">
        <v>0</v>
      </c>
      <c r="P142" s="131">
        <v>0</v>
      </c>
      <c r="Q142" s="131">
        <v>0</v>
      </c>
      <c r="R142" s="6"/>
    </row>
    <row r="143" spans="1:18" ht="25.5" x14ac:dyDescent="0.25">
      <c r="A143" s="132">
        <f t="shared" si="9"/>
        <v>20</v>
      </c>
      <c r="B143" s="129" t="s">
        <v>176</v>
      </c>
      <c r="C143" s="130" t="s">
        <v>62</v>
      </c>
      <c r="D143" s="129" t="s">
        <v>63</v>
      </c>
      <c r="E143" s="129" t="s">
        <v>177</v>
      </c>
      <c r="F143" s="129" t="s">
        <v>178</v>
      </c>
      <c r="G143" s="130" t="s">
        <v>85</v>
      </c>
      <c r="H143" s="130">
        <v>9</v>
      </c>
      <c r="I143" s="130">
        <v>5</v>
      </c>
      <c r="J143" s="130">
        <v>6</v>
      </c>
      <c r="K143" s="131">
        <v>5215.5200000000004</v>
      </c>
      <c r="L143" s="131">
        <v>5215.5200000000004</v>
      </c>
      <c r="M143" s="131">
        <v>0</v>
      </c>
      <c r="N143" s="130">
        <v>0</v>
      </c>
      <c r="O143" s="131">
        <v>0</v>
      </c>
      <c r="P143" s="131">
        <v>0</v>
      </c>
      <c r="Q143" s="131">
        <v>0</v>
      </c>
      <c r="R143" s="6"/>
    </row>
    <row r="144" spans="1:18" x14ac:dyDescent="0.25">
      <c r="A144" s="132">
        <f t="shared" si="9"/>
        <v>21</v>
      </c>
      <c r="B144" s="129" t="s">
        <v>152</v>
      </c>
      <c r="C144" s="130" t="s">
        <v>62</v>
      </c>
      <c r="D144" s="129" t="s">
        <v>63</v>
      </c>
      <c r="E144" s="129" t="s">
        <v>63</v>
      </c>
      <c r="F144" s="129" t="s">
        <v>179</v>
      </c>
      <c r="G144" s="130" t="s">
        <v>85</v>
      </c>
      <c r="H144" s="130">
        <v>20</v>
      </c>
      <c r="I144" s="130">
        <v>8</v>
      </c>
      <c r="J144" s="130">
        <v>9</v>
      </c>
      <c r="K144" s="131">
        <v>2163.9</v>
      </c>
      <c r="L144" s="131">
        <v>2163.9</v>
      </c>
      <c r="M144" s="131">
        <v>0</v>
      </c>
      <c r="N144" s="130">
        <v>12</v>
      </c>
      <c r="O144" s="131">
        <v>10033.950000000001</v>
      </c>
      <c r="P144" s="131">
        <v>10033.950000000001</v>
      </c>
      <c r="Q144" s="131">
        <v>0</v>
      </c>
      <c r="R144" s="6"/>
    </row>
    <row r="145" spans="1:18" x14ac:dyDescent="0.25">
      <c r="A145" s="132">
        <f t="shared" si="9"/>
        <v>22</v>
      </c>
      <c r="B145" s="129" t="s">
        <v>88</v>
      </c>
      <c r="C145" s="130" t="s">
        <v>62</v>
      </c>
      <c r="D145" s="129" t="s">
        <v>63</v>
      </c>
      <c r="E145" s="129" t="s">
        <v>74</v>
      </c>
      <c r="F145" s="129" t="s">
        <v>180</v>
      </c>
      <c r="G145" s="130" t="s">
        <v>85</v>
      </c>
      <c r="H145" s="130">
        <v>7</v>
      </c>
      <c r="I145" s="130">
        <v>2</v>
      </c>
      <c r="J145" s="130">
        <v>2</v>
      </c>
      <c r="K145" s="131">
        <v>2706.43</v>
      </c>
      <c r="L145" s="131">
        <v>2706.43</v>
      </c>
      <c r="M145" s="131">
        <v>0</v>
      </c>
      <c r="N145" s="130">
        <v>2</v>
      </c>
      <c r="O145" s="131">
        <v>2692.05</v>
      </c>
      <c r="P145" s="131">
        <v>2692.05</v>
      </c>
      <c r="Q145" s="131">
        <v>0</v>
      </c>
      <c r="R145" s="6"/>
    </row>
    <row r="146" spans="1:18" x14ac:dyDescent="0.25">
      <c r="A146" s="132">
        <f t="shared" si="9"/>
        <v>23</v>
      </c>
      <c r="B146" s="129" t="s">
        <v>26</v>
      </c>
      <c r="C146" s="130" t="s">
        <v>62</v>
      </c>
      <c r="D146" s="129" t="s">
        <v>63</v>
      </c>
      <c r="E146" s="129" t="s">
        <v>74</v>
      </c>
      <c r="F146" s="129" t="s">
        <v>181</v>
      </c>
      <c r="G146" s="130" t="s">
        <v>85</v>
      </c>
      <c r="H146" s="130">
        <v>19</v>
      </c>
      <c r="I146" s="130">
        <v>15</v>
      </c>
      <c r="J146" s="130">
        <v>18</v>
      </c>
      <c r="K146" s="131">
        <v>30043.9</v>
      </c>
      <c r="L146" s="131">
        <v>30043.9</v>
      </c>
      <c r="M146" s="131">
        <v>0</v>
      </c>
      <c r="N146" s="130">
        <v>11</v>
      </c>
      <c r="O146" s="131">
        <v>14402.86</v>
      </c>
      <c r="P146" s="131">
        <v>14402.86</v>
      </c>
      <c r="Q146" s="131">
        <v>0</v>
      </c>
      <c r="R146" s="6"/>
    </row>
    <row r="147" spans="1:18" ht="25.5" x14ac:dyDescent="0.25">
      <c r="A147" s="132">
        <f t="shared" si="9"/>
        <v>24</v>
      </c>
      <c r="B147" s="129" t="s">
        <v>182</v>
      </c>
      <c r="C147" s="130" t="s">
        <v>62</v>
      </c>
      <c r="D147" s="129" t="s">
        <v>63</v>
      </c>
      <c r="E147" s="129" t="s">
        <v>174</v>
      </c>
      <c r="F147" s="129" t="s">
        <v>183</v>
      </c>
      <c r="G147" s="130" t="s">
        <v>85</v>
      </c>
      <c r="H147" s="130">
        <v>23</v>
      </c>
      <c r="I147" s="130">
        <v>21</v>
      </c>
      <c r="J147" s="130">
        <v>24</v>
      </c>
      <c r="K147" s="131">
        <v>16674.57</v>
      </c>
      <c r="L147" s="131">
        <v>16674.57</v>
      </c>
      <c r="M147" s="131">
        <v>0</v>
      </c>
      <c r="N147" s="130">
        <v>0</v>
      </c>
      <c r="O147" s="131">
        <v>0</v>
      </c>
      <c r="P147" s="131">
        <v>0</v>
      </c>
      <c r="Q147" s="131">
        <v>0</v>
      </c>
      <c r="R147" s="6"/>
    </row>
    <row r="148" spans="1:18" ht="25.5" x14ac:dyDescent="0.25">
      <c r="A148" s="132">
        <f t="shared" si="9"/>
        <v>25</v>
      </c>
      <c r="B148" s="129" t="s">
        <v>137</v>
      </c>
      <c r="C148" s="130" t="s">
        <v>62</v>
      </c>
      <c r="D148" s="129" t="s">
        <v>63</v>
      </c>
      <c r="E148" s="129" t="s">
        <v>78</v>
      </c>
      <c r="F148" s="129" t="s">
        <v>184</v>
      </c>
      <c r="G148" s="130" t="s">
        <v>85</v>
      </c>
      <c r="H148" s="130">
        <v>8</v>
      </c>
      <c r="I148" s="130">
        <v>3</v>
      </c>
      <c r="J148" s="130">
        <v>3</v>
      </c>
      <c r="K148" s="131">
        <v>2678.24</v>
      </c>
      <c r="L148" s="131">
        <v>2678.24</v>
      </c>
      <c r="M148" s="131">
        <v>0</v>
      </c>
      <c r="N148" s="130">
        <v>4</v>
      </c>
      <c r="O148" s="131">
        <v>6101.8</v>
      </c>
      <c r="P148" s="131">
        <v>6101.8</v>
      </c>
      <c r="Q148" s="131">
        <v>0</v>
      </c>
      <c r="R148" s="6"/>
    </row>
    <row r="149" spans="1:18" ht="25.5" x14ac:dyDescent="0.25">
      <c r="A149" s="132">
        <f t="shared" si="9"/>
        <v>26</v>
      </c>
      <c r="B149" s="129" t="s">
        <v>185</v>
      </c>
      <c r="C149" s="130" t="s">
        <v>62</v>
      </c>
      <c r="D149" s="129" t="s">
        <v>63</v>
      </c>
      <c r="E149" s="129" t="s">
        <v>186</v>
      </c>
      <c r="F149" s="129" t="s">
        <v>463</v>
      </c>
      <c r="G149" s="130" t="s">
        <v>85</v>
      </c>
      <c r="H149" s="130">
        <v>7</v>
      </c>
      <c r="I149" s="130">
        <v>3</v>
      </c>
      <c r="J149" s="130">
        <v>3</v>
      </c>
      <c r="K149" s="131">
        <v>1409.6</v>
      </c>
      <c r="L149" s="131">
        <v>1409.6</v>
      </c>
      <c r="M149" s="131">
        <v>0</v>
      </c>
      <c r="N149" s="130">
        <v>0</v>
      </c>
      <c r="O149" s="131">
        <v>0</v>
      </c>
      <c r="P149" s="131">
        <v>0</v>
      </c>
      <c r="Q149" s="131">
        <v>0</v>
      </c>
      <c r="R149" s="6"/>
    </row>
    <row r="150" spans="1:18" x14ac:dyDescent="0.25">
      <c r="A150" s="132">
        <f t="shared" si="9"/>
        <v>27</v>
      </c>
      <c r="B150" s="129" t="s">
        <v>27</v>
      </c>
      <c r="C150" s="130" t="s">
        <v>62</v>
      </c>
      <c r="D150" s="129" t="s">
        <v>63</v>
      </c>
      <c r="E150" s="129" t="s">
        <v>74</v>
      </c>
      <c r="F150" s="129" t="s">
        <v>187</v>
      </c>
      <c r="G150" s="130" t="s">
        <v>85</v>
      </c>
      <c r="H150" s="130">
        <v>11</v>
      </c>
      <c r="I150" s="130">
        <v>6</v>
      </c>
      <c r="J150" s="130">
        <v>7</v>
      </c>
      <c r="K150" s="131">
        <v>2039.94</v>
      </c>
      <c r="L150" s="131">
        <v>2039.94</v>
      </c>
      <c r="M150" s="131">
        <v>0</v>
      </c>
      <c r="N150" s="130">
        <v>4</v>
      </c>
      <c r="O150" s="131">
        <v>25409.64</v>
      </c>
      <c r="P150" s="131">
        <v>25409.64</v>
      </c>
      <c r="Q150" s="131">
        <v>0</v>
      </c>
      <c r="R150" s="6"/>
    </row>
    <row r="151" spans="1:18" ht="25.5" x14ac:dyDescent="0.25">
      <c r="A151" s="132">
        <f t="shared" si="9"/>
        <v>28</v>
      </c>
      <c r="B151" s="129" t="s">
        <v>482</v>
      </c>
      <c r="C151" s="130" t="s">
        <v>64</v>
      </c>
      <c r="D151" s="129" t="s">
        <v>483</v>
      </c>
      <c r="E151" s="129" t="s">
        <v>313</v>
      </c>
      <c r="F151" s="129" t="s">
        <v>484</v>
      </c>
      <c r="G151" s="130" t="s">
        <v>85</v>
      </c>
      <c r="H151" s="130">
        <v>9</v>
      </c>
      <c r="I151" s="130">
        <v>0</v>
      </c>
      <c r="J151" s="130">
        <v>0</v>
      </c>
      <c r="K151" s="131">
        <v>0</v>
      </c>
      <c r="L151" s="131">
        <v>0</v>
      </c>
      <c r="M151" s="131">
        <v>0</v>
      </c>
      <c r="N151" s="130">
        <v>0</v>
      </c>
      <c r="O151" s="131">
        <v>0</v>
      </c>
      <c r="P151" s="131">
        <v>0</v>
      </c>
      <c r="Q151" s="131">
        <v>0</v>
      </c>
      <c r="R151" s="6"/>
    </row>
    <row r="152" spans="1:18" ht="25.5" x14ac:dyDescent="0.25">
      <c r="A152" s="132">
        <f t="shared" si="9"/>
        <v>29</v>
      </c>
      <c r="B152" s="129" t="s">
        <v>104</v>
      </c>
      <c r="C152" s="130" t="s">
        <v>62</v>
      </c>
      <c r="D152" s="129" t="s">
        <v>63</v>
      </c>
      <c r="E152" s="129" t="s">
        <v>105</v>
      </c>
      <c r="F152" s="129" t="s">
        <v>188</v>
      </c>
      <c r="G152" s="130" t="s">
        <v>85</v>
      </c>
      <c r="H152" s="130">
        <v>9</v>
      </c>
      <c r="I152" s="130">
        <v>7</v>
      </c>
      <c r="J152" s="130">
        <v>8</v>
      </c>
      <c r="K152" s="131">
        <v>2130.2600000000002</v>
      </c>
      <c r="L152" s="131">
        <v>2130.2600000000002</v>
      </c>
      <c r="M152" s="131">
        <v>0</v>
      </c>
      <c r="N152" s="130">
        <v>22</v>
      </c>
      <c r="O152" s="131">
        <f>29623.1+4863.12</f>
        <v>34486.22</v>
      </c>
      <c r="P152" s="131">
        <f>29623.1+4863.12</f>
        <v>34486.22</v>
      </c>
      <c r="Q152" s="131">
        <v>0</v>
      </c>
      <c r="R152" s="6"/>
    </row>
    <row r="153" spans="1:18" ht="25.5" x14ac:dyDescent="0.25">
      <c r="A153" s="132">
        <f t="shared" si="9"/>
        <v>30</v>
      </c>
      <c r="B153" s="129" t="s">
        <v>517</v>
      </c>
      <c r="C153" s="130" t="s">
        <v>62</v>
      </c>
      <c r="D153" s="129" t="s">
        <v>63</v>
      </c>
      <c r="E153" s="129" t="s">
        <v>239</v>
      </c>
      <c r="F153" s="129" t="s">
        <v>63</v>
      </c>
      <c r="G153" s="130" t="s">
        <v>85</v>
      </c>
      <c r="H153" s="130">
        <v>6</v>
      </c>
      <c r="I153" s="130">
        <v>0</v>
      </c>
      <c r="J153" s="130">
        <v>0</v>
      </c>
      <c r="K153" s="131">
        <v>0</v>
      </c>
      <c r="L153" s="131">
        <v>0</v>
      </c>
      <c r="M153" s="131">
        <v>0</v>
      </c>
      <c r="N153" s="130">
        <v>0</v>
      </c>
      <c r="O153" s="131">
        <v>0</v>
      </c>
      <c r="P153" s="131">
        <v>0</v>
      </c>
      <c r="Q153" s="131">
        <v>0</v>
      </c>
      <c r="R153" s="6"/>
    </row>
    <row r="154" spans="1:18" x14ac:dyDescent="0.25">
      <c r="A154" s="132">
        <f t="shared" si="9"/>
        <v>31</v>
      </c>
      <c r="B154" s="129" t="s">
        <v>28</v>
      </c>
      <c r="C154" s="130" t="s">
        <v>62</v>
      </c>
      <c r="D154" s="129" t="s">
        <v>63</v>
      </c>
      <c r="E154" s="129" t="s">
        <v>74</v>
      </c>
      <c r="F154" s="129" t="s">
        <v>189</v>
      </c>
      <c r="G154" s="130" t="s">
        <v>85</v>
      </c>
      <c r="H154" s="130">
        <v>5</v>
      </c>
      <c r="I154" s="130">
        <v>2</v>
      </c>
      <c r="J154" s="130">
        <v>2</v>
      </c>
      <c r="K154" s="131">
        <v>581.46</v>
      </c>
      <c r="L154" s="131">
        <v>581.46</v>
      </c>
      <c r="M154" s="131">
        <v>0</v>
      </c>
      <c r="N154" s="130">
        <v>5</v>
      </c>
      <c r="O154" s="131">
        <v>6953.99</v>
      </c>
      <c r="P154" s="131">
        <v>6953.99</v>
      </c>
      <c r="Q154" s="131">
        <v>0</v>
      </c>
      <c r="R154" s="6"/>
    </row>
    <row r="155" spans="1:18" x14ac:dyDescent="0.25">
      <c r="A155" s="132">
        <f t="shared" si="9"/>
        <v>32</v>
      </c>
      <c r="B155" s="129" t="s">
        <v>190</v>
      </c>
      <c r="C155" s="130" t="s">
        <v>62</v>
      </c>
      <c r="D155" s="129" t="s">
        <v>63</v>
      </c>
      <c r="E155" s="129" t="s">
        <v>63</v>
      </c>
      <c r="F155" s="129" t="s">
        <v>191</v>
      </c>
      <c r="G155" s="130" t="s">
        <v>85</v>
      </c>
      <c r="H155" s="130">
        <v>11</v>
      </c>
      <c r="I155" s="130">
        <v>8</v>
      </c>
      <c r="J155" s="130">
        <v>8</v>
      </c>
      <c r="K155" s="131">
        <v>6494.16</v>
      </c>
      <c r="L155" s="131">
        <v>6494.16</v>
      </c>
      <c r="M155" s="131">
        <v>0</v>
      </c>
      <c r="N155" s="130">
        <v>0</v>
      </c>
      <c r="O155" s="131">
        <v>0</v>
      </c>
      <c r="P155" s="131">
        <v>0</v>
      </c>
      <c r="Q155" s="131">
        <v>0</v>
      </c>
      <c r="R155" s="6"/>
    </row>
    <row r="156" spans="1:18" ht="38.25" x14ac:dyDescent="0.25">
      <c r="A156" s="132">
        <f t="shared" si="9"/>
        <v>33</v>
      </c>
      <c r="B156" s="129" t="s">
        <v>192</v>
      </c>
      <c r="C156" s="130" t="s">
        <v>64</v>
      </c>
      <c r="D156" s="129" t="s">
        <v>193</v>
      </c>
      <c r="E156" s="129" t="s">
        <v>74</v>
      </c>
      <c r="F156" s="129" t="s">
        <v>194</v>
      </c>
      <c r="G156" s="130" t="s">
        <v>85</v>
      </c>
      <c r="H156" s="130">
        <v>1</v>
      </c>
      <c r="I156" s="130">
        <v>0</v>
      </c>
      <c r="J156" s="130">
        <v>0</v>
      </c>
      <c r="K156" s="131">
        <v>0</v>
      </c>
      <c r="L156" s="131">
        <v>0</v>
      </c>
      <c r="M156" s="131">
        <v>0</v>
      </c>
      <c r="N156" s="130">
        <v>0</v>
      </c>
      <c r="O156" s="131">
        <v>0</v>
      </c>
      <c r="P156" s="131">
        <v>0</v>
      </c>
      <c r="Q156" s="131">
        <v>0</v>
      </c>
      <c r="R156" s="6"/>
    </row>
    <row r="157" spans="1:18" x14ac:dyDescent="0.25">
      <c r="A157" s="132">
        <f t="shared" si="9"/>
        <v>34</v>
      </c>
      <c r="B157" s="129" t="s">
        <v>89</v>
      </c>
      <c r="C157" s="130" t="s">
        <v>62</v>
      </c>
      <c r="D157" s="129" t="s">
        <v>63</v>
      </c>
      <c r="E157" s="129" t="s">
        <v>74</v>
      </c>
      <c r="F157" s="129" t="s">
        <v>195</v>
      </c>
      <c r="G157" s="130" t="s">
        <v>85</v>
      </c>
      <c r="H157" s="130">
        <v>22</v>
      </c>
      <c r="I157" s="130">
        <v>17</v>
      </c>
      <c r="J157" s="130">
        <v>18</v>
      </c>
      <c r="K157" s="131">
        <f>8450.2+872.19</f>
        <v>9322.3900000000012</v>
      </c>
      <c r="L157" s="131">
        <f>8450.2+872.19</f>
        <v>9322.3900000000012</v>
      </c>
      <c r="M157" s="131">
        <v>0</v>
      </c>
      <c r="N157" s="130">
        <v>5</v>
      </c>
      <c r="O157" s="131">
        <v>25528.79</v>
      </c>
      <c r="P157" s="131">
        <v>25528.79</v>
      </c>
      <c r="Q157" s="131">
        <v>0</v>
      </c>
      <c r="R157" s="6"/>
    </row>
    <row r="158" spans="1:18" ht="25.5" x14ac:dyDescent="0.25">
      <c r="A158" s="132">
        <f t="shared" si="9"/>
        <v>35</v>
      </c>
      <c r="B158" s="129" t="s">
        <v>196</v>
      </c>
      <c r="C158" s="130" t="s">
        <v>62</v>
      </c>
      <c r="D158" s="129" t="s">
        <v>63</v>
      </c>
      <c r="E158" s="129" t="s">
        <v>197</v>
      </c>
      <c r="F158" s="129" t="s">
        <v>198</v>
      </c>
      <c r="G158" s="130" t="s">
        <v>85</v>
      </c>
      <c r="H158" s="130">
        <v>16</v>
      </c>
      <c r="I158" s="130">
        <v>8</v>
      </c>
      <c r="J158" s="130">
        <v>8</v>
      </c>
      <c r="K158" s="131">
        <f>8450.2+872.19</f>
        <v>9322.3900000000012</v>
      </c>
      <c r="L158" s="131">
        <v>4212.17</v>
      </c>
      <c r="M158" s="131">
        <v>0</v>
      </c>
      <c r="N158" s="130">
        <v>0</v>
      </c>
      <c r="O158" s="131">
        <v>0</v>
      </c>
      <c r="P158" s="131">
        <v>0</v>
      </c>
      <c r="Q158" s="131">
        <v>0</v>
      </c>
      <c r="R158" s="6"/>
    </row>
    <row r="159" spans="1:18" x14ac:dyDescent="0.25">
      <c r="A159" s="132">
        <f t="shared" si="9"/>
        <v>36</v>
      </c>
      <c r="B159" s="129" t="s">
        <v>106</v>
      </c>
      <c r="C159" s="130" t="s">
        <v>62</v>
      </c>
      <c r="D159" s="129" t="s">
        <v>63</v>
      </c>
      <c r="E159" s="129" t="s">
        <v>74</v>
      </c>
      <c r="F159" s="129" t="s">
        <v>199</v>
      </c>
      <c r="G159" s="130" t="s">
        <v>85</v>
      </c>
      <c r="H159" s="130">
        <v>33</v>
      </c>
      <c r="I159" s="130">
        <v>21</v>
      </c>
      <c r="J159" s="130">
        <v>26</v>
      </c>
      <c r="K159" s="131">
        <v>24438.49</v>
      </c>
      <c r="L159" s="131">
        <v>24438.49</v>
      </c>
      <c r="M159" s="131">
        <v>0</v>
      </c>
      <c r="N159" s="130">
        <v>23</v>
      </c>
      <c r="O159" s="131">
        <v>61804.6</v>
      </c>
      <c r="P159" s="131">
        <v>61804.6</v>
      </c>
      <c r="Q159" s="131">
        <v>0</v>
      </c>
      <c r="R159" s="6"/>
    </row>
    <row r="160" spans="1:18" x14ac:dyDescent="0.25">
      <c r="A160" s="132">
        <f t="shared" si="9"/>
        <v>37</v>
      </c>
      <c r="B160" s="129" t="s">
        <v>107</v>
      </c>
      <c r="C160" s="130" t="s">
        <v>62</v>
      </c>
      <c r="D160" s="129" t="s">
        <v>63</v>
      </c>
      <c r="E160" s="129" t="s">
        <v>74</v>
      </c>
      <c r="F160" s="129" t="s">
        <v>138</v>
      </c>
      <c r="G160" s="130" t="s">
        <v>85</v>
      </c>
      <c r="H160" s="130">
        <v>2</v>
      </c>
      <c r="I160" s="130">
        <v>0</v>
      </c>
      <c r="J160" s="130">
        <v>0</v>
      </c>
      <c r="K160" s="131">
        <v>0</v>
      </c>
      <c r="L160" s="131">
        <v>0</v>
      </c>
      <c r="M160" s="131">
        <v>0</v>
      </c>
      <c r="N160" s="130">
        <v>0</v>
      </c>
      <c r="O160" s="131">
        <v>0</v>
      </c>
      <c r="P160" s="131">
        <v>0</v>
      </c>
      <c r="Q160" s="131">
        <v>0</v>
      </c>
      <c r="R160" s="6"/>
    </row>
    <row r="161" spans="1:18" x14ac:dyDescent="0.25">
      <c r="A161" s="132">
        <f t="shared" si="9"/>
        <v>38</v>
      </c>
      <c r="B161" s="129" t="s">
        <v>29</v>
      </c>
      <c r="C161" s="130" t="s">
        <v>62</v>
      </c>
      <c r="D161" s="129" t="s">
        <v>63</v>
      </c>
      <c r="E161" s="129" t="s">
        <v>74</v>
      </c>
      <c r="F161" s="129" t="s">
        <v>200</v>
      </c>
      <c r="G161" s="130" t="s">
        <v>85</v>
      </c>
      <c r="H161" s="130">
        <v>21</v>
      </c>
      <c r="I161" s="130">
        <v>19</v>
      </c>
      <c r="J161" s="130">
        <v>28</v>
      </c>
      <c r="K161" s="131">
        <v>28175.68</v>
      </c>
      <c r="L161" s="131">
        <v>28175.68</v>
      </c>
      <c r="M161" s="131">
        <v>0</v>
      </c>
      <c r="N161" s="130">
        <v>17</v>
      </c>
      <c r="O161" s="131">
        <v>18910.05</v>
      </c>
      <c r="P161" s="131">
        <v>18910.05</v>
      </c>
      <c r="Q161" s="131">
        <v>0</v>
      </c>
      <c r="R161" s="6"/>
    </row>
    <row r="162" spans="1:18" x14ac:dyDescent="0.25">
      <c r="A162" s="132">
        <f t="shared" si="9"/>
        <v>39</v>
      </c>
      <c r="B162" s="129" t="s">
        <v>201</v>
      </c>
      <c r="C162" s="130" t="s">
        <v>67</v>
      </c>
      <c r="D162" s="129" t="s">
        <v>485</v>
      </c>
      <c r="E162" s="129" t="s">
        <v>74</v>
      </c>
      <c r="F162" s="129" t="s">
        <v>202</v>
      </c>
      <c r="G162" s="130" t="s">
        <v>85</v>
      </c>
      <c r="H162" s="130">
        <v>14</v>
      </c>
      <c r="I162" s="130">
        <v>10</v>
      </c>
      <c r="J162" s="130">
        <v>10</v>
      </c>
      <c r="K162" s="131">
        <v>5393.6</v>
      </c>
      <c r="L162" s="131">
        <v>5393.6</v>
      </c>
      <c r="M162" s="131">
        <v>0</v>
      </c>
      <c r="N162" s="130">
        <v>1</v>
      </c>
      <c r="O162" s="131">
        <v>1717.95</v>
      </c>
      <c r="P162" s="131">
        <v>1717.95</v>
      </c>
      <c r="Q162" s="131">
        <v>0</v>
      </c>
      <c r="R162" s="6"/>
    </row>
    <row r="163" spans="1:18" ht="25.5" x14ac:dyDescent="0.25">
      <c r="A163" s="132">
        <f t="shared" si="9"/>
        <v>40</v>
      </c>
      <c r="B163" s="129" t="s">
        <v>544</v>
      </c>
      <c r="C163" s="130" t="s">
        <v>67</v>
      </c>
      <c r="D163" s="129" t="s">
        <v>545</v>
      </c>
      <c r="E163" s="129" t="s">
        <v>546</v>
      </c>
      <c r="F163" s="129" t="s">
        <v>547</v>
      </c>
      <c r="G163" s="130" t="s">
        <v>85</v>
      </c>
      <c r="H163" s="130">
        <v>1</v>
      </c>
      <c r="I163" s="130">
        <v>0</v>
      </c>
      <c r="J163" s="130">
        <v>0</v>
      </c>
      <c r="K163" s="131">
        <v>0</v>
      </c>
      <c r="L163" s="131">
        <v>0</v>
      </c>
      <c r="M163" s="131">
        <v>0</v>
      </c>
      <c r="N163" s="130">
        <v>0</v>
      </c>
      <c r="O163" s="131">
        <v>0</v>
      </c>
      <c r="P163" s="131">
        <v>0</v>
      </c>
      <c r="Q163" s="131">
        <v>0</v>
      </c>
      <c r="R163" s="6"/>
    </row>
    <row r="164" spans="1:18" ht="25.5" x14ac:dyDescent="0.25">
      <c r="A164" s="132">
        <f t="shared" si="9"/>
        <v>41</v>
      </c>
      <c r="B164" s="129" t="s">
        <v>30</v>
      </c>
      <c r="C164" s="130" t="s">
        <v>62</v>
      </c>
      <c r="D164" s="129" t="s">
        <v>63</v>
      </c>
      <c r="E164" s="129" t="s">
        <v>203</v>
      </c>
      <c r="F164" s="129" t="s">
        <v>204</v>
      </c>
      <c r="G164" s="130" t="s">
        <v>85</v>
      </c>
      <c r="H164" s="130">
        <v>15</v>
      </c>
      <c r="I164" s="130">
        <v>12</v>
      </c>
      <c r="J164" s="130">
        <v>16</v>
      </c>
      <c r="K164" s="131">
        <v>15082.45</v>
      </c>
      <c r="L164" s="131">
        <v>15082.45</v>
      </c>
      <c r="M164" s="131">
        <v>0</v>
      </c>
      <c r="N164" s="130">
        <v>16</v>
      </c>
      <c r="O164" s="131">
        <f>44825.3-2054.38</f>
        <v>42770.920000000006</v>
      </c>
      <c r="P164" s="131">
        <f>44825.3-2054.38</f>
        <v>42770.920000000006</v>
      </c>
      <c r="Q164" s="131">
        <v>0</v>
      </c>
      <c r="R164" s="6"/>
    </row>
    <row r="165" spans="1:18" ht="51" x14ac:dyDescent="0.25">
      <c r="A165" s="132">
        <f t="shared" si="9"/>
        <v>42</v>
      </c>
      <c r="B165" s="129" t="s">
        <v>90</v>
      </c>
      <c r="C165" s="130" t="s">
        <v>62</v>
      </c>
      <c r="D165" s="129" t="s">
        <v>63</v>
      </c>
      <c r="E165" s="129" t="s">
        <v>205</v>
      </c>
      <c r="F165" s="129" t="s">
        <v>464</v>
      </c>
      <c r="G165" s="130" t="s">
        <v>85</v>
      </c>
      <c r="H165" s="130">
        <v>11</v>
      </c>
      <c r="I165" s="130">
        <v>7</v>
      </c>
      <c r="J165" s="130">
        <v>10</v>
      </c>
      <c r="K165" s="131">
        <v>5750.29</v>
      </c>
      <c r="L165" s="131">
        <v>5750.29</v>
      </c>
      <c r="M165" s="131">
        <v>0</v>
      </c>
      <c r="N165" s="130">
        <v>15</v>
      </c>
      <c r="O165" s="131">
        <v>17591.509999999998</v>
      </c>
      <c r="P165" s="131">
        <v>17591.509999999998</v>
      </c>
      <c r="Q165" s="131">
        <v>0</v>
      </c>
      <c r="R165" s="6"/>
    </row>
    <row r="166" spans="1:18" x14ac:dyDescent="0.25">
      <c r="A166" s="132">
        <f t="shared" si="9"/>
        <v>43</v>
      </c>
      <c r="B166" s="129" t="s">
        <v>31</v>
      </c>
      <c r="C166" s="130" t="s">
        <v>62</v>
      </c>
      <c r="D166" s="129" t="s">
        <v>63</v>
      </c>
      <c r="E166" s="129" t="s">
        <v>74</v>
      </c>
      <c r="F166" s="129" t="s">
        <v>206</v>
      </c>
      <c r="G166" s="130" t="s">
        <v>85</v>
      </c>
      <c r="H166" s="130">
        <v>27</v>
      </c>
      <c r="I166" s="130">
        <v>22</v>
      </c>
      <c r="J166" s="130">
        <v>26</v>
      </c>
      <c r="K166" s="131">
        <v>47544.62</v>
      </c>
      <c r="L166" s="131">
        <v>47544.62</v>
      </c>
      <c r="M166" s="131"/>
      <c r="N166" s="130">
        <v>17</v>
      </c>
      <c r="O166" s="131">
        <v>66805.69</v>
      </c>
      <c r="P166" s="131">
        <v>66805.69</v>
      </c>
      <c r="Q166" s="131">
        <v>0</v>
      </c>
      <c r="R166" s="6"/>
    </row>
    <row r="167" spans="1:18" x14ac:dyDescent="0.25">
      <c r="A167" s="132">
        <f t="shared" si="9"/>
        <v>44</v>
      </c>
      <c r="B167" s="129" t="s">
        <v>32</v>
      </c>
      <c r="C167" s="130" t="s">
        <v>62</v>
      </c>
      <c r="D167" s="129" t="s">
        <v>63</v>
      </c>
      <c r="E167" s="129" t="s">
        <v>74</v>
      </c>
      <c r="F167" s="129" t="s">
        <v>207</v>
      </c>
      <c r="G167" s="130" t="s">
        <v>85</v>
      </c>
      <c r="H167" s="130">
        <v>30</v>
      </c>
      <c r="I167" s="130">
        <v>26</v>
      </c>
      <c r="J167" s="130">
        <v>28</v>
      </c>
      <c r="K167" s="131">
        <v>16467.830000000002</v>
      </c>
      <c r="L167" s="131">
        <v>14956.91</v>
      </c>
      <c r="M167" s="131">
        <v>1510.92</v>
      </c>
      <c r="N167" s="130">
        <v>29</v>
      </c>
      <c r="O167" s="131">
        <v>68188.39</v>
      </c>
      <c r="P167" s="131">
        <v>59521.33</v>
      </c>
      <c r="Q167" s="131">
        <v>8667.06</v>
      </c>
      <c r="R167" s="6"/>
    </row>
    <row r="168" spans="1:18" x14ac:dyDescent="0.25">
      <c r="A168" s="132">
        <f t="shared" si="9"/>
        <v>45</v>
      </c>
      <c r="B168" s="129" t="s">
        <v>91</v>
      </c>
      <c r="C168" s="130" t="s">
        <v>62</v>
      </c>
      <c r="D168" s="129" t="s">
        <v>63</v>
      </c>
      <c r="E168" s="129" t="s">
        <v>63</v>
      </c>
      <c r="F168" s="129" t="s">
        <v>208</v>
      </c>
      <c r="G168" s="130" t="s">
        <v>85</v>
      </c>
      <c r="H168" s="130">
        <v>13</v>
      </c>
      <c r="I168" s="130">
        <v>9</v>
      </c>
      <c r="J168" s="130">
        <v>9</v>
      </c>
      <c r="K168" s="131">
        <v>5992.57</v>
      </c>
      <c r="L168" s="131">
        <v>5992.57</v>
      </c>
      <c r="M168" s="131">
        <v>0</v>
      </c>
      <c r="N168" s="130">
        <v>2</v>
      </c>
      <c r="O168" s="131">
        <v>5514.15</v>
      </c>
      <c r="P168" s="131">
        <v>5514.15</v>
      </c>
      <c r="Q168" s="131">
        <v>0</v>
      </c>
      <c r="R168" s="6"/>
    </row>
    <row r="169" spans="1:18" x14ac:dyDescent="0.25">
      <c r="A169" s="132">
        <f t="shared" si="9"/>
        <v>46</v>
      </c>
      <c r="B169" s="129" t="s">
        <v>33</v>
      </c>
      <c r="C169" s="130" t="s">
        <v>62</v>
      </c>
      <c r="D169" s="129" t="s">
        <v>63</v>
      </c>
      <c r="E169" s="129" t="s">
        <v>74</v>
      </c>
      <c r="F169" s="129" t="s">
        <v>209</v>
      </c>
      <c r="G169" s="130" t="s">
        <v>85</v>
      </c>
      <c r="H169" s="130">
        <v>26</v>
      </c>
      <c r="I169" s="130">
        <v>20</v>
      </c>
      <c r="J169" s="130">
        <v>24</v>
      </c>
      <c r="K169" s="131">
        <v>28490.7</v>
      </c>
      <c r="L169" s="131">
        <v>28490.7</v>
      </c>
      <c r="M169" s="131">
        <v>0</v>
      </c>
      <c r="N169" s="130">
        <v>32</v>
      </c>
      <c r="O169" s="131">
        <f>70144.43+16311.09</f>
        <v>86455.51999999999</v>
      </c>
      <c r="P169" s="131">
        <f>70144.43+16311.09</f>
        <v>86455.51999999999</v>
      </c>
      <c r="Q169" s="131">
        <v>0</v>
      </c>
      <c r="R169" s="6"/>
    </row>
    <row r="170" spans="1:18" x14ac:dyDescent="0.25">
      <c r="A170" s="132">
        <f t="shared" si="9"/>
        <v>47</v>
      </c>
      <c r="B170" s="129" t="s">
        <v>153</v>
      </c>
      <c r="C170" s="130" t="s">
        <v>62</v>
      </c>
      <c r="D170" s="129" t="s">
        <v>63</v>
      </c>
      <c r="E170" s="129" t="s">
        <v>74</v>
      </c>
      <c r="F170" s="129" t="s">
        <v>210</v>
      </c>
      <c r="G170" s="130" t="s">
        <v>85</v>
      </c>
      <c r="H170" s="130">
        <v>0</v>
      </c>
      <c r="I170" s="130">
        <v>0</v>
      </c>
      <c r="J170" s="130">
        <v>0</v>
      </c>
      <c r="K170" s="131">
        <v>0</v>
      </c>
      <c r="L170" s="131">
        <v>0</v>
      </c>
      <c r="M170" s="131">
        <v>0</v>
      </c>
      <c r="N170" s="130">
        <v>2</v>
      </c>
      <c r="O170" s="131">
        <f>223.44+9485.6</f>
        <v>9709.0400000000009</v>
      </c>
      <c r="P170" s="131">
        <f>223.44+9485.6</f>
        <v>9709.0400000000009</v>
      </c>
      <c r="Q170" s="131">
        <v>0</v>
      </c>
      <c r="R170" s="6"/>
    </row>
    <row r="171" spans="1:18" x14ac:dyDescent="0.25">
      <c r="A171" s="132">
        <f t="shared" si="9"/>
        <v>48</v>
      </c>
      <c r="B171" s="129" t="s">
        <v>34</v>
      </c>
      <c r="C171" s="130" t="s">
        <v>62</v>
      </c>
      <c r="D171" s="129" t="s">
        <v>63</v>
      </c>
      <c r="E171" s="129" t="s">
        <v>74</v>
      </c>
      <c r="F171" s="129" t="s">
        <v>211</v>
      </c>
      <c r="G171" s="130" t="s">
        <v>85</v>
      </c>
      <c r="H171" s="130">
        <v>13</v>
      </c>
      <c r="I171" s="130">
        <v>8</v>
      </c>
      <c r="J171" s="130">
        <v>8</v>
      </c>
      <c r="K171" s="131">
        <v>2543.62</v>
      </c>
      <c r="L171" s="131">
        <v>2543.62</v>
      </c>
      <c r="M171" s="131">
        <v>0</v>
      </c>
      <c r="N171" s="130">
        <v>20</v>
      </c>
      <c r="O171" s="131">
        <v>65010.400000000001</v>
      </c>
      <c r="P171" s="131">
        <v>65010.400000000001</v>
      </c>
      <c r="Q171" s="131">
        <v>0</v>
      </c>
      <c r="R171" s="6"/>
    </row>
    <row r="172" spans="1:18" ht="25.5" x14ac:dyDescent="0.25">
      <c r="A172" s="132">
        <f t="shared" si="9"/>
        <v>49</v>
      </c>
      <c r="B172" s="129" t="s">
        <v>154</v>
      </c>
      <c r="C172" s="130" t="s">
        <v>62</v>
      </c>
      <c r="D172" s="129" t="s">
        <v>63</v>
      </c>
      <c r="E172" s="129" t="s">
        <v>72</v>
      </c>
      <c r="F172" s="129" t="s">
        <v>212</v>
      </c>
      <c r="G172" s="130" t="s">
        <v>85</v>
      </c>
      <c r="H172" s="130">
        <v>4</v>
      </c>
      <c r="I172" s="130">
        <v>0</v>
      </c>
      <c r="J172" s="130">
        <v>0</v>
      </c>
      <c r="K172" s="131">
        <v>0</v>
      </c>
      <c r="L172" s="131">
        <v>0</v>
      </c>
      <c r="M172" s="131">
        <v>0</v>
      </c>
      <c r="N172" s="130">
        <v>1</v>
      </c>
      <c r="O172" s="131">
        <v>4636.17</v>
      </c>
      <c r="P172" s="131">
        <v>4636.17</v>
      </c>
      <c r="Q172" s="131">
        <v>0</v>
      </c>
      <c r="R172" s="6"/>
    </row>
    <row r="173" spans="1:18" x14ac:dyDescent="0.25">
      <c r="A173" s="132">
        <f t="shared" si="9"/>
        <v>50</v>
      </c>
      <c r="B173" s="129" t="s">
        <v>109</v>
      </c>
      <c r="C173" s="130" t="s">
        <v>62</v>
      </c>
      <c r="D173" s="129" t="s">
        <v>63</v>
      </c>
      <c r="E173" s="129" t="s">
        <v>74</v>
      </c>
      <c r="F173" s="129" t="s">
        <v>213</v>
      </c>
      <c r="G173" s="130" t="s">
        <v>85</v>
      </c>
      <c r="H173" s="130">
        <v>0</v>
      </c>
      <c r="I173" s="130">
        <v>0</v>
      </c>
      <c r="J173" s="130">
        <v>0</v>
      </c>
      <c r="K173" s="131">
        <v>0</v>
      </c>
      <c r="L173" s="131">
        <v>0</v>
      </c>
      <c r="M173" s="131">
        <v>0</v>
      </c>
      <c r="N173" s="130">
        <v>2</v>
      </c>
      <c r="O173" s="131">
        <v>0</v>
      </c>
      <c r="P173" s="131">
        <v>0</v>
      </c>
      <c r="Q173" s="131">
        <v>0</v>
      </c>
      <c r="R173" s="6"/>
    </row>
    <row r="174" spans="1:18" x14ac:dyDescent="0.25">
      <c r="A174" s="132">
        <f t="shared" si="9"/>
        <v>51</v>
      </c>
      <c r="B174" s="129" t="s">
        <v>110</v>
      </c>
      <c r="C174" s="130" t="s">
        <v>62</v>
      </c>
      <c r="D174" s="129" t="s">
        <v>63</v>
      </c>
      <c r="E174" s="129" t="s">
        <v>74</v>
      </c>
      <c r="F174" s="129" t="s">
        <v>214</v>
      </c>
      <c r="G174" s="130" t="s">
        <v>85</v>
      </c>
      <c r="H174" s="130">
        <v>0</v>
      </c>
      <c r="I174" s="130">
        <v>0</v>
      </c>
      <c r="J174" s="130">
        <v>0</v>
      </c>
      <c r="K174" s="131">
        <v>0</v>
      </c>
      <c r="L174" s="131">
        <v>0</v>
      </c>
      <c r="M174" s="131">
        <v>0</v>
      </c>
      <c r="N174" s="130">
        <v>0</v>
      </c>
      <c r="O174" s="131">
        <v>12489.14</v>
      </c>
      <c r="P174" s="131">
        <v>12489.14</v>
      </c>
      <c r="Q174" s="131">
        <v>0</v>
      </c>
      <c r="R174" s="6"/>
    </row>
    <row r="175" spans="1:18" x14ac:dyDescent="0.25">
      <c r="A175" s="132">
        <f t="shared" si="9"/>
        <v>52</v>
      </c>
      <c r="B175" s="129" t="s">
        <v>111</v>
      </c>
      <c r="C175" s="130" t="s">
        <v>112</v>
      </c>
      <c r="D175" s="129" t="s">
        <v>113</v>
      </c>
      <c r="E175" s="129" t="s">
        <v>63</v>
      </c>
      <c r="F175" s="129" t="s">
        <v>139</v>
      </c>
      <c r="G175" s="130" t="s">
        <v>85</v>
      </c>
      <c r="H175" s="130">
        <v>1</v>
      </c>
      <c r="I175" s="130">
        <v>0</v>
      </c>
      <c r="J175" s="130">
        <v>0</v>
      </c>
      <c r="K175" s="131">
        <v>0</v>
      </c>
      <c r="L175" s="131">
        <v>0</v>
      </c>
      <c r="M175" s="131">
        <v>0</v>
      </c>
      <c r="N175" s="130">
        <v>0</v>
      </c>
      <c r="O175" s="131">
        <v>0</v>
      </c>
      <c r="P175" s="131">
        <v>0</v>
      </c>
      <c r="Q175" s="131">
        <v>0</v>
      </c>
      <c r="R175" s="6"/>
    </row>
    <row r="176" spans="1:18" x14ac:dyDescent="0.25">
      <c r="A176" s="132">
        <f t="shared" si="9"/>
        <v>53</v>
      </c>
      <c r="B176" s="129" t="s">
        <v>92</v>
      </c>
      <c r="C176" s="130" t="s">
        <v>62</v>
      </c>
      <c r="D176" s="129" t="s">
        <v>63</v>
      </c>
      <c r="E176" s="129" t="s">
        <v>74</v>
      </c>
      <c r="F176" s="129" t="s">
        <v>215</v>
      </c>
      <c r="G176" s="130" t="s">
        <v>85</v>
      </c>
      <c r="H176" s="130">
        <v>26</v>
      </c>
      <c r="I176" s="130">
        <v>18</v>
      </c>
      <c r="J176" s="130">
        <v>21</v>
      </c>
      <c r="K176" s="131">
        <v>17600.349999999999</v>
      </c>
      <c r="L176" s="131">
        <v>17600.349999999999</v>
      </c>
      <c r="M176" s="131">
        <v>0</v>
      </c>
      <c r="N176" s="130">
        <v>10</v>
      </c>
      <c r="O176" s="131">
        <v>18181.04</v>
      </c>
      <c r="P176" s="131">
        <v>18181.04</v>
      </c>
      <c r="Q176" s="131">
        <v>0</v>
      </c>
      <c r="R176" s="6"/>
    </row>
    <row r="177" spans="1:18" ht="25.5" x14ac:dyDescent="0.25">
      <c r="A177" s="132">
        <f t="shared" si="9"/>
        <v>54</v>
      </c>
      <c r="B177" s="129" t="s">
        <v>216</v>
      </c>
      <c r="C177" s="130" t="s">
        <v>67</v>
      </c>
      <c r="D177" s="129" t="s">
        <v>436</v>
      </c>
      <c r="E177" s="129" t="s">
        <v>217</v>
      </c>
      <c r="F177" s="129" t="s">
        <v>218</v>
      </c>
      <c r="G177" s="130" t="s">
        <v>85</v>
      </c>
      <c r="H177" s="130">
        <v>9</v>
      </c>
      <c r="I177" s="130">
        <v>4</v>
      </c>
      <c r="J177" s="130">
        <v>4</v>
      </c>
      <c r="K177" s="131">
        <v>3386.04</v>
      </c>
      <c r="L177" s="131">
        <v>3386.04</v>
      </c>
      <c r="M177" s="131">
        <v>0</v>
      </c>
      <c r="N177" s="130">
        <v>0</v>
      </c>
      <c r="O177" s="131">
        <v>0</v>
      </c>
      <c r="P177" s="131">
        <v>0</v>
      </c>
      <c r="Q177" s="131">
        <v>0</v>
      </c>
      <c r="R177" s="6"/>
    </row>
    <row r="178" spans="1:18" ht="25.5" x14ac:dyDescent="0.25">
      <c r="A178" s="132">
        <f t="shared" si="9"/>
        <v>55</v>
      </c>
      <c r="B178" s="129" t="s">
        <v>35</v>
      </c>
      <c r="C178" s="130" t="s">
        <v>62</v>
      </c>
      <c r="D178" s="129" t="s">
        <v>63</v>
      </c>
      <c r="E178" s="129" t="s">
        <v>219</v>
      </c>
      <c r="F178" s="129" t="s">
        <v>220</v>
      </c>
      <c r="G178" s="130" t="s">
        <v>85</v>
      </c>
      <c r="H178" s="130">
        <v>38</v>
      </c>
      <c r="I178" s="130">
        <v>34</v>
      </c>
      <c r="J178" s="130">
        <v>38</v>
      </c>
      <c r="K178" s="131">
        <v>31130.07</v>
      </c>
      <c r="L178" s="131">
        <v>17358.23</v>
      </c>
      <c r="M178" s="131">
        <v>13771.84</v>
      </c>
      <c r="N178" s="130">
        <v>25</v>
      </c>
      <c r="O178" s="131">
        <v>52287.51</v>
      </c>
      <c r="P178" s="131">
        <v>51090.74</v>
      </c>
      <c r="Q178" s="131">
        <v>1196.77</v>
      </c>
      <c r="R178" s="6"/>
    </row>
    <row r="179" spans="1:18" ht="25.5" x14ac:dyDescent="0.25">
      <c r="A179" s="132">
        <f t="shared" si="9"/>
        <v>56</v>
      </c>
      <c r="B179" s="129" t="s">
        <v>114</v>
      </c>
      <c r="C179" s="130" t="s">
        <v>62</v>
      </c>
      <c r="D179" s="129" t="s">
        <v>63</v>
      </c>
      <c r="E179" s="129" t="s">
        <v>115</v>
      </c>
      <c r="F179" s="129" t="s">
        <v>221</v>
      </c>
      <c r="G179" s="130" t="s">
        <v>85</v>
      </c>
      <c r="H179" s="130">
        <v>3</v>
      </c>
      <c r="I179" s="130">
        <v>0</v>
      </c>
      <c r="J179" s="130">
        <v>0</v>
      </c>
      <c r="K179" s="131">
        <v>0</v>
      </c>
      <c r="L179" s="131">
        <v>0</v>
      </c>
      <c r="M179" s="131">
        <v>0</v>
      </c>
      <c r="N179" s="130">
        <v>0</v>
      </c>
      <c r="O179" s="131">
        <v>1108.48</v>
      </c>
      <c r="P179" s="131">
        <v>1108.48</v>
      </c>
      <c r="Q179" s="131">
        <v>0</v>
      </c>
      <c r="R179" s="6"/>
    </row>
    <row r="180" spans="1:18" ht="25.5" x14ac:dyDescent="0.25">
      <c r="A180" s="132">
        <f t="shared" si="9"/>
        <v>57</v>
      </c>
      <c r="B180" s="129" t="s">
        <v>222</v>
      </c>
      <c r="C180" s="130" t="s">
        <v>64</v>
      </c>
      <c r="D180" s="129" t="s">
        <v>486</v>
      </c>
      <c r="E180" s="129" t="s">
        <v>223</v>
      </c>
      <c r="F180" s="129" t="s">
        <v>224</v>
      </c>
      <c r="G180" s="130" t="s">
        <v>85</v>
      </c>
      <c r="H180" s="130">
        <v>14</v>
      </c>
      <c r="I180" s="130">
        <v>10</v>
      </c>
      <c r="J180" s="130">
        <v>12</v>
      </c>
      <c r="K180" s="131">
        <v>9384.9699999999993</v>
      </c>
      <c r="L180" s="131">
        <v>9384.9699999999993</v>
      </c>
      <c r="M180" s="131">
        <v>0</v>
      </c>
      <c r="N180" s="130">
        <v>0</v>
      </c>
      <c r="O180" s="131">
        <v>0</v>
      </c>
      <c r="P180" s="131">
        <v>0</v>
      </c>
      <c r="Q180" s="131">
        <v>0</v>
      </c>
      <c r="R180" s="6"/>
    </row>
    <row r="181" spans="1:18" x14ac:dyDescent="0.25">
      <c r="A181" s="132">
        <f t="shared" si="9"/>
        <v>58</v>
      </c>
      <c r="B181" s="129" t="s">
        <v>93</v>
      </c>
      <c r="C181" s="130" t="s">
        <v>62</v>
      </c>
      <c r="D181" s="129" t="s">
        <v>63</v>
      </c>
      <c r="E181" s="129" t="s">
        <v>74</v>
      </c>
      <c r="F181" s="129" t="s">
        <v>225</v>
      </c>
      <c r="G181" s="130" t="s">
        <v>85</v>
      </c>
      <c r="H181" s="130">
        <v>11</v>
      </c>
      <c r="I181" s="130">
        <v>3</v>
      </c>
      <c r="J181" s="130">
        <v>3</v>
      </c>
      <c r="K181" s="131">
        <v>1233.4000000000001</v>
      </c>
      <c r="L181" s="131">
        <v>1233.4000000000001</v>
      </c>
      <c r="M181" s="131">
        <v>0</v>
      </c>
      <c r="N181" s="130">
        <v>6</v>
      </c>
      <c r="O181" s="131">
        <v>3194.66</v>
      </c>
      <c r="P181" s="131">
        <v>3194.66</v>
      </c>
      <c r="Q181" s="131">
        <v>0</v>
      </c>
      <c r="R181" s="6"/>
    </row>
    <row r="182" spans="1:18" ht="25.5" x14ac:dyDescent="0.25">
      <c r="A182" s="132">
        <f t="shared" si="9"/>
        <v>59</v>
      </c>
      <c r="B182" s="129" t="s">
        <v>226</v>
      </c>
      <c r="C182" s="130" t="s">
        <v>62</v>
      </c>
      <c r="D182" s="129" t="s">
        <v>63</v>
      </c>
      <c r="E182" s="129" t="s">
        <v>174</v>
      </c>
      <c r="F182" s="129" t="s">
        <v>227</v>
      </c>
      <c r="G182" s="130" t="s">
        <v>85</v>
      </c>
      <c r="H182" s="130">
        <v>14</v>
      </c>
      <c r="I182" s="130">
        <v>7</v>
      </c>
      <c r="J182" s="130">
        <v>8</v>
      </c>
      <c r="K182" s="131">
        <v>16022.52</v>
      </c>
      <c r="L182" s="131">
        <f xml:space="preserve"> 5951.99+10070.53</f>
        <v>16022.52</v>
      </c>
      <c r="M182" s="131">
        <v>0</v>
      </c>
      <c r="N182" s="130">
        <v>0</v>
      </c>
      <c r="O182" s="131">
        <v>0</v>
      </c>
      <c r="P182" s="131">
        <v>0</v>
      </c>
      <c r="Q182" s="131">
        <v>0</v>
      </c>
      <c r="R182" s="6"/>
    </row>
    <row r="183" spans="1:18" ht="25.5" x14ac:dyDescent="0.25">
      <c r="A183" s="132">
        <f t="shared" si="9"/>
        <v>60</v>
      </c>
      <c r="B183" s="129" t="s">
        <v>228</v>
      </c>
      <c r="C183" s="130" t="s">
        <v>62</v>
      </c>
      <c r="D183" s="129" t="s">
        <v>63</v>
      </c>
      <c r="E183" s="129" t="s">
        <v>229</v>
      </c>
      <c r="F183" s="129" t="s">
        <v>230</v>
      </c>
      <c r="G183" s="130" t="s">
        <v>85</v>
      </c>
      <c r="H183" s="130">
        <v>15</v>
      </c>
      <c r="I183" s="130">
        <v>4</v>
      </c>
      <c r="J183" s="130">
        <v>4</v>
      </c>
      <c r="K183" s="131">
        <v>0</v>
      </c>
      <c r="L183" s="131">
        <v>0</v>
      </c>
      <c r="M183" s="131">
        <v>0</v>
      </c>
      <c r="N183" s="130">
        <v>0</v>
      </c>
      <c r="O183" s="131">
        <v>0</v>
      </c>
      <c r="P183" s="131">
        <v>0</v>
      </c>
      <c r="Q183" s="131">
        <v>0</v>
      </c>
      <c r="R183" s="6"/>
    </row>
    <row r="184" spans="1:18" x14ac:dyDescent="0.25">
      <c r="A184" s="132">
        <f t="shared" si="9"/>
        <v>61</v>
      </c>
      <c r="B184" s="129" t="s">
        <v>116</v>
      </c>
      <c r="C184" s="130" t="s">
        <v>62</v>
      </c>
      <c r="D184" s="129" t="s">
        <v>63</v>
      </c>
      <c r="E184" s="129" t="s">
        <v>74</v>
      </c>
      <c r="F184" s="129" t="s">
        <v>231</v>
      </c>
      <c r="G184" s="130" t="s">
        <v>85</v>
      </c>
      <c r="H184" s="130">
        <v>25</v>
      </c>
      <c r="I184" s="130">
        <v>16</v>
      </c>
      <c r="J184" s="130">
        <v>18</v>
      </c>
      <c r="K184" s="131">
        <v>29296.92</v>
      </c>
      <c r="L184" s="131">
        <v>29296.92</v>
      </c>
      <c r="M184" s="131">
        <v>0</v>
      </c>
      <c r="N184" s="130">
        <v>3</v>
      </c>
      <c r="O184" s="131">
        <v>5058.49</v>
      </c>
      <c r="P184" s="131">
        <v>5058.49</v>
      </c>
      <c r="Q184" s="131">
        <v>0</v>
      </c>
      <c r="R184" s="6"/>
    </row>
    <row r="185" spans="1:18" ht="25.5" x14ac:dyDescent="0.25">
      <c r="A185" s="132">
        <f t="shared" si="9"/>
        <v>62</v>
      </c>
      <c r="B185" s="129" t="s">
        <v>232</v>
      </c>
      <c r="C185" s="130" t="s">
        <v>62</v>
      </c>
      <c r="D185" s="129" t="s">
        <v>63</v>
      </c>
      <c r="E185" s="129" t="s">
        <v>174</v>
      </c>
      <c r="F185" s="129" t="s">
        <v>233</v>
      </c>
      <c r="G185" s="130" t="s">
        <v>85</v>
      </c>
      <c r="H185" s="130">
        <v>8</v>
      </c>
      <c r="I185" s="130">
        <v>4</v>
      </c>
      <c r="J185" s="130">
        <v>5</v>
      </c>
      <c r="K185" s="131">
        <v>0</v>
      </c>
      <c r="L185" s="131">
        <v>0</v>
      </c>
      <c r="M185" s="131">
        <v>0</v>
      </c>
      <c r="N185" s="130">
        <v>0</v>
      </c>
      <c r="O185" s="131">
        <v>0</v>
      </c>
      <c r="P185" s="131">
        <v>0</v>
      </c>
      <c r="Q185" s="131">
        <v>0</v>
      </c>
      <c r="R185" s="6"/>
    </row>
    <row r="186" spans="1:18" ht="25.5" x14ac:dyDescent="0.25">
      <c r="A186" s="132">
        <f t="shared" si="9"/>
        <v>63</v>
      </c>
      <c r="B186" s="129" t="s">
        <v>487</v>
      </c>
      <c r="C186" s="130" t="s">
        <v>62</v>
      </c>
      <c r="D186" s="129" t="s">
        <v>63</v>
      </c>
      <c r="E186" s="129" t="s">
        <v>282</v>
      </c>
      <c r="F186" s="129" t="s">
        <v>488</v>
      </c>
      <c r="G186" s="130" t="s">
        <v>85</v>
      </c>
      <c r="H186" s="130">
        <v>8</v>
      </c>
      <c r="I186" s="130">
        <v>0</v>
      </c>
      <c r="J186" s="130">
        <v>0</v>
      </c>
      <c r="K186" s="131">
        <v>0</v>
      </c>
      <c r="L186" s="131">
        <v>0</v>
      </c>
      <c r="M186" s="131">
        <v>0</v>
      </c>
      <c r="N186" s="130">
        <v>0</v>
      </c>
      <c r="O186" s="131">
        <v>0</v>
      </c>
      <c r="P186" s="131">
        <v>0</v>
      </c>
      <c r="Q186" s="131">
        <v>0</v>
      </c>
      <c r="R186" s="6"/>
    </row>
    <row r="187" spans="1:18" x14ac:dyDescent="0.25">
      <c r="A187" s="132">
        <f t="shared" si="9"/>
        <v>64</v>
      </c>
      <c r="B187" s="129" t="s">
        <v>36</v>
      </c>
      <c r="C187" s="130" t="s">
        <v>62</v>
      </c>
      <c r="D187" s="129" t="s">
        <v>63</v>
      </c>
      <c r="E187" s="129" t="s">
        <v>74</v>
      </c>
      <c r="F187" s="129" t="s">
        <v>465</v>
      </c>
      <c r="G187" s="130" t="s">
        <v>85</v>
      </c>
      <c r="H187" s="130">
        <v>3</v>
      </c>
      <c r="I187" s="130">
        <v>0</v>
      </c>
      <c r="J187" s="130">
        <v>0</v>
      </c>
      <c r="K187" s="131">
        <v>0</v>
      </c>
      <c r="L187" s="131">
        <v>0</v>
      </c>
      <c r="M187" s="131">
        <v>0</v>
      </c>
      <c r="N187" s="130">
        <v>3</v>
      </c>
      <c r="O187" s="131">
        <f>708.32+616.7</f>
        <v>1325.02</v>
      </c>
      <c r="P187" s="131">
        <f>708.32+616.7</f>
        <v>1325.02</v>
      </c>
      <c r="Q187" s="131">
        <v>0</v>
      </c>
      <c r="R187" s="6"/>
    </row>
    <row r="188" spans="1:18" ht="25.5" x14ac:dyDescent="0.25">
      <c r="A188" s="132">
        <f t="shared" si="9"/>
        <v>65</v>
      </c>
      <c r="B188" s="129" t="s">
        <v>37</v>
      </c>
      <c r="C188" s="130" t="s">
        <v>62</v>
      </c>
      <c r="D188" s="129" t="s">
        <v>63</v>
      </c>
      <c r="E188" s="129" t="s">
        <v>70</v>
      </c>
      <c r="F188" s="129" t="s">
        <v>234</v>
      </c>
      <c r="G188" s="130" t="s">
        <v>85</v>
      </c>
      <c r="H188" s="130">
        <v>15</v>
      </c>
      <c r="I188" s="130">
        <v>5</v>
      </c>
      <c r="J188" s="130">
        <v>5</v>
      </c>
      <c r="K188" s="131">
        <v>3700.2</v>
      </c>
      <c r="L188" s="131">
        <v>3700.2</v>
      </c>
      <c r="M188" s="131">
        <v>0</v>
      </c>
      <c r="N188" s="130">
        <v>1</v>
      </c>
      <c r="O188" s="131">
        <v>629.82000000000005</v>
      </c>
      <c r="P188" s="131">
        <v>629.82000000000005</v>
      </c>
      <c r="Q188" s="131">
        <v>0</v>
      </c>
      <c r="R188" s="6"/>
    </row>
    <row r="189" spans="1:18" ht="38.25" x14ac:dyDescent="0.25">
      <c r="A189" s="132">
        <f t="shared" si="9"/>
        <v>66</v>
      </c>
      <c r="B189" s="129" t="s">
        <v>235</v>
      </c>
      <c r="C189" s="130" t="s">
        <v>62</v>
      </c>
      <c r="D189" s="129" t="s">
        <v>63</v>
      </c>
      <c r="E189" s="129" t="s">
        <v>236</v>
      </c>
      <c r="F189" s="129" t="s">
        <v>237</v>
      </c>
      <c r="G189" s="130" t="s">
        <v>85</v>
      </c>
      <c r="H189" s="130">
        <v>3</v>
      </c>
      <c r="I189" s="130">
        <v>3</v>
      </c>
      <c r="J189" s="130">
        <v>4</v>
      </c>
      <c r="K189" s="131">
        <v>528.6</v>
      </c>
      <c r="L189" s="131">
        <v>528.6</v>
      </c>
      <c r="M189" s="131">
        <v>0</v>
      </c>
      <c r="N189" s="130">
        <v>0</v>
      </c>
      <c r="O189" s="131">
        <v>0</v>
      </c>
      <c r="P189" s="131">
        <v>0</v>
      </c>
      <c r="Q189" s="131">
        <v>0</v>
      </c>
      <c r="R189" s="6"/>
    </row>
    <row r="190" spans="1:18" ht="25.5" x14ac:dyDescent="0.25">
      <c r="A190" s="132">
        <f t="shared" ref="A190:A253" si="10">A189+1</f>
        <v>67</v>
      </c>
      <c r="B190" s="129" t="s">
        <v>238</v>
      </c>
      <c r="C190" s="130" t="s">
        <v>62</v>
      </c>
      <c r="D190" s="129" t="s">
        <v>63</v>
      </c>
      <c r="E190" s="129" t="s">
        <v>239</v>
      </c>
      <c r="F190" s="129" t="s">
        <v>240</v>
      </c>
      <c r="G190" s="130" t="s">
        <v>85</v>
      </c>
      <c r="H190" s="130">
        <v>9</v>
      </c>
      <c r="I190" s="130">
        <v>8</v>
      </c>
      <c r="J190" s="130">
        <v>9</v>
      </c>
      <c r="K190" s="131">
        <v>8493.5499999999993</v>
      </c>
      <c r="L190" s="131">
        <v>8493.5499999999993</v>
      </c>
      <c r="M190" s="131">
        <v>0</v>
      </c>
      <c r="N190" s="130">
        <v>0</v>
      </c>
      <c r="O190" s="131">
        <v>0</v>
      </c>
      <c r="P190" s="131">
        <v>0</v>
      </c>
      <c r="Q190" s="131">
        <v>0</v>
      </c>
      <c r="R190" s="6"/>
    </row>
    <row r="191" spans="1:18" ht="25.5" x14ac:dyDescent="0.25">
      <c r="A191" s="132">
        <f t="shared" si="10"/>
        <v>68</v>
      </c>
      <c r="B191" s="129" t="s">
        <v>241</v>
      </c>
      <c r="C191" s="130" t="s">
        <v>62</v>
      </c>
      <c r="D191" s="129" t="s">
        <v>63</v>
      </c>
      <c r="E191" s="129" t="s">
        <v>242</v>
      </c>
      <c r="F191" s="129" t="s">
        <v>243</v>
      </c>
      <c r="G191" s="130" t="s">
        <v>85</v>
      </c>
      <c r="H191" s="130">
        <v>7</v>
      </c>
      <c r="I191" s="130">
        <v>3</v>
      </c>
      <c r="J191" s="130">
        <v>3</v>
      </c>
      <c r="K191" s="131">
        <v>3433.01</v>
      </c>
      <c r="L191" s="131">
        <v>3433.01</v>
      </c>
      <c r="M191" s="131">
        <v>0</v>
      </c>
      <c r="N191" s="130">
        <v>0</v>
      </c>
      <c r="O191" s="131">
        <v>0</v>
      </c>
      <c r="P191" s="131">
        <v>0</v>
      </c>
      <c r="Q191" s="131">
        <v>0</v>
      </c>
      <c r="R191" s="6"/>
    </row>
    <row r="192" spans="1:18" ht="38.25" x14ac:dyDescent="0.25">
      <c r="A192" s="132">
        <f t="shared" si="10"/>
        <v>69</v>
      </c>
      <c r="B192" s="129" t="s">
        <v>38</v>
      </c>
      <c r="C192" s="130" t="s">
        <v>62</v>
      </c>
      <c r="D192" s="129" t="s">
        <v>63</v>
      </c>
      <c r="E192" s="129" t="s">
        <v>244</v>
      </c>
      <c r="F192" s="129" t="s">
        <v>245</v>
      </c>
      <c r="G192" s="130" t="s">
        <v>85</v>
      </c>
      <c r="H192" s="130">
        <v>59</v>
      </c>
      <c r="I192" s="130">
        <v>42</v>
      </c>
      <c r="J192" s="130">
        <v>66</v>
      </c>
      <c r="K192" s="131">
        <v>114587.42</v>
      </c>
      <c r="L192" s="131">
        <v>81089.75</v>
      </c>
      <c r="M192" s="131">
        <v>33497.67</v>
      </c>
      <c r="N192" s="130">
        <v>69</v>
      </c>
      <c r="O192" s="131">
        <v>203043.36</v>
      </c>
      <c r="P192" s="131">
        <v>160287.96</v>
      </c>
      <c r="Q192" s="131">
        <v>42755.4</v>
      </c>
      <c r="R192" s="6"/>
    </row>
    <row r="193" spans="1:18" ht="25.5" x14ac:dyDescent="0.25">
      <c r="A193" s="132">
        <f t="shared" si="10"/>
        <v>70</v>
      </c>
      <c r="B193" s="129" t="s">
        <v>246</v>
      </c>
      <c r="C193" s="130" t="s">
        <v>62</v>
      </c>
      <c r="D193" s="129" t="s">
        <v>63</v>
      </c>
      <c r="E193" s="129" t="s">
        <v>247</v>
      </c>
      <c r="F193" s="129" t="s">
        <v>248</v>
      </c>
      <c r="G193" s="130" t="s">
        <v>85</v>
      </c>
      <c r="H193" s="130">
        <v>17</v>
      </c>
      <c r="I193" s="130">
        <v>9</v>
      </c>
      <c r="J193" s="130">
        <v>10</v>
      </c>
      <c r="K193" s="131">
        <v>5537.89</v>
      </c>
      <c r="L193" s="131">
        <v>5537.89</v>
      </c>
      <c r="M193" s="131">
        <v>0</v>
      </c>
      <c r="N193" s="130">
        <v>0</v>
      </c>
      <c r="O193" s="131">
        <v>0</v>
      </c>
      <c r="P193" s="131">
        <v>0</v>
      </c>
      <c r="Q193" s="131">
        <v>0</v>
      </c>
      <c r="R193" s="6"/>
    </row>
    <row r="194" spans="1:18" x14ac:dyDescent="0.25">
      <c r="A194" s="132">
        <f t="shared" si="10"/>
        <v>71</v>
      </c>
      <c r="B194" s="129" t="s">
        <v>39</v>
      </c>
      <c r="C194" s="130" t="s">
        <v>62</v>
      </c>
      <c r="D194" s="129" t="s">
        <v>63</v>
      </c>
      <c r="E194" s="129" t="s">
        <v>77</v>
      </c>
      <c r="F194" s="129" t="s">
        <v>466</v>
      </c>
      <c r="G194" s="130" t="s">
        <v>85</v>
      </c>
      <c r="H194" s="130">
        <v>55</v>
      </c>
      <c r="I194" s="130">
        <v>41</v>
      </c>
      <c r="J194" s="130">
        <v>44</v>
      </c>
      <c r="K194" s="131">
        <v>9612.9699999999993</v>
      </c>
      <c r="L194" s="131">
        <v>9612.9699999999993</v>
      </c>
      <c r="M194" s="131">
        <v>0</v>
      </c>
      <c r="N194" s="130">
        <v>6</v>
      </c>
      <c r="O194" s="131">
        <v>6247.51</v>
      </c>
      <c r="P194" s="131">
        <v>6247.51</v>
      </c>
      <c r="Q194" s="131">
        <v>0</v>
      </c>
      <c r="R194" s="6"/>
    </row>
    <row r="195" spans="1:18" ht="38.25" x14ac:dyDescent="0.25">
      <c r="A195" s="132">
        <f t="shared" si="10"/>
        <v>72</v>
      </c>
      <c r="B195" s="129" t="s">
        <v>40</v>
      </c>
      <c r="C195" s="130" t="s">
        <v>62</v>
      </c>
      <c r="D195" s="129" t="s">
        <v>63</v>
      </c>
      <c r="E195" s="129" t="s">
        <v>249</v>
      </c>
      <c r="F195" s="129" t="s">
        <v>250</v>
      </c>
      <c r="G195" s="130" t="s">
        <v>85</v>
      </c>
      <c r="H195" s="130">
        <v>20</v>
      </c>
      <c r="I195" s="130">
        <v>18</v>
      </c>
      <c r="J195" s="130">
        <v>24</v>
      </c>
      <c r="K195" s="131">
        <v>38434.080000000002</v>
      </c>
      <c r="L195" s="131">
        <v>38434.080000000002</v>
      </c>
      <c r="M195" s="131">
        <v>0</v>
      </c>
      <c r="N195" s="130">
        <v>17</v>
      </c>
      <c r="O195" s="131">
        <v>41463</v>
      </c>
      <c r="P195" s="131">
        <v>41463</v>
      </c>
      <c r="Q195" s="131">
        <v>0</v>
      </c>
      <c r="R195" s="6"/>
    </row>
    <row r="196" spans="1:18" ht="25.5" x14ac:dyDescent="0.25">
      <c r="A196" s="132">
        <f t="shared" si="10"/>
        <v>73</v>
      </c>
      <c r="B196" s="129" t="s">
        <v>251</v>
      </c>
      <c r="C196" s="130" t="s">
        <v>62</v>
      </c>
      <c r="D196" s="129" t="s">
        <v>63</v>
      </c>
      <c r="E196" s="129" t="s">
        <v>177</v>
      </c>
      <c r="F196" s="129" t="s">
        <v>252</v>
      </c>
      <c r="G196" s="130" t="s">
        <v>85</v>
      </c>
      <c r="H196" s="130">
        <v>20</v>
      </c>
      <c r="I196" s="130">
        <v>13</v>
      </c>
      <c r="J196" s="130">
        <v>18</v>
      </c>
      <c r="K196" s="131">
        <v>22050.89</v>
      </c>
      <c r="L196" s="131">
        <v>22050.89</v>
      </c>
      <c r="M196" s="131">
        <v>0</v>
      </c>
      <c r="N196" s="130">
        <v>0</v>
      </c>
      <c r="O196" s="131">
        <v>0</v>
      </c>
      <c r="P196" s="131">
        <v>0</v>
      </c>
      <c r="Q196" s="131">
        <v>0</v>
      </c>
      <c r="R196" s="6"/>
    </row>
    <row r="197" spans="1:18" x14ac:dyDescent="0.25">
      <c r="A197" s="132">
        <f t="shared" si="10"/>
        <v>74</v>
      </c>
      <c r="B197" s="129" t="s">
        <v>117</v>
      </c>
      <c r="C197" s="130" t="s">
        <v>62</v>
      </c>
      <c r="D197" s="129" t="s">
        <v>63</v>
      </c>
      <c r="E197" s="129" t="s">
        <v>74</v>
      </c>
      <c r="F197" s="129" t="s">
        <v>520</v>
      </c>
      <c r="G197" s="130" t="s">
        <v>85</v>
      </c>
      <c r="H197" s="130">
        <v>1</v>
      </c>
      <c r="I197" s="130">
        <v>1</v>
      </c>
      <c r="J197" s="130">
        <v>1</v>
      </c>
      <c r="K197" s="131">
        <v>2616.5700000000002</v>
      </c>
      <c r="L197" s="131">
        <v>2616.5700000000002</v>
      </c>
      <c r="M197" s="131">
        <v>0</v>
      </c>
      <c r="N197" s="130">
        <v>1</v>
      </c>
      <c r="O197" s="131">
        <v>581.46</v>
      </c>
      <c r="P197" s="131">
        <v>581.46</v>
      </c>
      <c r="Q197" s="131">
        <v>0</v>
      </c>
      <c r="R197" s="6"/>
    </row>
    <row r="198" spans="1:18" ht="25.5" x14ac:dyDescent="0.25">
      <c r="A198" s="132">
        <f t="shared" si="10"/>
        <v>75</v>
      </c>
      <c r="B198" s="129" t="s">
        <v>41</v>
      </c>
      <c r="C198" s="130" t="s">
        <v>64</v>
      </c>
      <c r="D198" s="129" t="s">
        <v>65</v>
      </c>
      <c r="E198" s="129" t="s">
        <v>72</v>
      </c>
      <c r="F198" s="129" t="s">
        <v>253</v>
      </c>
      <c r="G198" s="130" t="s">
        <v>85</v>
      </c>
      <c r="H198" s="130">
        <v>2</v>
      </c>
      <c r="I198" s="130">
        <v>2</v>
      </c>
      <c r="J198" s="130">
        <v>2</v>
      </c>
      <c r="K198" s="131">
        <v>1575.23</v>
      </c>
      <c r="L198" s="131">
        <v>1575.23</v>
      </c>
      <c r="M198" s="131">
        <v>0</v>
      </c>
      <c r="N198" s="130">
        <v>12</v>
      </c>
      <c r="O198" s="131">
        <v>31906.02</v>
      </c>
      <c r="P198" s="131">
        <v>31906.02</v>
      </c>
      <c r="Q198" s="131">
        <v>0</v>
      </c>
      <c r="R198" s="6"/>
    </row>
    <row r="199" spans="1:18" x14ac:dyDescent="0.25">
      <c r="A199" s="132">
        <f t="shared" si="10"/>
        <v>76</v>
      </c>
      <c r="B199" s="129" t="s">
        <v>118</v>
      </c>
      <c r="C199" s="130" t="s">
        <v>62</v>
      </c>
      <c r="D199" s="129" t="s">
        <v>63</v>
      </c>
      <c r="E199" s="129" t="s">
        <v>63</v>
      </c>
      <c r="F199" s="129" t="s">
        <v>467</v>
      </c>
      <c r="G199" s="130" t="s">
        <v>85</v>
      </c>
      <c r="H199" s="130">
        <v>4</v>
      </c>
      <c r="I199" s="130">
        <v>1</v>
      </c>
      <c r="J199" s="130">
        <v>1</v>
      </c>
      <c r="K199" s="131">
        <v>0</v>
      </c>
      <c r="L199" s="131">
        <v>0</v>
      </c>
      <c r="M199" s="131">
        <v>0</v>
      </c>
      <c r="N199" s="130">
        <v>0</v>
      </c>
      <c r="O199" s="131">
        <f>4722.23+5109.8</f>
        <v>9832.0299999999988</v>
      </c>
      <c r="P199" s="131">
        <f>4722.23+5109.8</f>
        <v>9832.0299999999988</v>
      </c>
      <c r="Q199" s="131">
        <v>0</v>
      </c>
      <c r="R199" s="6"/>
    </row>
    <row r="200" spans="1:18" ht="25.5" x14ac:dyDescent="0.25">
      <c r="A200" s="132">
        <f t="shared" si="10"/>
        <v>77</v>
      </c>
      <c r="B200" s="129" t="s">
        <v>548</v>
      </c>
      <c r="C200" s="130" t="s">
        <v>62</v>
      </c>
      <c r="D200" s="129" t="s">
        <v>63</v>
      </c>
      <c r="E200" s="129" t="s">
        <v>549</v>
      </c>
      <c r="F200" s="129" t="s">
        <v>550</v>
      </c>
      <c r="G200" s="130" t="s">
        <v>85</v>
      </c>
      <c r="H200" s="130">
        <v>3</v>
      </c>
      <c r="I200" s="130">
        <v>0</v>
      </c>
      <c r="J200" s="130">
        <v>0</v>
      </c>
      <c r="K200" s="131">
        <v>0</v>
      </c>
      <c r="L200" s="131">
        <v>0</v>
      </c>
      <c r="M200" s="131">
        <v>0</v>
      </c>
      <c r="N200" s="130">
        <v>0</v>
      </c>
      <c r="O200" s="131">
        <v>0</v>
      </c>
      <c r="P200" s="131">
        <v>0</v>
      </c>
      <c r="Q200" s="131">
        <v>0</v>
      </c>
      <c r="R200" s="6"/>
    </row>
    <row r="201" spans="1:18" ht="25.5" x14ac:dyDescent="0.25">
      <c r="A201" s="132">
        <f t="shared" si="10"/>
        <v>78</v>
      </c>
      <c r="B201" s="129" t="s">
        <v>254</v>
      </c>
      <c r="C201" s="130" t="s">
        <v>62</v>
      </c>
      <c r="D201" s="129" t="s">
        <v>63</v>
      </c>
      <c r="E201" s="129" t="s">
        <v>239</v>
      </c>
      <c r="F201" s="129" t="s">
        <v>255</v>
      </c>
      <c r="G201" s="130" t="s">
        <v>85</v>
      </c>
      <c r="H201" s="130">
        <v>6</v>
      </c>
      <c r="I201" s="130">
        <v>0</v>
      </c>
      <c r="J201" s="130">
        <v>0</v>
      </c>
      <c r="K201" s="131">
        <v>0</v>
      </c>
      <c r="L201" s="131">
        <v>0</v>
      </c>
      <c r="M201" s="131">
        <v>0</v>
      </c>
      <c r="N201" s="130">
        <v>0</v>
      </c>
      <c r="O201" s="131">
        <v>0</v>
      </c>
      <c r="P201" s="131">
        <v>0</v>
      </c>
      <c r="Q201" s="131">
        <v>0</v>
      </c>
      <c r="R201" s="6"/>
    </row>
    <row r="202" spans="1:18" x14ac:dyDescent="0.25">
      <c r="A202" s="132">
        <f t="shared" si="10"/>
        <v>79</v>
      </c>
      <c r="B202" s="129" t="s">
        <v>256</v>
      </c>
      <c r="C202" s="130" t="s">
        <v>62</v>
      </c>
      <c r="D202" s="129" t="s">
        <v>63</v>
      </c>
      <c r="E202" s="129" t="s">
        <v>158</v>
      </c>
      <c r="F202" s="129" t="s">
        <v>257</v>
      </c>
      <c r="G202" s="130" t="s">
        <v>85</v>
      </c>
      <c r="H202" s="130">
        <v>6</v>
      </c>
      <c r="I202" s="130">
        <v>2</v>
      </c>
      <c r="J202" s="130">
        <v>2</v>
      </c>
      <c r="K202" s="131">
        <v>2079.16</v>
      </c>
      <c r="L202" s="131">
        <v>2079.16</v>
      </c>
      <c r="M202" s="131">
        <v>0</v>
      </c>
      <c r="N202" s="130">
        <v>0</v>
      </c>
      <c r="O202" s="131">
        <v>0</v>
      </c>
      <c r="P202" s="131">
        <v>0</v>
      </c>
      <c r="Q202" s="131">
        <v>0</v>
      </c>
      <c r="R202" s="6"/>
    </row>
    <row r="203" spans="1:18" ht="25.5" x14ac:dyDescent="0.25">
      <c r="A203" s="132">
        <f t="shared" si="10"/>
        <v>80</v>
      </c>
      <c r="B203" s="129" t="s">
        <v>258</v>
      </c>
      <c r="C203" s="130" t="s">
        <v>62</v>
      </c>
      <c r="D203" s="129" t="s">
        <v>63</v>
      </c>
      <c r="E203" s="129" t="s">
        <v>239</v>
      </c>
      <c r="F203" s="129" t="s">
        <v>259</v>
      </c>
      <c r="G203" s="130" t="s">
        <v>85</v>
      </c>
      <c r="H203" s="130">
        <v>11</v>
      </c>
      <c r="I203" s="130">
        <v>6</v>
      </c>
      <c r="J203" s="130">
        <v>6</v>
      </c>
      <c r="K203" s="131">
        <v>1347.43</v>
      </c>
      <c r="L203" s="131">
        <v>1347.43</v>
      </c>
      <c r="M203" s="131">
        <v>0</v>
      </c>
      <c r="N203" s="130">
        <v>0</v>
      </c>
      <c r="O203" s="131">
        <v>0</v>
      </c>
      <c r="P203" s="131">
        <v>0</v>
      </c>
      <c r="Q203" s="131">
        <v>0</v>
      </c>
      <c r="R203" s="6"/>
    </row>
    <row r="204" spans="1:18" ht="25.5" x14ac:dyDescent="0.25">
      <c r="A204" s="132">
        <f t="shared" si="10"/>
        <v>81</v>
      </c>
      <c r="B204" s="129" t="s">
        <v>42</v>
      </c>
      <c r="C204" s="130" t="s">
        <v>62</v>
      </c>
      <c r="D204" s="129" t="s">
        <v>63</v>
      </c>
      <c r="E204" s="129" t="s">
        <v>78</v>
      </c>
      <c r="F204" s="129" t="s">
        <v>260</v>
      </c>
      <c r="G204" s="130" t="s">
        <v>85</v>
      </c>
      <c r="H204" s="130">
        <v>31</v>
      </c>
      <c r="I204" s="130">
        <v>23</v>
      </c>
      <c r="J204" s="130">
        <v>26</v>
      </c>
      <c r="K204" s="131">
        <v>25596.83</v>
      </c>
      <c r="L204" s="131">
        <v>25596.83</v>
      </c>
      <c r="M204" s="131">
        <v>0</v>
      </c>
      <c r="N204" s="130">
        <v>26</v>
      </c>
      <c r="O204" s="131">
        <v>59423.99</v>
      </c>
      <c r="P204" s="131">
        <v>59423.99</v>
      </c>
      <c r="Q204" s="131">
        <v>0</v>
      </c>
      <c r="R204" s="6"/>
    </row>
    <row r="205" spans="1:18" ht="25.5" x14ac:dyDescent="0.25">
      <c r="A205" s="132">
        <f t="shared" si="10"/>
        <v>82</v>
      </c>
      <c r="B205" s="129" t="s">
        <v>43</v>
      </c>
      <c r="C205" s="130" t="s">
        <v>62</v>
      </c>
      <c r="D205" s="129" t="s">
        <v>63</v>
      </c>
      <c r="E205" s="129" t="s">
        <v>72</v>
      </c>
      <c r="F205" s="129" t="s">
        <v>261</v>
      </c>
      <c r="G205" s="130" t="s">
        <v>85</v>
      </c>
      <c r="H205" s="130">
        <v>17</v>
      </c>
      <c r="I205" s="130">
        <v>10</v>
      </c>
      <c r="J205" s="130">
        <v>14</v>
      </c>
      <c r="K205" s="131">
        <v>18615.32</v>
      </c>
      <c r="L205" s="131">
        <v>18615.32</v>
      </c>
      <c r="M205" s="131">
        <v>0</v>
      </c>
      <c r="N205" s="130">
        <v>31</v>
      </c>
      <c r="O205" s="131">
        <v>87291.33</v>
      </c>
      <c r="P205" s="131">
        <v>87291.33</v>
      </c>
      <c r="Q205" s="131">
        <v>0</v>
      </c>
      <c r="R205" s="6"/>
    </row>
    <row r="206" spans="1:18" x14ac:dyDescent="0.25">
      <c r="A206" s="132">
        <f t="shared" si="10"/>
        <v>83</v>
      </c>
      <c r="B206" s="129" t="s">
        <v>44</v>
      </c>
      <c r="C206" s="130" t="s">
        <v>62</v>
      </c>
      <c r="D206" s="129" t="s">
        <v>63</v>
      </c>
      <c r="E206" s="129" t="s">
        <v>74</v>
      </c>
      <c r="F206" s="129" t="s">
        <v>262</v>
      </c>
      <c r="G206" s="130" t="s">
        <v>85</v>
      </c>
      <c r="H206" s="130">
        <v>29</v>
      </c>
      <c r="I206" s="130">
        <v>18</v>
      </c>
      <c r="J206" s="130">
        <v>20</v>
      </c>
      <c r="K206" s="131">
        <v>7151.96</v>
      </c>
      <c r="L206" s="131">
        <v>7151.96</v>
      </c>
      <c r="M206" s="131">
        <v>0</v>
      </c>
      <c r="N206" s="130">
        <v>26</v>
      </c>
      <c r="O206" s="131">
        <v>80034.320000000007</v>
      </c>
      <c r="P206" s="131">
        <v>80034.320000000007</v>
      </c>
      <c r="Q206" s="131">
        <v>0</v>
      </c>
      <c r="R206" s="6"/>
    </row>
    <row r="207" spans="1:18" ht="25.5" x14ac:dyDescent="0.25">
      <c r="A207" s="132">
        <f t="shared" si="10"/>
        <v>84</v>
      </c>
      <c r="B207" s="129" t="s">
        <v>45</v>
      </c>
      <c r="C207" s="130" t="s">
        <v>62</v>
      </c>
      <c r="D207" s="129" t="s">
        <v>63</v>
      </c>
      <c r="E207" s="129" t="s">
        <v>79</v>
      </c>
      <c r="F207" s="129" t="s">
        <v>263</v>
      </c>
      <c r="G207" s="130" t="s">
        <v>85</v>
      </c>
      <c r="H207" s="130">
        <v>8</v>
      </c>
      <c r="I207" s="130">
        <v>6</v>
      </c>
      <c r="J207" s="130">
        <v>10</v>
      </c>
      <c r="K207" s="131">
        <v>7644.39</v>
      </c>
      <c r="L207" s="131">
        <v>7644.39</v>
      </c>
      <c r="M207" s="131">
        <v>0</v>
      </c>
      <c r="N207" s="130">
        <v>1</v>
      </c>
      <c r="O207" s="131">
        <v>12181.77</v>
      </c>
      <c r="P207" s="131">
        <v>12181.77</v>
      </c>
      <c r="Q207" s="131">
        <v>0</v>
      </c>
      <c r="R207" s="6"/>
    </row>
    <row r="208" spans="1:18" x14ac:dyDescent="0.25">
      <c r="A208" s="132">
        <f t="shared" si="10"/>
        <v>85</v>
      </c>
      <c r="B208" s="129" t="s">
        <v>264</v>
      </c>
      <c r="C208" s="130" t="s">
        <v>62</v>
      </c>
      <c r="D208" s="129" t="s">
        <v>63</v>
      </c>
      <c r="E208" s="129" t="s">
        <v>74</v>
      </c>
      <c r="F208" s="129" t="s">
        <v>265</v>
      </c>
      <c r="G208" s="130" t="s">
        <v>85</v>
      </c>
      <c r="H208" s="130">
        <v>17</v>
      </c>
      <c r="I208" s="130">
        <v>15</v>
      </c>
      <c r="J208" s="130">
        <v>16</v>
      </c>
      <c r="K208" s="131">
        <v>6523.63</v>
      </c>
      <c r="L208" s="131">
        <v>6523.63</v>
      </c>
      <c r="M208" s="131">
        <v>0</v>
      </c>
      <c r="N208" s="130">
        <v>0</v>
      </c>
      <c r="O208" s="131">
        <v>0</v>
      </c>
      <c r="P208" s="131">
        <v>0</v>
      </c>
      <c r="Q208" s="131">
        <v>0</v>
      </c>
      <c r="R208" s="6"/>
    </row>
    <row r="209" spans="1:18" ht="25.5" x14ac:dyDescent="0.25">
      <c r="A209" s="132">
        <f t="shared" si="10"/>
        <v>86</v>
      </c>
      <c r="B209" s="129" t="s">
        <v>119</v>
      </c>
      <c r="C209" s="130" t="s">
        <v>62</v>
      </c>
      <c r="D209" s="129" t="s">
        <v>63</v>
      </c>
      <c r="E209" s="129" t="s">
        <v>108</v>
      </c>
      <c r="F209" s="129" t="s">
        <v>266</v>
      </c>
      <c r="G209" s="130" t="s">
        <v>85</v>
      </c>
      <c r="H209" s="130">
        <v>14</v>
      </c>
      <c r="I209" s="130">
        <v>9</v>
      </c>
      <c r="J209" s="130">
        <v>10</v>
      </c>
      <c r="K209" s="131">
        <v>6931.42</v>
      </c>
      <c r="L209" s="131">
        <v>6931.42</v>
      </c>
      <c r="M209" s="131">
        <v>0</v>
      </c>
      <c r="N209" s="130">
        <v>2</v>
      </c>
      <c r="O209" s="131">
        <v>768.04</v>
      </c>
      <c r="P209" s="131">
        <v>768.04</v>
      </c>
      <c r="Q209" s="131">
        <v>0</v>
      </c>
      <c r="R209" s="6"/>
    </row>
    <row r="210" spans="1:18" ht="38.25" x14ac:dyDescent="0.25">
      <c r="A210" s="132">
        <f t="shared" si="10"/>
        <v>87</v>
      </c>
      <c r="B210" s="129" t="s">
        <v>46</v>
      </c>
      <c r="C210" s="130" t="s">
        <v>62</v>
      </c>
      <c r="D210" s="129" t="s">
        <v>63</v>
      </c>
      <c r="E210" s="129" t="s">
        <v>267</v>
      </c>
      <c r="F210" s="129" t="s">
        <v>268</v>
      </c>
      <c r="G210" s="130" t="s">
        <v>85</v>
      </c>
      <c r="H210" s="130">
        <v>18</v>
      </c>
      <c r="I210" s="130">
        <v>13</v>
      </c>
      <c r="J210" s="130">
        <v>18</v>
      </c>
      <c r="K210" s="131">
        <v>26906.22</v>
      </c>
      <c r="L210" s="131">
        <v>14591.44</v>
      </c>
      <c r="M210" s="131">
        <v>12314.78</v>
      </c>
      <c r="N210" s="130">
        <v>20</v>
      </c>
      <c r="O210" s="131">
        <v>104529.03</v>
      </c>
      <c r="P210" s="131">
        <v>91463.84</v>
      </c>
      <c r="Q210" s="131">
        <v>13065.19</v>
      </c>
      <c r="R210" s="6"/>
    </row>
    <row r="211" spans="1:18" ht="25.5" x14ac:dyDescent="0.25">
      <c r="A211" s="132">
        <f t="shared" si="10"/>
        <v>88</v>
      </c>
      <c r="B211" s="129" t="s">
        <v>47</v>
      </c>
      <c r="C211" s="130" t="s">
        <v>62</v>
      </c>
      <c r="D211" s="129" t="s">
        <v>63</v>
      </c>
      <c r="E211" s="129" t="s">
        <v>80</v>
      </c>
      <c r="F211" s="129" t="s">
        <v>269</v>
      </c>
      <c r="G211" s="130" t="s">
        <v>85</v>
      </c>
      <c r="H211" s="130">
        <v>47</v>
      </c>
      <c r="I211" s="130">
        <v>30</v>
      </c>
      <c r="J211" s="130">
        <v>44</v>
      </c>
      <c r="K211" s="131">
        <v>75452.800000000003</v>
      </c>
      <c r="L211" s="131">
        <v>61380.47</v>
      </c>
      <c r="M211" s="131">
        <v>14072.33</v>
      </c>
      <c r="N211" s="130">
        <v>101</v>
      </c>
      <c r="O211" s="131">
        <v>370643.57</v>
      </c>
      <c r="P211" s="131">
        <v>292071.21000000002</v>
      </c>
      <c r="Q211" s="131">
        <v>78572.36</v>
      </c>
      <c r="R211" s="6"/>
    </row>
    <row r="212" spans="1:18" ht="25.5" x14ac:dyDescent="0.25">
      <c r="A212" s="132">
        <f t="shared" si="10"/>
        <v>89</v>
      </c>
      <c r="B212" s="129" t="s">
        <v>270</v>
      </c>
      <c r="C212" s="130" t="s">
        <v>62</v>
      </c>
      <c r="D212" s="129" t="s">
        <v>63</v>
      </c>
      <c r="E212" s="129" t="s">
        <v>271</v>
      </c>
      <c r="F212" s="129" t="s">
        <v>272</v>
      </c>
      <c r="G212" s="130" t="s">
        <v>85</v>
      </c>
      <c r="H212" s="130">
        <v>8</v>
      </c>
      <c r="I212" s="130">
        <v>4</v>
      </c>
      <c r="J212" s="130">
        <v>5</v>
      </c>
      <c r="K212" s="131">
        <v>6888.14</v>
      </c>
      <c r="L212" s="131">
        <v>6888.14</v>
      </c>
      <c r="M212" s="131">
        <v>0</v>
      </c>
      <c r="N212" s="130">
        <v>0</v>
      </c>
      <c r="O212" s="131">
        <v>0</v>
      </c>
      <c r="P212" s="131">
        <v>0</v>
      </c>
      <c r="Q212" s="131">
        <v>0</v>
      </c>
      <c r="R212" s="6"/>
    </row>
    <row r="213" spans="1:18" ht="25.5" x14ac:dyDescent="0.25">
      <c r="A213" s="132">
        <f t="shared" si="10"/>
        <v>90</v>
      </c>
      <c r="B213" s="129" t="s">
        <v>273</v>
      </c>
      <c r="C213" s="130" t="s">
        <v>62</v>
      </c>
      <c r="D213" s="129" t="s">
        <v>63</v>
      </c>
      <c r="E213" s="129" t="s">
        <v>186</v>
      </c>
      <c r="F213" s="129" t="s">
        <v>63</v>
      </c>
      <c r="G213" s="130" t="s">
        <v>85</v>
      </c>
      <c r="H213" s="130">
        <v>5</v>
      </c>
      <c r="I213" s="130">
        <v>0</v>
      </c>
      <c r="J213" s="130">
        <v>0</v>
      </c>
      <c r="K213" s="131">
        <v>0</v>
      </c>
      <c r="L213" s="131">
        <v>0</v>
      </c>
      <c r="M213" s="131">
        <v>0</v>
      </c>
      <c r="N213" s="130">
        <v>0</v>
      </c>
      <c r="O213" s="131">
        <v>0</v>
      </c>
      <c r="P213" s="131">
        <v>0</v>
      </c>
      <c r="Q213" s="131">
        <v>0</v>
      </c>
      <c r="R213" s="6"/>
    </row>
    <row r="214" spans="1:18" x14ac:dyDescent="0.25">
      <c r="A214" s="132">
        <f t="shared" si="10"/>
        <v>91</v>
      </c>
      <c r="B214" s="129" t="s">
        <v>490</v>
      </c>
      <c r="C214" s="130" t="s">
        <v>62</v>
      </c>
      <c r="D214" s="129" t="s">
        <v>63</v>
      </c>
      <c r="E214" s="129" t="s">
        <v>491</v>
      </c>
      <c r="F214" s="129" t="s">
        <v>492</v>
      </c>
      <c r="G214" s="130" t="s">
        <v>85</v>
      </c>
      <c r="H214" s="130">
        <v>7</v>
      </c>
      <c r="I214" s="130">
        <v>1</v>
      </c>
      <c r="J214" s="130">
        <v>1</v>
      </c>
      <c r="K214" s="131">
        <v>0</v>
      </c>
      <c r="L214" s="131">
        <v>0</v>
      </c>
      <c r="M214" s="131">
        <v>0</v>
      </c>
      <c r="N214" s="130">
        <v>0</v>
      </c>
      <c r="O214" s="131">
        <v>0</v>
      </c>
      <c r="P214" s="131">
        <v>0</v>
      </c>
      <c r="Q214" s="131">
        <v>0</v>
      </c>
      <c r="R214" s="6"/>
    </row>
    <row r="215" spans="1:18" x14ac:dyDescent="0.25">
      <c r="A215" s="132">
        <f t="shared" si="10"/>
        <v>92</v>
      </c>
      <c r="B215" s="129" t="s">
        <v>94</v>
      </c>
      <c r="C215" s="130" t="s">
        <v>62</v>
      </c>
      <c r="D215" s="129" t="s">
        <v>63</v>
      </c>
      <c r="E215" s="129" t="s">
        <v>74</v>
      </c>
      <c r="F215" s="129" t="s">
        <v>274</v>
      </c>
      <c r="G215" s="130" t="s">
        <v>85</v>
      </c>
      <c r="H215" s="130">
        <v>11</v>
      </c>
      <c r="I215" s="130">
        <v>1</v>
      </c>
      <c r="J215" s="130">
        <v>1</v>
      </c>
      <c r="K215" s="131">
        <v>1613.29</v>
      </c>
      <c r="L215" s="131">
        <v>1613.29</v>
      </c>
      <c r="M215" s="131">
        <v>0</v>
      </c>
      <c r="N215" s="130">
        <v>4</v>
      </c>
      <c r="O215" s="131">
        <v>4493.33</v>
      </c>
      <c r="P215" s="131">
        <v>4493.33</v>
      </c>
      <c r="Q215" s="131">
        <v>0</v>
      </c>
      <c r="R215" s="6"/>
    </row>
    <row r="216" spans="1:18" ht="25.5" x14ac:dyDescent="0.25">
      <c r="A216" s="132">
        <f t="shared" si="10"/>
        <v>93</v>
      </c>
      <c r="B216" s="129" t="s">
        <v>120</v>
      </c>
      <c r="C216" s="130" t="s">
        <v>67</v>
      </c>
      <c r="D216" s="129" t="s">
        <v>493</v>
      </c>
      <c r="E216" s="129" t="s">
        <v>121</v>
      </c>
      <c r="F216" s="129" t="s">
        <v>468</v>
      </c>
      <c r="G216" s="130" t="s">
        <v>85</v>
      </c>
      <c r="H216" s="130">
        <v>7</v>
      </c>
      <c r="I216" s="130">
        <v>4</v>
      </c>
      <c r="J216" s="130">
        <v>4</v>
      </c>
      <c r="K216" s="131">
        <v>1127.68</v>
      </c>
      <c r="L216" s="131">
        <v>1127.68</v>
      </c>
      <c r="M216" s="131">
        <v>0</v>
      </c>
      <c r="N216" s="130">
        <v>0</v>
      </c>
      <c r="O216" s="131">
        <v>0</v>
      </c>
      <c r="P216" s="131">
        <v>0</v>
      </c>
      <c r="Q216" s="131">
        <v>0</v>
      </c>
      <c r="R216" s="6"/>
    </row>
    <row r="217" spans="1:18" ht="25.5" x14ac:dyDescent="0.25">
      <c r="A217" s="132">
        <f t="shared" si="10"/>
        <v>94</v>
      </c>
      <c r="B217" s="129" t="s">
        <v>407</v>
      </c>
      <c r="C217" s="130" t="s">
        <v>62</v>
      </c>
      <c r="D217" s="129" t="s">
        <v>63</v>
      </c>
      <c r="E217" s="129" t="s">
        <v>186</v>
      </c>
      <c r="F217" s="129" t="s">
        <v>63</v>
      </c>
      <c r="G217" s="130" t="s">
        <v>85</v>
      </c>
      <c r="H217" s="130">
        <v>1</v>
      </c>
      <c r="I217" s="130">
        <v>0</v>
      </c>
      <c r="J217" s="130">
        <v>0</v>
      </c>
      <c r="K217" s="131">
        <v>0</v>
      </c>
      <c r="L217" s="131">
        <v>0</v>
      </c>
      <c r="M217" s="131">
        <v>0</v>
      </c>
      <c r="N217" s="130">
        <v>0</v>
      </c>
      <c r="O217" s="131">
        <v>0</v>
      </c>
      <c r="P217" s="131">
        <v>0</v>
      </c>
      <c r="Q217" s="131">
        <v>0</v>
      </c>
      <c r="R217" s="6"/>
    </row>
    <row r="218" spans="1:18" ht="25.5" x14ac:dyDescent="0.25">
      <c r="A218" s="132">
        <f t="shared" si="10"/>
        <v>95</v>
      </c>
      <c r="B218" s="129" t="s">
        <v>122</v>
      </c>
      <c r="C218" s="130" t="s">
        <v>62</v>
      </c>
      <c r="D218" s="129" t="s">
        <v>63</v>
      </c>
      <c r="E218" s="129" t="s">
        <v>275</v>
      </c>
      <c r="F218" s="129" t="s">
        <v>276</v>
      </c>
      <c r="G218" s="130" t="s">
        <v>85</v>
      </c>
      <c r="H218" s="130">
        <v>10</v>
      </c>
      <c r="I218" s="130">
        <v>5</v>
      </c>
      <c r="J218" s="130">
        <v>8</v>
      </c>
      <c r="K218" s="131">
        <v>5471.36</v>
      </c>
      <c r="L218" s="131">
        <v>5471.36</v>
      </c>
      <c r="M218" s="131">
        <v>0</v>
      </c>
      <c r="N218" s="130">
        <v>5</v>
      </c>
      <c r="O218" s="131">
        <v>7270.27</v>
      </c>
      <c r="P218" s="131">
        <v>7270.27</v>
      </c>
      <c r="Q218" s="131">
        <v>0</v>
      </c>
      <c r="R218" s="6"/>
    </row>
    <row r="219" spans="1:18" x14ac:dyDescent="0.25">
      <c r="A219" s="132">
        <f t="shared" si="10"/>
        <v>96</v>
      </c>
      <c r="B219" s="129" t="s">
        <v>133</v>
      </c>
      <c r="C219" s="130" t="s">
        <v>67</v>
      </c>
      <c r="D219" s="129" t="s">
        <v>494</v>
      </c>
      <c r="E219" s="129" t="s">
        <v>74</v>
      </c>
      <c r="F219" s="129" t="s">
        <v>63</v>
      </c>
      <c r="G219" s="130" t="s">
        <v>85</v>
      </c>
      <c r="H219" s="130">
        <v>7</v>
      </c>
      <c r="I219" s="130">
        <v>3</v>
      </c>
      <c r="J219" s="130">
        <v>4</v>
      </c>
      <c r="K219" s="131">
        <v>5018.91</v>
      </c>
      <c r="L219" s="131">
        <v>5018.91</v>
      </c>
      <c r="M219" s="131">
        <v>0</v>
      </c>
      <c r="N219" s="130">
        <v>0</v>
      </c>
      <c r="O219" s="131">
        <v>0</v>
      </c>
      <c r="P219" s="131">
        <v>0</v>
      </c>
      <c r="Q219" s="131">
        <v>0</v>
      </c>
      <c r="R219" s="6"/>
    </row>
    <row r="220" spans="1:18" x14ac:dyDescent="0.25">
      <c r="A220" s="132">
        <f t="shared" si="10"/>
        <v>97</v>
      </c>
      <c r="B220" s="129" t="s">
        <v>96</v>
      </c>
      <c r="C220" s="130" t="s">
        <v>62</v>
      </c>
      <c r="D220" s="129" t="s">
        <v>63</v>
      </c>
      <c r="E220" s="129" t="s">
        <v>98</v>
      </c>
      <c r="F220" s="129" t="s">
        <v>277</v>
      </c>
      <c r="G220" s="130" t="s">
        <v>85</v>
      </c>
      <c r="H220" s="130">
        <v>22</v>
      </c>
      <c r="I220" s="130">
        <v>3</v>
      </c>
      <c r="J220" s="130">
        <v>3</v>
      </c>
      <c r="K220" s="131">
        <v>7539.6</v>
      </c>
      <c r="L220" s="131">
        <v>7539.6</v>
      </c>
      <c r="M220" s="131">
        <v>0</v>
      </c>
      <c r="N220" s="130">
        <v>8</v>
      </c>
      <c r="O220" s="131">
        <v>18644</v>
      </c>
      <c r="P220" s="131">
        <v>18644</v>
      </c>
      <c r="Q220" s="131">
        <v>0</v>
      </c>
      <c r="R220" s="6"/>
    </row>
    <row r="221" spans="1:18" ht="25.5" x14ac:dyDescent="0.25">
      <c r="A221" s="132">
        <f t="shared" si="10"/>
        <v>98</v>
      </c>
      <c r="B221" s="129" t="s">
        <v>48</v>
      </c>
      <c r="C221" s="130" t="s">
        <v>62</v>
      </c>
      <c r="D221" s="129" t="s">
        <v>63</v>
      </c>
      <c r="E221" s="129" t="s">
        <v>81</v>
      </c>
      <c r="F221" s="129" t="s">
        <v>278</v>
      </c>
      <c r="G221" s="130" t="s">
        <v>85</v>
      </c>
      <c r="H221" s="130">
        <v>30</v>
      </c>
      <c r="I221" s="130">
        <v>20</v>
      </c>
      <c r="J221" s="130">
        <v>24</v>
      </c>
      <c r="K221" s="131">
        <v>7356.8</v>
      </c>
      <c r="L221" s="131">
        <v>7356.8</v>
      </c>
      <c r="M221" s="131">
        <v>0</v>
      </c>
      <c r="N221" s="130">
        <v>8</v>
      </c>
      <c r="O221" s="131">
        <v>34796.1</v>
      </c>
      <c r="P221" s="131">
        <v>34796.1</v>
      </c>
      <c r="Q221" s="131">
        <v>0</v>
      </c>
      <c r="R221" s="6"/>
    </row>
    <row r="222" spans="1:18" x14ac:dyDescent="0.25">
      <c r="A222" s="132">
        <f t="shared" si="10"/>
        <v>99</v>
      </c>
      <c r="B222" s="129" t="s">
        <v>49</v>
      </c>
      <c r="C222" s="130" t="s">
        <v>62</v>
      </c>
      <c r="D222" s="129" t="s">
        <v>63</v>
      </c>
      <c r="E222" s="129" t="s">
        <v>74</v>
      </c>
      <c r="F222" s="129" t="s">
        <v>279</v>
      </c>
      <c r="G222" s="130" t="s">
        <v>85</v>
      </c>
      <c r="H222" s="130">
        <v>18</v>
      </c>
      <c r="I222" s="130">
        <v>12</v>
      </c>
      <c r="J222" s="130">
        <v>12</v>
      </c>
      <c r="K222" s="131">
        <v>10483.14</v>
      </c>
      <c r="L222" s="131">
        <v>10483.14</v>
      </c>
      <c r="M222" s="131">
        <v>0</v>
      </c>
      <c r="N222" s="130">
        <v>5</v>
      </c>
      <c r="O222" s="131">
        <v>37590.26</v>
      </c>
      <c r="P222" s="131">
        <v>37590.26</v>
      </c>
      <c r="Q222" s="131">
        <v>0</v>
      </c>
      <c r="R222" s="6"/>
    </row>
    <row r="223" spans="1:18" ht="25.5" x14ac:dyDescent="0.25">
      <c r="A223" s="132">
        <f t="shared" si="10"/>
        <v>100</v>
      </c>
      <c r="B223" s="129" t="s">
        <v>50</v>
      </c>
      <c r="C223" s="130" t="s">
        <v>67</v>
      </c>
      <c r="D223" s="129" t="s">
        <v>123</v>
      </c>
      <c r="E223" s="129" t="s">
        <v>82</v>
      </c>
      <c r="F223" s="129" t="s">
        <v>280</v>
      </c>
      <c r="G223" s="130" t="s">
        <v>85</v>
      </c>
      <c r="H223" s="130">
        <v>7</v>
      </c>
      <c r="I223" s="130">
        <v>0</v>
      </c>
      <c r="J223" s="130">
        <v>0</v>
      </c>
      <c r="K223" s="131">
        <v>0</v>
      </c>
      <c r="L223" s="131">
        <v>0</v>
      </c>
      <c r="M223" s="131">
        <v>0</v>
      </c>
      <c r="N223" s="130">
        <v>3</v>
      </c>
      <c r="O223" s="131">
        <v>7205.22</v>
      </c>
      <c r="P223" s="131">
        <v>7205.22</v>
      </c>
      <c r="Q223" s="131">
        <v>0</v>
      </c>
      <c r="R223" s="6"/>
    </row>
    <row r="224" spans="1:18" ht="25.5" x14ac:dyDescent="0.25">
      <c r="A224" s="132">
        <f t="shared" si="10"/>
        <v>101</v>
      </c>
      <c r="B224" s="129" t="s">
        <v>281</v>
      </c>
      <c r="C224" s="130" t="s">
        <v>62</v>
      </c>
      <c r="D224" s="129" t="s">
        <v>63</v>
      </c>
      <c r="E224" s="129" t="s">
        <v>282</v>
      </c>
      <c r="F224" s="129" t="s">
        <v>283</v>
      </c>
      <c r="G224" s="130" t="s">
        <v>85</v>
      </c>
      <c r="H224" s="130">
        <v>11</v>
      </c>
      <c r="I224" s="130">
        <v>4</v>
      </c>
      <c r="J224" s="130">
        <v>4</v>
      </c>
      <c r="K224" s="131">
        <v>0</v>
      </c>
      <c r="L224" s="131">
        <v>0</v>
      </c>
      <c r="M224" s="131">
        <v>0</v>
      </c>
      <c r="N224" s="130">
        <v>0</v>
      </c>
      <c r="O224" s="131">
        <v>0</v>
      </c>
      <c r="P224" s="131">
        <v>0</v>
      </c>
      <c r="Q224" s="131">
        <v>0</v>
      </c>
      <c r="R224" s="6"/>
    </row>
    <row r="225" spans="1:18" x14ac:dyDescent="0.25">
      <c r="A225" s="132">
        <f t="shared" si="10"/>
        <v>102</v>
      </c>
      <c r="B225" s="129" t="s">
        <v>124</v>
      </c>
      <c r="C225" s="130" t="s">
        <v>62</v>
      </c>
      <c r="D225" s="129" t="s">
        <v>63</v>
      </c>
      <c r="E225" s="129" t="s">
        <v>63</v>
      </c>
      <c r="F225" s="129" t="s">
        <v>284</v>
      </c>
      <c r="G225" s="130" t="s">
        <v>85</v>
      </c>
      <c r="H225" s="130">
        <v>24</v>
      </c>
      <c r="I225" s="130">
        <v>18</v>
      </c>
      <c r="J225" s="130">
        <v>22</v>
      </c>
      <c r="K225" s="131">
        <v>14298.11</v>
      </c>
      <c r="L225" s="131">
        <v>14298.11</v>
      </c>
      <c r="M225" s="131">
        <v>0</v>
      </c>
      <c r="N225" s="130">
        <v>14</v>
      </c>
      <c r="O225" s="131">
        <v>18186.439999999999</v>
      </c>
      <c r="P225" s="131">
        <v>18186.439999999999</v>
      </c>
      <c r="Q225" s="131">
        <v>0</v>
      </c>
      <c r="R225" s="6"/>
    </row>
    <row r="226" spans="1:18" x14ac:dyDescent="0.25">
      <c r="A226" s="132">
        <f t="shared" si="10"/>
        <v>103</v>
      </c>
      <c r="B226" s="129" t="s">
        <v>51</v>
      </c>
      <c r="C226" s="130" t="s">
        <v>62</v>
      </c>
      <c r="D226" s="129" t="s">
        <v>63</v>
      </c>
      <c r="E226" s="129" t="s">
        <v>74</v>
      </c>
      <c r="F226" s="129" t="s">
        <v>285</v>
      </c>
      <c r="G226" s="130" t="s">
        <v>85</v>
      </c>
      <c r="H226" s="130">
        <v>10</v>
      </c>
      <c r="I226" s="130">
        <v>6</v>
      </c>
      <c r="J226" s="130">
        <v>6</v>
      </c>
      <c r="K226" s="131">
        <v>2325.7399999999998</v>
      </c>
      <c r="L226" s="131">
        <v>2325.7399999999998</v>
      </c>
      <c r="M226" s="131">
        <v>0</v>
      </c>
      <c r="N226" s="130">
        <v>10</v>
      </c>
      <c r="O226" s="131">
        <v>1797.24</v>
      </c>
      <c r="P226" s="131">
        <v>1797.24</v>
      </c>
      <c r="Q226" s="131">
        <v>0</v>
      </c>
      <c r="R226" s="6"/>
    </row>
    <row r="227" spans="1:18" ht="25.5" x14ac:dyDescent="0.25">
      <c r="A227" s="132">
        <f t="shared" si="10"/>
        <v>104</v>
      </c>
      <c r="B227" s="129" t="s">
        <v>286</v>
      </c>
      <c r="C227" s="130" t="s">
        <v>62</v>
      </c>
      <c r="D227" s="129" t="s">
        <v>63</v>
      </c>
      <c r="E227" s="129" t="s">
        <v>174</v>
      </c>
      <c r="F227" s="129" t="s">
        <v>287</v>
      </c>
      <c r="G227" s="130" t="s">
        <v>85</v>
      </c>
      <c r="H227" s="130">
        <v>6</v>
      </c>
      <c r="I227" s="130">
        <v>2</v>
      </c>
      <c r="J227" s="130">
        <v>2</v>
      </c>
      <c r="K227" s="131">
        <v>1399.03</v>
      </c>
      <c r="L227" s="131">
        <v>1399.03</v>
      </c>
      <c r="M227" s="131">
        <v>0</v>
      </c>
      <c r="N227" s="130">
        <v>0</v>
      </c>
      <c r="O227" s="131">
        <v>0</v>
      </c>
      <c r="P227" s="131">
        <v>0</v>
      </c>
      <c r="Q227" s="131">
        <v>0</v>
      </c>
      <c r="R227" s="6"/>
    </row>
    <row r="228" spans="1:18" x14ac:dyDescent="0.25">
      <c r="A228" s="132">
        <f t="shared" si="10"/>
        <v>105</v>
      </c>
      <c r="B228" s="129" t="s">
        <v>52</v>
      </c>
      <c r="C228" s="130" t="s">
        <v>62</v>
      </c>
      <c r="D228" s="129" t="s">
        <v>63</v>
      </c>
      <c r="E228" s="129" t="s">
        <v>74</v>
      </c>
      <c r="F228" s="129" t="s">
        <v>125</v>
      </c>
      <c r="G228" s="130" t="s">
        <v>85</v>
      </c>
      <c r="H228" s="130">
        <v>3</v>
      </c>
      <c r="I228" s="130">
        <v>0</v>
      </c>
      <c r="J228" s="130">
        <v>0</v>
      </c>
      <c r="K228" s="131">
        <v>0</v>
      </c>
      <c r="L228" s="131">
        <v>0</v>
      </c>
      <c r="M228" s="131">
        <v>0</v>
      </c>
      <c r="N228" s="130">
        <v>0</v>
      </c>
      <c r="O228" s="131">
        <v>0</v>
      </c>
      <c r="P228" s="131">
        <v>0</v>
      </c>
      <c r="Q228" s="131">
        <v>0</v>
      </c>
      <c r="R228" s="6"/>
    </row>
    <row r="229" spans="1:18" x14ac:dyDescent="0.25">
      <c r="A229" s="132">
        <f t="shared" si="10"/>
        <v>106</v>
      </c>
      <c r="B229" s="129" t="s">
        <v>469</v>
      </c>
      <c r="C229" s="130" t="s">
        <v>62</v>
      </c>
      <c r="D229" s="129" t="s">
        <v>63</v>
      </c>
      <c r="E229" s="129" t="s">
        <v>74</v>
      </c>
      <c r="F229" s="129" t="s">
        <v>470</v>
      </c>
      <c r="G229" s="130" t="s">
        <v>85</v>
      </c>
      <c r="H229" s="130">
        <v>1</v>
      </c>
      <c r="I229" s="130">
        <v>0</v>
      </c>
      <c r="J229" s="130">
        <v>0</v>
      </c>
      <c r="K229" s="131">
        <v>0</v>
      </c>
      <c r="L229" s="131">
        <v>0</v>
      </c>
      <c r="M229" s="131">
        <v>0</v>
      </c>
      <c r="N229" s="130">
        <v>0</v>
      </c>
      <c r="O229" s="131">
        <v>0</v>
      </c>
      <c r="P229" s="131">
        <v>0</v>
      </c>
      <c r="Q229" s="131">
        <v>0</v>
      </c>
      <c r="R229" s="6"/>
    </row>
    <row r="230" spans="1:18" x14ac:dyDescent="0.25">
      <c r="A230" s="132">
        <f t="shared" si="10"/>
        <v>107</v>
      </c>
      <c r="B230" s="129" t="s">
        <v>53</v>
      </c>
      <c r="C230" s="130" t="s">
        <v>62</v>
      </c>
      <c r="D230" s="129" t="s">
        <v>63</v>
      </c>
      <c r="E230" s="129" t="s">
        <v>74</v>
      </c>
      <c r="F230" s="129" t="s">
        <v>126</v>
      </c>
      <c r="G230" s="130" t="s">
        <v>85</v>
      </c>
      <c r="H230" s="130">
        <v>8</v>
      </c>
      <c r="I230" s="130">
        <v>0</v>
      </c>
      <c r="J230" s="130">
        <v>0</v>
      </c>
      <c r="K230" s="131">
        <v>0</v>
      </c>
      <c r="L230" s="131">
        <v>0</v>
      </c>
      <c r="M230" s="131">
        <v>0</v>
      </c>
      <c r="N230" s="130">
        <v>0</v>
      </c>
      <c r="O230" s="131">
        <v>0</v>
      </c>
      <c r="P230" s="131">
        <v>0</v>
      </c>
      <c r="Q230" s="131">
        <v>0</v>
      </c>
      <c r="R230" s="6"/>
    </row>
    <row r="231" spans="1:18" x14ac:dyDescent="0.25">
      <c r="A231" s="132">
        <f t="shared" si="10"/>
        <v>108</v>
      </c>
      <c r="B231" s="129" t="s">
        <v>151</v>
      </c>
      <c r="C231" s="130" t="s">
        <v>62</v>
      </c>
      <c r="D231" s="129" t="s">
        <v>63</v>
      </c>
      <c r="E231" s="129" t="s">
        <v>74</v>
      </c>
      <c r="F231" s="129" t="s">
        <v>288</v>
      </c>
      <c r="G231" s="130" t="s">
        <v>85</v>
      </c>
      <c r="H231" s="130">
        <v>9</v>
      </c>
      <c r="I231" s="130">
        <v>6</v>
      </c>
      <c r="J231" s="130">
        <v>6</v>
      </c>
      <c r="K231" s="131">
        <v>974.39</v>
      </c>
      <c r="L231" s="131">
        <v>974.39</v>
      </c>
      <c r="M231" s="131">
        <v>0</v>
      </c>
      <c r="N231" s="130">
        <v>5</v>
      </c>
      <c r="O231" s="131">
        <v>4554.97</v>
      </c>
      <c r="P231" s="131">
        <v>4554.97</v>
      </c>
      <c r="Q231" s="131">
        <v>0</v>
      </c>
      <c r="R231" s="6"/>
    </row>
    <row r="232" spans="1:18" x14ac:dyDescent="0.25">
      <c r="A232" s="132">
        <f t="shared" si="10"/>
        <v>109</v>
      </c>
      <c r="B232" s="129" t="s">
        <v>155</v>
      </c>
      <c r="C232" s="130" t="s">
        <v>62</v>
      </c>
      <c r="D232" s="129" t="s">
        <v>63</v>
      </c>
      <c r="E232" s="129" t="s">
        <v>74</v>
      </c>
      <c r="F232" s="129" t="s">
        <v>289</v>
      </c>
      <c r="G232" s="130" t="s">
        <v>85</v>
      </c>
      <c r="H232" s="130">
        <v>8</v>
      </c>
      <c r="I232" s="130">
        <v>7</v>
      </c>
      <c r="J232" s="130">
        <v>9</v>
      </c>
      <c r="K232" s="131">
        <v>25762.27</v>
      </c>
      <c r="L232" s="131">
        <v>25762.27</v>
      </c>
      <c r="M232" s="131">
        <v>0</v>
      </c>
      <c r="N232" s="130">
        <v>2</v>
      </c>
      <c r="O232" s="131">
        <v>15810.55</v>
      </c>
      <c r="P232" s="131">
        <v>15810.55</v>
      </c>
      <c r="Q232" s="131">
        <v>0</v>
      </c>
      <c r="R232" s="6"/>
    </row>
    <row r="233" spans="1:18" x14ac:dyDescent="0.25">
      <c r="A233" s="132">
        <f t="shared" si="10"/>
        <v>110</v>
      </c>
      <c r="B233" s="129" t="s">
        <v>290</v>
      </c>
      <c r="C233" s="130" t="s">
        <v>62</v>
      </c>
      <c r="D233" s="129" t="s">
        <v>63</v>
      </c>
      <c r="E233" s="129" t="s">
        <v>291</v>
      </c>
      <c r="F233" s="129" t="s">
        <v>292</v>
      </c>
      <c r="G233" s="130" t="s">
        <v>85</v>
      </c>
      <c r="H233" s="130">
        <v>17</v>
      </c>
      <c r="I233" s="130">
        <v>9</v>
      </c>
      <c r="J233" s="130">
        <v>9</v>
      </c>
      <c r="K233" s="131">
        <v>2466.8000000000002</v>
      </c>
      <c r="L233" s="131">
        <v>2466.8000000000002</v>
      </c>
      <c r="M233" s="131">
        <v>0</v>
      </c>
      <c r="N233" s="130">
        <v>0</v>
      </c>
      <c r="O233" s="131">
        <v>0</v>
      </c>
      <c r="P233" s="131">
        <v>0</v>
      </c>
      <c r="Q233" s="131">
        <v>0</v>
      </c>
      <c r="R233" s="6"/>
    </row>
    <row r="234" spans="1:18" ht="25.5" x14ac:dyDescent="0.25">
      <c r="A234" s="132">
        <f t="shared" si="10"/>
        <v>111</v>
      </c>
      <c r="B234" s="129" t="s">
        <v>495</v>
      </c>
      <c r="C234" s="130" t="s">
        <v>62</v>
      </c>
      <c r="D234" s="129" t="s">
        <v>63</v>
      </c>
      <c r="E234" s="129" t="s">
        <v>313</v>
      </c>
      <c r="F234" s="129" t="s">
        <v>496</v>
      </c>
      <c r="G234" s="130" t="s">
        <v>85</v>
      </c>
      <c r="H234" s="130">
        <v>12</v>
      </c>
      <c r="I234" s="130">
        <v>0</v>
      </c>
      <c r="J234" s="130">
        <v>0</v>
      </c>
      <c r="K234" s="131">
        <v>0</v>
      </c>
      <c r="L234" s="131">
        <v>0</v>
      </c>
      <c r="M234" s="131">
        <v>0</v>
      </c>
      <c r="N234" s="130">
        <v>0</v>
      </c>
      <c r="O234" s="131">
        <v>0</v>
      </c>
      <c r="P234" s="131">
        <v>0</v>
      </c>
      <c r="Q234" s="131">
        <v>0</v>
      </c>
      <c r="R234" s="6"/>
    </row>
    <row r="235" spans="1:18" x14ac:dyDescent="0.25">
      <c r="A235" s="132">
        <f t="shared" si="10"/>
        <v>112</v>
      </c>
      <c r="B235" s="129" t="s">
        <v>134</v>
      </c>
      <c r="C235" s="130" t="s">
        <v>62</v>
      </c>
      <c r="D235" s="129" t="s">
        <v>63</v>
      </c>
      <c r="E235" s="129" t="s">
        <v>74</v>
      </c>
      <c r="F235" s="129" t="s">
        <v>293</v>
      </c>
      <c r="G235" s="130" t="s">
        <v>85</v>
      </c>
      <c r="H235" s="130">
        <v>1</v>
      </c>
      <c r="I235" s="130">
        <v>0</v>
      </c>
      <c r="J235" s="130">
        <v>0</v>
      </c>
      <c r="K235" s="131">
        <v>0</v>
      </c>
      <c r="L235" s="131">
        <v>0</v>
      </c>
      <c r="M235" s="131">
        <v>0</v>
      </c>
      <c r="N235" s="130">
        <v>1</v>
      </c>
      <c r="O235" s="131">
        <f>10990.78+3700.2</f>
        <v>14690.98</v>
      </c>
      <c r="P235" s="131">
        <f>10990.78+3700.2</f>
        <v>14690.98</v>
      </c>
      <c r="Q235" s="131">
        <v>0</v>
      </c>
      <c r="R235" s="6"/>
    </row>
    <row r="236" spans="1:18" x14ac:dyDescent="0.25">
      <c r="A236" s="132">
        <f t="shared" si="10"/>
        <v>113</v>
      </c>
      <c r="B236" s="129" t="s">
        <v>127</v>
      </c>
      <c r="C236" s="130" t="s">
        <v>62</v>
      </c>
      <c r="D236" s="129" t="s">
        <v>63</v>
      </c>
      <c r="E236" s="129" t="s">
        <v>74</v>
      </c>
      <c r="F236" s="129" t="s">
        <v>294</v>
      </c>
      <c r="G236" s="130" t="s">
        <v>85</v>
      </c>
      <c r="H236" s="130">
        <v>4</v>
      </c>
      <c r="I236" s="130">
        <v>1</v>
      </c>
      <c r="J236" s="130">
        <v>1</v>
      </c>
      <c r="K236" s="131">
        <v>0</v>
      </c>
      <c r="L236" s="131">
        <v>0</v>
      </c>
      <c r="M236" s="131">
        <v>0</v>
      </c>
      <c r="N236" s="130">
        <v>2</v>
      </c>
      <c r="O236" s="131">
        <v>0</v>
      </c>
      <c r="P236" s="131">
        <v>0</v>
      </c>
      <c r="Q236" s="131">
        <v>0</v>
      </c>
      <c r="R236" s="6"/>
    </row>
    <row r="237" spans="1:18" ht="25.5" x14ac:dyDescent="0.25">
      <c r="A237" s="132">
        <f t="shared" si="10"/>
        <v>114</v>
      </c>
      <c r="B237" s="129" t="s">
        <v>55</v>
      </c>
      <c r="C237" s="130" t="s">
        <v>64</v>
      </c>
      <c r="D237" s="129" t="s">
        <v>66</v>
      </c>
      <c r="E237" s="129" t="s">
        <v>80</v>
      </c>
      <c r="F237" s="129" t="s">
        <v>295</v>
      </c>
      <c r="G237" s="130" t="s">
        <v>85</v>
      </c>
      <c r="H237" s="130">
        <v>3</v>
      </c>
      <c r="I237" s="130">
        <v>1</v>
      </c>
      <c r="J237" s="130">
        <v>1</v>
      </c>
      <c r="K237" s="131">
        <v>528.6</v>
      </c>
      <c r="L237" s="131">
        <v>528.6</v>
      </c>
      <c r="M237" s="131">
        <v>0</v>
      </c>
      <c r="N237" s="130">
        <v>2</v>
      </c>
      <c r="O237" s="131">
        <v>555.72</v>
      </c>
      <c r="P237" s="131">
        <v>555.72</v>
      </c>
      <c r="Q237" s="131">
        <v>0</v>
      </c>
      <c r="R237" s="6"/>
    </row>
    <row r="238" spans="1:18" x14ac:dyDescent="0.25">
      <c r="A238" s="132">
        <f t="shared" si="10"/>
        <v>115</v>
      </c>
      <c r="B238" s="129" t="s">
        <v>135</v>
      </c>
      <c r="C238" s="130" t="s">
        <v>62</v>
      </c>
      <c r="D238" s="129" t="s">
        <v>63</v>
      </c>
      <c r="E238" s="129" t="s">
        <v>63</v>
      </c>
      <c r="F238" s="129" t="s">
        <v>296</v>
      </c>
      <c r="G238" s="130" t="s">
        <v>85</v>
      </c>
      <c r="H238" s="130">
        <v>4</v>
      </c>
      <c r="I238" s="130">
        <v>0</v>
      </c>
      <c r="J238" s="130">
        <v>0</v>
      </c>
      <c r="K238" s="131">
        <v>0</v>
      </c>
      <c r="L238" s="131">
        <v>0</v>
      </c>
      <c r="M238" s="131">
        <v>0</v>
      </c>
      <c r="N238" s="130">
        <v>8</v>
      </c>
      <c r="O238" s="131">
        <v>13233.91</v>
      </c>
      <c r="P238" s="131">
        <v>13233.91</v>
      </c>
      <c r="Q238" s="131">
        <v>0</v>
      </c>
      <c r="R238" s="6"/>
    </row>
    <row r="239" spans="1:18" x14ac:dyDescent="0.25">
      <c r="A239" s="132">
        <f t="shared" si="10"/>
        <v>116</v>
      </c>
      <c r="B239" s="129" t="s">
        <v>128</v>
      </c>
      <c r="C239" s="130" t="s">
        <v>62</v>
      </c>
      <c r="D239" s="129" t="s">
        <v>63</v>
      </c>
      <c r="E239" s="129" t="s">
        <v>74</v>
      </c>
      <c r="F239" s="129" t="s">
        <v>297</v>
      </c>
      <c r="G239" s="130" t="s">
        <v>85</v>
      </c>
      <c r="H239" s="130">
        <v>2</v>
      </c>
      <c r="I239" s="130">
        <v>0</v>
      </c>
      <c r="J239" s="130">
        <v>0</v>
      </c>
      <c r="K239" s="131">
        <v>0</v>
      </c>
      <c r="L239" s="131">
        <v>0</v>
      </c>
      <c r="M239" s="131">
        <v>0</v>
      </c>
      <c r="N239" s="130">
        <v>1</v>
      </c>
      <c r="O239" s="131">
        <v>264.3</v>
      </c>
      <c r="P239" s="131">
        <v>264.3</v>
      </c>
      <c r="Q239" s="131">
        <v>0</v>
      </c>
      <c r="R239" s="6"/>
    </row>
    <row r="240" spans="1:18" ht="25.5" x14ac:dyDescent="0.25">
      <c r="A240" s="132">
        <f t="shared" si="10"/>
        <v>117</v>
      </c>
      <c r="B240" s="129" t="s">
        <v>508</v>
      </c>
      <c r="C240" s="130" t="s">
        <v>64</v>
      </c>
      <c r="D240" s="129" t="s">
        <v>551</v>
      </c>
      <c r="E240" s="129" t="s">
        <v>282</v>
      </c>
      <c r="F240" s="129" t="s">
        <v>552</v>
      </c>
      <c r="G240" s="130" t="s">
        <v>85</v>
      </c>
      <c r="H240" s="130">
        <v>5</v>
      </c>
      <c r="I240" s="130">
        <v>0</v>
      </c>
      <c r="J240" s="130">
        <v>0</v>
      </c>
      <c r="K240" s="131">
        <v>0</v>
      </c>
      <c r="L240" s="131">
        <v>0</v>
      </c>
      <c r="M240" s="131">
        <v>0</v>
      </c>
      <c r="N240" s="130">
        <v>0</v>
      </c>
      <c r="O240" s="131">
        <v>0</v>
      </c>
      <c r="P240" s="131">
        <v>0</v>
      </c>
      <c r="Q240" s="131">
        <v>0</v>
      </c>
      <c r="R240" s="6"/>
    </row>
    <row r="241" spans="1:18" ht="25.5" x14ac:dyDescent="0.25">
      <c r="A241" s="132">
        <f t="shared" si="10"/>
        <v>118</v>
      </c>
      <c r="B241" s="129" t="s">
        <v>497</v>
      </c>
      <c r="C241" s="130" t="s">
        <v>62</v>
      </c>
      <c r="D241" s="129" t="s">
        <v>63</v>
      </c>
      <c r="E241" s="129" t="s">
        <v>313</v>
      </c>
      <c r="F241" s="129" t="s">
        <v>498</v>
      </c>
      <c r="G241" s="130" t="s">
        <v>85</v>
      </c>
      <c r="H241" s="130">
        <v>27</v>
      </c>
      <c r="I241" s="130">
        <v>9</v>
      </c>
      <c r="J241" s="130">
        <v>9</v>
      </c>
      <c r="K241" s="131">
        <v>0</v>
      </c>
      <c r="L241" s="131">
        <v>0</v>
      </c>
      <c r="M241" s="131">
        <v>0</v>
      </c>
      <c r="N241" s="130">
        <v>0</v>
      </c>
      <c r="O241" s="131">
        <v>0</v>
      </c>
      <c r="P241" s="131">
        <v>0</v>
      </c>
      <c r="Q241" s="131">
        <v>0</v>
      </c>
      <c r="R241" s="6"/>
    </row>
    <row r="242" spans="1:18" x14ac:dyDescent="0.25">
      <c r="A242" s="132">
        <f t="shared" si="10"/>
        <v>119</v>
      </c>
      <c r="B242" s="129" t="s">
        <v>56</v>
      </c>
      <c r="C242" s="130" t="s">
        <v>62</v>
      </c>
      <c r="D242" s="129" t="s">
        <v>63</v>
      </c>
      <c r="E242" s="129" t="s">
        <v>83</v>
      </c>
      <c r="F242" s="129" t="s">
        <v>298</v>
      </c>
      <c r="G242" s="130" t="s">
        <v>85</v>
      </c>
      <c r="H242" s="130">
        <v>49</v>
      </c>
      <c r="I242" s="130">
        <v>40</v>
      </c>
      <c r="J242" s="130">
        <v>54</v>
      </c>
      <c r="K242" s="131">
        <v>50469.58</v>
      </c>
      <c r="L242" s="131">
        <v>50469.58</v>
      </c>
      <c r="M242" s="131">
        <v>0</v>
      </c>
      <c r="N242" s="130">
        <v>29</v>
      </c>
      <c r="O242" s="131">
        <v>81103.64</v>
      </c>
      <c r="P242" s="131">
        <v>81103.64</v>
      </c>
      <c r="Q242" s="131">
        <v>0</v>
      </c>
      <c r="R242" s="6"/>
    </row>
    <row r="243" spans="1:18" ht="25.5" x14ac:dyDescent="0.25">
      <c r="A243" s="132">
        <f t="shared" si="10"/>
        <v>120</v>
      </c>
      <c r="B243" s="129" t="s">
        <v>299</v>
      </c>
      <c r="C243" s="130" t="s">
        <v>62</v>
      </c>
      <c r="D243" s="129" t="s">
        <v>63</v>
      </c>
      <c r="E243" s="129" t="s">
        <v>174</v>
      </c>
      <c r="F243" s="129" t="s">
        <v>300</v>
      </c>
      <c r="G243" s="130" t="s">
        <v>85</v>
      </c>
      <c r="H243" s="130">
        <v>15</v>
      </c>
      <c r="I243" s="130">
        <v>8</v>
      </c>
      <c r="J243" s="130">
        <v>8</v>
      </c>
      <c r="K243" s="131">
        <v>2924.92</v>
      </c>
      <c r="L243" s="131">
        <v>2924.92</v>
      </c>
      <c r="M243" s="131">
        <v>0</v>
      </c>
      <c r="N243" s="130">
        <v>0</v>
      </c>
      <c r="O243" s="131">
        <v>0</v>
      </c>
      <c r="P243" s="131">
        <v>0</v>
      </c>
      <c r="Q243" s="131">
        <v>0</v>
      </c>
      <c r="R243" s="6"/>
    </row>
    <row r="244" spans="1:18" x14ac:dyDescent="0.25">
      <c r="A244" s="132">
        <f t="shared" si="10"/>
        <v>121</v>
      </c>
      <c r="B244" s="129" t="s">
        <v>156</v>
      </c>
      <c r="C244" s="130" t="s">
        <v>67</v>
      </c>
      <c r="D244" s="129" t="s">
        <v>499</v>
      </c>
      <c r="E244" s="129" t="s">
        <v>74</v>
      </c>
      <c r="F244" s="129" t="s">
        <v>301</v>
      </c>
      <c r="G244" s="130" t="s">
        <v>85</v>
      </c>
      <c r="H244" s="130">
        <v>27</v>
      </c>
      <c r="I244" s="130">
        <v>19</v>
      </c>
      <c r="J244" s="130">
        <v>22</v>
      </c>
      <c r="K244" s="131">
        <v>17669.95</v>
      </c>
      <c r="L244" s="131">
        <v>17669.95</v>
      </c>
      <c r="M244" s="131">
        <v>0</v>
      </c>
      <c r="N244" s="130">
        <v>31</v>
      </c>
      <c r="O244" s="131">
        <v>48427.18</v>
      </c>
      <c r="P244" s="131">
        <v>48427.18</v>
      </c>
      <c r="Q244" s="131">
        <v>0</v>
      </c>
      <c r="R244" s="6"/>
    </row>
    <row r="245" spans="1:18" x14ac:dyDescent="0.25">
      <c r="A245" s="132">
        <f t="shared" si="10"/>
        <v>122</v>
      </c>
      <c r="B245" s="129" t="s">
        <v>302</v>
      </c>
      <c r="C245" s="130" t="s">
        <v>62</v>
      </c>
      <c r="D245" s="129" t="s">
        <v>63</v>
      </c>
      <c r="E245" s="129" t="s">
        <v>63</v>
      </c>
      <c r="F245" s="129" t="s">
        <v>303</v>
      </c>
      <c r="G245" s="130" t="s">
        <v>85</v>
      </c>
      <c r="H245" s="130">
        <v>7</v>
      </c>
      <c r="I245" s="130">
        <v>6</v>
      </c>
      <c r="J245" s="130">
        <v>6</v>
      </c>
      <c r="K245" s="131">
        <v>3188.78</v>
      </c>
      <c r="L245" s="131">
        <v>3188.78</v>
      </c>
      <c r="M245" s="131">
        <v>0</v>
      </c>
      <c r="N245" s="130">
        <v>0</v>
      </c>
      <c r="O245" s="131">
        <v>0</v>
      </c>
      <c r="P245" s="131">
        <v>0</v>
      </c>
      <c r="Q245" s="131">
        <v>0</v>
      </c>
      <c r="R245" s="6"/>
    </row>
    <row r="246" spans="1:18" x14ac:dyDescent="0.25">
      <c r="A246" s="132">
        <f t="shared" si="10"/>
        <v>123</v>
      </c>
      <c r="B246" s="129" t="s">
        <v>140</v>
      </c>
      <c r="C246" s="130" t="s">
        <v>62</v>
      </c>
      <c r="D246" s="129" t="s">
        <v>63</v>
      </c>
      <c r="E246" s="129" t="s">
        <v>74</v>
      </c>
      <c r="F246" s="129" t="s">
        <v>304</v>
      </c>
      <c r="G246" s="130" t="s">
        <v>85</v>
      </c>
      <c r="H246" s="130">
        <v>38</v>
      </c>
      <c r="I246" s="130">
        <v>31</v>
      </c>
      <c r="J246" s="130">
        <v>34</v>
      </c>
      <c r="K246" s="131">
        <v>30811.9</v>
      </c>
      <c r="L246" s="131">
        <v>30811.9</v>
      </c>
      <c r="M246" s="131">
        <v>0</v>
      </c>
      <c r="N246" s="130">
        <v>18</v>
      </c>
      <c r="O246" s="131">
        <v>27386.41</v>
      </c>
      <c r="P246" s="131">
        <v>27386.41</v>
      </c>
      <c r="Q246" s="131">
        <v>0</v>
      </c>
      <c r="R246" s="6"/>
    </row>
    <row r="247" spans="1:18" ht="25.5" x14ac:dyDescent="0.25">
      <c r="A247" s="132">
        <f t="shared" si="10"/>
        <v>124</v>
      </c>
      <c r="B247" s="129" t="s">
        <v>305</v>
      </c>
      <c r="C247" s="130" t="s">
        <v>62</v>
      </c>
      <c r="D247" s="129" t="s">
        <v>63</v>
      </c>
      <c r="E247" s="129" t="s">
        <v>186</v>
      </c>
      <c r="F247" s="129" t="s">
        <v>63</v>
      </c>
      <c r="G247" s="130" t="s">
        <v>85</v>
      </c>
      <c r="H247" s="130">
        <v>8</v>
      </c>
      <c r="I247" s="130">
        <v>7</v>
      </c>
      <c r="J247" s="130">
        <v>8</v>
      </c>
      <c r="K247" s="131">
        <v>0</v>
      </c>
      <c r="L247" s="131">
        <v>0</v>
      </c>
      <c r="M247" s="131">
        <v>0</v>
      </c>
      <c r="N247" s="130">
        <v>0</v>
      </c>
      <c r="O247" s="131">
        <v>0</v>
      </c>
      <c r="P247" s="131">
        <v>0</v>
      </c>
      <c r="Q247" s="131">
        <v>0</v>
      </c>
      <c r="R247" s="6"/>
    </row>
    <row r="248" spans="1:18" x14ac:dyDescent="0.25">
      <c r="A248" s="132">
        <f t="shared" si="10"/>
        <v>125</v>
      </c>
      <c r="B248" s="129" t="s">
        <v>471</v>
      </c>
      <c r="C248" s="130" t="s">
        <v>64</v>
      </c>
      <c r="D248" s="129" t="s">
        <v>65</v>
      </c>
      <c r="E248" s="129" t="s">
        <v>74</v>
      </c>
      <c r="F248" s="129" t="s">
        <v>472</v>
      </c>
      <c r="G248" s="130" t="s">
        <v>85</v>
      </c>
      <c r="H248" s="130">
        <v>0</v>
      </c>
      <c r="I248" s="130">
        <v>0</v>
      </c>
      <c r="J248" s="130">
        <v>0</v>
      </c>
      <c r="K248" s="131">
        <v>0</v>
      </c>
      <c r="L248" s="131">
        <v>0</v>
      </c>
      <c r="M248" s="131">
        <v>0</v>
      </c>
      <c r="N248" s="130">
        <v>1</v>
      </c>
      <c r="O248" s="131">
        <v>0</v>
      </c>
      <c r="P248" s="131">
        <v>0</v>
      </c>
      <c r="Q248" s="131">
        <v>0</v>
      </c>
      <c r="R248" s="6"/>
    </row>
    <row r="249" spans="1:18" ht="38.25" x14ac:dyDescent="0.25">
      <c r="A249" s="132">
        <f t="shared" si="10"/>
        <v>126</v>
      </c>
      <c r="B249" s="129" t="s">
        <v>57</v>
      </c>
      <c r="C249" s="130" t="s">
        <v>62</v>
      </c>
      <c r="D249" s="129" t="s">
        <v>63</v>
      </c>
      <c r="E249" s="129" t="s">
        <v>244</v>
      </c>
      <c r="F249" s="129" t="s">
        <v>306</v>
      </c>
      <c r="G249" s="130" t="s">
        <v>85</v>
      </c>
      <c r="H249" s="130">
        <v>13</v>
      </c>
      <c r="I249" s="130">
        <v>8</v>
      </c>
      <c r="J249" s="130">
        <v>9</v>
      </c>
      <c r="K249" s="131">
        <v>10382.219999999999</v>
      </c>
      <c r="L249" s="131">
        <v>10382.219999999999</v>
      </c>
      <c r="M249" s="131">
        <v>0</v>
      </c>
      <c r="N249" s="130">
        <v>12</v>
      </c>
      <c r="O249" s="131">
        <v>36203.47</v>
      </c>
      <c r="P249" s="131">
        <v>36203.47</v>
      </c>
      <c r="Q249" s="131">
        <v>0</v>
      </c>
      <c r="R249" s="6"/>
    </row>
    <row r="250" spans="1:18" x14ac:dyDescent="0.25">
      <c r="A250" s="132">
        <f t="shared" si="10"/>
        <v>127</v>
      </c>
      <c r="B250" s="129" t="s">
        <v>473</v>
      </c>
      <c r="C250" s="130" t="s">
        <v>62</v>
      </c>
      <c r="D250" s="129" t="s">
        <v>63</v>
      </c>
      <c r="E250" s="129" t="s">
        <v>63</v>
      </c>
      <c r="F250" s="129" t="s">
        <v>500</v>
      </c>
      <c r="G250" s="130" t="s">
        <v>85</v>
      </c>
      <c r="H250" s="130">
        <v>5</v>
      </c>
      <c r="I250" s="130">
        <v>2</v>
      </c>
      <c r="J250" s="130">
        <v>3</v>
      </c>
      <c r="K250" s="131">
        <v>0</v>
      </c>
      <c r="L250" s="131">
        <v>0</v>
      </c>
      <c r="M250" s="131">
        <v>0</v>
      </c>
      <c r="N250" s="130">
        <v>3</v>
      </c>
      <c r="O250" s="131">
        <v>17280.25</v>
      </c>
      <c r="P250" s="131">
        <v>17280.25</v>
      </c>
      <c r="Q250" s="131">
        <v>0</v>
      </c>
      <c r="R250" s="6"/>
    </row>
    <row r="251" spans="1:18" x14ac:dyDescent="0.25">
      <c r="A251" s="132">
        <f t="shared" si="10"/>
        <v>128</v>
      </c>
      <c r="B251" s="129" t="s">
        <v>129</v>
      </c>
      <c r="C251" s="130" t="s">
        <v>62</v>
      </c>
      <c r="D251" s="129" t="s">
        <v>63</v>
      </c>
      <c r="E251" s="129" t="s">
        <v>74</v>
      </c>
      <c r="F251" s="129" t="s">
        <v>307</v>
      </c>
      <c r="G251" s="130" t="s">
        <v>85</v>
      </c>
      <c r="H251" s="130">
        <v>0</v>
      </c>
      <c r="I251" s="130">
        <v>0</v>
      </c>
      <c r="J251" s="130">
        <v>0</v>
      </c>
      <c r="K251" s="131">
        <v>0</v>
      </c>
      <c r="L251" s="131">
        <v>0</v>
      </c>
      <c r="M251" s="131">
        <v>0</v>
      </c>
      <c r="N251" s="130">
        <v>2</v>
      </c>
      <c r="O251" s="131">
        <f>1066.63+3319.93</f>
        <v>4386.5599999999995</v>
      </c>
      <c r="P251" s="131">
        <f>1066.63+3319.93</f>
        <v>4386.5599999999995</v>
      </c>
      <c r="Q251" s="131">
        <v>0</v>
      </c>
      <c r="R251" s="6"/>
    </row>
    <row r="252" spans="1:18" ht="25.5" x14ac:dyDescent="0.25">
      <c r="A252" s="132">
        <f t="shared" si="10"/>
        <v>129</v>
      </c>
      <c r="B252" s="129" t="s">
        <v>58</v>
      </c>
      <c r="C252" s="130" t="s">
        <v>62</v>
      </c>
      <c r="D252" s="129" t="s">
        <v>63</v>
      </c>
      <c r="E252" s="129" t="s">
        <v>84</v>
      </c>
      <c r="F252" s="129" t="s">
        <v>308</v>
      </c>
      <c r="G252" s="130" t="s">
        <v>85</v>
      </c>
      <c r="H252" s="130">
        <v>115</v>
      </c>
      <c r="I252" s="130">
        <v>109</v>
      </c>
      <c r="J252" s="130">
        <v>123</v>
      </c>
      <c r="K252" s="131">
        <v>90379.94</v>
      </c>
      <c r="L252" s="131">
        <v>66204.75</v>
      </c>
      <c r="M252" s="131">
        <v>24175.19</v>
      </c>
      <c r="N252" s="130">
        <v>54</v>
      </c>
      <c r="O252" s="131">
        <v>143309.15</v>
      </c>
      <c r="P252" s="131">
        <v>119498.19</v>
      </c>
      <c r="Q252" s="131">
        <v>23810.959999999999</v>
      </c>
      <c r="R252" s="6"/>
    </row>
    <row r="253" spans="1:18" ht="25.5" x14ac:dyDescent="0.25">
      <c r="A253" s="132">
        <f t="shared" si="10"/>
        <v>130</v>
      </c>
      <c r="B253" s="129" t="s">
        <v>59</v>
      </c>
      <c r="C253" s="130" t="s">
        <v>64</v>
      </c>
      <c r="D253" s="129" t="s">
        <v>66</v>
      </c>
      <c r="E253" s="129" t="s">
        <v>80</v>
      </c>
      <c r="F253" s="129" t="s">
        <v>309</v>
      </c>
      <c r="G253" s="130" t="s">
        <v>85</v>
      </c>
      <c r="H253" s="130">
        <v>30</v>
      </c>
      <c r="I253" s="130">
        <v>21</v>
      </c>
      <c r="J253" s="130">
        <v>27</v>
      </c>
      <c r="K253" s="131">
        <v>26317.759999999998</v>
      </c>
      <c r="L253" s="131">
        <v>26317.759999999998</v>
      </c>
      <c r="M253" s="131">
        <v>0</v>
      </c>
      <c r="N253" s="130">
        <v>22</v>
      </c>
      <c r="O253" s="131">
        <v>60246.84</v>
      </c>
      <c r="P253" s="131">
        <v>60246.84</v>
      </c>
      <c r="Q253" s="131">
        <v>0</v>
      </c>
      <c r="R253" s="6"/>
    </row>
    <row r="254" spans="1:18" x14ac:dyDescent="0.25">
      <c r="A254" s="132">
        <f t="shared" ref="A254:A263" si="11">A253+1</f>
        <v>131</v>
      </c>
      <c r="B254" s="129" t="s">
        <v>130</v>
      </c>
      <c r="C254" s="130" t="s">
        <v>62</v>
      </c>
      <c r="D254" s="129" t="s">
        <v>63</v>
      </c>
      <c r="E254" s="129" t="s">
        <v>74</v>
      </c>
      <c r="F254" s="129" t="s">
        <v>553</v>
      </c>
      <c r="G254" s="130" t="s">
        <v>85</v>
      </c>
      <c r="H254" s="130">
        <v>2</v>
      </c>
      <c r="I254" s="130">
        <v>1</v>
      </c>
      <c r="J254" s="130">
        <v>1</v>
      </c>
      <c r="K254" s="131">
        <v>0</v>
      </c>
      <c r="L254" s="131">
        <v>0</v>
      </c>
      <c r="M254" s="131">
        <v>0</v>
      </c>
      <c r="N254" s="130">
        <v>1</v>
      </c>
      <c r="O254" s="131">
        <v>0</v>
      </c>
      <c r="P254" s="131">
        <v>0</v>
      </c>
      <c r="Q254" s="131">
        <v>0</v>
      </c>
      <c r="R254" s="6"/>
    </row>
    <row r="255" spans="1:18" x14ac:dyDescent="0.25">
      <c r="A255" s="132">
        <f t="shared" si="11"/>
        <v>132</v>
      </c>
      <c r="B255" s="129" t="s">
        <v>97</v>
      </c>
      <c r="C255" s="130" t="s">
        <v>62</v>
      </c>
      <c r="D255" s="129" t="s">
        <v>63</v>
      </c>
      <c r="E255" s="129" t="s">
        <v>74</v>
      </c>
      <c r="F255" s="129" t="s">
        <v>310</v>
      </c>
      <c r="G255" s="130" t="s">
        <v>85</v>
      </c>
      <c r="H255" s="130">
        <v>6</v>
      </c>
      <c r="I255" s="130">
        <v>2</v>
      </c>
      <c r="J255" s="130">
        <v>2</v>
      </c>
      <c r="K255" s="131">
        <v>687.18</v>
      </c>
      <c r="L255" s="131">
        <v>687.18</v>
      </c>
      <c r="M255" s="131">
        <v>0</v>
      </c>
      <c r="N255" s="130">
        <v>1</v>
      </c>
      <c r="O255" s="131">
        <v>808.76</v>
      </c>
      <c r="P255" s="131">
        <v>808.76</v>
      </c>
      <c r="Q255" s="131">
        <v>0</v>
      </c>
      <c r="R255" s="6"/>
    </row>
    <row r="256" spans="1:18" ht="25.5" x14ac:dyDescent="0.25">
      <c r="A256" s="132">
        <f t="shared" si="11"/>
        <v>133</v>
      </c>
      <c r="B256" s="129" t="s">
        <v>514</v>
      </c>
      <c r="C256" s="130" t="s">
        <v>62</v>
      </c>
      <c r="D256" s="129" t="s">
        <v>63</v>
      </c>
      <c r="E256" s="129" t="s">
        <v>223</v>
      </c>
      <c r="F256" s="129" t="s">
        <v>63</v>
      </c>
      <c r="G256" s="130" t="s">
        <v>85</v>
      </c>
      <c r="H256" s="130">
        <v>9</v>
      </c>
      <c r="I256" s="130">
        <v>0</v>
      </c>
      <c r="J256" s="130">
        <v>0</v>
      </c>
      <c r="K256" s="131">
        <v>0</v>
      </c>
      <c r="L256" s="131">
        <v>0</v>
      </c>
      <c r="M256" s="131">
        <v>0</v>
      </c>
      <c r="N256" s="130">
        <v>0</v>
      </c>
      <c r="O256" s="131">
        <v>0</v>
      </c>
      <c r="P256" s="131">
        <v>0</v>
      </c>
      <c r="Q256" s="131">
        <v>0</v>
      </c>
      <c r="R256" s="6"/>
    </row>
    <row r="257" spans="1:18" x14ac:dyDescent="0.25">
      <c r="A257" s="132">
        <f t="shared" si="11"/>
        <v>134</v>
      </c>
      <c r="B257" s="129" t="s">
        <v>132</v>
      </c>
      <c r="C257" s="130" t="s">
        <v>62</v>
      </c>
      <c r="D257" s="129" t="s">
        <v>63</v>
      </c>
      <c r="E257" s="129" t="s">
        <v>74</v>
      </c>
      <c r="F257" s="129" t="s">
        <v>311</v>
      </c>
      <c r="G257" s="130" t="s">
        <v>85</v>
      </c>
      <c r="H257" s="130">
        <v>13</v>
      </c>
      <c r="I257" s="130">
        <v>6</v>
      </c>
      <c r="J257" s="130">
        <v>7</v>
      </c>
      <c r="K257" s="131">
        <v>422.88</v>
      </c>
      <c r="L257" s="131">
        <v>422.88</v>
      </c>
      <c r="M257" s="131">
        <v>0</v>
      </c>
      <c r="N257" s="130">
        <v>6</v>
      </c>
      <c r="O257" s="131">
        <v>5554.71</v>
      </c>
      <c r="P257" s="131">
        <v>5554.71</v>
      </c>
      <c r="Q257" s="131">
        <v>0</v>
      </c>
      <c r="R257" s="6"/>
    </row>
    <row r="258" spans="1:18" ht="25.5" x14ac:dyDescent="0.25">
      <c r="A258" s="132">
        <f t="shared" si="11"/>
        <v>135</v>
      </c>
      <c r="B258" s="129" t="s">
        <v>312</v>
      </c>
      <c r="C258" s="130" t="s">
        <v>62</v>
      </c>
      <c r="D258" s="129" t="s">
        <v>63</v>
      </c>
      <c r="E258" s="129" t="s">
        <v>313</v>
      </c>
      <c r="F258" s="129" t="s">
        <v>314</v>
      </c>
      <c r="G258" s="130" t="s">
        <v>85</v>
      </c>
      <c r="H258" s="130">
        <v>20</v>
      </c>
      <c r="I258" s="130">
        <v>1</v>
      </c>
      <c r="J258" s="130">
        <v>1</v>
      </c>
      <c r="K258" s="131">
        <v>0</v>
      </c>
      <c r="L258" s="131">
        <v>0</v>
      </c>
      <c r="M258" s="131">
        <v>0</v>
      </c>
      <c r="N258" s="130">
        <v>0</v>
      </c>
      <c r="O258" s="131">
        <v>0</v>
      </c>
      <c r="P258" s="131">
        <v>0</v>
      </c>
      <c r="Q258" s="131">
        <v>0</v>
      </c>
      <c r="R258" s="6"/>
    </row>
    <row r="259" spans="1:18" x14ac:dyDescent="0.25">
      <c r="A259" s="132">
        <f t="shared" si="11"/>
        <v>136</v>
      </c>
      <c r="B259" s="129" t="s">
        <v>315</v>
      </c>
      <c r="C259" s="130" t="s">
        <v>62</v>
      </c>
      <c r="D259" s="129" t="s">
        <v>63</v>
      </c>
      <c r="E259" s="129" t="s">
        <v>74</v>
      </c>
      <c r="F259" s="129" t="s">
        <v>316</v>
      </c>
      <c r="G259" s="130" t="s">
        <v>85</v>
      </c>
      <c r="H259" s="130">
        <v>12</v>
      </c>
      <c r="I259" s="130">
        <v>5</v>
      </c>
      <c r="J259" s="130">
        <v>6</v>
      </c>
      <c r="K259" s="131">
        <v>7088.53</v>
      </c>
      <c r="L259" s="131">
        <v>7088.53</v>
      </c>
      <c r="M259" s="131">
        <v>0</v>
      </c>
      <c r="N259" s="130">
        <v>2</v>
      </c>
      <c r="O259" s="131">
        <v>2596.64</v>
      </c>
      <c r="P259" s="131">
        <v>2596.64</v>
      </c>
      <c r="Q259" s="131">
        <v>0</v>
      </c>
      <c r="R259" s="6"/>
    </row>
    <row r="260" spans="1:18" x14ac:dyDescent="0.25">
      <c r="A260" s="132">
        <f t="shared" si="11"/>
        <v>137</v>
      </c>
      <c r="B260" s="129" t="s">
        <v>317</v>
      </c>
      <c r="C260" s="130" t="s">
        <v>62</v>
      </c>
      <c r="D260" s="129" t="s">
        <v>63</v>
      </c>
      <c r="E260" s="129" t="s">
        <v>158</v>
      </c>
      <c r="F260" s="129" t="s">
        <v>474</v>
      </c>
      <c r="G260" s="130" t="s">
        <v>85</v>
      </c>
      <c r="H260" s="130">
        <v>3</v>
      </c>
      <c r="I260" s="130">
        <v>0</v>
      </c>
      <c r="J260" s="130">
        <v>0</v>
      </c>
      <c r="K260" s="131">
        <v>0</v>
      </c>
      <c r="L260" s="131">
        <v>0</v>
      </c>
      <c r="M260" s="131">
        <v>0</v>
      </c>
      <c r="N260" s="130">
        <v>0</v>
      </c>
      <c r="O260" s="131">
        <v>0</v>
      </c>
      <c r="P260" s="131">
        <v>0</v>
      </c>
      <c r="Q260" s="131">
        <v>0</v>
      </c>
      <c r="R260" s="6"/>
    </row>
    <row r="261" spans="1:18" ht="25.5" x14ac:dyDescent="0.25">
      <c r="A261" s="132">
        <f t="shared" si="11"/>
        <v>138</v>
      </c>
      <c r="B261" s="129" t="s">
        <v>318</v>
      </c>
      <c r="C261" s="130" t="s">
        <v>62</v>
      </c>
      <c r="D261" s="129" t="s">
        <v>63</v>
      </c>
      <c r="E261" s="129" t="s">
        <v>174</v>
      </c>
      <c r="F261" s="129" t="s">
        <v>319</v>
      </c>
      <c r="G261" s="130" t="s">
        <v>85</v>
      </c>
      <c r="H261" s="130">
        <v>16</v>
      </c>
      <c r="I261" s="130">
        <v>12</v>
      </c>
      <c r="J261" s="130">
        <v>14</v>
      </c>
      <c r="K261" s="131">
        <v>4160.83</v>
      </c>
      <c r="L261" s="131">
        <v>4160.83</v>
      </c>
      <c r="M261" s="131">
        <v>0</v>
      </c>
      <c r="N261" s="130">
        <v>0</v>
      </c>
      <c r="O261" s="131">
        <v>0</v>
      </c>
      <c r="P261" s="131">
        <v>0</v>
      </c>
      <c r="Q261" s="131">
        <v>0</v>
      </c>
      <c r="R261" s="6"/>
    </row>
    <row r="262" spans="1:18" x14ac:dyDescent="0.25">
      <c r="A262" s="132">
        <f t="shared" si="11"/>
        <v>139</v>
      </c>
      <c r="B262" s="129" t="s">
        <v>60</v>
      </c>
      <c r="C262" s="130" t="s">
        <v>67</v>
      </c>
      <c r="D262" s="129" t="s">
        <v>68</v>
      </c>
      <c r="E262" s="129" t="s">
        <v>74</v>
      </c>
      <c r="F262" s="129" t="s">
        <v>320</v>
      </c>
      <c r="G262" s="130" t="s">
        <v>85</v>
      </c>
      <c r="H262" s="130">
        <v>39</v>
      </c>
      <c r="I262" s="130">
        <v>33</v>
      </c>
      <c r="J262" s="130">
        <v>51</v>
      </c>
      <c r="K262" s="131">
        <v>90670.16</v>
      </c>
      <c r="L262" s="131">
        <v>74524.3</v>
      </c>
      <c r="M262" s="131">
        <v>16145.86</v>
      </c>
      <c r="N262" s="130">
        <v>33</v>
      </c>
      <c r="O262" s="131">
        <v>71818.070000000007</v>
      </c>
      <c r="P262" s="131">
        <v>53586.82</v>
      </c>
      <c r="Q262" s="131">
        <v>18231.25</v>
      </c>
      <c r="R262" s="6"/>
    </row>
    <row r="263" spans="1:18" x14ac:dyDescent="0.25">
      <c r="A263" s="132">
        <f t="shared" si="11"/>
        <v>140</v>
      </c>
      <c r="B263" s="129" t="s">
        <v>61</v>
      </c>
      <c r="C263" s="130" t="s">
        <v>67</v>
      </c>
      <c r="D263" s="129" t="s">
        <v>69</v>
      </c>
      <c r="E263" s="129" t="s">
        <v>74</v>
      </c>
      <c r="F263" s="129" t="s">
        <v>321</v>
      </c>
      <c r="G263" s="130" t="s">
        <v>85</v>
      </c>
      <c r="H263" s="130">
        <v>4</v>
      </c>
      <c r="I263" s="130">
        <v>3</v>
      </c>
      <c r="J263" s="130">
        <v>3</v>
      </c>
      <c r="K263" s="131">
        <v>9051.74</v>
      </c>
      <c r="L263" s="131">
        <v>0</v>
      </c>
      <c r="M263" s="131">
        <v>9051.74</v>
      </c>
      <c r="N263" s="130">
        <v>7</v>
      </c>
      <c r="O263" s="131">
        <f>P263+Q263</f>
        <v>9162.42</v>
      </c>
      <c r="P263" s="131">
        <f>6202.26+1560.16</f>
        <v>7762.42</v>
      </c>
      <c r="Q263" s="131">
        <v>1400</v>
      </c>
      <c r="R263" s="6"/>
    </row>
  </sheetData>
  <autoFilter ref="A8:Q9"/>
  <mergeCells count="8">
    <mergeCell ref="B7:G7"/>
    <mergeCell ref="H7:M7"/>
    <mergeCell ref="N7:Q7"/>
    <mergeCell ref="O1:Q1"/>
    <mergeCell ref="A3:Q3"/>
    <mergeCell ref="A4:Q4"/>
    <mergeCell ref="A5:Q5"/>
    <mergeCell ref="A6:Q6"/>
  </mergeCells>
  <pageMargins left="0.31496062992125984" right="0.31496062992125984" top="0.55118110236220474" bottom="0.55118110236220474" header="0" footer="0"/>
  <pageSetup paperSize="9" scale="18" fitToWidth="2" orientation="landscape" horizontalDpi="300" verticalDpi="300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250"/>
  <sheetViews>
    <sheetView topLeftCell="A4" workbookViewId="0">
      <selection activeCell="H7" sqref="H7:M7"/>
    </sheetView>
  </sheetViews>
  <sheetFormatPr defaultRowHeight="15" customHeight="1" x14ac:dyDescent="0.25"/>
  <cols>
    <col min="1" max="1" width="7.42578125" bestFit="1" customWidth="1"/>
    <col min="2" max="2" width="36.28515625" customWidth="1"/>
    <col min="3" max="3" width="11.28515625" customWidth="1"/>
    <col min="4" max="4" width="26.28515625" customWidth="1"/>
    <col min="5" max="5" width="15.7109375" customWidth="1"/>
    <col min="6" max="8" width="19.28515625" customWidth="1"/>
    <col min="9" max="9" width="11.85546875" customWidth="1"/>
    <col min="10" max="10" width="13.140625" customWidth="1"/>
    <col min="11" max="11" width="14.5703125" customWidth="1"/>
    <col min="12" max="12" width="13.42578125" customWidth="1"/>
    <col min="13" max="13" width="13.5703125" customWidth="1"/>
    <col min="14" max="14" width="13.28515625" customWidth="1"/>
    <col min="15" max="15" width="14.42578125" customWidth="1"/>
    <col min="16" max="17" width="13.42578125" customWidth="1"/>
  </cols>
  <sheetData>
    <row r="1" spans="1:17" ht="94.5" customHeight="1" x14ac:dyDescent="0.25">
      <c r="A1" s="8"/>
      <c r="B1" s="8"/>
      <c r="C1" s="8"/>
      <c r="D1" s="8"/>
      <c r="E1" s="8"/>
      <c r="F1" s="8"/>
      <c r="G1" s="8"/>
      <c r="H1" s="8"/>
      <c r="I1" s="8"/>
      <c r="J1" s="8"/>
      <c r="K1" s="7"/>
      <c r="L1" s="7"/>
      <c r="M1" s="7"/>
      <c r="N1" s="8"/>
      <c r="O1" s="620" t="s">
        <v>15</v>
      </c>
      <c r="P1" s="620"/>
      <c r="Q1" s="620"/>
    </row>
    <row r="2" spans="1:17" x14ac:dyDescent="0.25">
      <c r="A2" s="8"/>
      <c r="B2" s="8"/>
      <c r="C2" s="8"/>
      <c r="D2" s="8"/>
      <c r="E2" s="8"/>
      <c r="F2" s="8"/>
      <c r="G2" s="8"/>
      <c r="H2" s="8"/>
      <c r="I2" s="8"/>
      <c r="J2" s="8"/>
      <c r="K2" s="7"/>
      <c r="L2" s="7"/>
      <c r="M2" s="7"/>
      <c r="N2" s="8"/>
      <c r="O2" s="7"/>
      <c r="P2" s="7"/>
      <c r="Q2" s="7"/>
    </row>
    <row r="3" spans="1:17" ht="15" customHeight="1" x14ac:dyDescent="0.25">
      <c r="A3" s="621" t="s">
        <v>323</v>
      </c>
      <c r="B3" s="621"/>
      <c r="C3" s="621"/>
      <c r="D3" s="621"/>
      <c r="E3" s="621"/>
      <c r="F3" s="621"/>
      <c r="G3" s="621"/>
      <c r="H3" s="621"/>
      <c r="I3" s="621"/>
      <c r="J3" s="621"/>
      <c r="K3" s="621"/>
      <c r="L3" s="621"/>
      <c r="M3" s="621"/>
      <c r="N3" s="621"/>
      <c r="O3" s="621"/>
      <c r="P3" s="621"/>
      <c r="Q3" s="621"/>
    </row>
    <row r="4" spans="1:17" ht="18.75" x14ac:dyDescent="0.25">
      <c r="A4" s="622" t="s">
        <v>16</v>
      </c>
      <c r="B4" s="622"/>
      <c r="C4" s="622"/>
      <c r="D4" s="622"/>
      <c r="E4" s="622"/>
      <c r="F4" s="622"/>
      <c r="G4" s="622"/>
      <c r="H4" s="622"/>
      <c r="I4" s="622"/>
      <c r="J4" s="622"/>
      <c r="K4" s="622"/>
      <c r="L4" s="622"/>
      <c r="M4" s="622"/>
      <c r="N4" s="622"/>
      <c r="O4" s="622"/>
      <c r="P4" s="622"/>
      <c r="Q4" s="622"/>
    </row>
    <row r="5" spans="1:17" ht="12.75" customHeight="1" x14ac:dyDescent="0.25">
      <c r="A5" s="623" t="s">
        <v>14</v>
      </c>
      <c r="B5" s="623"/>
      <c r="C5" s="623"/>
      <c r="D5" s="623"/>
      <c r="E5" s="623"/>
      <c r="F5" s="623"/>
      <c r="G5" s="623"/>
      <c r="H5" s="623"/>
      <c r="I5" s="623"/>
      <c r="J5" s="623"/>
      <c r="K5" s="623"/>
      <c r="L5" s="623"/>
      <c r="M5" s="623"/>
      <c r="N5" s="623"/>
      <c r="O5" s="623"/>
      <c r="P5" s="623"/>
      <c r="Q5" s="623"/>
    </row>
    <row r="6" spans="1:17" ht="21" x14ac:dyDescent="0.25">
      <c r="A6" s="624" t="s">
        <v>17</v>
      </c>
      <c r="B6" s="624"/>
      <c r="C6" s="624"/>
      <c r="D6" s="624"/>
      <c r="E6" s="624"/>
      <c r="F6" s="624"/>
      <c r="G6" s="624"/>
      <c r="H6" s="624"/>
      <c r="I6" s="624"/>
      <c r="J6" s="624"/>
      <c r="K6" s="624"/>
      <c r="L6" s="624"/>
      <c r="M6" s="624"/>
      <c r="N6" s="624"/>
      <c r="O6" s="624"/>
      <c r="P6" s="624"/>
      <c r="Q6" s="624"/>
    </row>
    <row r="7" spans="1:17" ht="48.75" customHeight="1" x14ac:dyDescent="0.25">
      <c r="A7" s="9" t="s">
        <v>0</v>
      </c>
      <c r="B7" s="617" t="s">
        <v>10</v>
      </c>
      <c r="C7" s="618"/>
      <c r="D7" s="618"/>
      <c r="E7" s="618"/>
      <c r="F7" s="618"/>
      <c r="G7" s="619"/>
      <c r="H7" s="617" t="s">
        <v>322</v>
      </c>
      <c r="I7" s="618"/>
      <c r="J7" s="618"/>
      <c r="K7" s="618"/>
      <c r="L7" s="618"/>
      <c r="M7" s="618"/>
      <c r="N7" s="617" t="s">
        <v>324</v>
      </c>
      <c r="O7" s="618"/>
      <c r="P7" s="618"/>
      <c r="Q7" s="619"/>
    </row>
    <row r="8" spans="1:17" ht="107.25" customHeight="1" x14ac:dyDescent="0.25">
      <c r="A8" s="10"/>
      <c r="B8" s="11" t="s">
        <v>4</v>
      </c>
      <c r="C8" s="11" t="s">
        <v>1</v>
      </c>
      <c r="D8" s="11" t="s">
        <v>3</v>
      </c>
      <c r="E8" s="11" t="s">
        <v>2</v>
      </c>
      <c r="F8" s="11" t="s">
        <v>6</v>
      </c>
      <c r="G8" s="11" t="s">
        <v>5</v>
      </c>
      <c r="H8" s="12" t="s">
        <v>7</v>
      </c>
      <c r="I8" s="13" t="s">
        <v>8</v>
      </c>
      <c r="J8" s="13" t="s">
        <v>9</v>
      </c>
      <c r="K8" s="14" t="s">
        <v>11</v>
      </c>
      <c r="L8" s="14" t="s">
        <v>12</v>
      </c>
      <c r="M8" s="14" t="s">
        <v>13</v>
      </c>
      <c r="N8" s="13" t="s">
        <v>9</v>
      </c>
      <c r="O8" s="14" t="s">
        <v>11</v>
      </c>
      <c r="P8" s="14" t="s">
        <v>12</v>
      </c>
      <c r="Q8" s="15" t="s">
        <v>13</v>
      </c>
    </row>
    <row r="9" spans="1:17" x14ac:dyDescent="0.25">
      <c r="A9" s="16">
        <v>1</v>
      </c>
      <c r="B9" s="16">
        <f>A9+1</f>
        <v>2</v>
      </c>
      <c r="C9" s="16">
        <f t="shared" ref="C9:Q9" si="0">B9+1</f>
        <v>3</v>
      </c>
      <c r="D9" s="16">
        <f t="shared" si="0"/>
        <v>4</v>
      </c>
      <c r="E9" s="16">
        <f t="shared" si="0"/>
        <v>5</v>
      </c>
      <c r="F9" s="16">
        <f t="shared" si="0"/>
        <v>6</v>
      </c>
      <c r="G9" s="16">
        <f t="shared" si="0"/>
        <v>7</v>
      </c>
      <c r="H9" s="16">
        <f t="shared" si="0"/>
        <v>8</v>
      </c>
      <c r="I9" s="16">
        <f t="shared" si="0"/>
        <v>9</v>
      </c>
      <c r="J9" s="16">
        <f t="shared" si="0"/>
        <v>10</v>
      </c>
      <c r="K9" s="17">
        <f t="shared" si="0"/>
        <v>11</v>
      </c>
      <c r="L9" s="17">
        <f t="shared" si="0"/>
        <v>12</v>
      </c>
      <c r="M9" s="17">
        <f t="shared" si="0"/>
        <v>13</v>
      </c>
      <c r="N9" s="17">
        <f t="shared" si="0"/>
        <v>14</v>
      </c>
      <c r="O9" s="17">
        <f t="shared" si="0"/>
        <v>15</v>
      </c>
      <c r="P9" s="17">
        <f t="shared" si="0"/>
        <v>16</v>
      </c>
      <c r="Q9" s="17">
        <f t="shared" si="0"/>
        <v>17</v>
      </c>
    </row>
    <row r="10" spans="1:17" ht="25.5" x14ac:dyDescent="0.25">
      <c r="A10" s="2">
        <v>1</v>
      </c>
      <c r="B10" s="3" t="s">
        <v>159</v>
      </c>
      <c r="C10" s="3" t="s">
        <v>62</v>
      </c>
      <c r="D10" s="3" t="s">
        <v>63</v>
      </c>
      <c r="E10" s="3" t="s">
        <v>121</v>
      </c>
      <c r="F10" s="3" t="s">
        <v>160</v>
      </c>
      <c r="G10" s="4" t="s">
        <v>85</v>
      </c>
      <c r="H10" s="4">
        <v>3</v>
      </c>
      <c r="I10" s="4">
        <v>3</v>
      </c>
      <c r="J10" s="4">
        <v>3</v>
      </c>
      <c r="K10" s="5">
        <v>0</v>
      </c>
      <c r="L10" s="5">
        <v>0</v>
      </c>
      <c r="M10" s="5">
        <v>0</v>
      </c>
      <c r="N10" s="4">
        <v>7</v>
      </c>
      <c r="O10" s="5">
        <v>27914.92</v>
      </c>
      <c r="P10" s="5">
        <v>27914.92</v>
      </c>
      <c r="Q10" s="5">
        <v>0</v>
      </c>
    </row>
    <row r="11" spans="1:17" x14ac:dyDescent="0.25">
      <c r="A11" s="2">
        <f>A10+1</f>
        <v>2</v>
      </c>
      <c r="B11" s="3" t="s">
        <v>95</v>
      </c>
      <c r="C11" s="3" t="s">
        <v>62</v>
      </c>
      <c r="D11" s="3" t="s">
        <v>63</v>
      </c>
      <c r="E11" s="3" t="s">
        <v>74</v>
      </c>
      <c r="F11" s="3" t="s">
        <v>161</v>
      </c>
      <c r="G11" s="4" t="s">
        <v>85</v>
      </c>
      <c r="H11" s="4">
        <v>23</v>
      </c>
      <c r="I11" s="4">
        <v>21</v>
      </c>
      <c r="J11" s="4">
        <v>28</v>
      </c>
      <c r="K11" s="5">
        <v>9127.16</v>
      </c>
      <c r="L11" s="5">
        <v>9127.16</v>
      </c>
      <c r="M11" s="5">
        <v>0</v>
      </c>
      <c r="N11" s="4">
        <v>15</v>
      </c>
      <c r="O11" s="5">
        <v>77632.2</v>
      </c>
      <c r="P11" s="5">
        <v>54853.21</v>
      </c>
      <c r="Q11" s="5">
        <v>22778.99</v>
      </c>
    </row>
    <row r="12" spans="1:17" ht="25.5" x14ac:dyDescent="0.25">
      <c r="A12" s="2">
        <f t="shared" ref="A12:A68" si="1">A11+1</f>
        <v>3</v>
      </c>
      <c r="B12" s="3" t="s">
        <v>18</v>
      </c>
      <c r="C12" s="3" t="s">
        <v>62</v>
      </c>
      <c r="D12" s="3" t="s">
        <v>63</v>
      </c>
      <c r="E12" s="3" t="s">
        <v>70</v>
      </c>
      <c r="F12" s="3" t="s">
        <v>99</v>
      </c>
      <c r="G12" s="4" t="s">
        <v>85</v>
      </c>
      <c r="H12" s="4">
        <v>2</v>
      </c>
      <c r="I12" s="4">
        <v>0</v>
      </c>
      <c r="J12" s="4">
        <v>0</v>
      </c>
      <c r="K12" s="5">
        <v>0</v>
      </c>
      <c r="L12" s="5">
        <v>0</v>
      </c>
      <c r="M12" s="5">
        <v>0</v>
      </c>
      <c r="N12" s="4">
        <v>0</v>
      </c>
      <c r="O12" s="5">
        <v>0</v>
      </c>
      <c r="P12" s="5">
        <v>0</v>
      </c>
      <c r="Q12" s="5">
        <v>0</v>
      </c>
    </row>
    <row r="13" spans="1:17" x14ac:dyDescent="0.25">
      <c r="A13" s="2">
        <f t="shared" si="1"/>
        <v>4</v>
      </c>
      <c r="B13" s="3" t="s">
        <v>19</v>
      </c>
      <c r="C13" s="3" t="s">
        <v>62</v>
      </c>
      <c r="D13" s="3" t="s">
        <v>63</v>
      </c>
      <c r="E13" s="3" t="s">
        <v>71</v>
      </c>
      <c r="F13" s="3" t="s">
        <v>162</v>
      </c>
      <c r="G13" s="4" t="s">
        <v>85</v>
      </c>
      <c r="H13" s="4">
        <v>51</v>
      </c>
      <c r="I13" s="4">
        <v>42</v>
      </c>
      <c r="J13" s="4">
        <v>52</v>
      </c>
      <c r="K13" s="5">
        <v>7147.83</v>
      </c>
      <c r="L13" s="5">
        <v>7147.83</v>
      </c>
      <c r="M13" s="5">
        <v>0</v>
      </c>
      <c r="N13" s="4">
        <v>16</v>
      </c>
      <c r="O13" s="5">
        <v>101659.64</v>
      </c>
      <c r="P13" s="5">
        <v>22493.47</v>
      </c>
      <c r="Q13" s="5">
        <v>79166.17</v>
      </c>
    </row>
    <row r="14" spans="1:17" ht="25.5" x14ac:dyDescent="0.25">
      <c r="A14" s="2">
        <f t="shared" si="1"/>
        <v>5</v>
      </c>
      <c r="B14" s="3" t="s">
        <v>20</v>
      </c>
      <c r="C14" s="3" t="s">
        <v>62</v>
      </c>
      <c r="D14" s="3" t="s">
        <v>63</v>
      </c>
      <c r="E14" s="3" t="s">
        <v>72</v>
      </c>
      <c r="F14" s="3" t="s">
        <v>163</v>
      </c>
      <c r="G14" s="4" t="s">
        <v>85</v>
      </c>
      <c r="H14" s="4">
        <v>0</v>
      </c>
      <c r="I14" s="4">
        <v>0</v>
      </c>
      <c r="J14" s="4">
        <v>0</v>
      </c>
      <c r="K14" s="5">
        <v>6138.73</v>
      </c>
      <c r="L14" s="5">
        <v>6138.73</v>
      </c>
      <c r="M14" s="5">
        <v>0</v>
      </c>
      <c r="N14" s="4">
        <v>0</v>
      </c>
      <c r="O14" s="5">
        <v>0</v>
      </c>
      <c r="P14" s="5">
        <v>0</v>
      </c>
      <c r="Q14" s="5">
        <v>0</v>
      </c>
    </row>
    <row r="15" spans="1:17" ht="25.5" x14ac:dyDescent="0.25">
      <c r="A15" s="2">
        <f t="shared" si="1"/>
        <v>6</v>
      </c>
      <c r="B15" s="3" t="s">
        <v>100</v>
      </c>
      <c r="C15" s="3" t="s">
        <v>62</v>
      </c>
      <c r="D15" s="3" t="s">
        <v>63</v>
      </c>
      <c r="E15" s="3" t="s">
        <v>101</v>
      </c>
      <c r="F15" s="3" t="s">
        <v>164</v>
      </c>
      <c r="G15" s="4" t="s">
        <v>85</v>
      </c>
      <c r="H15" s="4">
        <v>12</v>
      </c>
      <c r="I15" s="4">
        <v>9</v>
      </c>
      <c r="J15" s="4">
        <v>11</v>
      </c>
      <c r="K15" s="5">
        <v>1179</v>
      </c>
      <c r="L15" s="5">
        <v>1179</v>
      </c>
      <c r="M15" s="5">
        <v>0</v>
      </c>
      <c r="N15" s="4">
        <v>8</v>
      </c>
      <c r="O15" s="5">
        <v>15287.15</v>
      </c>
      <c r="P15" s="5">
        <v>15287.15</v>
      </c>
      <c r="Q15" s="5">
        <v>0</v>
      </c>
    </row>
    <row r="16" spans="1:17" x14ac:dyDescent="0.25">
      <c r="A16" s="2">
        <f t="shared" si="1"/>
        <v>7</v>
      </c>
      <c r="B16" s="3" t="s">
        <v>86</v>
      </c>
      <c r="C16" s="3" t="s">
        <v>62</v>
      </c>
      <c r="D16" s="3" t="s">
        <v>63</v>
      </c>
      <c r="E16" s="3" t="s">
        <v>74</v>
      </c>
      <c r="F16" s="3" t="s">
        <v>165</v>
      </c>
      <c r="G16" s="4" t="s">
        <v>85</v>
      </c>
      <c r="H16" s="4">
        <v>29</v>
      </c>
      <c r="I16" s="4">
        <v>22</v>
      </c>
      <c r="J16" s="4">
        <v>24</v>
      </c>
      <c r="K16" s="5">
        <v>8698.64</v>
      </c>
      <c r="L16" s="5">
        <v>8698.64</v>
      </c>
      <c r="M16" s="5">
        <v>0</v>
      </c>
      <c r="N16" s="4">
        <v>14</v>
      </c>
      <c r="O16" s="5">
        <v>53396.44</v>
      </c>
      <c r="P16" s="5">
        <v>32402.86</v>
      </c>
      <c r="Q16" s="5">
        <v>20993.58</v>
      </c>
    </row>
    <row r="17" spans="1:17" x14ac:dyDescent="0.25">
      <c r="A17" s="2">
        <f t="shared" si="1"/>
        <v>8</v>
      </c>
      <c r="B17" s="3" t="s">
        <v>166</v>
      </c>
      <c r="C17" s="3" t="s">
        <v>62</v>
      </c>
      <c r="D17" s="3" t="s">
        <v>63</v>
      </c>
      <c r="E17" s="3" t="s">
        <v>63</v>
      </c>
      <c r="F17" s="3" t="s">
        <v>167</v>
      </c>
      <c r="G17" s="4" t="s">
        <v>85</v>
      </c>
      <c r="H17" s="4">
        <v>9</v>
      </c>
      <c r="I17" s="4">
        <v>3</v>
      </c>
      <c r="J17" s="4">
        <v>3</v>
      </c>
      <c r="K17" s="5">
        <v>0</v>
      </c>
      <c r="L17" s="5">
        <v>0</v>
      </c>
      <c r="M17" s="5">
        <v>0</v>
      </c>
      <c r="N17" s="4">
        <v>0</v>
      </c>
      <c r="O17" s="5">
        <v>3373.58</v>
      </c>
      <c r="P17" s="5">
        <v>3373.58</v>
      </c>
      <c r="Q17" s="5">
        <v>0</v>
      </c>
    </row>
    <row r="18" spans="1:17" x14ac:dyDescent="0.25">
      <c r="A18" s="2">
        <f t="shared" si="1"/>
        <v>9</v>
      </c>
      <c r="B18" s="3" t="s">
        <v>168</v>
      </c>
      <c r="C18" s="3" t="s">
        <v>62</v>
      </c>
      <c r="D18" s="3" t="s">
        <v>63</v>
      </c>
      <c r="E18" s="3" t="s">
        <v>63</v>
      </c>
      <c r="F18" s="3" t="s">
        <v>169</v>
      </c>
      <c r="G18" s="4" t="s">
        <v>85</v>
      </c>
      <c r="H18" s="4">
        <v>15</v>
      </c>
      <c r="I18" s="4">
        <v>7</v>
      </c>
      <c r="J18" s="4">
        <v>7</v>
      </c>
      <c r="K18" s="5">
        <v>0</v>
      </c>
      <c r="L18" s="5">
        <v>0</v>
      </c>
      <c r="M18" s="5">
        <v>0</v>
      </c>
      <c r="N18" s="4">
        <v>0</v>
      </c>
      <c r="O18" s="5">
        <v>1800.94</v>
      </c>
      <c r="P18" s="5">
        <v>1800.94</v>
      </c>
      <c r="Q18" s="5">
        <v>0</v>
      </c>
    </row>
    <row r="19" spans="1:17" x14ac:dyDescent="0.25">
      <c r="A19" s="2">
        <f t="shared" si="1"/>
        <v>10</v>
      </c>
      <c r="B19" s="3" t="s">
        <v>21</v>
      </c>
      <c r="C19" s="3" t="s">
        <v>62</v>
      </c>
      <c r="D19" s="3" t="s">
        <v>63</v>
      </c>
      <c r="E19" s="3" t="s">
        <v>73</v>
      </c>
      <c r="F19" s="3" t="s">
        <v>170</v>
      </c>
      <c r="G19" s="4" t="s">
        <v>85</v>
      </c>
      <c r="H19" s="4">
        <v>38</v>
      </c>
      <c r="I19" s="4">
        <v>32</v>
      </c>
      <c r="J19" s="4">
        <v>34</v>
      </c>
      <c r="K19" s="5">
        <v>15246.96</v>
      </c>
      <c r="L19" s="5">
        <v>15246.96</v>
      </c>
      <c r="M19" s="5">
        <v>0</v>
      </c>
      <c r="N19" s="4">
        <v>27</v>
      </c>
      <c r="O19" s="5">
        <v>40672.33</v>
      </c>
      <c r="P19" s="5">
        <v>40672.33</v>
      </c>
      <c r="Q19" s="5">
        <v>0</v>
      </c>
    </row>
    <row r="20" spans="1:17" x14ac:dyDescent="0.25">
      <c r="A20" s="2">
        <f t="shared" si="1"/>
        <v>11</v>
      </c>
      <c r="B20" s="3" t="s">
        <v>22</v>
      </c>
      <c r="C20" s="3" t="s">
        <v>62</v>
      </c>
      <c r="D20" s="3" t="s">
        <v>63</v>
      </c>
      <c r="E20" s="3" t="s">
        <v>74</v>
      </c>
      <c r="F20" s="3" t="s">
        <v>171</v>
      </c>
      <c r="G20" s="4" t="s">
        <v>85</v>
      </c>
      <c r="H20" s="4">
        <v>22</v>
      </c>
      <c r="I20" s="4">
        <v>19</v>
      </c>
      <c r="J20" s="4">
        <v>22</v>
      </c>
      <c r="K20" s="5">
        <v>2072.11</v>
      </c>
      <c r="L20" s="5">
        <v>2072.11</v>
      </c>
      <c r="M20" s="5">
        <v>0</v>
      </c>
      <c r="N20" s="4">
        <v>30</v>
      </c>
      <c r="O20" s="5">
        <v>29618.68</v>
      </c>
      <c r="P20" s="5">
        <v>29618.68</v>
      </c>
      <c r="Q20" s="5">
        <v>0</v>
      </c>
    </row>
    <row r="21" spans="1:17" ht="25.5" x14ac:dyDescent="0.25">
      <c r="A21" s="2">
        <f t="shared" si="1"/>
        <v>12</v>
      </c>
      <c r="B21" s="3" t="s">
        <v>23</v>
      </c>
      <c r="C21" s="3" t="s">
        <v>62</v>
      </c>
      <c r="D21" s="3" t="s">
        <v>63</v>
      </c>
      <c r="E21" s="3" t="s">
        <v>75</v>
      </c>
      <c r="F21" s="3" t="s">
        <v>136</v>
      </c>
      <c r="G21" s="4" t="s">
        <v>85</v>
      </c>
      <c r="H21" s="4">
        <v>2</v>
      </c>
      <c r="I21" s="4">
        <v>0</v>
      </c>
      <c r="J21" s="4">
        <v>0</v>
      </c>
      <c r="K21" s="5">
        <v>0</v>
      </c>
      <c r="L21" s="5">
        <v>0</v>
      </c>
      <c r="M21" s="5">
        <v>0</v>
      </c>
      <c r="N21" s="4">
        <v>0</v>
      </c>
      <c r="O21" s="5">
        <v>0</v>
      </c>
      <c r="P21" s="5">
        <v>0</v>
      </c>
      <c r="Q21" s="5">
        <v>0</v>
      </c>
    </row>
    <row r="22" spans="1:17" x14ac:dyDescent="0.25">
      <c r="A22" s="2">
        <f t="shared" si="1"/>
        <v>13</v>
      </c>
      <c r="B22" s="3" t="s">
        <v>24</v>
      </c>
      <c r="C22" s="3" t="s">
        <v>62</v>
      </c>
      <c r="D22" s="3" t="s">
        <v>63</v>
      </c>
      <c r="E22" s="3" t="s">
        <v>74</v>
      </c>
      <c r="F22" s="3" t="s">
        <v>172</v>
      </c>
      <c r="G22" s="4" t="s">
        <v>85</v>
      </c>
      <c r="H22" s="4">
        <v>19</v>
      </c>
      <c r="I22" s="4">
        <v>13</v>
      </c>
      <c r="J22" s="4">
        <v>17</v>
      </c>
      <c r="K22" s="5">
        <v>9699.4699999999993</v>
      </c>
      <c r="L22" s="5">
        <v>9699.4699999999993</v>
      </c>
      <c r="M22" s="5">
        <v>0</v>
      </c>
      <c r="N22" s="4">
        <v>17</v>
      </c>
      <c r="O22" s="5">
        <v>43134.41</v>
      </c>
      <c r="P22" s="5">
        <v>32852.03</v>
      </c>
      <c r="Q22" s="5">
        <v>10282.379999999999</v>
      </c>
    </row>
    <row r="23" spans="1:17" x14ac:dyDescent="0.25">
      <c r="A23" s="2">
        <f t="shared" si="1"/>
        <v>14</v>
      </c>
      <c r="B23" s="3" t="s">
        <v>102</v>
      </c>
      <c r="C23" s="3" t="s">
        <v>67</v>
      </c>
      <c r="D23" s="3" t="s">
        <v>516</v>
      </c>
      <c r="E23" s="3" t="s">
        <v>74</v>
      </c>
      <c r="F23" s="3" t="s">
        <v>477</v>
      </c>
      <c r="G23" s="4" t="s">
        <v>85</v>
      </c>
      <c r="H23" s="4">
        <v>2</v>
      </c>
      <c r="I23" s="4">
        <v>1</v>
      </c>
      <c r="J23" s="4">
        <v>1</v>
      </c>
      <c r="K23" s="5">
        <v>0</v>
      </c>
      <c r="L23" s="5">
        <v>0</v>
      </c>
      <c r="M23" s="5">
        <v>0</v>
      </c>
      <c r="N23" s="4">
        <v>3</v>
      </c>
      <c r="O23" s="5">
        <v>3863.08</v>
      </c>
      <c r="P23" s="5">
        <v>3863.08</v>
      </c>
      <c r="Q23" s="5">
        <v>0</v>
      </c>
    </row>
    <row r="24" spans="1:17" ht="25.5" x14ac:dyDescent="0.25">
      <c r="A24" s="2">
        <f t="shared" si="1"/>
        <v>15</v>
      </c>
      <c r="B24" s="3" t="s">
        <v>173</v>
      </c>
      <c r="C24" s="3" t="s">
        <v>67</v>
      </c>
      <c r="D24" s="3" t="s">
        <v>478</v>
      </c>
      <c r="E24" s="3" t="s">
        <v>174</v>
      </c>
      <c r="F24" s="3" t="s">
        <v>175</v>
      </c>
      <c r="G24" s="4" t="s">
        <v>85</v>
      </c>
      <c r="H24" s="4">
        <v>15</v>
      </c>
      <c r="I24" s="4">
        <v>10</v>
      </c>
      <c r="J24" s="4">
        <v>10</v>
      </c>
      <c r="K24" s="5">
        <v>4226.95</v>
      </c>
      <c r="L24" s="5">
        <v>4226.95</v>
      </c>
      <c r="M24" s="5">
        <v>0</v>
      </c>
      <c r="N24" s="4">
        <v>0</v>
      </c>
      <c r="O24" s="5">
        <v>0</v>
      </c>
      <c r="P24" s="5">
        <v>0</v>
      </c>
      <c r="Q24" s="5">
        <v>0</v>
      </c>
    </row>
    <row r="25" spans="1:17" ht="25.5" x14ac:dyDescent="0.25">
      <c r="A25" s="2">
        <f t="shared" si="1"/>
        <v>16</v>
      </c>
      <c r="B25" s="3" t="s">
        <v>25</v>
      </c>
      <c r="C25" s="3" t="s">
        <v>62</v>
      </c>
      <c r="D25" s="3" t="s">
        <v>63</v>
      </c>
      <c r="E25" s="3" t="s">
        <v>76</v>
      </c>
      <c r="F25" s="3"/>
      <c r="G25" s="4" t="s">
        <v>85</v>
      </c>
      <c r="H25" s="4">
        <v>22</v>
      </c>
      <c r="I25" s="4">
        <v>0</v>
      </c>
      <c r="J25" s="4">
        <v>0</v>
      </c>
      <c r="K25" s="5">
        <v>0</v>
      </c>
      <c r="L25" s="5">
        <v>0</v>
      </c>
      <c r="M25" s="5">
        <v>0</v>
      </c>
      <c r="N25" s="4">
        <v>0</v>
      </c>
      <c r="O25" s="5">
        <v>0</v>
      </c>
      <c r="P25" s="5">
        <v>0</v>
      </c>
      <c r="Q25" s="5">
        <v>0</v>
      </c>
    </row>
    <row r="26" spans="1:17" ht="25.5" x14ac:dyDescent="0.25">
      <c r="A26" s="2">
        <f t="shared" si="1"/>
        <v>17</v>
      </c>
      <c r="B26" s="3" t="s">
        <v>87</v>
      </c>
      <c r="C26" s="3" t="s">
        <v>62</v>
      </c>
      <c r="D26" s="3" t="s">
        <v>63</v>
      </c>
      <c r="E26" s="3" t="s">
        <v>75</v>
      </c>
      <c r="F26" s="3" t="s">
        <v>103</v>
      </c>
      <c r="G26" s="4" t="s">
        <v>85</v>
      </c>
      <c r="H26" s="4">
        <v>0</v>
      </c>
      <c r="I26" s="4">
        <v>0</v>
      </c>
      <c r="J26" s="4">
        <v>0</v>
      </c>
      <c r="K26" s="5">
        <v>0</v>
      </c>
      <c r="L26" s="5">
        <v>0</v>
      </c>
      <c r="M26" s="5">
        <v>0</v>
      </c>
      <c r="N26" s="4">
        <v>6</v>
      </c>
      <c r="O26" s="5">
        <v>0</v>
      </c>
      <c r="P26" s="5">
        <v>0</v>
      </c>
      <c r="Q26" s="5">
        <v>0</v>
      </c>
    </row>
    <row r="27" spans="1:17" ht="25.5" x14ac:dyDescent="0.25">
      <c r="A27" s="2">
        <f t="shared" si="1"/>
        <v>18</v>
      </c>
      <c r="B27" s="3" t="s">
        <v>479</v>
      </c>
      <c r="C27" s="3" t="s">
        <v>67</v>
      </c>
      <c r="D27" s="3" t="s">
        <v>480</v>
      </c>
      <c r="E27" s="3" t="s">
        <v>271</v>
      </c>
      <c r="F27" s="3" t="s">
        <v>481</v>
      </c>
      <c r="G27" s="4" t="s">
        <v>85</v>
      </c>
      <c r="H27" s="4">
        <v>4</v>
      </c>
      <c r="I27" s="4">
        <v>0</v>
      </c>
      <c r="J27" s="4">
        <v>0</v>
      </c>
      <c r="K27" s="5">
        <v>0</v>
      </c>
      <c r="L27" s="5">
        <v>0</v>
      </c>
      <c r="M27" s="5">
        <v>0</v>
      </c>
      <c r="N27" s="4">
        <v>0</v>
      </c>
      <c r="O27" s="5">
        <v>0</v>
      </c>
      <c r="P27" s="5">
        <v>0</v>
      </c>
      <c r="Q27" s="5">
        <v>0</v>
      </c>
    </row>
    <row r="28" spans="1:17" ht="25.5" x14ac:dyDescent="0.25">
      <c r="A28" s="2">
        <f t="shared" si="1"/>
        <v>19</v>
      </c>
      <c r="B28" s="3" t="s">
        <v>176</v>
      </c>
      <c r="C28" s="3" t="s">
        <v>62</v>
      </c>
      <c r="D28" s="3" t="s">
        <v>63</v>
      </c>
      <c r="E28" s="3" t="s">
        <v>177</v>
      </c>
      <c r="F28" s="3" t="s">
        <v>178</v>
      </c>
      <c r="G28" s="4" t="s">
        <v>85</v>
      </c>
      <c r="H28" s="4">
        <v>7</v>
      </c>
      <c r="I28" s="4">
        <v>2</v>
      </c>
      <c r="J28" s="4">
        <v>2</v>
      </c>
      <c r="K28" s="5">
        <v>0</v>
      </c>
      <c r="L28" s="5">
        <v>0</v>
      </c>
      <c r="M28" s="5">
        <v>0</v>
      </c>
      <c r="N28" s="4">
        <v>0</v>
      </c>
      <c r="O28" s="5">
        <v>0</v>
      </c>
      <c r="P28" s="5">
        <v>0</v>
      </c>
      <c r="Q28" s="5">
        <v>0</v>
      </c>
    </row>
    <row r="29" spans="1:17" x14ac:dyDescent="0.25">
      <c r="A29" s="2">
        <f t="shared" si="1"/>
        <v>20</v>
      </c>
      <c r="B29" s="3" t="s">
        <v>152</v>
      </c>
      <c r="C29" s="3" t="s">
        <v>62</v>
      </c>
      <c r="D29" s="3" t="s">
        <v>63</v>
      </c>
      <c r="E29" s="3" t="s">
        <v>63</v>
      </c>
      <c r="F29" s="3" t="s">
        <v>179</v>
      </c>
      <c r="G29" s="4" t="s">
        <v>85</v>
      </c>
      <c r="H29" s="4">
        <v>19</v>
      </c>
      <c r="I29" s="4">
        <v>4</v>
      </c>
      <c r="J29" s="4">
        <v>4</v>
      </c>
      <c r="K29" s="5">
        <v>0</v>
      </c>
      <c r="L29" s="5">
        <v>0</v>
      </c>
      <c r="M29" s="5">
        <v>0</v>
      </c>
      <c r="N29" s="4">
        <v>12</v>
      </c>
      <c r="O29" s="5">
        <v>12197.85</v>
      </c>
      <c r="P29" s="5">
        <v>12197.85</v>
      </c>
      <c r="Q29" s="5">
        <v>0</v>
      </c>
    </row>
    <row r="30" spans="1:17" x14ac:dyDescent="0.25">
      <c r="A30" s="2">
        <f t="shared" si="1"/>
        <v>21</v>
      </c>
      <c r="B30" s="3" t="s">
        <v>88</v>
      </c>
      <c r="C30" s="3" t="s">
        <v>62</v>
      </c>
      <c r="D30" s="3" t="s">
        <v>63</v>
      </c>
      <c r="E30" s="3" t="s">
        <v>74</v>
      </c>
      <c r="F30" s="3" t="s">
        <v>180</v>
      </c>
      <c r="G30" s="4" t="s">
        <v>85</v>
      </c>
      <c r="H30" s="4">
        <v>6</v>
      </c>
      <c r="I30" s="4">
        <v>0</v>
      </c>
      <c r="J30" s="4">
        <v>0</v>
      </c>
      <c r="K30" s="5">
        <v>0</v>
      </c>
      <c r="L30" s="5">
        <v>0</v>
      </c>
      <c r="M30" s="5">
        <v>0</v>
      </c>
      <c r="N30" s="4">
        <v>1</v>
      </c>
      <c r="O30" s="5">
        <v>2692.05</v>
      </c>
      <c r="P30" s="5">
        <v>2692.05</v>
      </c>
      <c r="Q30" s="5">
        <v>0</v>
      </c>
    </row>
    <row r="31" spans="1:17" x14ac:dyDescent="0.25">
      <c r="A31" s="2">
        <f t="shared" si="1"/>
        <v>22</v>
      </c>
      <c r="B31" s="3" t="s">
        <v>26</v>
      </c>
      <c r="C31" s="3" t="s">
        <v>62</v>
      </c>
      <c r="D31" s="3" t="s">
        <v>63</v>
      </c>
      <c r="E31" s="3" t="s">
        <v>74</v>
      </c>
      <c r="F31" s="3" t="s">
        <v>181</v>
      </c>
      <c r="G31" s="4" t="s">
        <v>85</v>
      </c>
      <c r="H31" s="4">
        <v>17</v>
      </c>
      <c r="I31" s="4">
        <v>13</v>
      </c>
      <c r="J31" s="4">
        <v>15</v>
      </c>
      <c r="K31" s="5">
        <v>13014.48</v>
      </c>
      <c r="L31" s="5">
        <v>13014.48</v>
      </c>
      <c r="M31" s="5">
        <v>0</v>
      </c>
      <c r="N31" s="4">
        <v>9</v>
      </c>
      <c r="O31" s="5">
        <v>27230.7</v>
      </c>
      <c r="P31" s="5">
        <v>7118.78</v>
      </c>
      <c r="Q31" s="5">
        <v>20111.919999999998</v>
      </c>
    </row>
    <row r="32" spans="1:17" ht="25.5" x14ac:dyDescent="0.25">
      <c r="A32" s="2">
        <f t="shared" si="1"/>
        <v>23</v>
      </c>
      <c r="B32" s="3" t="s">
        <v>182</v>
      </c>
      <c r="C32" s="3" t="s">
        <v>62</v>
      </c>
      <c r="D32" s="3" t="s">
        <v>63</v>
      </c>
      <c r="E32" s="3" t="s">
        <v>174</v>
      </c>
      <c r="F32" s="3" t="s">
        <v>183</v>
      </c>
      <c r="G32" s="4" t="s">
        <v>85</v>
      </c>
      <c r="H32" s="4">
        <v>18</v>
      </c>
      <c r="I32" s="4">
        <v>11</v>
      </c>
      <c r="J32" s="4">
        <v>12</v>
      </c>
      <c r="K32" s="5">
        <v>5605.64</v>
      </c>
      <c r="L32" s="5">
        <v>5605.64</v>
      </c>
      <c r="M32" s="5">
        <v>0</v>
      </c>
      <c r="N32" s="4">
        <v>0</v>
      </c>
      <c r="O32" s="5">
        <v>0</v>
      </c>
      <c r="P32" s="5">
        <v>0</v>
      </c>
      <c r="Q32" s="5">
        <v>0</v>
      </c>
    </row>
    <row r="33" spans="1:17" ht="25.5" x14ac:dyDescent="0.25">
      <c r="A33" s="2">
        <f t="shared" si="1"/>
        <v>24</v>
      </c>
      <c r="B33" s="3" t="s">
        <v>137</v>
      </c>
      <c r="C33" s="3" t="s">
        <v>62</v>
      </c>
      <c r="D33" s="3" t="s">
        <v>63</v>
      </c>
      <c r="E33" s="3" t="s">
        <v>78</v>
      </c>
      <c r="F33" s="3" t="s">
        <v>184</v>
      </c>
      <c r="G33" s="4" t="s">
        <v>85</v>
      </c>
      <c r="H33" s="4">
        <v>8</v>
      </c>
      <c r="I33" s="4">
        <v>3</v>
      </c>
      <c r="J33" s="4">
        <v>3</v>
      </c>
      <c r="K33" s="5">
        <v>0</v>
      </c>
      <c r="L33" s="5">
        <v>0</v>
      </c>
      <c r="M33" s="5">
        <v>0</v>
      </c>
      <c r="N33" s="4">
        <v>4</v>
      </c>
      <c r="O33" s="5">
        <v>7229.48</v>
      </c>
      <c r="P33" s="5">
        <v>7229.48</v>
      </c>
      <c r="Q33" s="5">
        <v>0</v>
      </c>
    </row>
    <row r="34" spans="1:17" ht="25.5" x14ac:dyDescent="0.25">
      <c r="A34" s="2">
        <f t="shared" si="1"/>
        <v>25</v>
      </c>
      <c r="B34" s="3" t="s">
        <v>185</v>
      </c>
      <c r="C34" s="3" t="s">
        <v>62</v>
      </c>
      <c r="D34" s="3" t="s">
        <v>63</v>
      </c>
      <c r="E34" s="3" t="s">
        <v>186</v>
      </c>
      <c r="F34" s="3" t="s">
        <v>463</v>
      </c>
      <c r="G34" s="4" t="s">
        <v>85</v>
      </c>
      <c r="H34" s="4">
        <v>7</v>
      </c>
      <c r="I34" s="4">
        <v>0</v>
      </c>
      <c r="J34" s="4">
        <v>0</v>
      </c>
      <c r="K34" s="5">
        <v>0</v>
      </c>
      <c r="L34" s="5">
        <v>0</v>
      </c>
      <c r="M34" s="5">
        <v>0</v>
      </c>
      <c r="N34" s="4">
        <v>0</v>
      </c>
      <c r="O34" s="5">
        <v>0</v>
      </c>
      <c r="P34" s="5">
        <v>0</v>
      </c>
      <c r="Q34" s="5">
        <v>0</v>
      </c>
    </row>
    <row r="35" spans="1:17" x14ac:dyDescent="0.25">
      <c r="A35" s="2">
        <f t="shared" si="1"/>
        <v>26</v>
      </c>
      <c r="B35" s="3" t="s">
        <v>27</v>
      </c>
      <c r="C35" s="3" t="s">
        <v>62</v>
      </c>
      <c r="D35" s="3" t="s">
        <v>63</v>
      </c>
      <c r="E35" s="3" t="s">
        <v>74</v>
      </c>
      <c r="F35" s="3" t="s">
        <v>187</v>
      </c>
      <c r="G35" s="4" t="s">
        <v>85</v>
      </c>
      <c r="H35" s="4">
        <v>9</v>
      </c>
      <c r="I35" s="4">
        <v>4</v>
      </c>
      <c r="J35" s="4">
        <v>4</v>
      </c>
      <c r="K35" s="5">
        <v>1593.56</v>
      </c>
      <c r="L35" s="5">
        <v>1593.56</v>
      </c>
      <c r="M35" s="5">
        <v>0</v>
      </c>
      <c r="N35" s="4">
        <v>3</v>
      </c>
      <c r="O35" s="5">
        <v>25856.02</v>
      </c>
      <c r="P35" s="5">
        <v>1855.79</v>
      </c>
      <c r="Q35" s="5">
        <v>24000.23</v>
      </c>
    </row>
    <row r="36" spans="1:17" ht="25.5" x14ac:dyDescent="0.25">
      <c r="A36" s="2">
        <f t="shared" si="1"/>
        <v>27</v>
      </c>
      <c r="B36" s="3" t="s">
        <v>482</v>
      </c>
      <c r="C36" s="3" t="s">
        <v>64</v>
      </c>
      <c r="D36" s="3" t="s">
        <v>483</v>
      </c>
      <c r="E36" s="3" t="s">
        <v>313</v>
      </c>
      <c r="F36" s="3" t="s">
        <v>484</v>
      </c>
      <c r="G36" s="4" t="s">
        <v>85</v>
      </c>
      <c r="H36" s="4">
        <v>6</v>
      </c>
      <c r="I36" s="4">
        <v>0</v>
      </c>
      <c r="J36" s="4">
        <v>0</v>
      </c>
      <c r="K36" s="5">
        <v>0</v>
      </c>
      <c r="L36" s="5">
        <v>0</v>
      </c>
      <c r="M36" s="5">
        <v>0</v>
      </c>
      <c r="N36" s="4">
        <v>0</v>
      </c>
      <c r="O36" s="5">
        <v>0</v>
      </c>
      <c r="P36" s="5">
        <v>0</v>
      </c>
      <c r="Q36" s="5">
        <v>0</v>
      </c>
    </row>
    <row r="37" spans="1:17" ht="25.5" x14ac:dyDescent="0.25">
      <c r="A37" s="2">
        <f t="shared" si="1"/>
        <v>28</v>
      </c>
      <c r="B37" s="3" t="s">
        <v>104</v>
      </c>
      <c r="C37" s="3" t="s">
        <v>62</v>
      </c>
      <c r="D37" s="3" t="s">
        <v>63</v>
      </c>
      <c r="E37" s="3" t="s">
        <v>105</v>
      </c>
      <c r="F37" s="3" t="s">
        <v>188</v>
      </c>
      <c r="G37" s="4" t="s">
        <v>85</v>
      </c>
      <c r="H37" s="4">
        <v>9</v>
      </c>
      <c r="I37" s="4">
        <v>3</v>
      </c>
      <c r="J37" s="4">
        <v>3</v>
      </c>
      <c r="K37" s="5">
        <v>0</v>
      </c>
      <c r="L37" s="5">
        <v>0</v>
      </c>
      <c r="M37" s="5">
        <v>0</v>
      </c>
      <c r="N37" s="4">
        <v>22</v>
      </c>
      <c r="O37" s="5">
        <v>34824.53</v>
      </c>
      <c r="P37" s="5">
        <v>34824.53</v>
      </c>
      <c r="Q37" s="5">
        <v>0</v>
      </c>
    </row>
    <row r="38" spans="1:17" x14ac:dyDescent="0.25">
      <c r="A38" s="2">
        <f t="shared" si="1"/>
        <v>29</v>
      </c>
      <c r="B38" s="3" t="s">
        <v>517</v>
      </c>
      <c r="C38" s="3" t="s">
        <v>62</v>
      </c>
      <c r="D38" s="3"/>
      <c r="E38" s="3"/>
      <c r="F38" s="3" t="s">
        <v>518</v>
      </c>
      <c r="G38" s="4" t="s">
        <v>85</v>
      </c>
      <c r="H38" s="4">
        <v>0</v>
      </c>
      <c r="I38" s="4">
        <v>0</v>
      </c>
      <c r="J38" s="4">
        <v>0</v>
      </c>
      <c r="K38" s="5">
        <v>0</v>
      </c>
      <c r="L38" s="5">
        <v>0</v>
      </c>
      <c r="M38" s="5">
        <v>0</v>
      </c>
      <c r="N38" s="4">
        <v>0</v>
      </c>
      <c r="O38" s="5">
        <v>0</v>
      </c>
      <c r="P38" s="5">
        <v>0</v>
      </c>
      <c r="Q38" s="5">
        <v>0</v>
      </c>
    </row>
    <row r="39" spans="1:17" x14ac:dyDescent="0.25">
      <c r="A39" s="2">
        <f t="shared" si="1"/>
        <v>30</v>
      </c>
      <c r="B39" s="3" t="s">
        <v>28</v>
      </c>
      <c r="C39" s="3" t="s">
        <v>62</v>
      </c>
      <c r="D39" s="3" t="s">
        <v>63</v>
      </c>
      <c r="E39" s="3" t="s">
        <v>74</v>
      </c>
      <c r="F39" s="3" t="s">
        <v>189</v>
      </c>
      <c r="G39" s="4" t="s">
        <v>85</v>
      </c>
      <c r="H39" s="4">
        <v>3</v>
      </c>
      <c r="I39" s="4">
        <v>1</v>
      </c>
      <c r="J39" s="4">
        <v>1</v>
      </c>
      <c r="K39" s="5">
        <v>581.46</v>
      </c>
      <c r="L39" s="5">
        <v>581.46</v>
      </c>
      <c r="M39" s="5">
        <v>0</v>
      </c>
      <c r="N39" s="4">
        <v>3</v>
      </c>
      <c r="O39" s="5">
        <v>6953.99</v>
      </c>
      <c r="P39" s="5">
        <v>6953.99</v>
      </c>
      <c r="Q39" s="5">
        <v>0</v>
      </c>
    </row>
    <row r="40" spans="1:17" x14ac:dyDescent="0.25">
      <c r="A40" s="2">
        <f t="shared" si="1"/>
        <v>31</v>
      </c>
      <c r="B40" s="3" t="s">
        <v>190</v>
      </c>
      <c r="C40" s="3" t="s">
        <v>62</v>
      </c>
      <c r="D40" s="3" t="s">
        <v>63</v>
      </c>
      <c r="E40" s="3" t="s">
        <v>63</v>
      </c>
      <c r="F40" s="3" t="s">
        <v>191</v>
      </c>
      <c r="G40" s="4" t="s">
        <v>85</v>
      </c>
      <c r="H40" s="4">
        <v>8</v>
      </c>
      <c r="I40" s="4">
        <v>2</v>
      </c>
      <c r="J40" s="4">
        <v>2</v>
      </c>
      <c r="K40" s="5">
        <v>792.9</v>
      </c>
      <c r="L40" s="5">
        <v>792.9</v>
      </c>
      <c r="M40" s="5">
        <v>0</v>
      </c>
      <c r="N40" s="4">
        <v>0</v>
      </c>
      <c r="O40" s="5">
        <v>0</v>
      </c>
      <c r="P40" s="5">
        <v>0</v>
      </c>
      <c r="Q40" s="5">
        <v>0</v>
      </c>
    </row>
    <row r="41" spans="1:17" ht="38.25" x14ac:dyDescent="0.25">
      <c r="A41" s="2">
        <f t="shared" si="1"/>
        <v>32</v>
      </c>
      <c r="B41" s="3" t="s">
        <v>192</v>
      </c>
      <c r="C41" s="3" t="s">
        <v>64</v>
      </c>
      <c r="D41" s="3" t="s">
        <v>193</v>
      </c>
      <c r="E41" s="3" t="s">
        <v>74</v>
      </c>
      <c r="F41" s="3" t="s">
        <v>194</v>
      </c>
      <c r="G41" s="4" t="s">
        <v>85</v>
      </c>
      <c r="H41" s="4">
        <v>1</v>
      </c>
      <c r="I41" s="4">
        <v>0</v>
      </c>
      <c r="J41" s="4">
        <v>0</v>
      </c>
      <c r="K41" s="5">
        <v>0</v>
      </c>
      <c r="L41" s="5">
        <v>0</v>
      </c>
      <c r="M41" s="5">
        <v>0</v>
      </c>
      <c r="N41" s="4">
        <v>0</v>
      </c>
      <c r="O41" s="5">
        <v>0</v>
      </c>
      <c r="P41" s="5">
        <v>0</v>
      </c>
      <c r="Q41" s="5">
        <v>0</v>
      </c>
    </row>
    <row r="42" spans="1:17" x14ac:dyDescent="0.25">
      <c r="A42" s="2">
        <f t="shared" si="1"/>
        <v>33</v>
      </c>
      <c r="B42" s="3" t="s">
        <v>89</v>
      </c>
      <c r="C42" s="3" t="s">
        <v>62</v>
      </c>
      <c r="D42" s="3" t="s">
        <v>63</v>
      </c>
      <c r="E42" s="3" t="s">
        <v>74</v>
      </c>
      <c r="F42" s="3" t="s">
        <v>195</v>
      </c>
      <c r="G42" s="4" t="s">
        <v>85</v>
      </c>
      <c r="H42" s="4">
        <v>19</v>
      </c>
      <c r="I42" s="4">
        <v>12</v>
      </c>
      <c r="J42" s="4">
        <v>12</v>
      </c>
      <c r="K42" s="5">
        <v>4198.49</v>
      </c>
      <c r="L42" s="5">
        <v>4198.49</v>
      </c>
      <c r="M42" s="5">
        <v>0</v>
      </c>
      <c r="N42" s="4">
        <v>4</v>
      </c>
      <c r="O42" s="5">
        <v>29780.5</v>
      </c>
      <c r="P42" s="5">
        <v>29780.5</v>
      </c>
      <c r="Q42" s="5">
        <v>0</v>
      </c>
    </row>
    <row r="43" spans="1:17" ht="25.5" x14ac:dyDescent="0.25">
      <c r="A43" s="2">
        <f t="shared" si="1"/>
        <v>34</v>
      </c>
      <c r="B43" s="3" t="s">
        <v>196</v>
      </c>
      <c r="C43" s="3" t="s">
        <v>62</v>
      </c>
      <c r="D43" s="3" t="s">
        <v>63</v>
      </c>
      <c r="E43" s="3" t="s">
        <v>197</v>
      </c>
      <c r="F43" s="3" t="s">
        <v>198</v>
      </c>
      <c r="G43" s="4" t="s">
        <v>85</v>
      </c>
      <c r="H43" s="4">
        <v>14</v>
      </c>
      <c r="I43" s="4">
        <v>3</v>
      </c>
      <c r="J43" s="4">
        <v>3</v>
      </c>
      <c r="K43" s="5">
        <v>0</v>
      </c>
      <c r="L43" s="5">
        <v>0</v>
      </c>
      <c r="M43" s="5">
        <v>0</v>
      </c>
      <c r="N43" s="4">
        <v>0</v>
      </c>
      <c r="O43" s="5">
        <v>0</v>
      </c>
      <c r="P43" s="5">
        <v>0</v>
      </c>
      <c r="Q43" s="5">
        <v>0</v>
      </c>
    </row>
    <row r="44" spans="1:17" x14ac:dyDescent="0.25">
      <c r="A44" s="2">
        <f t="shared" si="1"/>
        <v>35</v>
      </c>
      <c r="B44" s="3" t="s">
        <v>106</v>
      </c>
      <c r="C44" s="3" t="s">
        <v>62</v>
      </c>
      <c r="D44" s="3" t="s">
        <v>63</v>
      </c>
      <c r="E44" s="3" t="s">
        <v>74</v>
      </c>
      <c r="F44" s="3" t="s">
        <v>199</v>
      </c>
      <c r="G44" s="4" t="s">
        <v>85</v>
      </c>
      <c r="H44" s="4">
        <v>21</v>
      </c>
      <c r="I44" s="4">
        <v>11</v>
      </c>
      <c r="J44" s="4">
        <v>13</v>
      </c>
      <c r="K44" s="5">
        <v>6927.49</v>
      </c>
      <c r="L44" s="5">
        <v>6927.49</v>
      </c>
      <c r="M44" s="5">
        <v>0</v>
      </c>
      <c r="N44" s="4">
        <v>18</v>
      </c>
      <c r="O44" s="5">
        <v>24472.76</v>
      </c>
      <c r="P44" s="5">
        <v>11249.28</v>
      </c>
      <c r="Q44" s="5">
        <v>13223.48</v>
      </c>
    </row>
    <row r="45" spans="1:17" x14ac:dyDescent="0.25">
      <c r="A45" s="2">
        <f t="shared" si="1"/>
        <v>36</v>
      </c>
      <c r="B45" s="3" t="s">
        <v>107</v>
      </c>
      <c r="C45" s="3" t="s">
        <v>62</v>
      </c>
      <c r="D45" s="3" t="s">
        <v>63</v>
      </c>
      <c r="E45" s="3" t="s">
        <v>74</v>
      </c>
      <c r="F45" s="3" t="s">
        <v>138</v>
      </c>
      <c r="G45" s="4" t="s">
        <v>85</v>
      </c>
      <c r="H45" s="4">
        <v>2</v>
      </c>
      <c r="I45" s="4">
        <v>0</v>
      </c>
      <c r="J45" s="4">
        <v>0</v>
      </c>
      <c r="K45" s="5">
        <v>0</v>
      </c>
      <c r="L45" s="5">
        <v>0</v>
      </c>
      <c r="M45" s="5">
        <v>0</v>
      </c>
      <c r="N45" s="4">
        <v>0</v>
      </c>
      <c r="O45" s="5">
        <v>0</v>
      </c>
      <c r="P45" s="5">
        <v>0</v>
      </c>
      <c r="Q45" s="5">
        <v>0</v>
      </c>
    </row>
    <row r="46" spans="1:17" x14ac:dyDescent="0.25">
      <c r="A46" s="2">
        <f t="shared" si="1"/>
        <v>37</v>
      </c>
      <c r="B46" s="3" t="s">
        <v>29</v>
      </c>
      <c r="C46" s="3" t="s">
        <v>62</v>
      </c>
      <c r="D46" s="3" t="s">
        <v>63</v>
      </c>
      <c r="E46" s="3" t="s">
        <v>74</v>
      </c>
      <c r="F46" s="3" t="s">
        <v>200</v>
      </c>
      <c r="G46" s="4" t="s">
        <v>85</v>
      </c>
      <c r="H46" s="4">
        <v>18</v>
      </c>
      <c r="I46" s="4">
        <v>14</v>
      </c>
      <c r="J46" s="4">
        <v>19</v>
      </c>
      <c r="K46" s="5">
        <v>14385.16</v>
      </c>
      <c r="L46" s="5">
        <v>14385.16</v>
      </c>
      <c r="M46" s="5">
        <v>0</v>
      </c>
      <c r="N46" s="4">
        <v>13</v>
      </c>
      <c r="O46" s="5">
        <v>32700.57</v>
      </c>
      <c r="P46" s="5">
        <v>8707.51</v>
      </c>
      <c r="Q46" s="5">
        <v>23993.06</v>
      </c>
    </row>
    <row r="47" spans="1:17" x14ac:dyDescent="0.25">
      <c r="A47" s="2">
        <f t="shared" si="1"/>
        <v>38</v>
      </c>
      <c r="B47" s="3" t="s">
        <v>201</v>
      </c>
      <c r="C47" s="3" t="s">
        <v>67</v>
      </c>
      <c r="D47" s="3" t="s">
        <v>485</v>
      </c>
      <c r="E47" s="3" t="s">
        <v>74</v>
      </c>
      <c r="F47" s="3" t="s">
        <v>202</v>
      </c>
      <c r="G47" s="4" t="s">
        <v>85</v>
      </c>
      <c r="H47" s="4">
        <v>11</v>
      </c>
      <c r="I47" s="4">
        <v>6</v>
      </c>
      <c r="J47" s="4">
        <v>6</v>
      </c>
      <c r="K47" s="5">
        <v>5393.6</v>
      </c>
      <c r="L47" s="5">
        <v>5393.6</v>
      </c>
      <c r="M47" s="5">
        <v>0</v>
      </c>
      <c r="N47" s="4">
        <v>1</v>
      </c>
      <c r="O47" s="5">
        <v>1717.95</v>
      </c>
      <c r="P47" s="5">
        <v>1717.95</v>
      </c>
      <c r="Q47" s="5">
        <v>0</v>
      </c>
    </row>
    <row r="48" spans="1:17" ht="25.5" x14ac:dyDescent="0.25">
      <c r="A48" s="2">
        <f t="shared" si="1"/>
        <v>39</v>
      </c>
      <c r="B48" s="3" t="s">
        <v>30</v>
      </c>
      <c r="C48" s="3" t="s">
        <v>62</v>
      </c>
      <c r="D48" s="3" t="s">
        <v>63</v>
      </c>
      <c r="E48" s="3" t="s">
        <v>203</v>
      </c>
      <c r="F48" s="3" t="s">
        <v>204</v>
      </c>
      <c r="G48" s="4" t="s">
        <v>85</v>
      </c>
      <c r="H48" s="4">
        <v>14</v>
      </c>
      <c r="I48" s="4">
        <v>6</v>
      </c>
      <c r="J48" s="4">
        <v>9</v>
      </c>
      <c r="K48" s="5">
        <v>3927.57</v>
      </c>
      <c r="L48" s="5">
        <v>3927.57</v>
      </c>
      <c r="M48" s="5">
        <v>0</v>
      </c>
      <c r="N48" s="4">
        <v>11</v>
      </c>
      <c r="O48" s="5">
        <v>34699.65</v>
      </c>
      <c r="P48" s="5">
        <v>34699.65</v>
      </c>
      <c r="Q48" s="5">
        <v>0</v>
      </c>
    </row>
    <row r="49" spans="1:17" ht="51" x14ac:dyDescent="0.25">
      <c r="A49" s="2">
        <f t="shared" si="1"/>
        <v>40</v>
      </c>
      <c r="B49" s="3" t="s">
        <v>90</v>
      </c>
      <c r="C49" s="3" t="s">
        <v>62</v>
      </c>
      <c r="D49" s="3" t="s">
        <v>63</v>
      </c>
      <c r="E49" s="3" t="s">
        <v>205</v>
      </c>
      <c r="F49" s="3" t="s">
        <v>464</v>
      </c>
      <c r="G49" s="4" t="s">
        <v>85</v>
      </c>
      <c r="H49" s="4">
        <v>10</v>
      </c>
      <c r="I49" s="4">
        <v>7</v>
      </c>
      <c r="J49" s="4">
        <v>10</v>
      </c>
      <c r="K49" s="5">
        <v>0</v>
      </c>
      <c r="L49" s="5">
        <v>0</v>
      </c>
      <c r="M49" s="5">
        <v>0</v>
      </c>
      <c r="N49" s="4">
        <v>15</v>
      </c>
      <c r="O49" s="5">
        <v>13489.62</v>
      </c>
      <c r="P49" s="5">
        <v>13489.62</v>
      </c>
      <c r="Q49" s="5">
        <v>0</v>
      </c>
    </row>
    <row r="50" spans="1:17" x14ac:dyDescent="0.25">
      <c r="A50" s="2">
        <f t="shared" si="1"/>
        <v>41</v>
      </c>
      <c r="B50" s="3" t="s">
        <v>31</v>
      </c>
      <c r="C50" s="3" t="s">
        <v>62</v>
      </c>
      <c r="D50" s="3" t="s">
        <v>63</v>
      </c>
      <c r="E50" s="3" t="s">
        <v>74</v>
      </c>
      <c r="F50" s="3" t="s">
        <v>206</v>
      </c>
      <c r="G50" s="4" t="s">
        <v>85</v>
      </c>
      <c r="H50" s="4">
        <v>22</v>
      </c>
      <c r="I50" s="4">
        <v>18</v>
      </c>
      <c r="J50" s="4">
        <v>20</v>
      </c>
      <c r="K50" s="5">
        <v>25872.799999999999</v>
      </c>
      <c r="L50" s="5">
        <v>0</v>
      </c>
      <c r="M50" s="5">
        <v>25872.799999999999</v>
      </c>
      <c r="N50" s="4">
        <v>15</v>
      </c>
      <c r="O50" s="5">
        <v>68122.16</v>
      </c>
      <c r="P50" s="5">
        <v>68122.16</v>
      </c>
      <c r="Q50" s="5">
        <v>0</v>
      </c>
    </row>
    <row r="51" spans="1:17" x14ac:dyDescent="0.25">
      <c r="A51" s="2">
        <f t="shared" si="1"/>
        <v>42</v>
      </c>
      <c r="B51" s="3" t="s">
        <v>32</v>
      </c>
      <c r="C51" s="3" t="s">
        <v>62</v>
      </c>
      <c r="D51" s="3" t="s">
        <v>63</v>
      </c>
      <c r="E51" s="3" t="s">
        <v>74</v>
      </c>
      <c r="F51" s="3" t="s">
        <v>207</v>
      </c>
      <c r="G51" s="4" t="s">
        <v>85</v>
      </c>
      <c r="H51" s="4">
        <v>25</v>
      </c>
      <c r="I51" s="4">
        <v>15</v>
      </c>
      <c r="J51" s="4">
        <v>16</v>
      </c>
      <c r="K51" s="5">
        <v>35773.379999999997</v>
      </c>
      <c r="L51" s="5">
        <v>4417.8599999999997</v>
      </c>
      <c r="M51" s="5">
        <v>31355.52</v>
      </c>
      <c r="N51" s="4">
        <v>25</v>
      </c>
      <c r="O51" s="5">
        <v>37886.28</v>
      </c>
      <c r="P51" s="5">
        <v>37886.28</v>
      </c>
      <c r="Q51" s="5">
        <v>0</v>
      </c>
    </row>
    <row r="52" spans="1:17" x14ac:dyDescent="0.25">
      <c r="A52" s="2">
        <f t="shared" si="1"/>
        <v>43</v>
      </c>
      <c r="B52" s="3" t="s">
        <v>91</v>
      </c>
      <c r="C52" s="3" t="s">
        <v>62</v>
      </c>
      <c r="D52" s="3" t="s">
        <v>63</v>
      </c>
      <c r="E52" s="3" t="s">
        <v>63</v>
      </c>
      <c r="F52" s="3" t="s">
        <v>208</v>
      </c>
      <c r="G52" s="4" t="s">
        <v>85</v>
      </c>
      <c r="H52" s="4">
        <v>11</v>
      </c>
      <c r="I52" s="4">
        <v>8</v>
      </c>
      <c r="J52" s="4">
        <v>8</v>
      </c>
      <c r="K52" s="5">
        <v>7420.29</v>
      </c>
      <c r="L52" s="5">
        <v>7420.29</v>
      </c>
      <c r="M52" s="5">
        <v>0</v>
      </c>
      <c r="N52" s="4">
        <v>0</v>
      </c>
      <c r="O52" s="5">
        <v>1409.6</v>
      </c>
      <c r="P52" s="5">
        <v>1409.6</v>
      </c>
      <c r="Q52" s="5">
        <v>0</v>
      </c>
    </row>
    <row r="53" spans="1:17" x14ac:dyDescent="0.25">
      <c r="A53" s="2">
        <f t="shared" si="1"/>
        <v>44</v>
      </c>
      <c r="B53" s="3" t="s">
        <v>33</v>
      </c>
      <c r="C53" s="3" t="s">
        <v>62</v>
      </c>
      <c r="D53" s="3" t="s">
        <v>63</v>
      </c>
      <c r="E53" s="3" t="s">
        <v>74</v>
      </c>
      <c r="F53" s="3" t="s">
        <v>209</v>
      </c>
      <c r="G53" s="4" t="s">
        <v>85</v>
      </c>
      <c r="H53" s="4">
        <v>23</v>
      </c>
      <c r="I53" s="4">
        <v>12</v>
      </c>
      <c r="J53" s="4">
        <v>16</v>
      </c>
      <c r="K53" s="5">
        <v>68765.759999999995</v>
      </c>
      <c r="L53" s="5">
        <v>20066.400000000001</v>
      </c>
      <c r="M53" s="5">
        <v>48699.360000000001</v>
      </c>
      <c r="N53" s="4">
        <v>31</v>
      </c>
      <c r="O53" s="5">
        <v>37400.410000000003</v>
      </c>
      <c r="P53" s="5">
        <v>37400.410000000003</v>
      </c>
      <c r="Q53" s="5">
        <v>0</v>
      </c>
    </row>
    <row r="54" spans="1:17" x14ac:dyDescent="0.25">
      <c r="A54" s="2">
        <f t="shared" si="1"/>
        <v>45</v>
      </c>
      <c r="B54" s="3" t="s">
        <v>153</v>
      </c>
      <c r="C54" s="3" t="s">
        <v>62</v>
      </c>
      <c r="D54" s="3" t="s">
        <v>63</v>
      </c>
      <c r="E54" s="3" t="s">
        <v>74</v>
      </c>
      <c r="F54" s="3" t="s">
        <v>210</v>
      </c>
      <c r="G54" s="4" t="s">
        <v>85</v>
      </c>
      <c r="H54" s="4">
        <v>0</v>
      </c>
      <c r="I54" s="4">
        <v>0</v>
      </c>
      <c r="J54" s="4">
        <v>0</v>
      </c>
      <c r="K54" s="5">
        <v>0</v>
      </c>
      <c r="L54" s="5">
        <v>0</v>
      </c>
      <c r="M54" s="5">
        <v>0</v>
      </c>
      <c r="N54" s="4">
        <v>2</v>
      </c>
      <c r="O54" s="5">
        <v>9709.0400000000009</v>
      </c>
      <c r="P54" s="5">
        <v>9709.0400000000009</v>
      </c>
      <c r="Q54" s="5">
        <v>0</v>
      </c>
    </row>
    <row r="55" spans="1:17" x14ac:dyDescent="0.25">
      <c r="A55" s="2">
        <f t="shared" si="1"/>
        <v>46</v>
      </c>
      <c r="B55" s="3" t="s">
        <v>34</v>
      </c>
      <c r="C55" s="3" t="s">
        <v>62</v>
      </c>
      <c r="D55" s="3" t="s">
        <v>63</v>
      </c>
      <c r="E55" s="3" t="s">
        <v>74</v>
      </c>
      <c r="F55" s="3" t="s">
        <v>211</v>
      </c>
      <c r="G55" s="4" t="s">
        <v>85</v>
      </c>
      <c r="H55" s="4">
        <v>11</v>
      </c>
      <c r="I55" s="4">
        <v>7</v>
      </c>
      <c r="J55" s="4">
        <v>7</v>
      </c>
      <c r="K55" s="5">
        <v>264.3</v>
      </c>
      <c r="L55" s="5">
        <v>264.3</v>
      </c>
      <c r="M55" s="5">
        <v>0</v>
      </c>
      <c r="N55" s="4">
        <v>15</v>
      </c>
      <c r="O55" s="5">
        <v>31629.86</v>
      </c>
      <c r="P55" s="5">
        <v>31629.86</v>
      </c>
      <c r="Q55" s="5">
        <v>0</v>
      </c>
    </row>
    <row r="56" spans="1:17" ht="25.5" x14ac:dyDescent="0.25">
      <c r="A56" s="2">
        <f t="shared" si="1"/>
        <v>47</v>
      </c>
      <c r="B56" s="3" t="s">
        <v>154</v>
      </c>
      <c r="C56" s="3" t="s">
        <v>62</v>
      </c>
      <c r="D56" s="3" t="s">
        <v>63</v>
      </c>
      <c r="E56" s="3" t="s">
        <v>72</v>
      </c>
      <c r="F56" s="3" t="s">
        <v>212</v>
      </c>
      <c r="G56" s="4" t="s">
        <v>85</v>
      </c>
      <c r="H56" s="4">
        <v>2</v>
      </c>
      <c r="I56" s="4">
        <v>0</v>
      </c>
      <c r="J56" s="4">
        <v>0</v>
      </c>
      <c r="K56" s="5">
        <v>0</v>
      </c>
      <c r="L56" s="5">
        <v>0</v>
      </c>
      <c r="M56" s="5">
        <v>0</v>
      </c>
      <c r="N56" s="4">
        <v>1</v>
      </c>
      <c r="O56" s="5">
        <v>4636.17</v>
      </c>
      <c r="P56" s="5">
        <v>4636.17</v>
      </c>
      <c r="Q56" s="5">
        <v>0</v>
      </c>
    </row>
    <row r="57" spans="1:17" x14ac:dyDescent="0.25">
      <c r="A57" s="2">
        <f t="shared" si="1"/>
        <v>48</v>
      </c>
      <c r="B57" s="3" t="s">
        <v>109</v>
      </c>
      <c r="C57" s="3" t="s">
        <v>62</v>
      </c>
      <c r="D57" s="3" t="s">
        <v>63</v>
      </c>
      <c r="E57" s="3" t="s">
        <v>74</v>
      </c>
      <c r="F57" s="3" t="s">
        <v>213</v>
      </c>
      <c r="G57" s="4" t="s">
        <v>85</v>
      </c>
      <c r="H57" s="4">
        <v>0</v>
      </c>
      <c r="I57" s="4">
        <v>0</v>
      </c>
      <c r="J57" s="4">
        <v>0</v>
      </c>
      <c r="K57" s="5">
        <v>0</v>
      </c>
      <c r="L57" s="5">
        <v>0</v>
      </c>
      <c r="M57" s="5">
        <v>0</v>
      </c>
      <c r="N57" s="4">
        <v>2</v>
      </c>
      <c r="O57" s="5">
        <v>0</v>
      </c>
      <c r="P57" s="5">
        <v>0</v>
      </c>
      <c r="Q57" s="5">
        <v>0</v>
      </c>
    </row>
    <row r="58" spans="1:17" x14ac:dyDescent="0.25">
      <c r="A58" s="2">
        <f t="shared" si="1"/>
        <v>49</v>
      </c>
      <c r="B58" s="3" t="s">
        <v>110</v>
      </c>
      <c r="C58" s="3" t="s">
        <v>62</v>
      </c>
      <c r="D58" s="3" t="s">
        <v>63</v>
      </c>
      <c r="E58" s="3" t="s">
        <v>74</v>
      </c>
      <c r="F58" s="3" t="s">
        <v>214</v>
      </c>
      <c r="G58" s="4" t="s">
        <v>85</v>
      </c>
      <c r="H58" s="4">
        <v>0</v>
      </c>
      <c r="I58" s="4">
        <v>0</v>
      </c>
      <c r="J58" s="4">
        <v>0</v>
      </c>
      <c r="K58" s="5">
        <v>0</v>
      </c>
      <c r="L58" s="5">
        <v>0</v>
      </c>
      <c r="M58" s="5">
        <v>0</v>
      </c>
      <c r="N58" s="4">
        <v>0</v>
      </c>
      <c r="O58" s="5">
        <v>12155.71</v>
      </c>
      <c r="P58" s="5">
        <v>12155.71</v>
      </c>
      <c r="Q58" s="5">
        <v>0</v>
      </c>
    </row>
    <row r="59" spans="1:17" x14ac:dyDescent="0.25">
      <c r="A59" s="2">
        <f t="shared" si="1"/>
        <v>50</v>
      </c>
      <c r="B59" s="3" t="s">
        <v>111</v>
      </c>
      <c r="C59" s="3" t="s">
        <v>112</v>
      </c>
      <c r="D59" s="3" t="s">
        <v>113</v>
      </c>
      <c r="E59" s="3" t="s">
        <v>63</v>
      </c>
      <c r="F59" s="3" t="s">
        <v>139</v>
      </c>
      <c r="G59" s="4" t="s">
        <v>85</v>
      </c>
      <c r="H59" s="4">
        <v>1</v>
      </c>
      <c r="I59" s="4">
        <v>0</v>
      </c>
      <c r="J59" s="4">
        <v>0</v>
      </c>
      <c r="K59" s="5">
        <v>0</v>
      </c>
      <c r="L59" s="5">
        <v>0</v>
      </c>
      <c r="M59" s="5">
        <v>0</v>
      </c>
      <c r="N59" s="4">
        <v>0</v>
      </c>
      <c r="O59" s="5">
        <v>0</v>
      </c>
      <c r="P59" s="5">
        <v>0</v>
      </c>
      <c r="Q59" s="5">
        <v>0</v>
      </c>
    </row>
    <row r="60" spans="1:17" x14ac:dyDescent="0.25">
      <c r="A60" s="2">
        <f t="shared" si="1"/>
        <v>51</v>
      </c>
      <c r="B60" s="3" t="s">
        <v>92</v>
      </c>
      <c r="C60" s="3" t="s">
        <v>62</v>
      </c>
      <c r="D60" s="3" t="s">
        <v>63</v>
      </c>
      <c r="E60" s="3" t="s">
        <v>74</v>
      </c>
      <c r="F60" s="3" t="s">
        <v>215</v>
      </c>
      <c r="G60" s="4" t="s">
        <v>85</v>
      </c>
      <c r="H60" s="4">
        <v>17</v>
      </c>
      <c r="I60" s="4">
        <v>16</v>
      </c>
      <c r="J60" s="4">
        <v>17</v>
      </c>
      <c r="K60" s="5">
        <v>20288.439999999999</v>
      </c>
      <c r="L60" s="5">
        <v>2960.16</v>
      </c>
      <c r="M60" s="5">
        <v>17328.28</v>
      </c>
      <c r="N60" s="4">
        <v>8</v>
      </c>
      <c r="O60" s="5">
        <v>15492.95</v>
      </c>
      <c r="P60" s="5">
        <v>15492.95</v>
      </c>
      <c r="Q60" s="5">
        <v>0</v>
      </c>
    </row>
    <row r="61" spans="1:17" ht="25.5" x14ac:dyDescent="0.25">
      <c r="A61" s="2">
        <f t="shared" si="1"/>
        <v>52</v>
      </c>
      <c r="B61" s="3" t="s">
        <v>216</v>
      </c>
      <c r="C61" s="3" t="s">
        <v>67</v>
      </c>
      <c r="D61" s="3" t="s">
        <v>436</v>
      </c>
      <c r="E61" s="3" t="s">
        <v>217</v>
      </c>
      <c r="F61" s="3" t="s">
        <v>218</v>
      </c>
      <c r="G61" s="4" t="s">
        <v>85</v>
      </c>
      <c r="H61" s="4">
        <v>6</v>
      </c>
      <c r="I61" s="4">
        <v>4</v>
      </c>
      <c r="J61" s="4">
        <v>4</v>
      </c>
      <c r="K61" s="5">
        <v>3386.04</v>
      </c>
      <c r="L61" s="5">
        <v>3386.04</v>
      </c>
      <c r="M61" s="5">
        <v>0</v>
      </c>
      <c r="N61" s="4">
        <v>0</v>
      </c>
      <c r="O61" s="5">
        <v>0</v>
      </c>
      <c r="P61" s="5">
        <v>0</v>
      </c>
      <c r="Q61" s="5">
        <v>0</v>
      </c>
    </row>
    <row r="62" spans="1:17" ht="25.5" x14ac:dyDescent="0.25">
      <c r="A62" s="2">
        <f t="shared" si="1"/>
        <v>53</v>
      </c>
      <c r="B62" s="3" t="s">
        <v>35</v>
      </c>
      <c r="C62" s="3" t="s">
        <v>62</v>
      </c>
      <c r="D62" s="3" t="s">
        <v>63</v>
      </c>
      <c r="E62" s="3" t="s">
        <v>219</v>
      </c>
      <c r="F62" s="3" t="s">
        <v>220</v>
      </c>
      <c r="G62" s="4" t="s">
        <v>85</v>
      </c>
      <c r="H62" s="4">
        <v>35</v>
      </c>
      <c r="I62" s="4">
        <v>23</v>
      </c>
      <c r="J62" s="4">
        <v>24</v>
      </c>
      <c r="K62" s="5">
        <v>4553.1000000000004</v>
      </c>
      <c r="L62" s="5">
        <v>4553.1000000000004</v>
      </c>
      <c r="M62" s="5">
        <v>0</v>
      </c>
      <c r="N62" s="4">
        <v>22</v>
      </c>
      <c r="O62" s="5">
        <v>17241.36</v>
      </c>
      <c r="P62" s="5">
        <v>17241.36</v>
      </c>
      <c r="Q62" s="5">
        <v>0</v>
      </c>
    </row>
    <row r="63" spans="1:17" ht="25.5" x14ac:dyDescent="0.25">
      <c r="A63" s="2">
        <f t="shared" si="1"/>
        <v>54</v>
      </c>
      <c r="B63" s="3" t="s">
        <v>114</v>
      </c>
      <c r="C63" s="3" t="s">
        <v>62</v>
      </c>
      <c r="D63" s="3" t="s">
        <v>63</v>
      </c>
      <c r="E63" s="3" t="s">
        <v>115</v>
      </c>
      <c r="F63" s="3" t="s">
        <v>221</v>
      </c>
      <c r="G63" s="4" t="s">
        <v>85</v>
      </c>
      <c r="H63" s="4">
        <v>1</v>
      </c>
      <c r="I63" s="4">
        <v>0</v>
      </c>
      <c r="J63" s="4">
        <v>0</v>
      </c>
      <c r="K63" s="5">
        <v>0</v>
      </c>
      <c r="L63" s="5">
        <v>0</v>
      </c>
      <c r="M63" s="5">
        <v>0</v>
      </c>
      <c r="N63" s="4">
        <v>0</v>
      </c>
      <c r="O63" s="5">
        <v>1108.48</v>
      </c>
      <c r="P63" s="5">
        <v>1108.48</v>
      </c>
      <c r="Q63" s="5">
        <v>0</v>
      </c>
    </row>
    <row r="64" spans="1:17" ht="25.5" x14ac:dyDescent="0.25">
      <c r="A64" s="2">
        <f t="shared" si="1"/>
        <v>55</v>
      </c>
      <c r="B64" s="3" t="s">
        <v>222</v>
      </c>
      <c r="C64" s="3" t="s">
        <v>64</v>
      </c>
      <c r="D64" s="3" t="s">
        <v>486</v>
      </c>
      <c r="E64" s="3" t="s">
        <v>223</v>
      </c>
      <c r="F64" s="3" t="s">
        <v>224</v>
      </c>
      <c r="G64" s="4" t="s">
        <v>85</v>
      </c>
      <c r="H64" s="4">
        <v>6</v>
      </c>
      <c r="I64" s="4">
        <v>3</v>
      </c>
      <c r="J64" s="4">
        <v>3</v>
      </c>
      <c r="K64" s="5">
        <v>5597.55</v>
      </c>
      <c r="L64" s="5">
        <v>5597.55</v>
      </c>
      <c r="M64" s="5">
        <v>0</v>
      </c>
      <c r="N64" s="4">
        <v>0</v>
      </c>
      <c r="O64" s="5">
        <v>0</v>
      </c>
      <c r="P64" s="5">
        <v>0</v>
      </c>
      <c r="Q64" s="5">
        <v>0</v>
      </c>
    </row>
    <row r="65" spans="1:17" x14ac:dyDescent="0.25">
      <c r="A65" s="2">
        <f t="shared" si="1"/>
        <v>56</v>
      </c>
      <c r="B65" s="3" t="s">
        <v>93</v>
      </c>
      <c r="C65" s="3" t="s">
        <v>62</v>
      </c>
      <c r="D65" s="3" t="s">
        <v>63</v>
      </c>
      <c r="E65" s="3" t="s">
        <v>74</v>
      </c>
      <c r="F65" s="3" t="s">
        <v>225</v>
      </c>
      <c r="G65" s="4" t="s">
        <v>85</v>
      </c>
      <c r="H65" s="4">
        <v>9</v>
      </c>
      <c r="I65" s="4">
        <v>3</v>
      </c>
      <c r="J65" s="4">
        <v>3</v>
      </c>
      <c r="K65" s="5">
        <v>0</v>
      </c>
      <c r="L65" s="5">
        <v>0</v>
      </c>
      <c r="M65" s="5">
        <v>0</v>
      </c>
      <c r="N65" s="4">
        <v>6</v>
      </c>
      <c r="O65" s="5">
        <v>4428.0600000000004</v>
      </c>
      <c r="P65" s="5">
        <v>4428.0600000000004</v>
      </c>
      <c r="Q65" s="5">
        <v>0</v>
      </c>
    </row>
    <row r="66" spans="1:17" ht="25.5" x14ac:dyDescent="0.25">
      <c r="A66" s="2">
        <f t="shared" si="1"/>
        <v>57</v>
      </c>
      <c r="B66" s="3" t="s">
        <v>226</v>
      </c>
      <c r="C66" s="3" t="s">
        <v>62</v>
      </c>
      <c r="D66" s="3" t="s">
        <v>63</v>
      </c>
      <c r="E66" s="3" t="s">
        <v>174</v>
      </c>
      <c r="F66" s="3" t="s">
        <v>227</v>
      </c>
      <c r="G66" s="4" t="s">
        <v>85</v>
      </c>
      <c r="H66" s="4">
        <v>10</v>
      </c>
      <c r="I66" s="4">
        <v>0</v>
      </c>
      <c r="J66" s="4">
        <v>0</v>
      </c>
      <c r="K66" s="5">
        <v>0</v>
      </c>
      <c r="L66" s="5">
        <v>0</v>
      </c>
      <c r="M66" s="5">
        <v>0</v>
      </c>
      <c r="N66" s="4">
        <v>0</v>
      </c>
      <c r="O66" s="5">
        <v>0</v>
      </c>
      <c r="P66" s="5">
        <v>0</v>
      </c>
      <c r="Q66" s="5">
        <v>0</v>
      </c>
    </row>
    <row r="67" spans="1:17" ht="25.5" x14ac:dyDescent="0.25">
      <c r="A67" s="2">
        <f t="shared" si="1"/>
        <v>58</v>
      </c>
      <c r="B67" s="3" t="s">
        <v>228</v>
      </c>
      <c r="C67" s="3" t="s">
        <v>62</v>
      </c>
      <c r="D67" s="3" t="s">
        <v>63</v>
      </c>
      <c r="E67" s="3" t="s">
        <v>229</v>
      </c>
      <c r="F67" s="3" t="s">
        <v>230</v>
      </c>
      <c r="G67" s="4" t="s">
        <v>85</v>
      </c>
      <c r="H67" s="4">
        <v>12</v>
      </c>
      <c r="I67" s="4">
        <v>0</v>
      </c>
      <c r="J67" s="4">
        <v>0</v>
      </c>
      <c r="K67" s="5">
        <v>0</v>
      </c>
      <c r="L67" s="5">
        <v>0</v>
      </c>
      <c r="M67" s="5">
        <v>0</v>
      </c>
      <c r="N67" s="4">
        <v>0</v>
      </c>
      <c r="O67" s="5">
        <v>0</v>
      </c>
      <c r="P67" s="5">
        <v>0</v>
      </c>
      <c r="Q67" s="5">
        <v>0</v>
      </c>
    </row>
    <row r="68" spans="1:17" x14ac:dyDescent="0.25">
      <c r="A68" s="2">
        <f t="shared" si="1"/>
        <v>59</v>
      </c>
      <c r="B68" s="3" t="s">
        <v>116</v>
      </c>
      <c r="C68" s="3" t="s">
        <v>62</v>
      </c>
      <c r="D68" s="3" t="s">
        <v>63</v>
      </c>
      <c r="E68" s="3" t="s">
        <v>74</v>
      </c>
      <c r="F68" s="3" t="s">
        <v>231</v>
      </c>
      <c r="G68" s="4" t="s">
        <v>85</v>
      </c>
      <c r="H68" s="4">
        <v>21</v>
      </c>
      <c r="I68" s="4">
        <v>11</v>
      </c>
      <c r="J68" s="4">
        <v>13</v>
      </c>
      <c r="K68" s="5">
        <v>24675.46</v>
      </c>
      <c r="L68" s="5">
        <v>0</v>
      </c>
      <c r="M68" s="5">
        <v>24675.46</v>
      </c>
      <c r="N68" s="4">
        <v>3</v>
      </c>
      <c r="O68" s="5">
        <v>4429.67</v>
      </c>
      <c r="P68" s="5">
        <v>4429.67</v>
      </c>
      <c r="Q68" s="5">
        <v>0</v>
      </c>
    </row>
    <row r="69" spans="1:17" ht="25.5" x14ac:dyDescent="0.25">
      <c r="A69" s="2">
        <f t="shared" ref="A69:A75" si="2">A68+1</f>
        <v>60</v>
      </c>
      <c r="B69" s="3" t="s">
        <v>232</v>
      </c>
      <c r="C69" s="3" t="s">
        <v>62</v>
      </c>
      <c r="D69" s="3" t="s">
        <v>63</v>
      </c>
      <c r="E69" s="3" t="s">
        <v>174</v>
      </c>
      <c r="F69" s="3" t="s">
        <v>233</v>
      </c>
      <c r="G69" s="4" t="s">
        <v>85</v>
      </c>
      <c r="H69" s="4">
        <v>6</v>
      </c>
      <c r="I69" s="4">
        <v>0</v>
      </c>
      <c r="J69" s="4">
        <v>0</v>
      </c>
      <c r="K69" s="5">
        <v>0</v>
      </c>
      <c r="L69" s="5">
        <v>0</v>
      </c>
      <c r="M69" s="5">
        <v>0</v>
      </c>
      <c r="N69" s="4">
        <v>0</v>
      </c>
      <c r="O69" s="5">
        <v>0</v>
      </c>
      <c r="P69" s="5">
        <v>0</v>
      </c>
      <c r="Q69" s="5">
        <v>0</v>
      </c>
    </row>
    <row r="70" spans="1:17" ht="25.5" x14ac:dyDescent="0.25">
      <c r="A70" s="2">
        <f t="shared" si="2"/>
        <v>61</v>
      </c>
      <c r="B70" s="3" t="s">
        <v>487</v>
      </c>
      <c r="C70" s="3" t="s">
        <v>62</v>
      </c>
      <c r="D70" s="3" t="s">
        <v>63</v>
      </c>
      <c r="E70" s="3" t="s">
        <v>282</v>
      </c>
      <c r="F70" s="3" t="s">
        <v>488</v>
      </c>
      <c r="G70" s="4" t="s">
        <v>85</v>
      </c>
      <c r="H70" s="4">
        <v>6</v>
      </c>
      <c r="I70" s="4">
        <v>0</v>
      </c>
      <c r="J70" s="4">
        <v>0</v>
      </c>
      <c r="K70" s="5">
        <v>0</v>
      </c>
      <c r="L70" s="5">
        <v>0</v>
      </c>
      <c r="M70" s="5">
        <v>0</v>
      </c>
      <c r="N70" s="4">
        <v>0</v>
      </c>
      <c r="O70" s="5">
        <v>0</v>
      </c>
      <c r="P70" s="5">
        <v>0</v>
      </c>
      <c r="Q70" s="5">
        <v>0</v>
      </c>
    </row>
    <row r="71" spans="1:17" x14ac:dyDescent="0.25">
      <c r="A71" s="2">
        <f t="shared" si="2"/>
        <v>62</v>
      </c>
      <c r="B71" s="3" t="s">
        <v>36</v>
      </c>
      <c r="C71" s="3" t="s">
        <v>62</v>
      </c>
      <c r="D71" s="3" t="s">
        <v>63</v>
      </c>
      <c r="E71" s="3" t="s">
        <v>74</v>
      </c>
      <c r="F71" s="3" t="s">
        <v>465</v>
      </c>
      <c r="G71" s="4" t="s">
        <v>85</v>
      </c>
      <c r="H71" s="4">
        <v>0</v>
      </c>
      <c r="I71" s="4">
        <v>0</v>
      </c>
      <c r="J71" s="4">
        <v>0</v>
      </c>
      <c r="K71" s="5">
        <v>0</v>
      </c>
      <c r="L71" s="5">
        <v>0</v>
      </c>
      <c r="M71" s="5">
        <v>0</v>
      </c>
      <c r="N71" s="4">
        <v>3</v>
      </c>
      <c r="O71" s="5">
        <v>616.70000000000005</v>
      </c>
      <c r="P71" s="5">
        <v>616.70000000000005</v>
      </c>
      <c r="Q71" s="5">
        <v>0</v>
      </c>
    </row>
    <row r="72" spans="1:17" ht="25.5" x14ac:dyDescent="0.25">
      <c r="A72" s="2">
        <f t="shared" si="2"/>
        <v>63</v>
      </c>
      <c r="B72" s="3" t="s">
        <v>37</v>
      </c>
      <c r="C72" s="3" t="s">
        <v>62</v>
      </c>
      <c r="D72" s="3" t="s">
        <v>63</v>
      </c>
      <c r="E72" s="3" t="s">
        <v>70</v>
      </c>
      <c r="F72" s="3" t="s">
        <v>234</v>
      </c>
      <c r="G72" s="4" t="s">
        <v>85</v>
      </c>
      <c r="H72" s="4">
        <v>11</v>
      </c>
      <c r="I72" s="4">
        <v>5</v>
      </c>
      <c r="J72" s="4">
        <v>5</v>
      </c>
      <c r="K72" s="5">
        <v>3700.2</v>
      </c>
      <c r="L72" s="5">
        <v>3700.2</v>
      </c>
      <c r="M72" s="5">
        <v>0</v>
      </c>
      <c r="N72" s="4">
        <v>1</v>
      </c>
      <c r="O72" s="5">
        <v>629.82000000000005</v>
      </c>
      <c r="P72" s="5">
        <v>629.82000000000005</v>
      </c>
      <c r="Q72" s="5">
        <v>0</v>
      </c>
    </row>
    <row r="73" spans="1:17" ht="38.25" x14ac:dyDescent="0.25">
      <c r="A73" s="2">
        <f t="shared" si="2"/>
        <v>64</v>
      </c>
      <c r="B73" s="3" t="s">
        <v>235</v>
      </c>
      <c r="C73" s="3" t="s">
        <v>62</v>
      </c>
      <c r="D73" s="3" t="s">
        <v>63</v>
      </c>
      <c r="E73" s="3" t="s">
        <v>236</v>
      </c>
      <c r="F73" s="3" t="s">
        <v>237</v>
      </c>
      <c r="G73" s="4" t="s">
        <v>85</v>
      </c>
      <c r="H73" s="4">
        <v>3</v>
      </c>
      <c r="I73" s="4">
        <v>1</v>
      </c>
      <c r="J73" s="4">
        <v>1</v>
      </c>
      <c r="K73" s="5">
        <v>528.6</v>
      </c>
      <c r="L73" s="5">
        <v>528.6</v>
      </c>
      <c r="M73" s="5">
        <v>0</v>
      </c>
      <c r="N73" s="4">
        <v>0</v>
      </c>
      <c r="O73" s="5">
        <v>0</v>
      </c>
      <c r="P73" s="5">
        <v>0</v>
      </c>
      <c r="Q73" s="5">
        <v>0</v>
      </c>
    </row>
    <row r="74" spans="1:17" ht="25.5" x14ac:dyDescent="0.25">
      <c r="A74" s="2">
        <f t="shared" si="2"/>
        <v>65</v>
      </c>
      <c r="B74" s="3" t="s">
        <v>238</v>
      </c>
      <c r="C74" s="3" t="s">
        <v>62</v>
      </c>
      <c r="D74" s="3" t="s">
        <v>63</v>
      </c>
      <c r="E74" s="3" t="s">
        <v>239</v>
      </c>
      <c r="F74" s="3" t="s">
        <v>240</v>
      </c>
      <c r="G74" s="4" t="s">
        <v>85</v>
      </c>
      <c r="H74" s="4">
        <v>4</v>
      </c>
      <c r="I74" s="4">
        <v>4</v>
      </c>
      <c r="J74" s="4">
        <v>4</v>
      </c>
      <c r="K74" s="5">
        <v>4015.6</v>
      </c>
      <c r="L74" s="5">
        <v>4015.6</v>
      </c>
      <c r="M74" s="5">
        <v>0</v>
      </c>
      <c r="N74" s="4">
        <v>0</v>
      </c>
      <c r="O74" s="5">
        <v>0</v>
      </c>
      <c r="P74" s="5">
        <v>0</v>
      </c>
      <c r="Q74" s="5">
        <v>0</v>
      </c>
    </row>
    <row r="75" spans="1:17" ht="25.5" x14ac:dyDescent="0.25">
      <c r="A75" s="2">
        <f t="shared" si="2"/>
        <v>66</v>
      </c>
      <c r="B75" s="3" t="s">
        <v>241</v>
      </c>
      <c r="C75" s="3" t="s">
        <v>62</v>
      </c>
      <c r="D75" s="3" t="s">
        <v>63</v>
      </c>
      <c r="E75" s="3" t="s">
        <v>242</v>
      </c>
      <c r="F75" s="3" t="s">
        <v>243</v>
      </c>
      <c r="G75" s="4" t="s">
        <v>85</v>
      </c>
      <c r="H75" s="4">
        <v>4</v>
      </c>
      <c r="I75" s="4">
        <v>3</v>
      </c>
      <c r="J75" s="4">
        <v>3</v>
      </c>
      <c r="K75" s="5">
        <v>3433.01</v>
      </c>
      <c r="L75" s="5">
        <v>3433.01</v>
      </c>
      <c r="M75" s="5">
        <v>0</v>
      </c>
      <c r="N75" s="4">
        <v>0</v>
      </c>
      <c r="O75" s="5">
        <v>0</v>
      </c>
      <c r="P75" s="5">
        <v>0</v>
      </c>
      <c r="Q75" s="5">
        <v>0</v>
      </c>
    </row>
    <row r="76" spans="1:17" ht="38.25" x14ac:dyDescent="0.25">
      <c r="A76" s="2">
        <f t="shared" ref="A76:A141" si="3">A75+1</f>
        <v>67</v>
      </c>
      <c r="B76" s="3" t="s">
        <v>38</v>
      </c>
      <c r="C76" s="3" t="s">
        <v>62</v>
      </c>
      <c r="D76" s="3" t="s">
        <v>63</v>
      </c>
      <c r="E76" s="3" t="s">
        <v>244</v>
      </c>
      <c r="F76" s="3" t="s">
        <v>245</v>
      </c>
      <c r="G76" s="4" t="s">
        <v>85</v>
      </c>
      <c r="H76" s="4">
        <v>46</v>
      </c>
      <c r="I76" s="4">
        <v>33</v>
      </c>
      <c r="J76" s="4">
        <v>49</v>
      </c>
      <c r="K76" s="5">
        <v>12764.71</v>
      </c>
      <c r="L76" s="5">
        <v>12764.71</v>
      </c>
      <c r="M76" s="5">
        <v>0</v>
      </c>
      <c r="N76" s="4">
        <v>63</v>
      </c>
      <c r="O76" s="5">
        <v>98855</v>
      </c>
      <c r="P76" s="5">
        <v>98855</v>
      </c>
      <c r="Q76" s="5">
        <v>0</v>
      </c>
    </row>
    <row r="77" spans="1:17" ht="25.5" x14ac:dyDescent="0.25">
      <c r="A77" s="2">
        <f t="shared" si="3"/>
        <v>68</v>
      </c>
      <c r="B77" s="3" t="s">
        <v>246</v>
      </c>
      <c r="C77" s="3" t="s">
        <v>62</v>
      </c>
      <c r="D77" s="3" t="s">
        <v>63</v>
      </c>
      <c r="E77" s="3" t="s">
        <v>247</v>
      </c>
      <c r="F77" s="3" t="s">
        <v>248</v>
      </c>
      <c r="G77" s="4" t="s">
        <v>85</v>
      </c>
      <c r="H77" s="4">
        <v>9</v>
      </c>
      <c r="I77" s="4">
        <v>5</v>
      </c>
      <c r="J77" s="4">
        <v>5</v>
      </c>
      <c r="K77" s="5">
        <v>872.19</v>
      </c>
      <c r="L77" s="5">
        <v>872.19</v>
      </c>
      <c r="M77" s="5">
        <v>0</v>
      </c>
      <c r="N77" s="4">
        <v>0</v>
      </c>
      <c r="O77" s="5">
        <v>0</v>
      </c>
      <c r="P77" s="5">
        <v>0</v>
      </c>
      <c r="Q77" s="5">
        <v>0</v>
      </c>
    </row>
    <row r="78" spans="1:17" x14ac:dyDescent="0.25">
      <c r="A78" s="2">
        <f t="shared" si="3"/>
        <v>69</v>
      </c>
      <c r="B78" s="3" t="s">
        <v>39</v>
      </c>
      <c r="C78" s="3" t="s">
        <v>62</v>
      </c>
      <c r="D78" s="3" t="s">
        <v>63</v>
      </c>
      <c r="E78" s="3" t="s">
        <v>77</v>
      </c>
      <c r="F78" s="3" t="s">
        <v>466</v>
      </c>
      <c r="G78" s="4" t="s">
        <v>85</v>
      </c>
      <c r="H78" s="4">
        <v>48</v>
      </c>
      <c r="I78" s="4">
        <v>37</v>
      </c>
      <c r="J78" s="4">
        <v>40</v>
      </c>
      <c r="K78" s="5">
        <v>9077.9699999999993</v>
      </c>
      <c r="L78" s="5">
        <v>9077.9699999999993</v>
      </c>
      <c r="M78" s="5">
        <v>0</v>
      </c>
      <c r="N78" s="4">
        <v>6</v>
      </c>
      <c r="O78" s="5">
        <v>0</v>
      </c>
      <c r="P78" s="5">
        <v>0</v>
      </c>
      <c r="Q78" s="5">
        <v>0</v>
      </c>
    </row>
    <row r="79" spans="1:17" ht="38.25" x14ac:dyDescent="0.25">
      <c r="A79" s="2">
        <f t="shared" si="3"/>
        <v>70</v>
      </c>
      <c r="B79" s="3" t="s">
        <v>40</v>
      </c>
      <c r="C79" s="3" t="s">
        <v>62</v>
      </c>
      <c r="D79" s="3" t="s">
        <v>63</v>
      </c>
      <c r="E79" s="3" t="s">
        <v>249</v>
      </c>
      <c r="F79" s="3" t="s">
        <v>250</v>
      </c>
      <c r="G79" s="4" t="s">
        <v>85</v>
      </c>
      <c r="H79" s="4">
        <v>20</v>
      </c>
      <c r="I79" s="4">
        <v>12</v>
      </c>
      <c r="J79" s="4">
        <v>14</v>
      </c>
      <c r="K79" s="5">
        <v>25584.43</v>
      </c>
      <c r="L79" s="5">
        <v>1162.92</v>
      </c>
      <c r="M79" s="5">
        <v>24421.51</v>
      </c>
      <c r="N79" s="4">
        <v>14</v>
      </c>
      <c r="O79" s="5">
        <v>32925.199999999997</v>
      </c>
      <c r="P79" s="5">
        <v>32925.199999999997</v>
      </c>
      <c r="Q79" s="5">
        <v>0</v>
      </c>
    </row>
    <row r="80" spans="1:17" ht="25.5" x14ac:dyDescent="0.25">
      <c r="A80" s="2">
        <f t="shared" si="3"/>
        <v>71</v>
      </c>
      <c r="B80" s="3" t="s">
        <v>251</v>
      </c>
      <c r="C80" s="3" t="s">
        <v>62</v>
      </c>
      <c r="D80" s="3" t="s">
        <v>63</v>
      </c>
      <c r="E80" s="3" t="s">
        <v>177</v>
      </c>
      <c r="F80" s="3" t="s">
        <v>252</v>
      </c>
      <c r="G80" s="4" t="s">
        <v>85</v>
      </c>
      <c r="H80" s="4">
        <v>14</v>
      </c>
      <c r="I80" s="4">
        <v>8</v>
      </c>
      <c r="J80" s="4">
        <v>8</v>
      </c>
      <c r="K80" s="5">
        <v>9151.39</v>
      </c>
      <c r="L80" s="5">
        <v>9151.39</v>
      </c>
      <c r="M80" s="5">
        <v>0</v>
      </c>
      <c r="N80" s="4">
        <v>0</v>
      </c>
      <c r="O80" s="5">
        <v>0</v>
      </c>
      <c r="P80" s="5">
        <v>0</v>
      </c>
      <c r="Q80" s="5">
        <v>0</v>
      </c>
    </row>
    <row r="81" spans="1:17" x14ac:dyDescent="0.25">
      <c r="A81" s="2">
        <f t="shared" si="3"/>
        <v>72</v>
      </c>
      <c r="B81" s="3" t="s">
        <v>117</v>
      </c>
      <c r="C81" s="3" t="s">
        <v>62</v>
      </c>
      <c r="D81" s="3" t="s">
        <v>63</v>
      </c>
      <c r="E81" s="3" t="s">
        <v>74</v>
      </c>
      <c r="F81" s="3" t="s">
        <v>520</v>
      </c>
      <c r="G81" s="4" t="s">
        <v>85</v>
      </c>
      <c r="H81" s="4">
        <v>1</v>
      </c>
      <c r="I81" s="4">
        <v>1</v>
      </c>
      <c r="J81" s="4">
        <v>1</v>
      </c>
      <c r="K81" s="5">
        <v>0</v>
      </c>
      <c r="L81" s="5">
        <v>0</v>
      </c>
      <c r="M81" s="5">
        <v>0</v>
      </c>
      <c r="N81" s="4">
        <v>1</v>
      </c>
      <c r="O81" s="5">
        <v>3198.03</v>
      </c>
      <c r="P81" s="5">
        <v>3198.03</v>
      </c>
      <c r="Q81" s="5">
        <v>0</v>
      </c>
    </row>
    <row r="82" spans="1:17" ht="25.5" x14ac:dyDescent="0.25">
      <c r="A82" s="2">
        <f t="shared" si="3"/>
        <v>73</v>
      </c>
      <c r="B82" s="3" t="s">
        <v>41</v>
      </c>
      <c r="C82" s="3" t="s">
        <v>64</v>
      </c>
      <c r="D82" s="3" t="s">
        <v>65</v>
      </c>
      <c r="E82" s="3" t="s">
        <v>72</v>
      </c>
      <c r="F82" s="3" t="s">
        <v>253</v>
      </c>
      <c r="G82" s="4" t="s">
        <v>85</v>
      </c>
      <c r="H82" s="4">
        <v>2</v>
      </c>
      <c r="I82" s="4">
        <v>2</v>
      </c>
      <c r="J82" s="4">
        <v>2</v>
      </c>
      <c r="K82" s="5">
        <v>528.6</v>
      </c>
      <c r="L82" s="5">
        <v>528.6</v>
      </c>
      <c r="M82" s="5">
        <v>0</v>
      </c>
      <c r="N82" s="4">
        <v>12</v>
      </c>
      <c r="O82" s="5">
        <v>32952.65</v>
      </c>
      <c r="P82" s="5">
        <v>32952.65</v>
      </c>
      <c r="Q82" s="5">
        <v>0</v>
      </c>
    </row>
    <row r="83" spans="1:17" x14ac:dyDescent="0.25">
      <c r="A83" s="2">
        <f t="shared" si="3"/>
        <v>74</v>
      </c>
      <c r="B83" s="3" t="s">
        <v>118</v>
      </c>
      <c r="C83" s="3" t="s">
        <v>62</v>
      </c>
      <c r="D83" s="3" t="s">
        <v>63</v>
      </c>
      <c r="E83" s="3" t="s">
        <v>63</v>
      </c>
      <c r="F83" s="3" t="s">
        <v>467</v>
      </c>
      <c r="G83" s="4" t="s">
        <v>85</v>
      </c>
      <c r="H83" s="4">
        <v>3</v>
      </c>
      <c r="I83" s="4">
        <v>1</v>
      </c>
      <c r="J83" s="4">
        <v>1</v>
      </c>
      <c r="K83" s="5">
        <v>4722.2299999999996</v>
      </c>
      <c r="L83" s="5">
        <v>4722.2299999999996</v>
      </c>
      <c r="M83" s="5">
        <v>0</v>
      </c>
      <c r="N83" s="4">
        <v>1</v>
      </c>
      <c r="O83" s="5">
        <v>5109.8</v>
      </c>
      <c r="P83" s="5">
        <v>5109.8</v>
      </c>
      <c r="Q83" s="5">
        <v>0</v>
      </c>
    </row>
    <row r="84" spans="1:17" ht="25.5" x14ac:dyDescent="0.25">
      <c r="A84" s="2">
        <f t="shared" si="3"/>
        <v>75</v>
      </c>
      <c r="B84" s="3" t="s">
        <v>254</v>
      </c>
      <c r="C84" s="3" t="s">
        <v>62</v>
      </c>
      <c r="D84" s="3" t="s">
        <v>63</v>
      </c>
      <c r="E84" s="3" t="s">
        <v>239</v>
      </c>
      <c r="F84" s="3" t="s">
        <v>255</v>
      </c>
      <c r="G84" s="4" t="s">
        <v>85</v>
      </c>
      <c r="H84" s="4">
        <v>3</v>
      </c>
      <c r="I84" s="4">
        <v>0</v>
      </c>
      <c r="J84" s="4">
        <v>0</v>
      </c>
      <c r="K84" s="5">
        <v>0</v>
      </c>
      <c r="L84" s="5">
        <v>0</v>
      </c>
      <c r="M84" s="5">
        <v>0</v>
      </c>
      <c r="N84" s="4">
        <v>0</v>
      </c>
      <c r="O84" s="5">
        <v>0</v>
      </c>
      <c r="P84" s="5">
        <v>0</v>
      </c>
      <c r="Q84" s="5">
        <v>0</v>
      </c>
    </row>
    <row r="85" spans="1:17" x14ac:dyDescent="0.25">
      <c r="A85" s="2">
        <f t="shared" si="3"/>
        <v>76</v>
      </c>
      <c r="B85" s="3" t="s">
        <v>256</v>
      </c>
      <c r="C85" s="3" t="s">
        <v>62</v>
      </c>
      <c r="D85" s="3" t="s">
        <v>63</v>
      </c>
      <c r="E85" s="3" t="s">
        <v>158</v>
      </c>
      <c r="F85" s="3" t="s">
        <v>257</v>
      </c>
      <c r="G85" s="4" t="s">
        <v>85</v>
      </c>
      <c r="H85" s="4">
        <v>4</v>
      </c>
      <c r="I85" s="4">
        <v>2</v>
      </c>
      <c r="J85" s="4">
        <v>2</v>
      </c>
      <c r="K85" s="5">
        <v>2079.16</v>
      </c>
      <c r="L85" s="5">
        <v>2079.16</v>
      </c>
      <c r="M85" s="5">
        <v>0</v>
      </c>
      <c r="N85" s="4">
        <v>0</v>
      </c>
      <c r="O85" s="5">
        <v>0</v>
      </c>
      <c r="P85" s="5">
        <v>0</v>
      </c>
      <c r="Q85" s="5">
        <v>0</v>
      </c>
    </row>
    <row r="86" spans="1:17" ht="25.5" x14ac:dyDescent="0.25">
      <c r="A86" s="2">
        <f t="shared" si="3"/>
        <v>77</v>
      </c>
      <c r="B86" s="3" t="s">
        <v>258</v>
      </c>
      <c r="C86" s="3" t="s">
        <v>62</v>
      </c>
      <c r="D86" s="3" t="s">
        <v>63</v>
      </c>
      <c r="E86" s="3" t="s">
        <v>239</v>
      </c>
      <c r="F86" s="3" t="s">
        <v>259</v>
      </c>
      <c r="G86" s="4" t="s">
        <v>85</v>
      </c>
      <c r="H86" s="4">
        <v>7</v>
      </c>
      <c r="I86" s="4">
        <v>2</v>
      </c>
      <c r="J86" s="4">
        <v>2</v>
      </c>
      <c r="K86" s="5">
        <v>1347.43</v>
      </c>
      <c r="L86" s="5">
        <v>1347.43</v>
      </c>
      <c r="M86" s="5">
        <v>0</v>
      </c>
      <c r="N86" s="4">
        <v>0</v>
      </c>
      <c r="O86" s="5">
        <v>0</v>
      </c>
      <c r="P86" s="5">
        <v>0</v>
      </c>
      <c r="Q86" s="5">
        <v>0</v>
      </c>
    </row>
    <row r="87" spans="1:17" ht="25.5" x14ac:dyDescent="0.25">
      <c r="A87" s="58">
        <f t="shared" si="3"/>
        <v>78</v>
      </c>
      <c r="B87" s="59" t="s">
        <v>42</v>
      </c>
      <c r="C87" s="59" t="s">
        <v>62</v>
      </c>
      <c r="D87" s="59" t="s">
        <v>63</v>
      </c>
      <c r="E87" s="59" t="s">
        <v>78</v>
      </c>
      <c r="F87" s="59" t="s">
        <v>260</v>
      </c>
      <c r="G87" s="60" t="s">
        <v>85</v>
      </c>
      <c r="H87" s="60">
        <v>26</v>
      </c>
      <c r="I87" s="60">
        <v>13</v>
      </c>
      <c r="J87" s="60">
        <v>15</v>
      </c>
      <c r="K87" s="61">
        <v>43995.09</v>
      </c>
      <c r="L87" s="61">
        <v>18412.55</v>
      </c>
      <c r="M87" s="61">
        <v>25582.54</v>
      </c>
      <c r="N87" s="60">
        <v>21</v>
      </c>
      <c r="O87" s="61">
        <v>41025.730000000003</v>
      </c>
      <c r="P87" s="61">
        <v>41025.730000000003</v>
      </c>
      <c r="Q87" s="61">
        <v>0</v>
      </c>
    </row>
    <row r="88" spans="1:17" ht="25.5" x14ac:dyDescent="0.25">
      <c r="A88" s="2">
        <f t="shared" si="3"/>
        <v>79</v>
      </c>
      <c r="B88" s="3" t="s">
        <v>43</v>
      </c>
      <c r="C88" s="3" t="s">
        <v>62</v>
      </c>
      <c r="D88" s="3" t="s">
        <v>63</v>
      </c>
      <c r="E88" s="3" t="s">
        <v>72</v>
      </c>
      <c r="F88" s="3" t="s">
        <v>261</v>
      </c>
      <c r="G88" s="4" t="s">
        <v>85</v>
      </c>
      <c r="H88" s="4">
        <v>11</v>
      </c>
      <c r="I88" s="4">
        <v>6</v>
      </c>
      <c r="J88" s="4">
        <v>8</v>
      </c>
      <c r="K88" s="5">
        <v>44134.86</v>
      </c>
      <c r="L88" s="5">
        <v>11624.34</v>
      </c>
      <c r="M88" s="5">
        <v>32510.52</v>
      </c>
      <c r="N88" s="4">
        <v>27</v>
      </c>
      <c r="O88" s="5">
        <v>54780.81</v>
      </c>
      <c r="P88" s="5">
        <v>54780.81</v>
      </c>
      <c r="Q88" s="5">
        <v>0</v>
      </c>
    </row>
    <row r="89" spans="1:17" x14ac:dyDescent="0.25">
      <c r="A89" s="2">
        <f t="shared" si="3"/>
        <v>80</v>
      </c>
      <c r="B89" s="3" t="s">
        <v>44</v>
      </c>
      <c r="C89" s="3" t="s">
        <v>62</v>
      </c>
      <c r="D89" s="3" t="s">
        <v>63</v>
      </c>
      <c r="E89" s="3" t="s">
        <v>74</v>
      </c>
      <c r="F89" s="3" t="s">
        <v>262</v>
      </c>
      <c r="G89" s="4" t="s">
        <v>85</v>
      </c>
      <c r="H89" s="4">
        <v>23</v>
      </c>
      <c r="I89" s="4">
        <v>10</v>
      </c>
      <c r="J89" s="4">
        <v>11</v>
      </c>
      <c r="K89" s="5">
        <v>33830</v>
      </c>
      <c r="L89" s="5">
        <v>2295.89</v>
      </c>
      <c r="M89" s="5">
        <v>31534.11</v>
      </c>
      <c r="N89" s="4">
        <v>23</v>
      </c>
      <c r="O89" s="5">
        <v>53356.28</v>
      </c>
      <c r="P89" s="5">
        <v>53356.28</v>
      </c>
      <c r="Q89" s="5">
        <v>0</v>
      </c>
    </row>
    <row r="90" spans="1:17" ht="25.5" x14ac:dyDescent="0.25">
      <c r="A90" s="2">
        <f t="shared" si="3"/>
        <v>81</v>
      </c>
      <c r="B90" s="3" t="s">
        <v>45</v>
      </c>
      <c r="C90" s="3" t="s">
        <v>62</v>
      </c>
      <c r="D90" s="3" t="s">
        <v>63</v>
      </c>
      <c r="E90" s="3" t="s">
        <v>79</v>
      </c>
      <c r="F90" s="3" t="s">
        <v>263</v>
      </c>
      <c r="G90" s="4" t="s">
        <v>85</v>
      </c>
      <c r="H90" s="4">
        <v>8</v>
      </c>
      <c r="I90" s="4">
        <v>4</v>
      </c>
      <c r="J90" s="4">
        <v>5</v>
      </c>
      <c r="K90" s="5">
        <v>3531.26</v>
      </c>
      <c r="L90" s="5">
        <v>3531.26</v>
      </c>
      <c r="M90" s="5">
        <v>0</v>
      </c>
      <c r="N90" s="4">
        <v>0</v>
      </c>
      <c r="O90" s="5">
        <v>12181.77</v>
      </c>
      <c r="P90" s="5">
        <v>12181.77</v>
      </c>
      <c r="Q90" s="5">
        <v>0</v>
      </c>
    </row>
    <row r="91" spans="1:17" x14ac:dyDescent="0.25">
      <c r="A91" s="2">
        <f t="shared" si="3"/>
        <v>82</v>
      </c>
      <c r="B91" s="3" t="s">
        <v>264</v>
      </c>
      <c r="C91" s="3" t="s">
        <v>62</v>
      </c>
      <c r="D91" s="3" t="s">
        <v>63</v>
      </c>
      <c r="E91" s="3" t="s">
        <v>74</v>
      </c>
      <c r="F91" s="3" t="s">
        <v>265</v>
      </c>
      <c r="G91" s="4" t="s">
        <v>85</v>
      </c>
      <c r="H91" s="4">
        <v>12</v>
      </c>
      <c r="I91" s="4">
        <v>11</v>
      </c>
      <c r="J91" s="4">
        <v>11</v>
      </c>
      <c r="K91" s="5">
        <v>6523.63</v>
      </c>
      <c r="L91" s="5">
        <v>6523.63</v>
      </c>
      <c r="M91" s="5">
        <v>0</v>
      </c>
      <c r="N91" s="4">
        <v>0</v>
      </c>
      <c r="O91" s="5">
        <v>0</v>
      </c>
      <c r="P91" s="5">
        <v>0</v>
      </c>
      <c r="Q91" s="5">
        <v>0</v>
      </c>
    </row>
    <row r="92" spans="1:17" ht="25.5" x14ac:dyDescent="0.25">
      <c r="A92" s="2">
        <f t="shared" si="3"/>
        <v>83</v>
      </c>
      <c r="B92" s="3" t="s">
        <v>119</v>
      </c>
      <c r="C92" s="3" t="s">
        <v>62</v>
      </c>
      <c r="D92" s="3" t="s">
        <v>63</v>
      </c>
      <c r="E92" s="3" t="s">
        <v>108</v>
      </c>
      <c r="F92" s="3" t="s">
        <v>266</v>
      </c>
      <c r="G92" s="4" t="s">
        <v>85</v>
      </c>
      <c r="H92" s="4">
        <v>10</v>
      </c>
      <c r="I92" s="4">
        <v>6</v>
      </c>
      <c r="J92" s="4">
        <v>7</v>
      </c>
      <c r="K92" s="5">
        <v>2371.08</v>
      </c>
      <c r="L92" s="5">
        <v>2371.08</v>
      </c>
      <c r="M92" s="5">
        <v>0</v>
      </c>
      <c r="N92" s="4">
        <v>2</v>
      </c>
      <c r="O92" s="5">
        <v>5328.38</v>
      </c>
      <c r="P92" s="5">
        <v>5328.38</v>
      </c>
      <c r="Q92" s="5">
        <v>0</v>
      </c>
    </row>
    <row r="93" spans="1:17" ht="38.25" x14ac:dyDescent="0.25">
      <c r="A93" s="2">
        <f t="shared" si="3"/>
        <v>84</v>
      </c>
      <c r="B93" s="3" t="s">
        <v>46</v>
      </c>
      <c r="C93" s="3" t="s">
        <v>62</v>
      </c>
      <c r="D93" s="3" t="s">
        <v>63</v>
      </c>
      <c r="E93" s="3" t="s">
        <v>267</v>
      </c>
      <c r="F93" s="3" t="s">
        <v>268</v>
      </c>
      <c r="G93" s="4" t="s">
        <v>85</v>
      </c>
      <c r="H93" s="4">
        <v>16</v>
      </c>
      <c r="I93" s="4">
        <v>5</v>
      </c>
      <c r="J93" s="4">
        <v>6</v>
      </c>
      <c r="K93" s="5">
        <v>34782.629999999997</v>
      </c>
      <c r="L93" s="5">
        <v>0</v>
      </c>
      <c r="M93" s="5">
        <v>34782.629999999997</v>
      </c>
      <c r="N93" s="4">
        <v>18</v>
      </c>
      <c r="O93" s="5">
        <v>48573.35</v>
      </c>
      <c r="P93" s="5">
        <v>48573.35</v>
      </c>
      <c r="Q93" s="5">
        <v>0</v>
      </c>
    </row>
    <row r="94" spans="1:17" ht="25.5" x14ac:dyDescent="0.25">
      <c r="A94" s="2">
        <f t="shared" si="3"/>
        <v>85</v>
      </c>
      <c r="B94" s="3" t="s">
        <v>47</v>
      </c>
      <c r="C94" s="3" t="s">
        <v>62</v>
      </c>
      <c r="D94" s="3" t="s">
        <v>63</v>
      </c>
      <c r="E94" s="3" t="s">
        <v>80</v>
      </c>
      <c r="F94" s="3" t="s">
        <v>269</v>
      </c>
      <c r="G94" s="4" t="s">
        <v>85</v>
      </c>
      <c r="H94" s="4">
        <v>36</v>
      </c>
      <c r="I94" s="4">
        <v>24</v>
      </c>
      <c r="J94" s="4">
        <v>31</v>
      </c>
      <c r="K94" s="5">
        <v>10372.799999999999</v>
      </c>
      <c r="L94" s="5">
        <v>10372.799999999999</v>
      </c>
      <c r="M94" s="5">
        <v>0</v>
      </c>
      <c r="N94" s="4">
        <v>95</v>
      </c>
      <c r="O94" s="5">
        <v>187877.16</v>
      </c>
      <c r="P94" s="5">
        <v>187877.16</v>
      </c>
      <c r="Q94" s="5">
        <v>0</v>
      </c>
    </row>
    <row r="95" spans="1:17" ht="25.5" x14ac:dyDescent="0.25">
      <c r="A95" s="2">
        <f t="shared" si="3"/>
        <v>86</v>
      </c>
      <c r="B95" s="3" t="s">
        <v>270</v>
      </c>
      <c r="C95" s="3" t="s">
        <v>62</v>
      </c>
      <c r="D95" s="3" t="s">
        <v>63</v>
      </c>
      <c r="E95" s="3" t="s">
        <v>271</v>
      </c>
      <c r="F95" s="3" t="s">
        <v>272</v>
      </c>
      <c r="G95" s="4" t="s">
        <v>85</v>
      </c>
      <c r="H95" s="4">
        <v>5</v>
      </c>
      <c r="I95" s="4">
        <v>3</v>
      </c>
      <c r="J95" s="4">
        <v>4</v>
      </c>
      <c r="K95" s="5">
        <v>4777.4399999999996</v>
      </c>
      <c r="L95" s="5">
        <v>4777.4399999999996</v>
      </c>
      <c r="M95" s="5">
        <v>0</v>
      </c>
      <c r="N95" s="4">
        <v>0</v>
      </c>
      <c r="O95" s="5">
        <v>0</v>
      </c>
      <c r="P95" s="5">
        <v>0</v>
      </c>
      <c r="Q95" s="5">
        <v>0</v>
      </c>
    </row>
    <row r="96" spans="1:17" x14ac:dyDescent="0.25">
      <c r="A96" s="2">
        <f t="shared" si="3"/>
        <v>87</v>
      </c>
      <c r="B96" s="3" t="s">
        <v>489</v>
      </c>
      <c r="C96" s="3" t="s">
        <v>62</v>
      </c>
      <c r="D96" s="3" t="s">
        <v>63</v>
      </c>
      <c r="E96" s="3" t="s">
        <v>74</v>
      </c>
      <c r="F96" s="3"/>
      <c r="G96" s="4" t="s">
        <v>85</v>
      </c>
      <c r="H96" s="4">
        <v>1</v>
      </c>
      <c r="I96" s="4">
        <v>0</v>
      </c>
      <c r="J96" s="4">
        <v>0</v>
      </c>
      <c r="K96" s="5">
        <v>0</v>
      </c>
      <c r="L96" s="5">
        <v>0</v>
      </c>
      <c r="M96" s="5">
        <v>0</v>
      </c>
      <c r="N96" s="4">
        <v>0</v>
      </c>
      <c r="O96" s="5">
        <v>0</v>
      </c>
      <c r="P96" s="5">
        <v>0</v>
      </c>
      <c r="Q96" s="5">
        <v>0</v>
      </c>
    </row>
    <row r="97" spans="1:17" ht="25.5" x14ac:dyDescent="0.25">
      <c r="A97" s="2">
        <f t="shared" si="3"/>
        <v>88</v>
      </c>
      <c r="B97" s="3" t="s">
        <v>273</v>
      </c>
      <c r="C97" s="3" t="s">
        <v>62</v>
      </c>
      <c r="D97" s="3" t="s">
        <v>63</v>
      </c>
      <c r="E97" s="3" t="s">
        <v>186</v>
      </c>
      <c r="F97" s="3" t="s">
        <v>511</v>
      </c>
      <c r="G97" s="4" t="s">
        <v>85</v>
      </c>
      <c r="H97" s="4">
        <v>4</v>
      </c>
      <c r="I97" s="4">
        <v>0</v>
      </c>
      <c r="J97" s="4">
        <v>0</v>
      </c>
      <c r="K97" s="5">
        <v>0</v>
      </c>
      <c r="L97" s="5">
        <v>0</v>
      </c>
      <c r="M97" s="5">
        <v>0</v>
      </c>
      <c r="N97" s="4">
        <v>0</v>
      </c>
      <c r="O97" s="5">
        <v>0</v>
      </c>
      <c r="P97" s="5">
        <v>0</v>
      </c>
      <c r="Q97" s="5">
        <v>0</v>
      </c>
    </row>
    <row r="98" spans="1:17" x14ac:dyDescent="0.25">
      <c r="A98" s="2">
        <f t="shared" si="3"/>
        <v>89</v>
      </c>
      <c r="B98" s="3" t="s">
        <v>490</v>
      </c>
      <c r="C98" s="3" t="s">
        <v>62</v>
      </c>
      <c r="D98" s="3" t="s">
        <v>63</v>
      </c>
      <c r="E98" s="3" t="s">
        <v>491</v>
      </c>
      <c r="F98" s="3" t="s">
        <v>492</v>
      </c>
      <c r="G98" s="4" t="s">
        <v>85</v>
      </c>
      <c r="H98" s="4">
        <v>5</v>
      </c>
      <c r="I98" s="4">
        <v>0</v>
      </c>
      <c r="J98" s="4">
        <v>0</v>
      </c>
      <c r="K98" s="5">
        <v>0</v>
      </c>
      <c r="L98" s="5">
        <v>0</v>
      </c>
      <c r="M98" s="5">
        <v>0</v>
      </c>
      <c r="N98" s="4">
        <v>0</v>
      </c>
      <c r="O98" s="5">
        <v>0</v>
      </c>
      <c r="P98" s="5">
        <v>0</v>
      </c>
      <c r="Q98" s="5">
        <v>0</v>
      </c>
    </row>
    <row r="99" spans="1:17" x14ac:dyDescent="0.25">
      <c r="A99" s="2">
        <f t="shared" si="3"/>
        <v>90</v>
      </c>
      <c r="B99" s="3" t="s">
        <v>94</v>
      </c>
      <c r="C99" s="3" t="s">
        <v>62</v>
      </c>
      <c r="D99" s="3" t="s">
        <v>63</v>
      </c>
      <c r="E99" s="3" t="s">
        <v>74</v>
      </c>
      <c r="F99" s="3" t="s">
        <v>274</v>
      </c>
      <c r="G99" s="4" t="s">
        <v>85</v>
      </c>
      <c r="H99" s="4">
        <v>9</v>
      </c>
      <c r="I99" s="4">
        <v>1</v>
      </c>
      <c r="J99" s="4">
        <v>1</v>
      </c>
      <c r="K99" s="5">
        <v>0</v>
      </c>
      <c r="L99" s="5">
        <v>0</v>
      </c>
      <c r="M99" s="5">
        <v>0</v>
      </c>
      <c r="N99" s="4">
        <v>4</v>
      </c>
      <c r="O99" s="5">
        <v>6106.62</v>
      </c>
      <c r="P99" s="5">
        <v>6106.62</v>
      </c>
      <c r="Q99" s="5">
        <v>0</v>
      </c>
    </row>
    <row r="100" spans="1:17" ht="25.5" x14ac:dyDescent="0.25">
      <c r="A100" s="2">
        <f t="shared" si="3"/>
        <v>91</v>
      </c>
      <c r="B100" s="3" t="s">
        <v>120</v>
      </c>
      <c r="C100" s="3" t="s">
        <v>67</v>
      </c>
      <c r="D100" s="3" t="s">
        <v>493</v>
      </c>
      <c r="E100" s="3" t="s">
        <v>121</v>
      </c>
      <c r="F100" s="3" t="s">
        <v>468</v>
      </c>
      <c r="G100" s="4" t="s">
        <v>85</v>
      </c>
      <c r="H100" s="4">
        <v>5</v>
      </c>
      <c r="I100" s="4">
        <v>2</v>
      </c>
      <c r="J100" s="4">
        <v>2</v>
      </c>
      <c r="K100" s="5">
        <v>0</v>
      </c>
      <c r="L100" s="5">
        <v>0</v>
      </c>
      <c r="M100" s="5">
        <v>0</v>
      </c>
      <c r="N100" s="4">
        <v>0</v>
      </c>
      <c r="O100" s="5">
        <v>0</v>
      </c>
      <c r="P100" s="5">
        <v>0</v>
      </c>
      <c r="Q100" s="5">
        <v>0</v>
      </c>
    </row>
    <row r="101" spans="1:17" ht="25.5" x14ac:dyDescent="0.25">
      <c r="A101" s="2">
        <f t="shared" si="3"/>
        <v>92</v>
      </c>
      <c r="B101" s="3" t="s">
        <v>407</v>
      </c>
      <c r="C101" s="3" t="s">
        <v>62</v>
      </c>
      <c r="D101" s="3" t="s">
        <v>63</v>
      </c>
      <c r="E101" s="3" t="s">
        <v>186</v>
      </c>
      <c r="F101" s="3" t="s">
        <v>512</v>
      </c>
      <c r="G101" s="4" t="s">
        <v>85</v>
      </c>
      <c r="H101" s="4">
        <v>1</v>
      </c>
      <c r="I101" s="4">
        <v>0</v>
      </c>
      <c r="J101" s="4">
        <v>0</v>
      </c>
      <c r="K101" s="5">
        <v>0</v>
      </c>
      <c r="L101" s="5">
        <v>0</v>
      </c>
      <c r="M101" s="5">
        <v>0</v>
      </c>
      <c r="N101" s="4">
        <v>0</v>
      </c>
      <c r="O101" s="5">
        <v>0</v>
      </c>
      <c r="P101" s="5">
        <v>0</v>
      </c>
      <c r="Q101" s="5">
        <v>0</v>
      </c>
    </row>
    <row r="102" spans="1:17" ht="25.5" x14ac:dyDescent="0.25">
      <c r="A102" s="2">
        <f t="shared" si="3"/>
        <v>93</v>
      </c>
      <c r="B102" s="3" t="s">
        <v>122</v>
      </c>
      <c r="C102" s="3" t="s">
        <v>62</v>
      </c>
      <c r="D102" s="3" t="s">
        <v>63</v>
      </c>
      <c r="E102" s="3" t="s">
        <v>275</v>
      </c>
      <c r="F102" s="3" t="s">
        <v>276</v>
      </c>
      <c r="G102" s="4" t="s">
        <v>85</v>
      </c>
      <c r="H102" s="4">
        <v>6</v>
      </c>
      <c r="I102" s="4">
        <v>2</v>
      </c>
      <c r="J102" s="4">
        <v>4</v>
      </c>
      <c r="K102" s="5">
        <v>1841.64</v>
      </c>
      <c r="L102" s="5">
        <v>1841.64</v>
      </c>
      <c r="M102" s="5">
        <v>0</v>
      </c>
      <c r="N102" s="4">
        <v>4</v>
      </c>
      <c r="O102" s="5">
        <v>10899.99</v>
      </c>
      <c r="P102" s="5"/>
      <c r="Q102" s="5">
        <v>10899.99</v>
      </c>
    </row>
    <row r="103" spans="1:17" x14ac:dyDescent="0.25">
      <c r="A103" s="2">
        <f t="shared" si="3"/>
        <v>94</v>
      </c>
      <c r="B103" s="3" t="s">
        <v>133</v>
      </c>
      <c r="C103" s="3" t="s">
        <v>67</v>
      </c>
      <c r="D103" s="3" t="s">
        <v>494</v>
      </c>
      <c r="E103" s="3" t="s">
        <v>74</v>
      </c>
      <c r="F103" s="3" t="s">
        <v>521</v>
      </c>
      <c r="G103" s="4" t="s">
        <v>85</v>
      </c>
      <c r="H103" s="4">
        <v>2</v>
      </c>
      <c r="I103" s="4">
        <v>2</v>
      </c>
      <c r="J103" s="4">
        <v>2</v>
      </c>
      <c r="K103" s="5">
        <v>5018.91</v>
      </c>
      <c r="L103" s="5">
        <v>0</v>
      </c>
      <c r="M103" s="5">
        <v>5018.91</v>
      </c>
      <c r="N103" s="4">
        <v>0</v>
      </c>
      <c r="O103" s="5">
        <v>0</v>
      </c>
      <c r="P103" s="5">
        <v>0</v>
      </c>
      <c r="Q103" s="5">
        <v>0</v>
      </c>
    </row>
    <row r="104" spans="1:17" x14ac:dyDescent="0.25">
      <c r="A104" s="2">
        <f t="shared" si="3"/>
        <v>95</v>
      </c>
      <c r="B104" s="3" t="s">
        <v>96</v>
      </c>
      <c r="C104" s="3" t="s">
        <v>62</v>
      </c>
      <c r="D104" s="3" t="s">
        <v>63</v>
      </c>
      <c r="E104" s="3" t="s">
        <v>98</v>
      </c>
      <c r="F104" s="3" t="s">
        <v>277</v>
      </c>
      <c r="G104" s="4" t="s">
        <v>85</v>
      </c>
      <c r="H104" s="4">
        <v>15</v>
      </c>
      <c r="I104" s="4">
        <v>3</v>
      </c>
      <c r="J104" s="4">
        <v>3</v>
      </c>
      <c r="K104" s="5">
        <v>7539.6</v>
      </c>
      <c r="L104" s="5">
        <v>7539.6</v>
      </c>
      <c r="M104" s="5">
        <v>0</v>
      </c>
      <c r="N104" s="4">
        <v>8</v>
      </c>
      <c r="O104" s="5">
        <v>18644</v>
      </c>
      <c r="P104" s="5">
        <v>18644</v>
      </c>
      <c r="Q104" s="5">
        <v>0</v>
      </c>
    </row>
    <row r="105" spans="1:17" ht="25.5" x14ac:dyDescent="0.25">
      <c r="A105" s="2">
        <f t="shared" si="3"/>
        <v>96</v>
      </c>
      <c r="B105" s="3" t="s">
        <v>48</v>
      </c>
      <c r="C105" s="3" t="s">
        <v>62</v>
      </c>
      <c r="D105" s="3" t="s">
        <v>63</v>
      </c>
      <c r="E105" s="3" t="s">
        <v>81</v>
      </c>
      <c r="F105" s="3" t="s">
        <v>278</v>
      </c>
      <c r="G105" s="4" t="s">
        <v>85</v>
      </c>
      <c r="H105" s="4">
        <v>20</v>
      </c>
      <c r="I105" s="4">
        <v>13</v>
      </c>
      <c r="J105" s="4">
        <v>13</v>
      </c>
      <c r="K105" s="5">
        <v>7356.8</v>
      </c>
      <c r="L105" s="5">
        <v>7356.8</v>
      </c>
      <c r="M105" s="5">
        <v>0</v>
      </c>
      <c r="N105" s="4">
        <v>6</v>
      </c>
      <c r="O105" s="5">
        <v>34796.1</v>
      </c>
      <c r="P105" s="5">
        <v>34796.1</v>
      </c>
      <c r="Q105" s="5">
        <v>0</v>
      </c>
    </row>
    <row r="106" spans="1:17" x14ac:dyDescent="0.25">
      <c r="A106" s="2">
        <f t="shared" si="3"/>
        <v>97</v>
      </c>
      <c r="B106" s="3" t="s">
        <v>49</v>
      </c>
      <c r="C106" s="3" t="s">
        <v>62</v>
      </c>
      <c r="D106" s="3" t="s">
        <v>63</v>
      </c>
      <c r="E106" s="3" t="s">
        <v>74</v>
      </c>
      <c r="F106" s="3" t="s">
        <v>279</v>
      </c>
      <c r="G106" s="4" t="s">
        <v>85</v>
      </c>
      <c r="H106" s="4">
        <v>12</v>
      </c>
      <c r="I106" s="4">
        <v>7</v>
      </c>
      <c r="J106" s="4">
        <v>7</v>
      </c>
      <c r="K106" s="5">
        <v>46548.06</v>
      </c>
      <c r="L106" s="5">
        <v>1802</v>
      </c>
      <c r="M106" s="5">
        <v>44746.06</v>
      </c>
      <c r="N106" s="4">
        <v>5</v>
      </c>
      <c r="O106" s="5">
        <v>1525.34</v>
      </c>
      <c r="P106" s="5">
        <v>1525.34</v>
      </c>
      <c r="Q106" s="5">
        <v>0</v>
      </c>
    </row>
    <row r="107" spans="1:17" ht="25.5" x14ac:dyDescent="0.25">
      <c r="A107" s="2">
        <f t="shared" si="3"/>
        <v>98</v>
      </c>
      <c r="B107" s="3" t="s">
        <v>50</v>
      </c>
      <c r="C107" s="3" t="s">
        <v>67</v>
      </c>
      <c r="D107" s="3" t="s">
        <v>123</v>
      </c>
      <c r="E107" s="3" t="s">
        <v>82</v>
      </c>
      <c r="F107" s="3" t="s">
        <v>280</v>
      </c>
      <c r="G107" s="4" t="s">
        <v>85</v>
      </c>
      <c r="H107" s="4">
        <v>5</v>
      </c>
      <c r="I107" s="4">
        <v>0</v>
      </c>
      <c r="J107" s="4">
        <v>0</v>
      </c>
      <c r="K107" s="5">
        <v>7205.22</v>
      </c>
      <c r="L107" s="5">
        <v>7205.22</v>
      </c>
      <c r="M107" s="5">
        <v>0</v>
      </c>
      <c r="N107" s="4">
        <v>3</v>
      </c>
      <c r="O107" s="5">
        <v>0</v>
      </c>
      <c r="P107" s="5">
        <v>0</v>
      </c>
      <c r="Q107" s="5">
        <v>0</v>
      </c>
    </row>
    <row r="108" spans="1:17" ht="25.5" x14ac:dyDescent="0.25">
      <c r="A108" s="2">
        <f t="shared" si="3"/>
        <v>99</v>
      </c>
      <c r="B108" s="3" t="s">
        <v>281</v>
      </c>
      <c r="C108" s="3" t="s">
        <v>62</v>
      </c>
      <c r="D108" s="3" t="s">
        <v>63</v>
      </c>
      <c r="E108" s="3" t="s">
        <v>282</v>
      </c>
      <c r="F108" s="3" t="s">
        <v>283</v>
      </c>
      <c r="G108" s="4" t="s">
        <v>85</v>
      </c>
      <c r="H108" s="4">
        <v>10</v>
      </c>
      <c r="I108" s="4">
        <v>0</v>
      </c>
      <c r="J108" s="4">
        <v>0</v>
      </c>
      <c r="K108" s="5">
        <v>0</v>
      </c>
      <c r="L108" s="5">
        <v>0</v>
      </c>
      <c r="M108" s="5">
        <v>0</v>
      </c>
      <c r="N108" s="4">
        <v>0</v>
      </c>
      <c r="O108" s="5">
        <v>0</v>
      </c>
      <c r="P108" s="5">
        <v>0</v>
      </c>
      <c r="Q108" s="5">
        <v>0</v>
      </c>
    </row>
    <row r="109" spans="1:17" x14ac:dyDescent="0.25">
      <c r="A109" s="2">
        <f t="shared" si="3"/>
        <v>100</v>
      </c>
      <c r="B109" s="3" t="s">
        <v>124</v>
      </c>
      <c r="C109" s="3" t="s">
        <v>62</v>
      </c>
      <c r="D109" s="3" t="s">
        <v>63</v>
      </c>
      <c r="E109" s="3" t="s">
        <v>63</v>
      </c>
      <c r="F109" s="3" t="s">
        <v>284</v>
      </c>
      <c r="G109" s="4" t="s">
        <v>85</v>
      </c>
      <c r="H109" s="4">
        <v>18</v>
      </c>
      <c r="I109" s="4">
        <v>13</v>
      </c>
      <c r="J109" s="4">
        <v>17</v>
      </c>
      <c r="K109" s="5">
        <v>22104.05</v>
      </c>
      <c r="L109" s="5">
        <v>2085.77</v>
      </c>
      <c r="M109" s="5">
        <v>20018.28</v>
      </c>
      <c r="N109" s="4">
        <v>14</v>
      </c>
      <c r="O109" s="5">
        <v>8807.5300000000007</v>
      </c>
      <c r="P109" s="5">
        <v>8807.5300000000007</v>
      </c>
      <c r="Q109" s="5">
        <v>0</v>
      </c>
    </row>
    <row r="110" spans="1:17" x14ac:dyDescent="0.25">
      <c r="A110" s="2">
        <f t="shared" si="3"/>
        <v>101</v>
      </c>
      <c r="B110" s="3" t="s">
        <v>51</v>
      </c>
      <c r="C110" s="3" t="s">
        <v>62</v>
      </c>
      <c r="D110" s="3" t="s">
        <v>63</v>
      </c>
      <c r="E110" s="3" t="s">
        <v>74</v>
      </c>
      <c r="F110" s="3" t="s">
        <v>285</v>
      </c>
      <c r="G110" s="4" t="s">
        <v>85</v>
      </c>
      <c r="H110" s="4">
        <v>7</v>
      </c>
      <c r="I110" s="4">
        <v>6</v>
      </c>
      <c r="J110" s="4">
        <v>6</v>
      </c>
      <c r="K110" s="5">
        <v>0</v>
      </c>
      <c r="L110" s="5">
        <v>0</v>
      </c>
      <c r="M110" s="5">
        <v>0</v>
      </c>
      <c r="N110" s="4">
        <v>10</v>
      </c>
      <c r="O110" s="5">
        <v>4122.9799999999996</v>
      </c>
      <c r="P110" s="5">
        <v>4122.9799999999996</v>
      </c>
      <c r="Q110" s="5">
        <v>0</v>
      </c>
    </row>
    <row r="111" spans="1:17" ht="25.5" x14ac:dyDescent="0.25">
      <c r="A111" s="2">
        <f t="shared" si="3"/>
        <v>102</v>
      </c>
      <c r="B111" s="3" t="s">
        <v>286</v>
      </c>
      <c r="C111" s="3" t="s">
        <v>62</v>
      </c>
      <c r="D111" s="3" t="s">
        <v>63</v>
      </c>
      <c r="E111" s="3" t="s">
        <v>174</v>
      </c>
      <c r="F111" s="3" t="s">
        <v>287</v>
      </c>
      <c r="G111" s="4" t="s">
        <v>85</v>
      </c>
      <c r="H111" s="4">
        <v>4</v>
      </c>
      <c r="I111" s="4">
        <v>0</v>
      </c>
      <c r="J111" s="4">
        <v>0</v>
      </c>
      <c r="K111" s="5">
        <v>0</v>
      </c>
      <c r="L111" s="5">
        <v>0</v>
      </c>
      <c r="M111" s="5">
        <v>0</v>
      </c>
      <c r="N111" s="4">
        <v>0</v>
      </c>
      <c r="O111" s="5">
        <v>0</v>
      </c>
      <c r="P111" s="5">
        <v>0</v>
      </c>
      <c r="Q111" s="5">
        <v>0</v>
      </c>
    </row>
    <row r="112" spans="1:17" x14ac:dyDescent="0.25">
      <c r="A112" s="2">
        <f t="shared" si="3"/>
        <v>103</v>
      </c>
      <c r="B112" s="3" t="s">
        <v>52</v>
      </c>
      <c r="C112" s="3" t="s">
        <v>62</v>
      </c>
      <c r="D112" s="3" t="s">
        <v>63</v>
      </c>
      <c r="E112" s="3" t="s">
        <v>74</v>
      </c>
      <c r="F112" s="3" t="s">
        <v>125</v>
      </c>
      <c r="G112" s="4" t="s">
        <v>85</v>
      </c>
      <c r="H112" s="4">
        <v>3</v>
      </c>
      <c r="I112" s="4">
        <v>0</v>
      </c>
      <c r="J112" s="4">
        <v>0</v>
      </c>
      <c r="K112" s="5">
        <v>0</v>
      </c>
      <c r="L112" s="5">
        <v>0</v>
      </c>
      <c r="M112" s="5">
        <v>0</v>
      </c>
      <c r="N112" s="4">
        <v>0</v>
      </c>
      <c r="O112" s="5">
        <v>0</v>
      </c>
      <c r="P112" s="5">
        <v>0</v>
      </c>
      <c r="Q112" s="5">
        <v>0</v>
      </c>
    </row>
    <row r="113" spans="1:17" x14ac:dyDescent="0.25">
      <c r="A113" s="2">
        <f t="shared" si="3"/>
        <v>104</v>
      </c>
      <c r="B113" s="3" t="s">
        <v>469</v>
      </c>
      <c r="C113" s="3" t="s">
        <v>62</v>
      </c>
      <c r="D113" s="3" t="s">
        <v>63</v>
      </c>
      <c r="E113" s="3" t="s">
        <v>74</v>
      </c>
      <c r="F113" s="3" t="s">
        <v>470</v>
      </c>
      <c r="G113" s="4" t="s">
        <v>85</v>
      </c>
      <c r="H113" s="4">
        <v>1</v>
      </c>
      <c r="I113" s="4">
        <v>0</v>
      </c>
      <c r="J113" s="4">
        <v>0</v>
      </c>
      <c r="K113" s="5">
        <v>0</v>
      </c>
      <c r="L113" s="5">
        <v>0</v>
      </c>
      <c r="M113" s="5">
        <v>0</v>
      </c>
      <c r="N113" s="4">
        <v>0</v>
      </c>
      <c r="O113" s="5">
        <v>0</v>
      </c>
      <c r="P113" s="5">
        <v>0</v>
      </c>
      <c r="Q113" s="5">
        <v>0</v>
      </c>
    </row>
    <row r="114" spans="1:17" x14ac:dyDescent="0.25">
      <c r="A114" s="2">
        <f t="shared" si="3"/>
        <v>105</v>
      </c>
      <c r="B114" s="3" t="s">
        <v>53</v>
      </c>
      <c r="C114" s="3" t="s">
        <v>62</v>
      </c>
      <c r="D114" s="3" t="s">
        <v>63</v>
      </c>
      <c r="E114" s="3" t="s">
        <v>74</v>
      </c>
      <c r="F114" s="3" t="s">
        <v>126</v>
      </c>
      <c r="G114" s="4" t="s">
        <v>85</v>
      </c>
      <c r="H114" s="4">
        <v>8</v>
      </c>
      <c r="I114" s="4">
        <v>0</v>
      </c>
      <c r="J114" s="4">
        <v>0</v>
      </c>
      <c r="K114" s="5">
        <v>0</v>
      </c>
      <c r="L114" s="5">
        <v>0</v>
      </c>
      <c r="M114" s="5">
        <v>0</v>
      </c>
      <c r="N114" s="4">
        <v>0</v>
      </c>
      <c r="O114" s="5">
        <v>0</v>
      </c>
      <c r="P114" s="5">
        <v>0</v>
      </c>
      <c r="Q114" s="5">
        <v>0</v>
      </c>
    </row>
    <row r="115" spans="1:17" x14ac:dyDescent="0.25">
      <c r="A115" s="2">
        <f t="shared" si="3"/>
        <v>106</v>
      </c>
      <c r="B115" s="3" t="s">
        <v>151</v>
      </c>
      <c r="C115" s="3" t="s">
        <v>62</v>
      </c>
      <c r="D115" s="3" t="s">
        <v>63</v>
      </c>
      <c r="E115" s="3" t="s">
        <v>74</v>
      </c>
      <c r="F115" s="3" t="s">
        <v>288</v>
      </c>
      <c r="G115" s="4" t="s">
        <v>85</v>
      </c>
      <c r="H115" s="4">
        <v>3</v>
      </c>
      <c r="I115" s="4">
        <v>2</v>
      </c>
      <c r="J115" s="4">
        <v>2</v>
      </c>
      <c r="K115" s="5">
        <v>0</v>
      </c>
      <c r="L115" s="5">
        <v>0</v>
      </c>
      <c r="M115" s="5">
        <v>0</v>
      </c>
      <c r="N115" s="4">
        <v>4</v>
      </c>
      <c r="O115" s="5">
        <v>5529.36</v>
      </c>
      <c r="P115" s="5">
        <v>5529.36</v>
      </c>
      <c r="Q115" s="5">
        <v>0</v>
      </c>
    </row>
    <row r="116" spans="1:17" x14ac:dyDescent="0.25">
      <c r="A116" s="2">
        <f t="shared" si="3"/>
        <v>107</v>
      </c>
      <c r="B116" s="3" t="s">
        <v>155</v>
      </c>
      <c r="C116" s="3" t="s">
        <v>62</v>
      </c>
      <c r="D116" s="3" t="s">
        <v>63</v>
      </c>
      <c r="E116" s="3" t="s">
        <v>74</v>
      </c>
      <c r="F116" s="3" t="s">
        <v>289</v>
      </c>
      <c r="G116" s="4" t="s">
        <v>85</v>
      </c>
      <c r="H116" s="4">
        <v>7</v>
      </c>
      <c r="I116" s="4">
        <v>5</v>
      </c>
      <c r="J116" s="4">
        <v>6</v>
      </c>
      <c r="K116" s="5">
        <v>24688.400000000001</v>
      </c>
      <c r="L116" s="5">
        <v>24688.400000000001</v>
      </c>
      <c r="M116" s="5">
        <v>0</v>
      </c>
      <c r="N116" s="4">
        <v>2</v>
      </c>
      <c r="O116" s="5">
        <v>10014.98</v>
      </c>
      <c r="P116" s="5">
        <v>10014.98</v>
      </c>
      <c r="Q116" s="5">
        <v>0</v>
      </c>
    </row>
    <row r="117" spans="1:17" x14ac:dyDescent="0.25">
      <c r="A117" s="2">
        <f t="shared" si="3"/>
        <v>108</v>
      </c>
      <c r="B117" s="3" t="s">
        <v>290</v>
      </c>
      <c r="C117" s="3" t="s">
        <v>62</v>
      </c>
      <c r="D117" s="3" t="s">
        <v>63</v>
      </c>
      <c r="E117" s="3" t="s">
        <v>291</v>
      </c>
      <c r="F117" s="3" t="s">
        <v>292</v>
      </c>
      <c r="G117" s="4" t="s">
        <v>85</v>
      </c>
      <c r="H117" s="4">
        <v>9</v>
      </c>
      <c r="I117" s="4">
        <v>5</v>
      </c>
      <c r="J117" s="4">
        <v>5</v>
      </c>
      <c r="K117" s="5">
        <v>2466.8000000000002</v>
      </c>
      <c r="L117" s="5">
        <v>2466.8000000000002</v>
      </c>
      <c r="M117" s="5">
        <v>0</v>
      </c>
      <c r="N117" s="4">
        <v>0</v>
      </c>
      <c r="O117" s="5">
        <v>0</v>
      </c>
      <c r="P117" s="5">
        <v>0</v>
      </c>
      <c r="Q117" s="5">
        <v>0</v>
      </c>
    </row>
    <row r="118" spans="1:17" ht="25.5" x14ac:dyDescent="0.25">
      <c r="A118" s="2">
        <f t="shared" si="3"/>
        <v>109</v>
      </c>
      <c r="B118" s="3" t="s">
        <v>495</v>
      </c>
      <c r="C118" s="3" t="s">
        <v>62</v>
      </c>
      <c r="D118" s="3" t="s">
        <v>63</v>
      </c>
      <c r="E118" s="3" t="s">
        <v>313</v>
      </c>
      <c r="F118" s="3" t="s">
        <v>496</v>
      </c>
      <c r="G118" s="4" t="s">
        <v>85</v>
      </c>
      <c r="H118" s="4">
        <v>6</v>
      </c>
      <c r="I118" s="4">
        <v>0</v>
      </c>
      <c r="J118" s="4">
        <v>0</v>
      </c>
      <c r="K118" s="5">
        <v>0</v>
      </c>
      <c r="L118" s="5">
        <v>0</v>
      </c>
      <c r="M118" s="5">
        <v>0</v>
      </c>
      <c r="N118" s="4">
        <v>0</v>
      </c>
      <c r="O118" s="5">
        <v>0</v>
      </c>
      <c r="P118" s="5">
        <v>0</v>
      </c>
      <c r="Q118" s="5">
        <v>0</v>
      </c>
    </row>
    <row r="119" spans="1:17" x14ac:dyDescent="0.25">
      <c r="A119" s="2">
        <f t="shared" si="3"/>
        <v>110</v>
      </c>
      <c r="B119" s="3" t="s">
        <v>134</v>
      </c>
      <c r="C119" s="3" t="s">
        <v>62</v>
      </c>
      <c r="D119" s="3" t="s">
        <v>63</v>
      </c>
      <c r="E119" s="3" t="s">
        <v>74</v>
      </c>
      <c r="F119" s="3" t="s">
        <v>293</v>
      </c>
      <c r="G119" s="4" t="s">
        <v>85</v>
      </c>
      <c r="H119" s="4">
        <v>1</v>
      </c>
      <c r="I119" s="4">
        <v>0</v>
      </c>
      <c r="J119" s="4">
        <v>0</v>
      </c>
      <c r="K119" s="5">
        <v>0</v>
      </c>
      <c r="L119" s="5">
        <v>0</v>
      </c>
      <c r="M119" s="5">
        <v>0</v>
      </c>
      <c r="N119" s="4">
        <v>2</v>
      </c>
      <c r="O119" s="5">
        <v>14690.98</v>
      </c>
      <c r="P119" s="5">
        <v>14690.98</v>
      </c>
      <c r="Q119" s="5">
        <v>0</v>
      </c>
    </row>
    <row r="120" spans="1:17" x14ac:dyDescent="0.25">
      <c r="A120" s="2">
        <f t="shared" si="3"/>
        <v>111</v>
      </c>
      <c r="B120" s="3" t="s">
        <v>127</v>
      </c>
      <c r="C120" s="3" t="s">
        <v>62</v>
      </c>
      <c r="D120" s="3" t="s">
        <v>63</v>
      </c>
      <c r="E120" s="3" t="s">
        <v>74</v>
      </c>
      <c r="F120" s="3" t="s">
        <v>294</v>
      </c>
      <c r="G120" s="4" t="s">
        <v>85</v>
      </c>
      <c r="H120" s="4">
        <v>3</v>
      </c>
      <c r="I120" s="4">
        <v>1</v>
      </c>
      <c r="J120" s="4">
        <v>1</v>
      </c>
      <c r="K120" s="5">
        <v>0</v>
      </c>
      <c r="L120" s="5">
        <v>0</v>
      </c>
      <c r="M120" s="5">
        <v>0</v>
      </c>
      <c r="N120" s="4">
        <v>2</v>
      </c>
      <c r="O120" s="5">
        <v>0</v>
      </c>
      <c r="P120" s="5">
        <v>0</v>
      </c>
      <c r="Q120" s="5">
        <v>0</v>
      </c>
    </row>
    <row r="121" spans="1:17" ht="25.5" x14ac:dyDescent="0.25">
      <c r="A121" s="2">
        <f t="shared" si="3"/>
        <v>112</v>
      </c>
      <c r="B121" s="3" t="s">
        <v>55</v>
      </c>
      <c r="C121" s="3" t="s">
        <v>64</v>
      </c>
      <c r="D121" s="3"/>
      <c r="E121" s="3" t="s">
        <v>80</v>
      </c>
      <c r="F121" s="3" t="s">
        <v>295</v>
      </c>
      <c r="G121" s="4" t="s">
        <v>85</v>
      </c>
      <c r="H121" s="4">
        <v>2</v>
      </c>
      <c r="I121" s="4">
        <v>1</v>
      </c>
      <c r="J121" s="4">
        <v>1</v>
      </c>
      <c r="K121" s="5">
        <v>0</v>
      </c>
      <c r="L121" s="5">
        <v>0</v>
      </c>
      <c r="M121" s="5">
        <v>0</v>
      </c>
      <c r="N121" s="4">
        <v>1</v>
      </c>
      <c r="O121" s="5">
        <v>1084.32</v>
      </c>
      <c r="P121" s="5">
        <v>1084.32</v>
      </c>
      <c r="Q121" s="5">
        <v>0</v>
      </c>
    </row>
    <row r="122" spans="1:17" x14ac:dyDescent="0.25">
      <c r="A122" s="2">
        <f t="shared" si="3"/>
        <v>113</v>
      </c>
      <c r="B122" s="3" t="s">
        <v>135</v>
      </c>
      <c r="C122" s="3" t="s">
        <v>62</v>
      </c>
      <c r="D122" s="3" t="s">
        <v>63</v>
      </c>
      <c r="E122" s="3" t="s">
        <v>63</v>
      </c>
      <c r="F122" s="3" t="s">
        <v>296</v>
      </c>
      <c r="G122" s="4" t="s">
        <v>85</v>
      </c>
      <c r="H122" s="4">
        <v>1</v>
      </c>
      <c r="I122" s="4">
        <v>0</v>
      </c>
      <c r="J122" s="4">
        <v>0</v>
      </c>
      <c r="K122" s="5">
        <v>0</v>
      </c>
      <c r="L122" s="5">
        <v>0</v>
      </c>
      <c r="M122" s="5">
        <v>0</v>
      </c>
      <c r="N122" s="4">
        <v>6</v>
      </c>
      <c r="O122" s="5">
        <v>13233.91</v>
      </c>
      <c r="P122" s="5">
        <v>13233.91</v>
      </c>
      <c r="Q122" s="5">
        <v>0</v>
      </c>
    </row>
    <row r="123" spans="1:17" x14ac:dyDescent="0.25">
      <c r="A123" s="2">
        <f t="shared" si="3"/>
        <v>114</v>
      </c>
      <c r="B123" s="3" t="s">
        <v>128</v>
      </c>
      <c r="C123" s="3" t="s">
        <v>62</v>
      </c>
      <c r="D123" s="3" t="s">
        <v>63</v>
      </c>
      <c r="E123" s="3" t="s">
        <v>74</v>
      </c>
      <c r="F123" s="3" t="s">
        <v>297</v>
      </c>
      <c r="G123" s="4" t="s">
        <v>85</v>
      </c>
      <c r="H123" s="4">
        <v>0</v>
      </c>
      <c r="I123" s="4">
        <v>0</v>
      </c>
      <c r="J123" s="4">
        <v>0</v>
      </c>
      <c r="K123" s="5">
        <v>0</v>
      </c>
      <c r="L123" s="5">
        <v>0</v>
      </c>
      <c r="M123" s="5">
        <v>0</v>
      </c>
      <c r="N123" s="4">
        <v>1</v>
      </c>
      <c r="O123" s="5">
        <v>264.3</v>
      </c>
      <c r="P123" s="5">
        <v>264.3</v>
      </c>
      <c r="Q123" s="5">
        <v>0</v>
      </c>
    </row>
    <row r="124" spans="1:17" ht="25.5" x14ac:dyDescent="0.25">
      <c r="A124" s="2">
        <f t="shared" si="3"/>
        <v>115</v>
      </c>
      <c r="B124" s="3" t="s">
        <v>497</v>
      </c>
      <c r="C124" s="3" t="s">
        <v>62</v>
      </c>
      <c r="D124" s="3" t="s">
        <v>63</v>
      </c>
      <c r="E124" s="3" t="s">
        <v>313</v>
      </c>
      <c r="F124" s="3" t="s">
        <v>498</v>
      </c>
      <c r="G124" s="4" t="s">
        <v>85</v>
      </c>
      <c r="H124" s="4">
        <v>15</v>
      </c>
      <c r="I124" s="4">
        <v>0</v>
      </c>
      <c r="J124" s="4">
        <v>0</v>
      </c>
      <c r="K124" s="5">
        <v>0</v>
      </c>
      <c r="L124" s="5">
        <v>0</v>
      </c>
      <c r="M124" s="5">
        <v>0</v>
      </c>
      <c r="N124" s="4">
        <v>0</v>
      </c>
      <c r="O124" s="5">
        <v>0</v>
      </c>
      <c r="P124" s="5">
        <v>0</v>
      </c>
      <c r="Q124" s="5">
        <v>0</v>
      </c>
    </row>
    <row r="125" spans="1:17" x14ac:dyDescent="0.25">
      <c r="A125" s="2">
        <f t="shared" si="3"/>
        <v>116</v>
      </c>
      <c r="B125" s="3" t="s">
        <v>56</v>
      </c>
      <c r="C125" s="3" t="s">
        <v>62</v>
      </c>
      <c r="D125" s="3" t="s">
        <v>63</v>
      </c>
      <c r="E125" s="3" t="s">
        <v>83</v>
      </c>
      <c r="F125" s="3" t="s">
        <v>298</v>
      </c>
      <c r="G125" s="4" t="s">
        <v>85</v>
      </c>
      <c r="H125" s="4">
        <v>39</v>
      </c>
      <c r="I125" s="4">
        <v>27</v>
      </c>
      <c r="J125" s="4">
        <v>37</v>
      </c>
      <c r="K125" s="5">
        <v>63358.06</v>
      </c>
      <c r="L125" s="5">
        <v>11175.46</v>
      </c>
      <c r="M125" s="5">
        <v>52182.6</v>
      </c>
      <c r="N125" s="4">
        <v>24</v>
      </c>
      <c r="O125" s="5">
        <v>68215.16</v>
      </c>
      <c r="P125" s="5">
        <v>27065.14</v>
      </c>
      <c r="Q125" s="5">
        <v>41150.019999999997</v>
      </c>
    </row>
    <row r="126" spans="1:17" ht="25.5" x14ac:dyDescent="0.25">
      <c r="A126" s="2">
        <f t="shared" si="3"/>
        <v>117</v>
      </c>
      <c r="B126" s="3" t="s">
        <v>299</v>
      </c>
      <c r="C126" s="3" t="s">
        <v>62</v>
      </c>
      <c r="D126" s="3" t="s">
        <v>63</v>
      </c>
      <c r="E126" s="3" t="s">
        <v>174</v>
      </c>
      <c r="F126" s="3" t="s">
        <v>300</v>
      </c>
      <c r="G126" s="4" t="s">
        <v>85</v>
      </c>
      <c r="H126" s="4">
        <v>14</v>
      </c>
      <c r="I126" s="4">
        <v>5</v>
      </c>
      <c r="J126" s="4">
        <v>5</v>
      </c>
      <c r="K126" s="5">
        <v>2008.68</v>
      </c>
      <c r="L126" s="5">
        <v>2008.68</v>
      </c>
      <c r="M126" s="5">
        <v>0</v>
      </c>
      <c r="N126" s="4">
        <v>0</v>
      </c>
      <c r="O126" s="5">
        <v>0</v>
      </c>
      <c r="P126" s="5">
        <v>0</v>
      </c>
      <c r="Q126" s="5">
        <v>0</v>
      </c>
    </row>
    <row r="127" spans="1:17" ht="15" customHeight="1" x14ac:dyDescent="0.25">
      <c r="A127" s="2">
        <f t="shared" si="3"/>
        <v>118</v>
      </c>
      <c r="B127" s="3" t="s">
        <v>156</v>
      </c>
      <c r="C127" s="3" t="s">
        <v>67</v>
      </c>
      <c r="D127" s="3" t="s">
        <v>499</v>
      </c>
      <c r="E127" s="3" t="s">
        <v>74</v>
      </c>
      <c r="F127" s="3" t="s">
        <v>301</v>
      </c>
      <c r="G127" s="4" t="s">
        <v>85</v>
      </c>
      <c r="H127" s="4">
        <v>24</v>
      </c>
      <c r="I127" s="4">
        <v>17</v>
      </c>
      <c r="J127" s="4">
        <v>20</v>
      </c>
      <c r="K127" s="5">
        <v>11942.84</v>
      </c>
      <c r="L127" s="5">
        <v>11942.84</v>
      </c>
      <c r="M127" s="5">
        <v>0</v>
      </c>
      <c r="N127" s="4">
        <v>31</v>
      </c>
      <c r="O127" s="5">
        <v>54154.29</v>
      </c>
      <c r="P127" s="5">
        <v>29078.18</v>
      </c>
      <c r="Q127" s="5">
        <v>25076.11</v>
      </c>
    </row>
    <row r="128" spans="1:17" ht="15" customHeight="1" x14ac:dyDescent="0.25">
      <c r="A128" s="2">
        <f t="shared" si="3"/>
        <v>119</v>
      </c>
      <c r="B128" s="3" t="s">
        <v>302</v>
      </c>
      <c r="C128" s="3" t="s">
        <v>62</v>
      </c>
      <c r="D128" s="3" t="s">
        <v>63</v>
      </c>
      <c r="E128" s="3" t="s">
        <v>63</v>
      </c>
      <c r="F128" s="3" t="s">
        <v>303</v>
      </c>
      <c r="G128" s="4" t="s">
        <v>85</v>
      </c>
      <c r="H128" s="4">
        <v>6</v>
      </c>
      <c r="I128" s="4">
        <v>4</v>
      </c>
      <c r="J128" s="4">
        <v>4</v>
      </c>
      <c r="K128" s="5">
        <v>1744.38</v>
      </c>
      <c r="L128" s="5">
        <v>1744.38</v>
      </c>
      <c r="M128" s="5">
        <v>0</v>
      </c>
      <c r="N128" s="4">
        <v>0</v>
      </c>
      <c r="O128" s="5">
        <v>0</v>
      </c>
      <c r="P128" s="5">
        <v>0</v>
      </c>
      <c r="Q128" s="5">
        <v>0</v>
      </c>
    </row>
    <row r="129" spans="1:17" ht="15" customHeight="1" x14ac:dyDescent="0.25">
      <c r="A129" s="2">
        <f t="shared" si="3"/>
        <v>120</v>
      </c>
      <c r="B129" s="3" t="s">
        <v>140</v>
      </c>
      <c r="C129" s="3" t="s">
        <v>62</v>
      </c>
      <c r="D129" s="3" t="s">
        <v>63</v>
      </c>
      <c r="E129" s="3" t="s">
        <v>74</v>
      </c>
      <c r="F129" s="3" t="s">
        <v>304</v>
      </c>
      <c r="G129" s="4" t="s">
        <v>85</v>
      </c>
      <c r="H129" s="4">
        <v>34</v>
      </c>
      <c r="I129" s="4">
        <v>29</v>
      </c>
      <c r="J129" s="4">
        <v>31</v>
      </c>
      <c r="K129" s="5">
        <v>47519.46</v>
      </c>
      <c r="L129" s="5">
        <v>7732.68</v>
      </c>
      <c r="M129" s="5">
        <v>39786.78</v>
      </c>
      <c r="N129" s="4">
        <v>14</v>
      </c>
      <c r="O129" s="5">
        <v>10678.85</v>
      </c>
      <c r="P129" s="5">
        <v>10678.85</v>
      </c>
      <c r="Q129" s="5">
        <v>0</v>
      </c>
    </row>
    <row r="130" spans="1:17" ht="29.25" customHeight="1" x14ac:dyDescent="0.25">
      <c r="A130" s="2">
        <f t="shared" si="3"/>
        <v>121</v>
      </c>
      <c r="B130" s="3" t="s">
        <v>305</v>
      </c>
      <c r="C130" s="3" t="s">
        <v>62</v>
      </c>
      <c r="D130" s="3" t="s">
        <v>63</v>
      </c>
      <c r="E130" s="3" t="s">
        <v>186</v>
      </c>
      <c r="F130" s="62" t="s">
        <v>513</v>
      </c>
      <c r="G130" s="4" t="s">
        <v>85</v>
      </c>
      <c r="H130" s="4">
        <v>6</v>
      </c>
      <c r="I130" s="4">
        <v>0</v>
      </c>
      <c r="J130" s="4">
        <v>0</v>
      </c>
      <c r="K130" s="5">
        <v>0</v>
      </c>
      <c r="L130" s="5">
        <v>0</v>
      </c>
      <c r="M130" s="5">
        <v>0</v>
      </c>
      <c r="N130" s="4">
        <v>0</v>
      </c>
      <c r="O130" s="5">
        <v>0</v>
      </c>
      <c r="P130" s="5">
        <v>0</v>
      </c>
      <c r="Q130" s="5">
        <v>0</v>
      </c>
    </row>
    <row r="131" spans="1:17" ht="15" customHeight="1" x14ac:dyDescent="0.25">
      <c r="A131" s="2">
        <f t="shared" si="3"/>
        <v>122</v>
      </c>
      <c r="B131" s="3" t="s">
        <v>471</v>
      </c>
      <c r="C131" s="3" t="s">
        <v>64</v>
      </c>
      <c r="D131" s="3" t="s">
        <v>65</v>
      </c>
      <c r="E131" s="3" t="s">
        <v>74</v>
      </c>
      <c r="F131" s="3" t="s">
        <v>472</v>
      </c>
      <c r="G131" s="4" t="s">
        <v>85</v>
      </c>
      <c r="H131" s="4">
        <v>0</v>
      </c>
      <c r="I131" s="4">
        <v>0</v>
      </c>
      <c r="J131" s="4">
        <v>0</v>
      </c>
      <c r="K131" s="5">
        <v>0</v>
      </c>
      <c r="L131" s="5">
        <v>0</v>
      </c>
      <c r="M131" s="5">
        <v>0</v>
      </c>
      <c r="N131" s="4">
        <v>1</v>
      </c>
      <c r="O131" s="5">
        <v>0</v>
      </c>
      <c r="P131" s="5">
        <v>0</v>
      </c>
      <c r="Q131" s="5">
        <v>0</v>
      </c>
    </row>
    <row r="132" spans="1:17" ht="26.25" customHeight="1" x14ac:dyDescent="0.25">
      <c r="A132" s="2">
        <f t="shared" si="3"/>
        <v>123</v>
      </c>
      <c r="B132" s="3" t="s">
        <v>57</v>
      </c>
      <c r="C132" s="3" t="s">
        <v>62</v>
      </c>
      <c r="D132" s="3" t="s">
        <v>63</v>
      </c>
      <c r="E132" s="3" t="s">
        <v>244</v>
      </c>
      <c r="F132" s="3" t="s">
        <v>306</v>
      </c>
      <c r="G132" s="4" t="s">
        <v>85</v>
      </c>
      <c r="H132" s="4">
        <v>11</v>
      </c>
      <c r="I132" s="4">
        <v>7</v>
      </c>
      <c r="J132" s="4">
        <v>7</v>
      </c>
      <c r="K132" s="5">
        <v>35562.21</v>
      </c>
      <c r="L132" s="5">
        <v>0</v>
      </c>
      <c r="M132" s="5">
        <v>35562.21</v>
      </c>
      <c r="N132" s="4">
        <v>10</v>
      </c>
      <c r="O132" s="5">
        <v>11023.48</v>
      </c>
      <c r="P132" s="5">
        <v>11023.48</v>
      </c>
      <c r="Q132" s="5">
        <v>0</v>
      </c>
    </row>
    <row r="133" spans="1:17" ht="15" customHeight="1" x14ac:dyDescent="0.25">
      <c r="A133" s="2">
        <f t="shared" si="3"/>
        <v>124</v>
      </c>
      <c r="B133" s="3" t="s">
        <v>473</v>
      </c>
      <c r="C133" s="3" t="s">
        <v>62</v>
      </c>
      <c r="D133" s="3" t="s">
        <v>63</v>
      </c>
      <c r="E133" s="3" t="s">
        <v>63</v>
      </c>
      <c r="F133" s="3" t="s">
        <v>500</v>
      </c>
      <c r="G133" s="4" t="s">
        <v>85</v>
      </c>
      <c r="H133" s="4">
        <v>0</v>
      </c>
      <c r="I133" s="4">
        <v>0</v>
      </c>
      <c r="J133" s="4">
        <v>0</v>
      </c>
      <c r="K133" s="5">
        <v>0</v>
      </c>
      <c r="L133" s="5">
        <v>0</v>
      </c>
      <c r="M133" s="5">
        <v>0</v>
      </c>
      <c r="N133" s="4">
        <v>2</v>
      </c>
      <c r="O133" s="5">
        <v>17280.25</v>
      </c>
      <c r="P133" s="5">
        <v>17280.25</v>
      </c>
      <c r="Q133" s="5">
        <v>0</v>
      </c>
    </row>
    <row r="134" spans="1:17" ht="15" customHeight="1" x14ac:dyDescent="0.25">
      <c r="A134" s="2">
        <f t="shared" si="3"/>
        <v>125</v>
      </c>
      <c r="B134" s="3" t="s">
        <v>129</v>
      </c>
      <c r="C134" s="3" t="s">
        <v>62</v>
      </c>
      <c r="D134" s="3" t="s">
        <v>63</v>
      </c>
      <c r="E134" s="3" t="s">
        <v>74</v>
      </c>
      <c r="F134" s="3" t="s">
        <v>307</v>
      </c>
      <c r="G134" s="4" t="s">
        <v>85</v>
      </c>
      <c r="H134" s="4">
        <v>0</v>
      </c>
      <c r="I134" s="4">
        <v>0</v>
      </c>
      <c r="J134" s="4">
        <v>0</v>
      </c>
      <c r="K134" s="5">
        <v>0</v>
      </c>
      <c r="L134" s="5">
        <v>0</v>
      </c>
      <c r="M134" s="5">
        <v>0</v>
      </c>
      <c r="N134" s="4">
        <v>4</v>
      </c>
      <c r="O134" s="5">
        <v>3310.36</v>
      </c>
      <c r="P134" s="5">
        <v>3310.36</v>
      </c>
      <c r="Q134" s="5">
        <v>0</v>
      </c>
    </row>
    <row r="135" spans="1:17" ht="23.25" customHeight="1" x14ac:dyDescent="0.25">
      <c r="A135" s="2">
        <f t="shared" si="3"/>
        <v>126</v>
      </c>
      <c r="B135" s="3" t="s">
        <v>58</v>
      </c>
      <c r="C135" s="3" t="s">
        <v>62</v>
      </c>
      <c r="D135" s="3" t="s">
        <v>63</v>
      </c>
      <c r="E135" s="3" t="s">
        <v>84</v>
      </c>
      <c r="F135" s="3" t="s">
        <v>308</v>
      </c>
      <c r="G135" s="4" t="s">
        <v>85</v>
      </c>
      <c r="H135" s="4">
        <v>94</v>
      </c>
      <c r="I135" s="4">
        <v>79</v>
      </c>
      <c r="J135" s="4">
        <v>89</v>
      </c>
      <c r="K135" s="5">
        <v>99582.66</v>
      </c>
      <c r="L135" s="5">
        <v>27019.88</v>
      </c>
      <c r="M135" s="5">
        <v>72562.78</v>
      </c>
      <c r="N135" s="4">
        <v>49</v>
      </c>
      <c r="O135" s="5">
        <v>99342.91</v>
      </c>
      <c r="P135" s="5">
        <v>99342.91</v>
      </c>
      <c r="Q135" s="5">
        <v>0</v>
      </c>
    </row>
    <row r="136" spans="1:17" ht="25.5" x14ac:dyDescent="0.25">
      <c r="A136" s="2">
        <f t="shared" si="3"/>
        <v>127</v>
      </c>
      <c r="B136" s="3" t="s">
        <v>59</v>
      </c>
      <c r="C136" s="3" t="s">
        <v>64</v>
      </c>
      <c r="D136" s="3" t="s">
        <v>66</v>
      </c>
      <c r="E136" s="3" t="s">
        <v>80</v>
      </c>
      <c r="F136" s="3" t="s">
        <v>309</v>
      </c>
      <c r="G136" s="4" t="s">
        <v>85</v>
      </c>
      <c r="H136" s="4">
        <v>26</v>
      </c>
      <c r="I136" s="4">
        <v>17</v>
      </c>
      <c r="J136" s="4">
        <v>21</v>
      </c>
      <c r="K136" s="5">
        <v>528.6</v>
      </c>
      <c r="L136" s="5">
        <v>528.6</v>
      </c>
      <c r="M136" s="5">
        <v>0</v>
      </c>
      <c r="N136" s="4">
        <v>20</v>
      </c>
      <c r="O136" s="5">
        <v>35955.129999999997</v>
      </c>
      <c r="P136" s="5">
        <v>35955.129999999997</v>
      </c>
      <c r="Q136" s="5">
        <v>0</v>
      </c>
    </row>
    <row r="137" spans="1:17" x14ac:dyDescent="0.25">
      <c r="A137" s="2">
        <f t="shared" si="3"/>
        <v>128</v>
      </c>
      <c r="B137" s="3" t="s">
        <v>130</v>
      </c>
      <c r="C137" s="3" t="s">
        <v>62</v>
      </c>
      <c r="D137" s="3" t="s">
        <v>63</v>
      </c>
      <c r="E137" s="3" t="s">
        <v>74</v>
      </c>
      <c r="F137" s="3" t="s">
        <v>519</v>
      </c>
      <c r="G137" s="4" t="s">
        <v>85</v>
      </c>
      <c r="H137" s="4">
        <v>2</v>
      </c>
      <c r="I137" s="4">
        <v>1</v>
      </c>
      <c r="J137" s="4">
        <v>1</v>
      </c>
      <c r="K137" s="5">
        <v>0</v>
      </c>
      <c r="L137" s="5">
        <v>0</v>
      </c>
      <c r="M137" s="5">
        <v>0</v>
      </c>
      <c r="N137" s="4">
        <v>1</v>
      </c>
      <c r="O137" s="5">
        <v>0</v>
      </c>
      <c r="P137" s="5">
        <v>0</v>
      </c>
      <c r="Q137" s="5">
        <v>0</v>
      </c>
    </row>
    <row r="138" spans="1:17" x14ac:dyDescent="0.25">
      <c r="A138" s="2">
        <f t="shared" si="3"/>
        <v>129</v>
      </c>
      <c r="B138" s="3" t="s">
        <v>97</v>
      </c>
      <c r="C138" s="3" t="s">
        <v>62</v>
      </c>
      <c r="D138" s="3" t="s">
        <v>63</v>
      </c>
      <c r="E138" s="3" t="s">
        <v>74</v>
      </c>
      <c r="F138" s="3" t="s">
        <v>310</v>
      </c>
      <c r="G138" s="4" t="s">
        <v>85</v>
      </c>
      <c r="H138" s="4">
        <v>2</v>
      </c>
      <c r="I138" s="4">
        <v>1</v>
      </c>
      <c r="J138" s="4">
        <v>1</v>
      </c>
      <c r="K138" s="5">
        <v>0</v>
      </c>
      <c r="L138" s="5">
        <v>0</v>
      </c>
      <c r="M138" s="5">
        <v>0</v>
      </c>
      <c r="N138" s="4">
        <v>1</v>
      </c>
      <c r="O138" s="5">
        <v>1073.06</v>
      </c>
      <c r="P138" s="5">
        <v>1073.06</v>
      </c>
      <c r="Q138" s="5">
        <v>0</v>
      </c>
    </row>
    <row r="139" spans="1:17" ht="25.5" x14ac:dyDescent="0.25">
      <c r="A139" s="2">
        <f t="shared" si="3"/>
        <v>130</v>
      </c>
      <c r="B139" s="3" t="s">
        <v>514</v>
      </c>
      <c r="C139" s="3" t="s">
        <v>62</v>
      </c>
      <c r="D139" s="3"/>
      <c r="E139" s="3" t="s">
        <v>186</v>
      </c>
      <c r="F139" s="3" t="s">
        <v>515</v>
      </c>
      <c r="G139" s="4" t="s">
        <v>85</v>
      </c>
      <c r="H139" s="4">
        <v>0</v>
      </c>
      <c r="I139" s="4">
        <v>0</v>
      </c>
      <c r="J139" s="4">
        <v>0</v>
      </c>
      <c r="K139" s="5">
        <v>0</v>
      </c>
      <c r="L139" s="5">
        <v>0</v>
      </c>
      <c r="M139" s="5">
        <v>0</v>
      </c>
      <c r="N139" s="4">
        <v>0</v>
      </c>
      <c r="O139" s="5">
        <v>0</v>
      </c>
      <c r="P139" s="5">
        <v>0</v>
      </c>
      <c r="Q139" s="5">
        <v>0</v>
      </c>
    </row>
    <row r="140" spans="1:17" x14ac:dyDescent="0.25">
      <c r="A140" s="2">
        <f t="shared" si="3"/>
        <v>131</v>
      </c>
      <c r="B140" s="3" t="s">
        <v>132</v>
      </c>
      <c r="C140" s="3" t="s">
        <v>62</v>
      </c>
      <c r="D140" s="3" t="s">
        <v>63</v>
      </c>
      <c r="E140" s="3" t="s">
        <v>74</v>
      </c>
      <c r="F140" s="3" t="s">
        <v>311</v>
      </c>
      <c r="G140" s="4" t="s">
        <v>85</v>
      </c>
      <c r="H140" s="4">
        <v>13</v>
      </c>
      <c r="I140" s="4">
        <v>1</v>
      </c>
      <c r="J140" s="4">
        <v>1</v>
      </c>
      <c r="K140" s="5">
        <v>0</v>
      </c>
      <c r="L140" s="5">
        <v>0</v>
      </c>
      <c r="M140" s="5">
        <v>0</v>
      </c>
      <c r="N140" s="4">
        <v>5</v>
      </c>
      <c r="O140" s="5">
        <v>5977.59</v>
      </c>
      <c r="P140" s="5">
        <v>5977.59</v>
      </c>
      <c r="Q140" s="5"/>
    </row>
    <row r="141" spans="1:17" ht="25.5" x14ac:dyDescent="0.25">
      <c r="A141" s="2">
        <f t="shared" si="3"/>
        <v>132</v>
      </c>
      <c r="B141" s="3" t="s">
        <v>312</v>
      </c>
      <c r="C141" s="3" t="s">
        <v>62</v>
      </c>
      <c r="D141" s="3" t="s">
        <v>63</v>
      </c>
      <c r="E141" s="3" t="s">
        <v>313</v>
      </c>
      <c r="F141" s="3" t="s">
        <v>314</v>
      </c>
      <c r="G141" s="4" t="s">
        <v>85</v>
      </c>
      <c r="H141" s="4">
        <v>13</v>
      </c>
      <c r="I141" s="4">
        <v>1</v>
      </c>
      <c r="J141" s="4">
        <v>1</v>
      </c>
      <c r="K141" s="5">
        <v>0</v>
      </c>
      <c r="L141" s="5">
        <v>0</v>
      </c>
      <c r="M141" s="5">
        <v>0</v>
      </c>
      <c r="N141" s="4">
        <v>0</v>
      </c>
      <c r="O141" s="5">
        <v>0</v>
      </c>
      <c r="P141" s="5">
        <v>0</v>
      </c>
      <c r="Q141" s="5">
        <v>0</v>
      </c>
    </row>
    <row r="142" spans="1:17" x14ac:dyDescent="0.25">
      <c r="A142" s="2">
        <f>A141+1</f>
        <v>133</v>
      </c>
      <c r="B142" s="3" t="s">
        <v>315</v>
      </c>
      <c r="C142" s="3" t="s">
        <v>62</v>
      </c>
      <c r="D142" s="3" t="s">
        <v>63</v>
      </c>
      <c r="E142" s="3" t="s">
        <v>74</v>
      </c>
      <c r="F142" s="3" t="s">
        <v>316</v>
      </c>
      <c r="G142" s="4" t="s">
        <v>85</v>
      </c>
      <c r="H142" s="4">
        <v>9</v>
      </c>
      <c r="I142" s="4">
        <v>3</v>
      </c>
      <c r="J142" s="4">
        <v>3</v>
      </c>
      <c r="K142" s="5">
        <v>3001.38</v>
      </c>
      <c r="L142" s="5">
        <v>3001.38</v>
      </c>
      <c r="M142" s="5">
        <v>0</v>
      </c>
      <c r="N142" s="4">
        <v>2</v>
      </c>
      <c r="O142" s="5">
        <v>1168.73</v>
      </c>
      <c r="P142" s="5">
        <v>1168.73</v>
      </c>
      <c r="Q142" s="5">
        <v>0</v>
      </c>
    </row>
    <row r="143" spans="1:17" x14ac:dyDescent="0.25">
      <c r="A143" s="2">
        <f>A142+1</f>
        <v>134</v>
      </c>
      <c r="B143" s="3" t="s">
        <v>317</v>
      </c>
      <c r="C143" s="3" t="s">
        <v>62</v>
      </c>
      <c r="D143" s="3" t="s">
        <v>63</v>
      </c>
      <c r="E143" s="3" t="s">
        <v>158</v>
      </c>
      <c r="F143" s="3" t="s">
        <v>474</v>
      </c>
      <c r="G143" s="4" t="s">
        <v>85</v>
      </c>
      <c r="H143" s="4">
        <v>1</v>
      </c>
      <c r="I143" s="4">
        <v>0</v>
      </c>
      <c r="J143" s="4">
        <v>0</v>
      </c>
      <c r="K143" s="5">
        <v>0</v>
      </c>
      <c r="L143" s="5">
        <v>0</v>
      </c>
      <c r="M143" s="5">
        <v>0</v>
      </c>
      <c r="N143" s="4">
        <v>0</v>
      </c>
      <c r="O143" s="5">
        <v>0</v>
      </c>
      <c r="P143" s="5">
        <v>0</v>
      </c>
      <c r="Q143" s="5">
        <v>0</v>
      </c>
    </row>
    <row r="144" spans="1:17" ht="25.5" x14ac:dyDescent="0.25">
      <c r="A144" s="2">
        <f>A143+1</f>
        <v>135</v>
      </c>
      <c r="B144" s="3" t="s">
        <v>318</v>
      </c>
      <c r="C144" s="3" t="s">
        <v>62</v>
      </c>
      <c r="D144" s="3" t="s">
        <v>63</v>
      </c>
      <c r="E144" s="3" t="s">
        <v>174</v>
      </c>
      <c r="F144" s="3" t="s">
        <v>319</v>
      </c>
      <c r="G144" s="4" t="s">
        <v>85</v>
      </c>
      <c r="H144" s="4">
        <v>14</v>
      </c>
      <c r="I144" s="4">
        <v>3</v>
      </c>
      <c r="J144" s="4">
        <v>3</v>
      </c>
      <c r="K144" s="5">
        <v>1638.45</v>
      </c>
      <c r="L144" s="5">
        <v>1638.45</v>
      </c>
      <c r="M144" s="5">
        <v>0</v>
      </c>
      <c r="N144" s="4">
        <v>0</v>
      </c>
      <c r="O144" s="5">
        <v>0</v>
      </c>
      <c r="P144" s="5">
        <v>0</v>
      </c>
      <c r="Q144" s="5">
        <v>0</v>
      </c>
    </row>
    <row r="145" spans="1:17" x14ac:dyDescent="0.25">
      <c r="A145" s="2">
        <f>A144+1</f>
        <v>136</v>
      </c>
      <c r="B145" s="3" t="s">
        <v>60</v>
      </c>
      <c r="C145" s="3" t="s">
        <v>67</v>
      </c>
      <c r="D145" s="3" t="s">
        <v>68</v>
      </c>
      <c r="E145" s="3" t="s">
        <v>74</v>
      </c>
      <c r="F145" s="3" t="s">
        <v>320</v>
      </c>
      <c r="G145" s="4" t="s">
        <v>85</v>
      </c>
      <c r="H145" s="4">
        <v>35</v>
      </c>
      <c r="I145" s="4">
        <v>30</v>
      </c>
      <c r="J145" s="4">
        <v>42</v>
      </c>
      <c r="K145" s="5">
        <v>69771.39</v>
      </c>
      <c r="L145" s="5">
        <v>35182.22</v>
      </c>
      <c r="M145" s="5">
        <v>34589.17</v>
      </c>
      <c r="N145" s="4">
        <v>32</v>
      </c>
      <c r="O145" s="5">
        <v>72093.440000000002</v>
      </c>
      <c r="P145" s="5">
        <v>36293.440000000002</v>
      </c>
      <c r="Q145" s="5">
        <v>35800</v>
      </c>
    </row>
    <row r="146" spans="1:17" x14ac:dyDescent="0.25">
      <c r="A146" s="2">
        <f>A145+1</f>
        <v>137</v>
      </c>
      <c r="B146" s="3" t="s">
        <v>61</v>
      </c>
      <c r="C146" s="3" t="s">
        <v>67</v>
      </c>
      <c r="D146" s="3" t="s">
        <v>69</v>
      </c>
      <c r="E146" s="3" t="s">
        <v>74</v>
      </c>
      <c r="F146" s="3" t="s">
        <v>321</v>
      </c>
      <c r="G146" s="4" t="s">
        <v>85</v>
      </c>
      <c r="H146" s="4">
        <v>4</v>
      </c>
      <c r="I146" s="4">
        <v>0</v>
      </c>
      <c r="J146" s="4">
        <v>0</v>
      </c>
      <c r="K146" s="5">
        <v>0</v>
      </c>
      <c r="L146" s="5">
        <v>0</v>
      </c>
      <c r="M146" s="5">
        <v>0</v>
      </c>
      <c r="N146" s="4">
        <v>5</v>
      </c>
      <c r="O146" s="5">
        <v>4642.1000000000004</v>
      </c>
      <c r="P146" s="5">
        <v>4642.1000000000004</v>
      </c>
      <c r="Q146" s="5">
        <v>0</v>
      </c>
    </row>
    <row r="147" spans="1:17" ht="25.5" x14ac:dyDescent="0.25">
      <c r="A147" s="18">
        <v>1</v>
      </c>
      <c r="B147" s="19" t="s">
        <v>134</v>
      </c>
      <c r="C147" s="19" t="s">
        <v>62</v>
      </c>
      <c r="D147" s="19"/>
      <c r="E147" s="19" t="s">
        <v>74</v>
      </c>
      <c r="F147" s="19" t="s">
        <v>408</v>
      </c>
      <c r="G147" s="19" t="s">
        <v>409</v>
      </c>
      <c r="H147" s="18">
        <v>21</v>
      </c>
      <c r="I147" s="18">
        <v>4</v>
      </c>
      <c r="J147" s="18">
        <v>4</v>
      </c>
      <c r="K147" s="20">
        <v>3910.4</v>
      </c>
      <c r="L147" s="20">
        <v>3910.4</v>
      </c>
      <c r="M147" s="21">
        <f t="shared" ref="M147:M197" si="4">K147-L147</f>
        <v>0</v>
      </c>
      <c r="N147" s="18">
        <v>4</v>
      </c>
      <c r="O147" s="20">
        <v>10109.4</v>
      </c>
      <c r="P147" s="20">
        <v>10109.4</v>
      </c>
      <c r="Q147" s="20">
        <f t="shared" ref="Q147:Q197" si="5">O147-P147</f>
        <v>0</v>
      </c>
    </row>
    <row r="148" spans="1:17" ht="25.5" x14ac:dyDescent="0.25">
      <c r="A148" s="18">
        <v>2</v>
      </c>
      <c r="B148" s="19" t="s">
        <v>335</v>
      </c>
      <c r="C148" s="19" t="s">
        <v>62</v>
      </c>
      <c r="D148" s="19"/>
      <c r="E148" s="19" t="s">
        <v>74</v>
      </c>
      <c r="F148" s="19" t="s">
        <v>410</v>
      </c>
      <c r="G148" s="19" t="s">
        <v>409</v>
      </c>
      <c r="H148" s="18">
        <v>6</v>
      </c>
      <c r="I148" s="18">
        <v>2</v>
      </c>
      <c r="J148" s="18">
        <v>2</v>
      </c>
      <c r="K148" s="20">
        <v>4089.6</v>
      </c>
      <c r="L148" s="20">
        <v>4089.6</v>
      </c>
      <c r="M148" s="21">
        <f t="shared" si="4"/>
        <v>0</v>
      </c>
      <c r="N148" s="18">
        <v>7</v>
      </c>
      <c r="O148" s="20">
        <v>8185.2</v>
      </c>
      <c r="P148" s="20">
        <v>8185.2</v>
      </c>
      <c r="Q148" s="20">
        <f t="shared" si="5"/>
        <v>0</v>
      </c>
    </row>
    <row r="149" spans="1:17" ht="38.25" x14ac:dyDescent="0.25">
      <c r="A149" s="18">
        <v>3</v>
      </c>
      <c r="B149" s="19" t="s">
        <v>46</v>
      </c>
      <c r="C149" s="19" t="s">
        <v>62</v>
      </c>
      <c r="D149" s="19"/>
      <c r="E149" s="19" t="s">
        <v>267</v>
      </c>
      <c r="F149" s="19" t="s">
        <v>411</v>
      </c>
      <c r="G149" s="19" t="s">
        <v>409</v>
      </c>
      <c r="H149" s="18">
        <v>16</v>
      </c>
      <c r="I149" s="18">
        <v>3</v>
      </c>
      <c r="J149" s="18">
        <v>3</v>
      </c>
      <c r="K149" s="20">
        <v>4933.6000000000004</v>
      </c>
      <c r="L149" s="20">
        <v>4933.6000000000004</v>
      </c>
      <c r="M149" s="21">
        <f t="shared" si="4"/>
        <v>0</v>
      </c>
      <c r="N149" s="18">
        <v>13</v>
      </c>
      <c r="O149" s="20">
        <v>14509.49</v>
      </c>
      <c r="P149" s="20">
        <v>14509.49</v>
      </c>
      <c r="Q149" s="20">
        <f t="shared" si="5"/>
        <v>0</v>
      </c>
    </row>
    <row r="150" spans="1:17" ht="25.5" x14ac:dyDescent="0.25">
      <c r="A150" s="18">
        <v>4</v>
      </c>
      <c r="B150" s="19" t="s">
        <v>36</v>
      </c>
      <c r="C150" s="19" t="s">
        <v>62</v>
      </c>
      <c r="D150" s="19"/>
      <c r="E150" s="19" t="s">
        <v>74</v>
      </c>
      <c r="F150" s="19" t="s">
        <v>412</v>
      </c>
      <c r="G150" s="19" t="s">
        <v>409</v>
      </c>
      <c r="H150" s="18">
        <v>15</v>
      </c>
      <c r="I150" s="18">
        <v>5</v>
      </c>
      <c r="J150" s="18">
        <v>5</v>
      </c>
      <c r="K150" s="20">
        <v>7682.32</v>
      </c>
      <c r="L150" s="20">
        <v>7682.32</v>
      </c>
      <c r="M150" s="21">
        <f t="shared" si="4"/>
        <v>0</v>
      </c>
      <c r="N150" s="18">
        <v>8</v>
      </c>
      <c r="O150" s="20">
        <v>22165.96</v>
      </c>
      <c r="P150" s="20">
        <v>22165.96</v>
      </c>
      <c r="Q150" s="20">
        <f t="shared" si="5"/>
        <v>0</v>
      </c>
    </row>
    <row r="151" spans="1:17" ht="25.5" x14ac:dyDescent="0.25">
      <c r="A151" s="18">
        <v>5</v>
      </c>
      <c r="B151" s="19" t="s">
        <v>27</v>
      </c>
      <c r="C151" s="19" t="s">
        <v>62</v>
      </c>
      <c r="D151" s="19"/>
      <c r="E151" s="19" t="s">
        <v>74</v>
      </c>
      <c r="F151" s="19" t="s">
        <v>413</v>
      </c>
      <c r="G151" s="19" t="s">
        <v>409</v>
      </c>
      <c r="H151" s="18">
        <v>7</v>
      </c>
      <c r="I151" s="18">
        <v>2</v>
      </c>
      <c r="J151" s="18">
        <v>2</v>
      </c>
      <c r="K151" s="20">
        <v>2761.22</v>
      </c>
      <c r="L151" s="20">
        <v>2761.22</v>
      </c>
      <c r="M151" s="21">
        <f t="shared" si="4"/>
        <v>0</v>
      </c>
      <c r="N151" s="18">
        <v>7</v>
      </c>
      <c r="O151" s="20">
        <v>12712.3</v>
      </c>
      <c r="P151" s="20">
        <v>12712.3</v>
      </c>
      <c r="Q151" s="20">
        <f t="shared" si="5"/>
        <v>0</v>
      </c>
    </row>
    <row r="152" spans="1:17" ht="25.5" x14ac:dyDescent="0.25">
      <c r="A152" s="18">
        <v>6</v>
      </c>
      <c r="B152" s="19" t="s">
        <v>28</v>
      </c>
      <c r="C152" s="19" t="s">
        <v>62</v>
      </c>
      <c r="D152" s="19"/>
      <c r="E152" s="19" t="s">
        <v>74</v>
      </c>
      <c r="F152" s="19" t="s">
        <v>414</v>
      </c>
      <c r="G152" s="19" t="s">
        <v>409</v>
      </c>
      <c r="H152" s="18">
        <v>23</v>
      </c>
      <c r="I152" s="18">
        <v>7</v>
      </c>
      <c r="J152" s="18">
        <v>7</v>
      </c>
      <c r="K152" s="20">
        <v>7858.52</v>
      </c>
      <c r="L152" s="20">
        <v>7858.52</v>
      </c>
      <c r="M152" s="21">
        <f t="shared" si="4"/>
        <v>0</v>
      </c>
      <c r="N152" s="18">
        <v>6</v>
      </c>
      <c r="O152" s="20">
        <v>9867.2000000000007</v>
      </c>
      <c r="P152" s="20">
        <v>9867.2000000000007</v>
      </c>
      <c r="Q152" s="20">
        <f t="shared" si="5"/>
        <v>0</v>
      </c>
    </row>
    <row r="153" spans="1:17" ht="26.25" thickBot="1" x14ac:dyDescent="0.3">
      <c r="A153" s="18">
        <v>7</v>
      </c>
      <c r="B153" s="18" t="s">
        <v>246</v>
      </c>
      <c r="C153" s="18" t="s">
        <v>62</v>
      </c>
      <c r="D153" s="18"/>
      <c r="E153" s="19" t="s">
        <v>74</v>
      </c>
      <c r="F153" s="18" t="s">
        <v>415</v>
      </c>
      <c r="G153" s="19" t="s">
        <v>409</v>
      </c>
      <c r="H153" s="18">
        <v>22</v>
      </c>
      <c r="I153" s="18">
        <v>2</v>
      </c>
      <c r="J153" s="18">
        <v>2</v>
      </c>
      <c r="K153" s="20">
        <v>1374.36</v>
      </c>
      <c r="L153" s="20">
        <v>1374.36</v>
      </c>
      <c r="M153" s="21">
        <f t="shared" si="4"/>
        <v>0</v>
      </c>
      <c r="N153" s="18"/>
      <c r="O153" s="20"/>
      <c r="P153" s="20"/>
      <c r="Q153" s="20">
        <f t="shared" si="5"/>
        <v>0</v>
      </c>
    </row>
    <row r="154" spans="1:17" ht="26.25" thickBot="1" x14ac:dyDescent="0.3">
      <c r="A154" s="18">
        <v>8</v>
      </c>
      <c r="B154" s="22" t="s">
        <v>330</v>
      </c>
      <c r="C154" s="18" t="s">
        <v>62</v>
      </c>
      <c r="D154" s="18"/>
      <c r="E154" s="19" t="s">
        <v>74</v>
      </c>
      <c r="F154" s="18" t="s">
        <v>416</v>
      </c>
      <c r="G154" s="19" t="s">
        <v>409</v>
      </c>
      <c r="H154" s="18">
        <v>4</v>
      </c>
      <c r="I154" s="18"/>
      <c r="J154" s="18"/>
      <c r="K154" s="20"/>
      <c r="L154" s="20"/>
      <c r="M154" s="21">
        <f t="shared" si="4"/>
        <v>0</v>
      </c>
      <c r="N154" s="18"/>
      <c r="O154" s="20"/>
      <c r="P154" s="20"/>
      <c r="Q154" s="20">
        <f t="shared" si="5"/>
        <v>0</v>
      </c>
    </row>
    <row r="155" spans="1:17" ht="26.25" thickBot="1" x14ac:dyDescent="0.3">
      <c r="A155" s="18">
        <v>9</v>
      </c>
      <c r="B155" s="23" t="s">
        <v>402</v>
      </c>
      <c r="C155" s="18" t="s">
        <v>62</v>
      </c>
      <c r="D155" s="18"/>
      <c r="E155" s="19" t="s">
        <v>74</v>
      </c>
      <c r="F155" s="18" t="s">
        <v>417</v>
      </c>
      <c r="G155" s="19" t="s">
        <v>409</v>
      </c>
      <c r="H155" s="18">
        <v>12</v>
      </c>
      <c r="I155" s="18">
        <v>2</v>
      </c>
      <c r="J155" s="18">
        <v>2</v>
      </c>
      <c r="K155" s="20">
        <v>2114.4</v>
      </c>
      <c r="L155" s="20">
        <v>2114.4</v>
      </c>
      <c r="M155" s="21">
        <f t="shared" si="4"/>
        <v>0</v>
      </c>
      <c r="N155" s="18"/>
      <c r="O155" s="20"/>
      <c r="P155" s="20"/>
      <c r="Q155" s="20">
        <f t="shared" si="5"/>
        <v>0</v>
      </c>
    </row>
    <row r="156" spans="1:17" ht="26.25" thickBot="1" x14ac:dyDescent="0.3">
      <c r="A156" s="18">
        <v>10</v>
      </c>
      <c r="B156" s="22" t="s">
        <v>154</v>
      </c>
      <c r="C156" s="18" t="s">
        <v>62</v>
      </c>
      <c r="D156" s="18"/>
      <c r="E156" s="19" t="s">
        <v>72</v>
      </c>
      <c r="F156" s="18" t="s">
        <v>418</v>
      </c>
      <c r="G156" s="19" t="s">
        <v>409</v>
      </c>
      <c r="H156" s="18">
        <v>2</v>
      </c>
      <c r="I156" s="18"/>
      <c r="J156" s="18"/>
      <c r="K156" s="20"/>
      <c r="L156" s="20"/>
      <c r="M156" s="21">
        <f t="shared" si="4"/>
        <v>0</v>
      </c>
      <c r="N156" s="18">
        <v>5</v>
      </c>
      <c r="O156" s="20">
        <v>4737.8999999999996</v>
      </c>
      <c r="P156" s="20">
        <v>4737.8999999999996</v>
      </c>
      <c r="Q156" s="20">
        <f t="shared" si="5"/>
        <v>0</v>
      </c>
    </row>
    <row r="157" spans="1:17" ht="26.25" thickBot="1" x14ac:dyDescent="0.3">
      <c r="A157" s="18">
        <v>11</v>
      </c>
      <c r="B157" s="23" t="s">
        <v>153</v>
      </c>
      <c r="C157" s="18" t="s">
        <v>62</v>
      </c>
      <c r="D157" s="18"/>
      <c r="E157" s="19" t="s">
        <v>74</v>
      </c>
      <c r="F157" s="18" t="s">
        <v>419</v>
      </c>
      <c r="G157" s="19" t="s">
        <v>409</v>
      </c>
      <c r="H157" s="18">
        <v>4</v>
      </c>
      <c r="I157" s="18"/>
      <c r="J157" s="18"/>
      <c r="K157" s="20"/>
      <c r="L157" s="20"/>
      <c r="M157" s="21">
        <f t="shared" si="4"/>
        <v>0</v>
      </c>
      <c r="N157" s="18">
        <v>4</v>
      </c>
      <c r="O157" s="20">
        <v>15237.6</v>
      </c>
      <c r="P157" s="20">
        <v>15237.6</v>
      </c>
      <c r="Q157" s="20">
        <f t="shared" si="5"/>
        <v>0</v>
      </c>
    </row>
    <row r="158" spans="1:17" ht="26.25" thickBot="1" x14ac:dyDescent="0.3">
      <c r="A158" s="18">
        <v>12</v>
      </c>
      <c r="B158" s="23" t="s">
        <v>89</v>
      </c>
      <c r="C158" s="18" t="s">
        <v>62</v>
      </c>
      <c r="D158" s="18"/>
      <c r="E158" s="19" t="s">
        <v>74</v>
      </c>
      <c r="F158" s="18" t="s">
        <v>420</v>
      </c>
      <c r="G158" s="19" t="s">
        <v>409</v>
      </c>
      <c r="H158" s="18">
        <v>8</v>
      </c>
      <c r="I158" s="18">
        <v>1</v>
      </c>
      <c r="J158" s="18">
        <v>1</v>
      </c>
      <c r="K158" s="20">
        <v>528.6</v>
      </c>
      <c r="L158" s="20">
        <v>528.6</v>
      </c>
      <c r="M158" s="21">
        <f t="shared" si="4"/>
        <v>0</v>
      </c>
      <c r="N158" s="18">
        <v>2</v>
      </c>
      <c r="O158" s="20">
        <v>4052.6</v>
      </c>
      <c r="P158" s="20">
        <v>4052.6</v>
      </c>
      <c r="Q158" s="20">
        <f t="shared" si="5"/>
        <v>0</v>
      </c>
    </row>
    <row r="159" spans="1:17" ht="26.25" thickBot="1" x14ac:dyDescent="0.3">
      <c r="A159" s="18">
        <v>13</v>
      </c>
      <c r="B159" s="23" t="s">
        <v>379</v>
      </c>
      <c r="C159" s="18" t="s">
        <v>62</v>
      </c>
      <c r="D159" s="18"/>
      <c r="E159" s="19" t="s">
        <v>74</v>
      </c>
      <c r="F159" s="18" t="s">
        <v>421</v>
      </c>
      <c r="G159" s="19" t="s">
        <v>409</v>
      </c>
      <c r="H159" s="18">
        <v>5</v>
      </c>
      <c r="I159" s="18">
        <v>2</v>
      </c>
      <c r="J159" s="18">
        <v>2</v>
      </c>
      <c r="K159" s="20">
        <v>1409.6</v>
      </c>
      <c r="L159" s="20">
        <v>1409.6</v>
      </c>
      <c r="M159" s="21">
        <f t="shared" si="4"/>
        <v>0</v>
      </c>
      <c r="N159" s="18"/>
      <c r="O159" s="20"/>
      <c r="P159" s="20"/>
      <c r="Q159" s="20">
        <f t="shared" si="5"/>
        <v>0</v>
      </c>
    </row>
    <row r="160" spans="1:17" ht="26.25" thickBot="1" x14ac:dyDescent="0.3">
      <c r="A160" s="18">
        <v>14</v>
      </c>
      <c r="B160" s="23" t="s">
        <v>264</v>
      </c>
      <c r="C160" s="18" t="s">
        <v>62</v>
      </c>
      <c r="D160" s="18"/>
      <c r="E160" s="19" t="s">
        <v>74</v>
      </c>
      <c r="F160" s="18" t="s">
        <v>422</v>
      </c>
      <c r="G160" s="19" t="s">
        <v>409</v>
      </c>
      <c r="H160" s="18">
        <v>3</v>
      </c>
      <c r="I160" s="18"/>
      <c r="J160" s="18"/>
      <c r="K160" s="20"/>
      <c r="L160" s="20"/>
      <c r="M160" s="21">
        <f t="shared" si="4"/>
        <v>0</v>
      </c>
      <c r="N160" s="18"/>
      <c r="O160" s="20"/>
      <c r="P160" s="20"/>
      <c r="Q160" s="20">
        <f t="shared" si="5"/>
        <v>0</v>
      </c>
    </row>
    <row r="161" spans="1:17" ht="26.25" thickBot="1" x14ac:dyDescent="0.3">
      <c r="A161" s="18">
        <v>15</v>
      </c>
      <c r="B161" s="23" t="s">
        <v>475</v>
      </c>
      <c r="C161" s="18" t="s">
        <v>67</v>
      </c>
      <c r="D161" s="19" t="s">
        <v>123</v>
      </c>
      <c r="E161" s="19" t="s">
        <v>82</v>
      </c>
      <c r="F161" s="18" t="s">
        <v>423</v>
      </c>
      <c r="G161" s="19" t="s">
        <v>409</v>
      </c>
      <c r="H161" s="18">
        <v>3</v>
      </c>
      <c r="I161" s="18"/>
      <c r="J161" s="18"/>
      <c r="K161" s="20"/>
      <c r="L161" s="20"/>
      <c r="M161" s="21">
        <f t="shared" si="4"/>
        <v>0</v>
      </c>
      <c r="N161" s="18"/>
      <c r="O161" s="20"/>
      <c r="P161" s="20"/>
      <c r="Q161" s="20">
        <f t="shared" si="5"/>
        <v>0</v>
      </c>
    </row>
    <row r="162" spans="1:17" ht="26.25" thickBot="1" x14ac:dyDescent="0.3">
      <c r="A162" s="18">
        <v>16</v>
      </c>
      <c r="B162" s="23" t="s">
        <v>137</v>
      </c>
      <c r="C162" s="18" t="s">
        <v>62</v>
      </c>
      <c r="D162" s="18"/>
      <c r="E162" s="19" t="s">
        <v>78</v>
      </c>
      <c r="F162" s="18" t="s">
        <v>424</v>
      </c>
      <c r="G162" s="19" t="s">
        <v>409</v>
      </c>
      <c r="H162" s="18">
        <v>4</v>
      </c>
      <c r="I162" s="18">
        <v>1</v>
      </c>
      <c r="J162" s="18">
        <v>1</v>
      </c>
      <c r="K162" s="20">
        <v>1691.52</v>
      </c>
      <c r="L162" s="20">
        <v>1691.52</v>
      </c>
      <c r="M162" s="21">
        <f t="shared" si="4"/>
        <v>0</v>
      </c>
      <c r="N162" s="18"/>
      <c r="O162" s="20"/>
      <c r="P162" s="20"/>
      <c r="Q162" s="20">
        <f t="shared" si="5"/>
        <v>0</v>
      </c>
    </row>
    <row r="163" spans="1:17" ht="26.25" thickBot="1" x14ac:dyDescent="0.3">
      <c r="A163" s="18">
        <v>17</v>
      </c>
      <c r="B163" s="22" t="s">
        <v>173</v>
      </c>
      <c r="C163" s="18" t="s">
        <v>67</v>
      </c>
      <c r="D163" s="18" t="s">
        <v>425</v>
      </c>
      <c r="E163" s="19" t="s">
        <v>74</v>
      </c>
      <c r="F163" s="18" t="s">
        <v>426</v>
      </c>
      <c r="G163" s="19" t="s">
        <v>409</v>
      </c>
      <c r="H163" s="18">
        <v>9</v>
      </c>
      <c r="I163" s="18">
        <v>2</v>
      </c>
      <c r="J163" s="18">
        <v>2</v>
      </c>
      <c r="K163" s="20">
        <v>2114.4</v>
      </c>
      <c r="L163" s="20">
        <v>2114.4</v>
      </c>
      <c r="M163" s="21">
        <f t="shared" si="4"/>
        <v>0</v>
      </c>
      <c r="N163" s="18"/>
      <c r="O163" s="20"/>
      <c r="P163" s="20"/>
      <c r="Q163" s="20">
        <f t="shared" si="5"/>
        <v>0</v>
      </c>
    </row>
    <row r="164" spans="1:17" ht="26.25" thickBot="1" x14ac:dyDescent="0.3">
      <c r="A164" s="18">
        <v>18</v>
      </c>
      <c r="B164" s="23" t="s">
        <v>135</v>
      </c>
      <c r="C164" s="18" t="s">
        <v>62</v>
      </c>
      <c r="D164" s="18"/>
      <c r="E164" s="19" t="s">
        <v>74</v>
      </c>
      <c r="F164" s="18" t="s">
        <v>427</v>
      </c>
      <c r="G164" s="19" t="s">
        <v>409</v>
      </c>
      <c r="H164" s="18">
        <v>2</v>
      </c>
      <c r="I164" s="18">
        <v>1</v>
      </c>
      <c r="J164" s="18">
        <v>1</v>
      </c>
      <c r="K164" s="20">
        <v>1691.52</v>
      </c>
      <c r="L164" s="20">
        <v>1691.52</v>
      </c>
      <c r="M164" s="21">
        <f t="shared" si="4"/>
        <v>0</v>
      </c>
      <c r="N164" s="18"/>
      <c r="O164" s="20"/>
      <c r="P164" s="20"/>
      <c r="Q164" s="20">
        <f t="shared" si="5"/>
        <v>0</v>
      </c>
    </row>
    <row r="165" spans="1:17" ht="26.25" thickBot="1" x14ac:dyDescent="0.3">
      <c r="A165" s="18">
        <v>19</v>
      </c>
      <c r="B165" s="23" t="s">
        <v>148</v>
      </c>
      <c r="C165" s="18" t="s">
        <v>62</v>
      </c>
      <c r="D165" s="18"/>
      <c r="E165" s="19" t="s">
        <v>149</v>
      </c>
      <c r="F165" s="18" t="s">
        <v>375</v>
      </c>
      <c r="G165" s="19" t="s">
        <v>409</v>
      </c>
      <c r="H165" s="18">
        <v>13</v>
      </c>
      <c r="I165" s="18"/>
      <c r="J165" s="18"/>
      <c r="K165" s="20"/>
      <c r="L165" s="20"/>
      <c r="M165" s="21">
        <f t="shared" si="4"/>
        <v>0</v>
      </c>
      <c r="N165" s="18">
        <v>9</v>
      </c>
      <c r="O165" s="20">
        <v>26819.08</v>
      </c>
      <c r="P165" s="20">
        <v>22187.47</v>
      </c>
      <c r="Q165" s="20">
        <f t="shared" si="5"/>
        <v>4631.6100000000006</v>
      </c>
    </row>
    <row r="166" spans="1:17" ht="26.25" thickBot="1" x14ac:dyDescent="0.3">
      <c r="A166" s="18">
        <v>20</v>
      </c>
      <c r="B166" s="23" t="s">
        <v>147</v>
      </c>
      <c r="C166" s="18" t="s">
        <v>62</v>
      </c>
      <c r="D166" s="18"/>
      <c r="E166" s="19" t="s">
        <v>74</v>
      </c>
      <c r="F166" s="18" t="s">
        <v>331</v>
      </c>
      <c r="G166" s="19" t="s">
        <v>409</v>
      </c>
      <c r="H166" s="18">
        <v>3</v>
      </c>
      <c r="I166" s="18"/>
      <c r="J166" s="18"/>
      <c r="K166" s="20"/>
      <c r="L166" s="20"/>
      <c r="M166" s="21">
        <f t="shared" si="4"/>
        <v>0</v>
      </c>
      <c r="N166" s="18">
        <v>5</v>
      </c>
      <c r="O166" s="20">
        <v>8120.2</v>
      </c>
      <c r="P166" s="20">
        <v>8120.2</v>
      </c>
      <c r="Q166" s="20">
        <f t="shared" si="5"/>
        <v>0</v>
      </c>
    </row>
    <row r="167" spans="1:17" ht="26.25" thickBot="1" x14ac:dyDescent="0.3">
      <c r="A167" s="18">
        <v>21</v>
      </c>
      <c r="B167" s="23" t="s">
        <v>124</v>
      </c>
      <c r="C167" s="18" t="s">
        <v>62</v>
      </c>
      <c r="D167" s="18"/>
      <c r="E167" s="19" t="s">
        <v>428</v>
      </c>
      <c r="F167" s="18" t="s">
        <v>329</v>
      </c>
      <c r="G167" s="19" t="s">
        <v>409</v>
      </c>
      <c r="H167" s="18">
        <v>13</v>
      </c>
      <c r="I167" s="18"/>
      <c r="J167" s="18"/>
      <c r="K167" s="20"/>
      <c r="L167" s="20"/>
      <c r="M167" s="21">
        <f t="shared" si="4"/>
        <v>0</v>
      </c>
      <c r="N167" s="18">
        <v>15</v>
      </c>
      <c r="O167" s="20">
        <v>16144.34</v>
      </c>
      <c r="P167" s="20">
        <v>8061.16</v>
      </c>
      <c r="Q167" s="20">
        <f t="shared" si="5"/>
        <v>8083.18</v>
      </c>
    </row>
    <row r="168" spans="1:17" ht="26.25" thickBot="1" x14ac:dyDescent="0.3">
      <c r="A168" s="18">
        <v>22</v>
      </c>
      <c r="B168" s="23" t="s">
        <v>168</v>
      </c>
      <c r="C168" s="18" t="s">
        <v>62</v>
      </c>
      <c r="D168" s="18"/>
      <c r="E168" s="18" t="s">
        <v>371</v>
      </c>
      <c r="F168" s="18" t="s">
        <v>353</v>
      </c>
      <c r="G168" s="19" t="s">
        <v>409</v>
      </c>
      <c r="H168" s="18">
        <v>4</v>
      </c>
      <c r="I168" s="18"/>
      <c r="J168" s="18"/>
      <c r="K168" s="20"/>
      <c r="L168" s="20"/>
      <c r="M168" s="21">
        <f t="shared" si="4"/>
        <v>0</v>
      </c>
      <c r="N168" s="18"/>
      <c r="O168" s="20"/>
      <c r="P168" s="20"/>
      <c r="Q168" s="20">
        <f t="shared" si="5"/>
        <v>0</v>
      </c>
    </row>
    <row r="169" spans="1:17" ht="26.25" thickBot="1" x14ac:dyDescent="0.3">
      <c r="A169" s="18">
        <v>23</v>
      </c>
      <c r="B169" s="22" t="s">
        <v>429</v>
      </c>
      <c r="C169" s="18" t="s">
        <v>62</v>
      </c>
      <c r="D169" s="18"/>
      <c r="E169" s="19" t="s">
        <v>74</v>
      </c>
      <c r="F169" s="18" t="s">
        <v>430</v>
      </c>
      <c r="G169" s="19" t="s">
        <v>409</v>
      </c>
      <c r="H169" s="18">
        <v>3</v>
      </c>
      <c r="I169" s="18">
        <v>1</v>
      </c>
      <c r="J169" s="18">
        <v>1</v>
      </c>
      <c r="K169" s="20">
        <v>1691.52</v>
      </c>
      <c r="L169" s="20">
        <v>1691.52</v>
      </c>
      <c r="M169" s="21">
        <f t="shared" si="4"/>
        <v>0</v>
      </c>
      <c r="N169" s="18">
        <v>1</v>
      </c>
      <c r="O169" s="20">
        <v>528.6</v>
      </c>
      <c r="P169" s="20">
        <v>528.6</v>
      </c>
      <c r="Q169" s="20">
        <f t="shared" si="5"/>
        <v>0</v>
      </c>
    </row>
    <row r="170" spans="1:17" ht="26.25" thickBot="1" x14ac:dyDescent="0.3">
      <c r="A170" s="18">
        <v>24</v>
      </c>
      <c r="B170" s="23" t="s">
        <v>130</v>
      </c>
      <c r="C170" s="18" t="s">
        <v>62</v>
      </c>
      <c r="D170" s="18"/>
      <c r="E170" s="19" t="s">
        <v>74</v>
      </c>
      <c r="F170" s="18" t="s">
        <v>431</v>
      </c>
      <c r="G170" s="19" t="s">
        <v>409</v>
      </c>
      <c r="H170" s="18">
        <v>2</v>
      </c>
      <c r="I170" s="18">
        <v>2</v>
      </c>
      <c r="J170" s="18">
        <v>2</v>
      </c>
      <c r="K170" s="20">
        <v>2220.12</v>
      </c>
      <c r="L170" s="20">
        <v>2220.12</v>
      </c>
      <c r="M170" s="21">
        <f t="shared" si="4"/>
        <v>0</v>
      </c>
      <c r="N170" s="18">
        <v>1</v>
      </c>
      <c r="O170" s="20">
        <v>845.76</v>
      </c>
      <c r="P170" s="20">
        <v>845.76</v>
      </c>
      <c r="Q170" s="20">
        <f t="shared" si="5"/>
        <v>0</v>
      </c>
    </row>
    <row r="171" spans="1:17" ht="26.25" thickBot="1" x14ac:dyDescent="0.3">
      <c r="A171" s="18">
        <v>25</v>
      </c>
      <c r="B171" s="23" t="s">
        <v>32</v>
      </c>
      <c r="C171" s="18" t="s">
        <v>62</v>
      </c>
      <c r="D171" s="18"/>
      <c r="E171" s="19" t="s">
        <v>74</v>
      </c>
      <c r="F171" s="18" t="s">
        <v>432</v>
      </c>
      <c r="G171" s="19" t="s">
        <v>409</v>
      </c>
      <c r="H171" s="18">
        <v>7</v>
      </c>
      <c r="I171" s="18">
        <v>2</v>
      </c>
      <c r="J171" s="18">
        <v>2</v>
      </c>
      <c r="K171" s="20">
        <v>2114.4</v>
      </c>
      <c r="L171" s="20">
        <v>2114.4</v>
      </c>
      <c r="M171" s="21">
        <f t="shared" si="4"/>
        <v>0</v>
      </c>
      <c r="N171" s="18">
        <v>4</v>
      </c>
      <c r="O171" s="20">
        <v>4581.2</v>
      </c>
      <c r="P171" s="20">
        <v>4581.2</v>
      </c>
      <c r="Q171" s="20">
        <f t="shared" si="5"/>
        <v>0</v>
      </c>
    </row>
    <row r="172" spans="1:17" ht="26.25" thickBot="1" x14ac:dyDescent="0.3">
      <c r="A172" s="18">
        <v>26</v>
      </c>
      <c r="B172" s="23" t="s">
        <v>343</v>
      </c>
      <c r="C172" s="18" t="s">
        <v>62</v>
      </c>
      <c r="D172" s="18"/>
      <c r="E172" s="19" t="s">
        <v>74</v>
      </c>
      <c r="F172" s="18" t="s">
        <v>433</v>
      </c>
      <c r="G172" s="19" t="s">
        <v>409</v>
      </c>
      <c r="H172" s="18">
        <v>6</v>
      </c>
      <c r="I172" s="18">
        <v>1</v>
      </c>
      <c r="J172" s="18">
        <v>1</v>
      </c>
      <c r="K172" s="20">
        <v>1585.8</v>
      </c>
      <c r="L172" s="20"/>
      <c r="M172" s="21">
        <f t="shared" si="4"/>
        <v>1585.8</v>
      </c>
      <c r="N172" s="18"/>
      <c r="O172" s="20"/>
      <c r="P172" s="20"/>
      <c r="Q172" s="20">
        <f t="shared" si="5"/>
        <v>0</v>
      </c>
    </row>
    <row r="173" spans="1:17" ht="26.25" thickBot="1" x14ac:dyDescent="0.3">
      <c r="A173" s="18">
        <v>27</v>
      </c>
      <c r="B173" s="23" t="s">
        <v>290</v>
      </c>
      <c r="C173" s="18" t="s">
        <v>62</v>
      </c>
      <c r="D173" s="18"/>
      <c r="E173" s="18" t="s">
        <v>371</v>
      </c>
      <c r="F173" s="18" t="s">
        <v>434</v>
      </c>
      <c r="G173" s="19" t="s">
        <v>409</v>
      </c>
      <c r="H173" s="18">
        <v>3</v>
      </c>
      <c r="I173" s="18"/>
      <c r="J173" s="18"/>
      <c r="K173" s="20"/>
      <c r="L173" s="20"/>
      <c r="M173" s="21">
        <f t="shared" si="4"/>
        <v>0</v>
      </c>
      <c r="N173" s="18"/>
      <c r="O173" s="20"/>
      <c r="P173" s="20"/>
      <c r="Q173" s="20">
        <f t="shared" si="5"/>
        <v>0</v>
      </c>
    </row>
    <row r="174" spans="1:17" ht="26.25" thickBot="1" x14ac:dyDescent="0.3">
      <c r="A174" s="18">
        <v>28</v>
      </c>
      <c r="B174" s="23" t="s">
        <v>315</v>
      </c>
      <c r="C174" s="18" t="s">
        <v>62</v>
      </c>
      <c r="D174" s="18"/>
      <c r="E174" s="19" t="s">
        <v>74</v>
      </c>
      <c r="F174" s="18" t="s">
        <v>435</v>
      </c>
      <c r="G174" s="19" t="s">
        <v>409</v>
      </c>
      <c r="H174" s="18">
        <v>12</v>
      </c>
      <c r="I174" s="18"/>
      <c r="J174" s="18"/>
      <c r="K174" s="20"/>
      <c r="L174" s="20"/>
      <c r="M174" s="21">
        <f t="shared" si="4"/>
        <v>0</v>
      </c>
      <c r="N174" s="18">
        <v>2</v>
      </c>
      <c r="O174" s="20">
        <v>1386.2</v>
      </c>
      <c r="P174" s="20">
        <v>1386.2</v>
      </c>
      <c r="Q174" s="20">
        <f t="shared" si="5"/>
        <v>0</v>
      </c>
    </row>
    <row r="175" spans="1:17" ht="26.25" thickBot="1" x14ac:dyDescent="0.3">
      <c r="A175" s="18">
        <v>29</v>
      </c>
      <c r="B175" s="23" t="s">
        <v>216</v>
      </c>
      <c r="C175" s="18" t="s">
        <v>67</v>
      </c>
      <c r="D175" s="18" t="s">
        <v>436</v>
      </c>
      <c r="E175" s="19" t="s">
        <v>74</v>
      </c>
      <c r="F175" s="18" t="s">
        <v>437</v>
      </c>
      <c r="G175" s="19" t="s">
        <v>409</v>
      </c>
      <c r="H175" s="18">
        <v>15</v>
      </c>
      <c r="I175" s="18">
        <v>2</v>
      </c>
      <c r="J175" s="18">
        <v>2</v>
      </c>
      <c r="K175" s="20">
        <v>1409.6</v>
      </c>
      <c r="L175" s="20"/>
      <c r="M175" s="21">
        <f t="shared" si="4"/>
        <v>1409.6</v>
      </c>
      <c r="N175" s="18"/>
      <c r="O175" s="20"/>
      <c r="P175" s="20"/>
      <c r="Q175" s="20">
        <f t="shared" si="5"/>
        <v>0</v>
      </c>
    </row>
    <row r="176" spans="1:17" ht="26.25" thickBot="1" x14ac:dyDescent="0.3">
      <c r="A176" s="18">
        <v>30</v>
      </c>
      <c r="B176" s="23" t="s">
        <v>438</v>
      </c>
      <c r="C176" s="18" t="s">
        <v>62</v>
      </c>
      <c r="D176" s="18"/>
      <c r="E176" s="19" t="s">
        <v>74</v>
      </c>
      <c r="F176" s="18" t="s">
        <v>439</v>
      </c>
      <c r="G176" s="19" t="s">
        <v>409</v>
      </c>
      <c r="H176" s="18">
        <v>5</v>
      </c>
      <c r="I176" s="18"/>
      <c r="J176" s="18"/>
      <c r="K176" s="20"/>
      <c r="L176" s="20"/>
      <c r="M176" s="21">
        <f t="shared" si="4"/>
        <v>0</v>
      </c>
      <c r="N176" s="18"/>
      <c r="O176" s="20"/>
      <c r="P176" s="20"/>
      <c r="Q176" s="20">
        <f t="shared" si="5"/>
        <v>0</v>
      </c>
    </row>
    <row r="177" spans="1:17" ht="26.25" thickBot="1" x14ac:dyDescent="0.3">
      <c r="A177" s="18">
        <v>31</v>
      </c>
      <c r="B177" s="22" t="s">
        <v>440</v>
      </c>
      <c r="C177" s="18" t="s">
        <v>62</v>
      </c>
      <c r="D177" s="18"/>
      <c r="E177" s="19" t="s">
        <v>74</v>
      </c>
      <c r="F177" s="18" t="s">
        <v>441</v>
      </c>
      <c r="G177" s="19" t="s">
        <v>409</v>
      </c>
      <c r="H177" s="18">
        <v>7</v>
      </c>
      <c r="I177" s="18"/>
      <c r="J177" s="18"/>
      <c r="K177" s="20"/>
      <c r="L177" s="20"/>
      <c r="M177" s="21">
        <f t="shared" si="4"/>
        <v>0</v>
      </c>
      <c r="N177" s="18"/>
      <c r="O177" s="20"/>
      <c r="P177" s="20"/>
      <c r="Q177" s="20">
        <f t="shared" si="5"/>
        <v>0</v>
      </c>
    </row>
    <row r="178" spans="1:17" ht="26.25" thickBot="1" x14ac:dyDescent="0.3">
      <c r="A178" s="18">
        <v>32</v>
      </c>
      <c r="B178" s="23" t="s">
        <v>222</v>
      </c>
      <c r="C178" s="18" t="s">
        <v>64</v>
      </c>
      <c r="D178" s="18" t="s">
        <v>442</v>
      </c>
      <c r="E178" s="19" t="s">
        <v>74</v>
      </c>
      <c r="F178" s="18" t="s">
        <v>443</v>
      </c>
      <c r="G178" s="19" t="s">
        <v>409</v>
      </c>
      <c r="H178" s="18"/>
      <c r="I178" s="18"/>
      <c r="J178" s="18"/>
      <c r="K178" s="20"/>
      <c r="L178" s="20"/>
      <c r="M178" s="21">
        <f t="shared" si="4"/>
        <v>0</v>
      </c>
      <c r="N178" s="18"/>
      <c r="O178" s="20"/>
      <c r="P178" s="20"/>
      <c r="Q178" s="20">
        <f t="shared" si="5"/>
        <v>0</v>
      </c>
    </row>
    <row r="179" spans="1:17" ht="26.25" thickBot="1" x14ac:dyDescent="0.3">
      <c r="A179" s="18">
        <v>33</v>
      </c>
      <c r="B179" s="23" t="s">
        <v>444</v>
      </c>
      <c r="C179" s="18" t="s">
        <v>62</v>
      </c>
      <c r="D179" s="18"/>
      <c r="E179" s="19" t="s">
        <v>74</v>
      </c>
      <c r="F179" s="18" t="s">
        <v>445</v>
      </c>
      <c r="G179" s="19" t="s">
        <v>409</v>
      </c>
      <c r="H179" s="18">
        <v>4</v>
      </c>
      <c r="I179" s="18">
        <v>2</v>
      </c>
      <c r="J179" s="18">
        <v>2</v>
      </c>
      <c r="K179" s="20">
        <v>1409.6</v>
      </c>
      <c r="L179" s="20"/>
      <c r="M179" s="21">
        <f t="shared" si="4"/>
        <v>1409.6</v>
      </c>
      <c r="N179" s="18"/>
      <c r="O179" s="20"/>
      <c r="P179" s="20"/>
      <c r="Q179" s="20">
        <f t="shared" si="5"/>
        <v>0</v>
      </c>
    </row>
    <row r="180" spans="1:17" ht="26.25" thickBot="1" x14ac:dyDescent="0.3">
      <c r="A180" s="18">
        <v>34</v>
      </c>
      <c r="B180" s="23" t="s">
        <v>129</v>
      </c>
      <c r="C180" s="18" t="s">
        <v>62</v>
      </c>
      <c r="D180" s="18"/>
      <c r="E180" s="19" t="s">
        <v>74</v>
      </c>
      <c r="F180" s="18" t="s">
        <v>446</v>
      </c>
      <c r="G180" s="19" t="s">
        <v>409</v>
      </c>
      <c r="H180" s="18">
        <v>4</v>
      </c>
      <c r="I180" s="18">
        <v>3</v>
      </c>
      <c r="J180" s="18">
        <v>3</v>
      </c>
      <c r="K180" s="20">
        <v>2975.4</v>
      </c>
      <c r="L180" s="20">
        <v>1948.2</v>
      </c>
      <c r="M180" s="21">
        <f t="shared" si="4"/>
        <v>1027.2</v>
      </c>
      <c r="N180" s="18">
        <v>7</v>
      </c>
      <c r="O180" s="20">
        <v>10947.78</v>
      </c>
      <c r="P180" s="20">
        <v>7342.3</v>
      </c>
      <c r="Q180" s="20">
        <f t="shared" si="5"/>
        <v>3605.4800000000005</v>
      </c>
    </row>
    <row r="181" spans="1:17" ht="25.5" x14ac:dyDescent="0.25">
      <c r="A181" s="18">
        <v>35</v>
      </c>
      <c r="B181" s="18" t="s">
        <v>104</v>
      </c>
      <c r="C181" s="18" t="s">
        <v>62</v>
      </c>
      <c r="D181" s="18"/>
      <c r="E181" s="19" t="s">
        <v>105</v>
      </c>
      <c r="F181" s="18" t="s">
        <v>447</v>
      </c>
      <c r="G181" s="19" t="s">
        <v>409</v>
      </c>
      <c r="H181" s="18"/>
      <c r="I181" s="18"/>
      <c r="J181" s="18"/>
      <c r="K181" s="20"/>
      <c r="L181" s="20"/>
      <c r="M181" s="21">
        <f t="shared" si="4"/>
        <v>0</v>
      </c>
      <c r="N181" s="18">
        <v>7</v>
      </c>
      <c r="O181" s="20">
        <v>5726.5</v>
      </c>
      <c r="P181" s="20">
        <v>5726.5</v>
      </c>
      <c r="Q181" s="20">
        <f t="shared" si="5"/>
        <v>0</v>
      </c>
    </row>
    <row r="182" spans="1:17" ht="25.5" x14ac:dyDescent="0.25">
      <c r="A182" s="18">
        <v>36</v>
      </c>
      <c r="B182" s="18" t="s">
        <v>156</v>
      </c>
      <c r="C182" s="18" t="s">
        <v>67</v>
      </c>
      <c r="D182" s="18" t="s">
        <v>501</v>
      </c>
      <c r="E182" s="19" t="s">
        <v>74</v>
      </c>
      <c r="F182" s="18" t="s">
        <v>502</v>
      </c>
      <c r="G182" s="19" t="s">
        <v>409</v>
      </c>
      <c r="H182" s="18">
        <v>3</v>
      </c>
      <c r="I182" s="18"/>
      <c r="J182" s="18"/>
      <c r="K182" s="20"/>
      <c r="L182" s="20"/>
      <c r="M182" s="21">
        <f t="shared" si="4"/>
        <v>0</v>
      </c>
      <c r="N182" s="18">
        <v>2</v>
      </c>
      <c r="O182" s="20">
        <v>4757.3999999999996</v>
      </c>
      <c r="P182" s="20">
        <v>4757.3999999999996</v>
      </c>
      <c r="Q182" s="20">
        <f t="shared" si="5"/>
        <v>0</v>
      </c>
    </row>
    <row r="183" spans="1:17" ht="25.5" x14ac:dyDescent="0.25">
      <c r="A183" s="18">
        <v>37</v>
      </c>
      <c r="B183" s="18" t="s">
        <v>133</v>
      </c>
      <c r="C183" s="18" t="s">
        <v>67</v>
      </c>
      <c r="D183" s="18" t="s">
        <v>397</v>
      </c>
      <c r="E183" s="19" t="s">
        <v>74</v>
      </c>
      <c r="F183" s="18" t="s">
        <v>503</v>
      </c>
      <c r="G183" s="19" t="s">
        <v>409</v>
      </c>
      <c r="H183" s="18">
        <v>7</v>
      </c>
      <c r="I183" s="18"/>
      <c r="J183" s="18"/>
      <c r="K183" s="20"/>
      <c r="L183" s="20"/>
      <c r="M183" s="21">
        <f t="shared" si="4"/>
        <v>0</v>
      </c>
      <c r="N183" s="18">
        <v>6</v>
      </c>
      <c r="O183" s="20">
        <v>14551.26</v>
      </c>
      <c r="P183" s="20">
        <v>14551.26</v>
      </c>
      <c r="Q183" s="20">
        <f t="shared" si="5"/>
        <v>0</v>
      </c>
    </row>
    <row r="184" spans="1:17" ht="25.5" x14ac:dyDescent="0.25">
      <c r="A184" s="18">
        <v>38</v>
      </c>
      <c r="B184" s="18" t="s">
        <v>114</v>
      </c>
      <c r="C184" s="18" t="s">
        <v>62</v>
      </c>
      <c r="D184" s="18"/>
      <c r="E184" s="19" t="s">
        <v>115</v>
      </c>
      <c r="F184" s="18" t="s">
        <v>504</v>
      </c>
      <c r="G184" s="19" t="s">
        <v>409</v>
      </c>
      <c r="H184" s="18"/>
      <c r="I184" s="18"/>
      <c r="J184" s="18"/>
      <c r="K184" s="20"/>
      <c r="L184" s="20"/>
      <c r="M184" s="21">
        <f t="shared" si="4"/>
        <v>0</v>
      </c>
      <c r="N184" s="18"/>
      <c r="O184" s="20"/>
      <c r="P184" s="20"/>
      <c r="Q184" s="20">
        <f t="shared" si="5"/>
        <v>0</v>
      </c>
    </row>
    <row r="185" spans="1:17" ht="25.5" x14ac:dyDescent="0.25">
      <c r="A185" s="18">
        <v>39</v>
      </c>
      <c r="B185" s="18" t="s">
        <v>505</v>
      </c>
      <c r="C185" s="18" t="s">
        <v>62</v>
      </c>
      <c r="D185" s="18"/>
      <c r="E185" s="19" t="s">
        <v>74</v>
      </c>
      <c r="F185" s="18" t="s">
        <v>506</v>
      </c>
      <c r="G185" s="19" t="s">
        <v>409</v>
      </c>
      <c r="H185" s="18"/>
      <c r="I185" s="18"/>
      <c r="J185" s="18"/>
      <c r="K185" s="20"/>
      <c r="L185" s="20"/>
      <c r="M185" s="21">
        <f t="shared" si="4"/>
        <v>0</v>
      </c>
      <c r="N185" s="18"/>
      <c r="O185" s="20"/>
      <c r="P185" s="20"/>
      <c r="Q185" s="20">
        <f t="shared" si="5"/>
        <v>0</v>
      </c>
    </row>
    <row r="186" spans="1:17" x14ac:dyDescent="0.25">
      <c r="A186" s="24">
        <v>1</v>
      </c>
      <c r="B186" s="25" t="s">
        <v>146</v>
      </c>
      <c r="C186" s="1" t="s">
        <v>62</v>
      </c>
      <c r="D186" s="1"/>
      <c r="E186" s="1" t="s">
        <v>74</v>
      </c>
      <c r="F186" s="26" t="s">
        <v>325</v>
      </c>
      <c r="G186" s="27" t="s">
        <v>326</v>
      </c>
      <c r="H186" s="27">
        <v>11</v>
      </c>
      <c r="I186" s="27">
        <v>3</v>
      </c>
      <c r="J186" s="27">
        <v>3</v>
      </c>
      <c r="K186" s="28">
        <f>2643+2466.8</f>
        <v>5109.8</v>
      </c>
      <c r="L186" s="28">
        <f>5109.8</f>
        <v>5109.8</v>
      </c>
      <c r="M186" s="28">
        <f t="shared" si="4"/>
        <v>0</v>
      </c>
      <c r="N186" s="27">
        <v>6</v>
      </c>
      <c r="O186" s="28">
        <v>5374.1</v>
      </c>
      <c r="P186" s="28">
        <f>2378.7+2995.4</f>
        <v>5374.1</v>
      </c>
      <c r="Q186" s="28">
        <f t="shared" si="5"/>
        <v>0</v>
      </c>
    </row>
    <row r="187" spans="1:17" x14ac:dyDescent="0.25">
      <c r="A187" s="24">
        <v>2</v>
      </c>
      <c r="B187" s="25" t="s">
        <v>166</v>
      </c>
      <c r="C187" s="1" t="s">
        <v>62</v>
      </c>
      <c r="D187" s="1"/>
      <c r="E187" s="1" t="s">
        <v>158</v>
      </c>
      <c r="F187" s="26" t="s">
        <v>327</v>
      </c>
      <c r="G187" s="26" t="s">
        <v>326</v>
      </c>
      <c r="H187" s="27">
        <v>3</v>
      </c>
      <c r="I187" s="27">
        <v>1</v>
      </c>
      <c r="J187" s="27">
        <v>1</v>
      </c>
      <c r="K187" s="28">
        <v>1233.4000000000001</v>
      </c>
      <c r="L187" s="28">
        <f>73.95</f>
        <v>73.95</v>
      </c>
      <c r="M187" s="28">
        <f t="shared" si="4"/>
        <v>1159.45</v>
      </c>
      <c r="N187" s="27">
        <v>0</v>
      </c>
      <c r="O187" s="28">
        <v>0</v>
      </c>
      <c r="P187" s="28">
        <v>0</v>
      </c>
      <c r="Q187" s="28">
        <f t="shared" si="5"/>
        <v>0</v>
      </c>
    </row>
    <row r="188" spans="1:17" x14ac:dyDescent="0.25">
      <c r="A188" s="24">
        <v>3</v>
      </c>
      <c r="B188" s="25" t="s">
        <v>173</v>
      </c>
      <c r="C188" s="1" t="s">
        <v>67</v>
      </c>
      <c r="D188" s="1" t="s">
        <v>328</v>
      </c>
      <c r="E188" s="1" t="s">
        <v>158</v>
      </c>
      <c r="F188" s="26" t="s">
        <v>329</v>
      </c>
      <c r="G188" s="26" t="s">
        <v>326</v>
      </c>
      <c r="H188" s="27">
        <v>4</v>
      </c>
      <c r="I188" s="27">
        <v>0</v>
      </c>
      <c r="J188" s="27">
        <v>0</v>
      </c>
      <c r="K188" s="28">
        <v>0</v>
      </c>
      <c r="L188" s="28">
        <v>0</v>
      </c>
      <c r="M188" s="28">
        <f t="shared" si="4"/>
        <v>0</v>
      </c>
      <c r="N188" s="27">
        <v>0</v>
      </c>
      <c r="O188" s="28">
        <v>0</v>
      </c>
      <c r="P188" s="28">
        <v>0</v>
      </c>
      <c r="Q188" s="28">
        <f t="shared" si="5"/>
        <v>0</v>
      </c>
    </row>
    <row r="189" spans="1:17" x14ac:dyDescent="0.25">
      <c r="A189" s="24">
        <v>4</v>
      </c>
      <c r="B189" s="25" t="s">
        <v>330</v>
      </c>
      <c r="C189" s="1" t="s">
        <v>62</v>
      </c>
      <c r="D189" s="1"/>
      <c r="E189" s="1" t="s">
        <v>158</v>
      </c>
      <c r="F189" s="26" t="s">
        <v>331</v>
      </c>
      <c r="G189" s="26" t="s">
        <v>326</v>
      </c>
      <c r="H189" s="27">
        <v>9</v>
      </c>
      <c r="I189" s="27">
        <v>9</v>
      </c>
      <c r="J189" s="27">
        <v>9</v>
      </c>
      <c r="K189" s="28">
        <f>704.8+11276.8</f>
        <v>11981.599999999999</v>
      </c>
      <c r="L189" s="28">
        <f>704.8</f>
        <v>704.8</v>
      </c>
      <c r="M189" s="28">
        <f t="shared" si="4"/>
        <v>11276.8</v>
      </c>
      <c r="N189" s="27">
        <v>0</v>
      </c>
      <c r="O189" s="28">
        <v>0</v>
      </c>
      <c r="P189" s="28">
        <v>0</v>
      </c>
      <c r="Q189" s="28">
        <f t="shared" si="5"/>
        <v>0</v>
      </c>
    </row>
    <row r="190" spans="1:17" x14ac:dyDescent="0.25">
      <c r="A190" s="24">
        <v>5</v>
      </c>
      <c r="B190" s="25" t="s">
        <v>147</v>
      </c>
      <c r="C190" s="1" t="s">
        <v>62</v>
      </c>
      <c r="D190" s="29"/>
      <c r="E190" s="1" t="s">
        <v>74</v>
      </c>
      <c r="F190" s="26" t="s">
        <v>332</v>
      </c>
      <c r="G190" s="26" t="s">
        <v>326</v>
      </c>
      <c r="H190" s="30">
        <v>10</v>
      </c>
      <c r="I190" s="30">
        <v>3</v>
      </c>
      <c r="J190" s="30">
        <v>3</v>
      </c>
      <c r="K190" s="31">
        <f>1409.6+1762</f>
        <v>3171.6</v>
      </c>
      <c r="L190" s="28">
        <f>1409.6</f>
        <v>1409.6</v>
      </c>
      <c r="M190" s="28">
        <f t="shared" si="4"/>
        <v>1762</v>
      </c>
      <c r="N190" s="27">
        <v>3</v>
      </c>
      <c r="O190" s="32">
        <v>4757.3999999999996</v>
      </c>
      <c r="P190" s="32">
        <f>4052.6+704.8</f>
        <v>4757.3999999999996</v>
      </c>
      <c r="Q190" s="28">
        <f t="shared" si="5"/>
        <v>0</v>
      </c>
    </row>
    <row r="191" spans="1:17" x14ac:dyDescent="0.25">
      <c r="A191" s="24">
        <v>6</v>
      </c>
      <c r="B191" s="25" t="s">
        <v>88</v>
      </c>
      <c r="C191" s="1" t="s">
        <v>62</v>
      </c>
      <c r="D191" s="29"/>
      <c r="E191" s="1" t="s">
        <v>74</v>
      </c>
      <c r="F191" s="26" t="s">
        <v>333</v>
      </c>
      <c r="G191" s="26" t="s">
        <v>326</v>
      </c>
      <c r="H191" s="30">
        <v>2</v>
      </c>
      <c r="I191" s="30">
        <v>2</v>
      </c>
      <c r="J191" s="30">
        <v>2</v>
      </c>
      <c r="K191" s="31">
        <f>704.8+1585.8</f>
        <v>2290.6</v>
      </c>
      <c r="L191" s="28">
        <v>704.8</v>
      </c>
      <c r="M191" s="28">
        <f t="shared" si="4"/>
        <v>1585.8</v>
      </c>
      <c r="N191" s="27">
        <v>1</v>
      </c>
      <c r="O191" s="32">
        <v>1145.3</v>
      </c>
      <c r="P191" s="28">
        <v>1145.3</v>
      </c>
      <c r="Q191" s="28">
        <f t="shared" si="5"/>
        <v>0</v>
      </c>
    </row>
    <row r="192" spans="1:17" x14ac:dyDescent="0.25">
      <c r="A192" s="24">
        <v>7</v>
      </c>
      <c r="B192" s="25" t="s">
        <v>182</v>
      </c>
      <c r="C192" s="1" t="s">
        <v>62</v>
      </c>
      <c r="D192" s="29"/>
      <c r="E192" s="1" t="s">
        <v>158</v>
      </c>
      <c r="F192" s="26" t="s">
        <v>334</v>
      </c>
      <c r="G192" s="26" t="s">
        <v>326</v>
      </c>
      <c r="H192" s="30">
        <v>2</v>
      </c>
      <c r="I192" s="30">
        <v>0</v>
      </c>
      <c r="J192" s="30">
        <v>0</v>
      </c>
      <c r="K192" s="31"/>
      <c r="L192" s="28">
        <v>0</v>
      </c>
      <c r="M192" s="28">
        <f t="shared" si="4"/>
        <v>0</v>
      </c>
      <c r="N192" s="27">
        <v>0</v>
      </c>
      <c r="O192" s="32"/>
      <c r="P192" s="28">
        <v>0</v>
      </c>
      <c r="Q192" s="28">
        <f t="shared" si="5"/>
        <v>0</v>
      </c>
    </row>
    <row r="193" spans="1:17" x14ac:dyDescent="0.25">
      <c r="A193" s="24">
        <v>8</v>
      </c>
      <c r="B193" s="25" t="s">
        <v>335</v>
      </c>
      <c r="C193" s="1" t="s">
        <v>62</v>
      </c>
      <c r="D193" s="33"/>
      <c r="E193" s="1" t="s">
        <v>74</v>
      </c>
      <c r="F193" s="26" t="s">
        <v>336</v>
      </c>
      <c r="G193" s="26" t="s">
        <v>326</v>
      </c>
      <c r="H193" s="30">
        <v>11</v>
      </c>
      <c r="I193" s="30">
        <v>1</v>
      </c>
      <c r="J193" s="30">
        <v>1</v>
      </c>
      <c r="K193" s="31"/>
      <c r="L193" s="28">
        <v>0</v>
      </c>
      <c r="M193" s="28">
        <f t="shared" si="4"/>
        <v>0</v>
      </c>
      <c r="N193" s="27">
        <v>6</v>
      </c>
      <c r="O193" s="34">
        <f>3435.9+3171.6</f>
        <v>6607.5</v>
      </c>
      <c r="P193" s="28">
        <f>3435.9+3171.6</f>
        <v>6607.5</v>
      </c>
      <c r="Q193" s="28">
        <f t="shared" si="5"/>
        <v>0</v>
      </c>
    </row>
    <row r="194" spans="1:17" x14ac:dyDescent="0.25">
      <c r="A194" s="24">
        <v>9</v>
      </c>
      <c r="B194" s="25" t="s">
        <v>27</v>
      </c>
      <c r="C194" s="1" t="s">
        <v>62</v>
      </c>
      <c r="D194" s="29"/>
      <c r="E194" s="1" t="s">
        <v>158</v>
      </c>
      <c r="F194" s="26" t="s">
        <v>337</v>
      </c>
      <c r="G194" s="26" t="s">
        <v>326</v>
      </c>
      <c r="H194" s="30">
        <v>11</v>
      </c>
      <c r="I194" s="30">
        <v>9</v>
      </c>
      <c r="J194" s="30">
        <v>9</v>
      </c>
      <c r="K194" s="31">
        <v>5638.4</v>
      </c>
      <c r="L194" s="28">
        <f>1233.4+4405</f>
        <v>5638.4</v>
      </c>
      <c r="M194" s="28">
        <f t="shared" si="4"/>
        <v>0</v>
      </c>
      <c r="N194" s="27">
        <v>0</v>
      </c>
      <c r="O194" s="32"/>
      <c r="P194" s="32">
        <v>0</v>
      </c>
      <c r="Q194" s="28">
        <f t="shared" si="5"/>
        <v>0</v>
      </c>
    </row>
    <row r="195" spans="1:17" x14ac:dyDescent="0.25">
      <c r="A195" s="35">
        <v>10</v>
      </c>
      <c r="B195" s="25" t="s">
        <v>190</v>
      </c>
      <c r="C195" s="1" t="s">
        <v>62</v>
      </c>
      <c r="D195" s="29"/>
      <c r="E195" s="1" t="s">
        <v>338</v>
      </c>
      <c r="F195" s="26" t="s">
        <v>339</v>
      </c>
      <c r="G195" s="26" t="s">
        <v>326</v>
      </c>
      <c r="H195" s="30">
        <v>9</v>
      </c>
      <c r="I195" s="30">
        <v>3</v>
      </c>
      <c r="J195" s="30">
        <v>3</v>
      </c>
      <c r="K195" s="31">
        <f>1938.2</f>
        <v>1938.2</v>
      </c>
      <c r="L195" s="28">
        <f>704.8+704.8+528.6</f>
        <v>1938.1999999999998</v>
      </c>
      <c r="M195" s="28">
        <f t="shared" si="4"/>
        <v>0</v>
      </c>
      <c r="N195" s="27">
        <v>0</v>
      </c>
      <c r="O195" s="32"/>
      <c r="P195" s="28">
        <v>0</v>
      </c>
      <c r="Q195" s="28">
        <f t="shared" si="5"/>
        <v>0</v>
      </c>
    </row>
    <row r="196" spans="1:17" x14ac:dyDescent="0.25">
      <c r="A196" s="35">
        <v>11</v>
      </c>
      <c r="B196" s="25" t="s">
        <v>89</v>
      </c>
      <c r="C196" s="1" t="s">
        <v>62</v>
      </c>
      <c r="D196" s="29"/>
      <c r="E196" s="1" t="s">
        <v>74</v>
      </c>
      <c r="F196" s="26" t="s">
        <v>340</v>
      </c>
      <c r="G196" s="26" t="s">
        <v>326</v>
      </c>
      <c r="H196" s="30">
        <v>3</v>
      </c>
      <c r="I196" s="30">
        <v>3</v>
      </c>
      <c r="J196" s="30">
        <v>3</v>
      </c>
      <c r="K196" s="31">
        <v>1762</v>
      </c>
      <c r="L196" s="28">
        <f>1762</f>
        <v>1762</v>
      </c>
      <c r="M196" s="28">
        <f t="shared" si="4"/>
        <v>0</v>
      </c>
      <c r="N196" s="27">
        <v>2</v>
      </c>
      <c r="O196" s="32">
        <v>440.5</v>
      </c>
      <c r="P196" s="28">
        <f>440.5</f>
        <v>440.5</v>
      </c>
      <c r="Q196" s="28">
        <f t="shared" si="5"/>
        <v>0</v>
      </c>
    </row>
    <row r="197" spans="1:17" x14ac:dyDescent="0.25">
      <c r="A197" s="35">
        <v>12</v>
      </c>
      <c r="B197" s="25" t="s">
        <v>196</v>
      </c>
      <c r="C197" s="1" t="s">
        <v>62</v>
      </c>
      <c r="D197" s="29"/>
      <c r="E197" s="1" t="s">
        <v>341</v>
      </c>
      <c r="F197" s="26" t="s">
        <v>342</v>
      </c>
      <c r="G197" s="26" t="s">
        <v>326</v>
      </c>
      <c r="H197" s="30">
        <v>7</v>
      </c>
      <c r="I197" s="30">
        <v>5</v>
      </c>
      <c r="J197" s="30">
        <v>5</v>
      </c>
      <c r="K197" s="31">
        <v>4933.6000000000004</v>
      </c>
      <c r="L197" s="28">
        <v>0</v>
      </c>
      <c r="M197" s="28">
        <f t="shared" si="4"/>
        <v>4933.6000000000004</v>
      </c>
      <c r="N197" s="27">
        <v>0</v>
      </c>
      <c r="O197" s="32"/>
      <c r="P197" s="28">
        <v>0</v>
      </c>
      <c r="Q197" s="28">
        <f t="shared" si="5"/>
        <v>0</v>
      </c>
    </row>
    <row r="198" spans="1:17" x14ac:dyDescent="0.25">
      <c r="A198" s="35">
        <v>13</v>
      </c>
      <c r="B198" s="25" t="s">
        <v>343</v>
      </c>
      <c r="C198" s="1" t="s">
        <v>62</v>
      </c>
      <c r="D198" s="29"/>
      <c r="E198" s="1" t="s">
        <v>74</v>
      </c>
      <c r="F198" s="26" t="s">
        <v>344</v>
      </c>
      <c r="G198" s="26" t="s">
        <v>326</v>
      </c>
      <c r="H198" s="30">
        <v>2</v>
      </c>
      <c r="I198" s="30">
        <v>0</v>
      </c>
      <c r="J198" s="30">
        <v>0</v>
      </c>
      <c r="K198" s="31"/>
      <c r="L198" s="28"/>
      <c r="M198" s="28"/>
      <c r="N198" s="27">
        <v>0</v>
      </c>
      <c r="O198" s="32"/>
      <c r="P198" s="28"/>
      <c r="Q198" s="28"/>
    </row>
    <row r="199" spans="1:17" x14ac:dyDescent="0.25">
      <c r="A199" s="35">
        <v>14</v>
      </c>
      <c r="B199" s="25" t="s">
        <v>154</v>
      </c>
      <c r="C199" s="1" t="s">
        <v>62</v>
      </c>
      <c r="D199" s="29"/>
      <c r="E199" s="1" t="s">
        <v>74</v>
      </c>
      <c r="F199" s="26" t="s">
        <v>345</v>
      </c>
      <c r="G199" s="26" t="s">
        <v>326</v>
      </c>
      <c r="H199" s="30">
        <v>4</v>
      </c>
      <c r="I199" s="30">
        <v>0</v>
      </c>
      <c r="J199" s="30">
        <v>0</v>
      </c>
      <c r="K199" s="31"/>
      <c r="L199" s="28">
        <v>0</v>
      </c>
      <c r="M199" s="28">
        <f t="shared" ref="M199:M209" si="6">K199-L199</f>
        <v>0</v>
      </c>
      <c r="N199" s="27">
        <v>3</v>
      </c>
      <c r="O199" s="32">
        <v>4228.8</v>
      </c>
      <c r="P199" s="32">
        <f>4228.8</f>
        <v>4228.8</v>
      </c>
      <c r="Q199" s="28">
        <f t="shared" ref="Q199:Q209" si="7">O199-P199</f>
        <v>0</v>
      </c>
    </row>
    <row r="200" spans="1:17" x14ac:dyDescent="0.25">
      <c r="A200" s="35">
        <v>15</v>
      </c>
      <c r="B200" s="25" t="s">
        <v>346</v>
      </c>
      <c r="C200" s="1" t="s">
        <v>62</v>
      </c>
      <c r="D200" s="29"/>
      <c r="E200" s="1" t="s">
        <v>158</v>
      </c>
      <c r="F200" s="26" t="s">
        <v>347</v>
      </c>
      <c r="G200" s="26" t="s">
        <v>326</v>
      </c>
      <c r="H200" s="30">
        <v>2</v>
      </c>
      <c r="I200" s="30">
        <v>0</v>
      </c>
      <c r="J200" s="30">
        <v>0</v>
      </c>
      <c r="K200" s="31"/>
      <c r="L200" s="28">
        <v>0</v>
      </c>
      <c r="M200" s="28">
        <f t="shared" si="6"/>
        <v>0</v>
      </c>
      <c r="N200" s="27">
        <v>0</v>
      </c>
      <c r="O200" s="32"/>
      <c r="P200" s="28">
        <v>0</v>
      </c>
      <c r="Q200" s="28">
        <f t="shared" si="7"/>
        <v>0</v>
      </c>
    </row>
    <row r="201" spans="1:17" x14ac:dyDescent="0.25">
      <c r="A201" s="35">
        <v>16</v>
      </c>
      <c r="B201" s="25" t="s">
        <v>348</v>
      </c>
      <c r="C201" s="1" t="s">
        <v>62</v>
      </c>
      <c r="D201" s="29"/>
      <c r="E201" s="1" t="s">
        <v>158</v>
      </c>
      <c r="F201" s="26" t="s">
        <v>349</v>
      </c>
      <c r="G201" s="26" t="s">
        <v>326</v>
      </c>
      <c r="H201" s="30">
        <v>2</v>
      </c>
      <c r="I201" s="30">
        <v>0</v>
      </c>
      <c r="J201" s="30">
        <v>0</v>
      </c>
      <c r="K201" s="31"/>
      <c r="L201" s="28">
        <v>0</v>
      </c>
      <c r="M201" s="28">
        <f t="shared" si="6"/>
        <v>0</v>
      </c>
      <c r="N201" s="27">
        <v>0</v>
      </c>
      <c r="O201" s="32"/>
      <c r="P201" s="28">
        <v>0</v>
      </c>
      <c r="Q201" s="28">
        <f t="shared" si="7"/>
        <v>0</v>
      </c>
    </row>
    <row r="202" spans="1:17" x14ac:dyDescent="0.25">
      <c r="A202" s="35">
        <v>17</v>
      </c>
      <c r="B202" s="25" t="s">
        <v>350</v>
      </c>
      <c r="C202" s="1" t="s">
        <v>62</v>
      </c>
      <c r="D202" s="29"/>
      <c r="E202" s="1" t="s">
        <v>74</v>
      </c>
      <c r="F202" s="26" t="s">
        <v>351</v>
      </c>
      <c r="G202" s="26" t="s">
        <v>326</v>
      </c>
      <c r="H202" s="30">
        <v>1</v>
      </c>
      <c r="I202" s="30">
        <v>0</v>
      </c>
      <c r="J202" s="30">
        <v>0</v>
      </c>
      <c r="K202" s="31"/>
      <c r="L202" s="28">
        <v>0</v>
      </c>
      <c r="M202" s="28">
        <f t="shared" si="6"/>
        <v>0</v>
      </c>
      <c r="N202" s="27">
        <v>4</v>
      </c>
      <c r="O202" s="32">
        <v>5065.75</v>
      </c>
      <c r="P202" s="28">
        <f>1894.15+3171.6</f>
        <v>5065.75</v>
      </c>
      <c r="Q202" s="28">
        <f t="shared" si="7"/>
        <v>0</v>
      </c>
    </row>
    <row r="203" spans="1:17" ht="60" x14ac:dyDescent="0.25">
      <c r="A203" s="36">
        <v>18</v>
      </c>
      <c r="B203" s="25" t="s">
        <v>222</v>
      </c>
      <c r="C203" s="1" t="s">
        <v>64</v>
      </c>
      <c r="D203" s="37" t="s">
        <v>352</v>
      </c>
      <c r="E203" s="1" t="s">
        <v>158</v>
      </c>
      <c r="F203" s="26" t="s">
        <v>353</v>
      </c>
      <c r="G203" s="26" t="s">
        <v>326</v>
      </c>
      <c r="H203" s="30">
        <v>6</v>
      </c>
      <c r="I203" s="30">
        <v>2</v>
      </c>
      <c r="J203" s="30">
        <v>2</v>
      </c>
      <c r="K203" s="31">
        <f>1233.4+2290.6</f>
        <v>3524</v>
      </c>
      <c r="L203" s="28">
        <f>1233.4+2290.6</f>
        <v>3524</v>
      </c>
      <c r="M203" s="28">
        <f t="shared" si="6"/>
        <v>0</v>
      </c>
      <c r="N203" s="27">
        <v>0</v>
      </c>
      <c r="O203" s="32"/>
      <c r="P203" s="34">
        <v>0</v>
      </c>
      <c r="Q203" s="28">
        <f t="shared" si="7"/>
        <v>0</v>
      </c>
    </row>
    <row r="204" spans="1:17" x14ac:dyDescent="0.25">
      <c r="A204" s="35">
        <v>19</v>
      </c>
      <c r="B204" s="25" t="s">
        <v>238</v>
      </c>
      <c r="C204" s="1" t="s">
        <v>62</v>
      </c>
      <c r="D204" s="29"/>
      <c r="E204" s="1" t="s">
        <v>158</v>
      </c>
      <c r="F204" s="26" t="s">
        <v>354</v>
      </c>
      <c r="G204" s="26" t="s">
        <v>326</v>
      </c>
      <c r="H204" s="30">
        <v>4</v>
      </c>
      <c r="I204" s="30">
        <v>2</v>
      </c>
      <c r="J204" s="30">
        <v>2</v>
      </c>
      <c r="K204" s="31">
        <f>2466.8</f>
        <v>2466.8000000000002</v>
      </c>
      <c r="L204" s="28">
        <f>1233.4+1233.4</f>
        <v>2466.8000000000002</v>
      </c>
      <c r="M204" s="28">
        <f t="shared" si="6"/>
        <v>0</v>
      </c>
      <c r="N204" s="27">
        <v>0</v>
      </c>
      <c r="O204" s="32"/>
      <c r="P204" s="28">
        <v>0</v>
      </c>
      <c r="Q204" s="28">
        <f t="shared" si="7"/>
        <v>0</v>
      </c>
    </row>
    <row r="205" spans="1:17" x14ac:dyDescent="0.25">
      <c r="A205" s="35">
        <v>20</v>
      </c>
      <c r="B205" s="25" t="s">
        <v>355</v>
      </c>
      <c r="C205" s="1" t="s">
        <v>62</v>
      </c>
      <c r="D205" s="29"/>
      <c r="E205" s="1" t="s">
        <v>158</v>
      </c>
      <c r="F205" s="26" t="s">
        <v>356</v>
      </c>
      <c r="G205" s="26" t="s">
        <v>326</v>
      </c>
      <c r="H205" s="30">
        <v>3</v>
      </c>
      <c r="I205" s="30">
        <v>2</v>
      </c>
      <c r="J205" s="30">
        <v>2</v>
      </c>
      <c r="K205" s="31">
        <v>1762</v>
      </c>
      <c r="L205" s="28">
        <f>1233.4+528.6</f>
        <v>1762</v>
      </c>
      <c r="M205" s="28">
        <f t="shared" si="6"/>
        <v>0</v>
      </c>
      <c r="N205" s="27">
        <v>0</v>
      </c>
      <c r="O205" s="32"/>
      <c r="P205" s="28">
        <v>0</v>
      </c>
      <c r="Q205" s="28">
        <f t="shared" si="7"/>
        <v>0</v>
      </c>
    </row>
    <row r="206" spans="1:17" ht="38.25" x14ac:dyDescent="0.25">
      <c r="A206" s="36">
        <v>21</v>
      </c>
      <c r="B206" s="25" t="s">
        <v>357</v>
      </c>
      <c r="C206" s="1" t="s">
        <v>64</v>
      </c>
      <c r="D206" s="24" t="s">
        <v>358</v>
      </c>
      <c r="E206" s="1" t="s">
        <v>158</v>
      </c>
      <c r="F206" s="1" t="s">
        <v>507</v>
      </c>
      <c r="G206" s="26" t="s">
        <v>326</v>
      </c>
      <c r="H206" s="30">
        <v>0</v>
      </c>
      <c r="I206" s="33">
        <v>0</v>
      </c>
      <c r="J206" s="33">
        <v>0</v>
      </c>
      <c r="K206" s="31"/>
      <c r="L206" s="28">
        <v>0</v>
      </c>
      <c r="M206" s="28">
        <f t="shared" si="6"/>
        <v>0</v>
      </c>
      <c r="N206" s="27">
        <v>0</v>
      </c>
      <c r="O206" s="32"/>
      <c r="P206" s="28">
        <v>0</v>
      </c>
      <c r="Q206" s="28">
        <f t="shared" si="7"/>
        <v>0</v>
      </c>
    </row>
    <row r="207" spans="1:17" x14ac:dyDescent="0.25">
      <c r="A207" s="35">
        <v>22</v>
      </c>
      <c r="B207" s="25" t="s">
        <v>359</v>
      </c>
      <c r="C207" s="1" t="s">
        <v>62</v>
      </c>
      <c r="D207" s="24"/>
      <c r="E207" s="1" t="s">
        <v>158</v>
      </c>
      <c r="F207" s="1" t="s">
        <v>360</v>
      </c>
      <c r="G207" s="26" t="s">
        <v>326</v>
      </c>
      <c r="H207" s="30">
        <v>4</v>
      </c>
      <c r="I207" s="30">
        <v>2</v>
      </c>
      <c r="J207" s="30">
        <v>2</v>
      </c>
      <c r="K207" s="31">
        <v>1409.6</v>
      </c>
      <c r="L207" s="28">
        <f>704.8+704.8</f>
        <v>1409.6</v>
      </c>
      <c r="M207" s="28">
        <f t="shared" si="6"/>
        <v>0</v>
      </c>
      <c r="N207" s="27">
        <v>0</v>
      </c>
      <c r="O207" s="32"/>
      <c r="P207" s="32">
        <v>0</v>
      </c>
      <c r="Q207" s="28">
        <f t="shared" si="7"/>
        <v>0</v>
      </c>
    </row>
    <row r="208" spans="1:17" x14ac:dyDescent="0.25">
      <c r="A208" s="35">
        <v>23</v>
      </c>
      <c r="B208" s="25" t="s">
        <v>118</v>
      </c>
      <c r="C208" s="1" t="s">
        <v>62</v>
      </c>
      <c r="D208" s="29"/>
      <c r="E208" s="1" t="s">
        <v>338</v>
      </c>
      <c r="F208" s="26" t="s">
        <v>361</v>
      </c>
      <c r="G208" s="26" t="s">
        <v>326</v>
      </c>
      <c r="H208" s="30">
        <v>1</v>
      </c>
      <c r="I208" s="30">
        <v>0</v>
      </c>
      <c r="J208" s="30">
        <v>0</v>
      </c>
      <c r="K208" s="31"/>
      <c r="L208" s="28">
        <v>0</v>
      </c>
      <c r="M208" s="28">
        <f t="shared" si="6"/>
        <v>0</v>
      </c>
      <c r="N208" s="27">
        <v>0</v>
      </c>
      <c r="O208" s="32"/>
      <c r="P208" s="28">
        <v>0</v>
      </c>
      <c r="Q208" s="28">
        <f t="shared" si="7"/>
        <v>0</v>
      </c>
    </row>
    <row r="209" spans="1:17" x14ac:dyDescent="0.25">
      <c r="A209" s="35">
        <v>24</v>
      </c>
      <c r="B209" s="25" t="s">
        <v>246</v>
      </c>
      <c r="C209" s="1" t="s">
        <v>62</v>
      </c>
      <c r="D209" s="29"/>
      <c r="E209" s="1" t="s">
        <v>158</v>
      </c>
      <c r="F209" s="26" t="s">
        <v>362</v>
      </c>
      <c r="G209" s="26" t="s">
        <v>326</v>
      </c>
      <c r="H209" s="30">
        <v>2</v>
      </c>
      <c r="I209" s="30">
        <v>0</v>
      </c>
      <c r="J209" s="30">
        <v>0</v>
      </c>
      <c r="K209" s="31"/>
      <c r="L209" s="28">
        <v>0</v>
      </c>
      <c r="M209" s="28">
        <f t="shared" si="6"/>
        <v>0</v>
      </c>
      <c r="N209" s="27">
        <v>0</v>
      </c>
      <c r="O209" s="32"/>
      <c r="P209" s="28">
        <v>0</v>
      </c>
      <c r="Q209" s="28">
        <f t="shared" si="7"/>
        <v>0</v>
      </c>
    </row>
    <row r="210" spans="1:17" x14ac:dyDescent="0.25">
      <c r="A210" s="35">
        <v>25</v>
      </c>
      <c r="B210" s="25" t="s">
        <v>43</v>
      </c>
      <c r="C210" s="1" t="s">
        <v>62</v>
      </c>
      <c r="D210" s="29"/>
      <c r="E210" s="1" t="s">
        <v>74</v>
      </c>
      <c r="F210" s="26" t="s">
        <v>363</v>
      </c>
      <c r="G210" s="26" t="s">
        <v>326</v>
      </c>
      <c r="H210" s="30">
        <v>3</v>
      </c>
      <c r="I210" s="30">
        <v>0</v>
      </c>
      <c r="J210" s="30">
        <v>0</v>
      </c>
      <c r="K210" s="31"/>
      <c r="L210" s="28"/>
      <c r="M210" s="28"/>
      <c r="N210" s="27">
        <v>0</v>
      </c>
      <c r="O210" s="32"/>
      <c r="P210" s="28"/>
      <c r="Q210" s="28"/>
    </row>
    <row r="211" spans="1:17" x14ac:dyDescent="0.25">
      <c r="A211" s="35">
        <v>26</v>
      </c>
      <c r="B211" s="25" t="s">
        <v>364</v>
      </c>
      <c r="C211" s="1" t="s">
        <v>62</v>
      </c>
      <c r="D211" s="29"/>
      <c r="E211" s="1" t="s">
        <v>74</v>
      </c>
      <c r="F211" s="26" t="s">
        <v>365</v>
      </c>
      <c r="G211" s="26" t="s">
        <v>326</v>
      </c>
      <c r="H211" s="30">
        <v>8</v>
      </c>
      <c r="I211" s="30">
        <v>2</v>
      </c>
      <c r="J211" s="30">
        <v>2</v>
      </c>
      <c r="K211" s="31">
        <v>2466.8000000000002</v>
      </c>
      <c r="L211" s="28">
        <v>2466.8000000000002</v>
      </c>
      <c r="M211" s="28">
        <f t="shared" ref="M211:M219" si="8">K211-L211</f>
        <v>0</v>
      </c>
      <c r="N211" s="27">
        <v>2</v>
      </c>
      <c r="O211" s="32">
        <v>3524</v>
      </c>
      <c r="P211" s="28">
        <v>3524</v>
      </c>
      <c r="Q211" s="28">
        <f>O211-P211</f>
        <v>0</v>
      </c>
    </row>
    <row r="212" spans="1:17" x14ac:dyDescent="0.25">
      <c r="A212" s="35">
        <v>27</v>
      </c>
      <c r="B212" s="25" t="s">
        <v>46</v>
      </c>
      <c r="C212" s="1" t="s">
        <v>62</v>
      </c>
      <c r="D212" s="29"/>
      <c r="E212" s="1" t="s">
        <v>366</v>
      </c>
      <c r="F212" s="26" t="s">
        <v>367</v>
      </c>
      <c r="G212" s="26" t="s">
        <v>326</v>
      </c>
      <c r="H212" s="30">
        <v>0</v>
      </c>
      <c r="I212" s="30">
        <v>0</v>
      </c>
      <c r="J212" s="30">
        <v>0</v>
      </c>
      <c r="K212" s="31"/>
      <c r="L212" s="28">
        <v>0</v>
      </c>
      <c r="M212" s="28">
        <f t="shared" si="8"/>
        <v>0</v>
      </c>
      <c r="N212" s="27">
        <v>1</v>
      </c>
      <c r="O212" s="32">
        <v>4140.7</v>
      </c>
      <c r="P212" s="32">
        <v>4140.7</v>
      </c>
      <c r="Q212" s="28">
        <f>O212-P212</f>
        <v>0</v>
      </c>
    </row>
    <row r="213" spans="1:17" x14ac:dyDescent="0.25">
      <c r="A213" s="35">
        <v>28</v>
      </c>
      <c r="B213" s="25" t="s">
        <v>124</v>
      </c>
      <c r="C213" s="1" t="s">
        <v>62</v>
      </c>
      <c r="D213" s="29"/>
      <c r="E213" s="1" t="s">
        <v>74</v>
      </c>
      <c r="F213" s="26" t="s">
        <v>368</v>
      </c>
      <c r="G213" s="26" t="s">
        <v>326</v>
      </c>
      <c r="H213" s="30">
        <v>13</v>
      </c>
      <c r="I213" s="30">
        <v>8</v>
      </c>
      <c r="J213" s="30">
        <v>8</v>
      </c>
      <c r="K213" s="31">
        <v>6343.2</v>
      </c>
      <c r="L213" s="28">
        <f>1762+1762+2819.2</f>
        <v>6343.2</v>
      </c>
      <c r="M213" s="28">
        <f t="shared" si="8"/>
        <v>0</v>
      </c>
      <c r="N213" s="27">
        <v>6</v>
      </c>
      <c r="O213" s="32">
        <f>3171.6+88+1493.8</f>
        <v>4753.3999999999996</v>
      </c>
      <c r="P213" s="28">
        <f>1765.8+1493.8</f>
        <v>3259.6</v>
      </c>
      <c r="Q213" s="28">
        <f>O213-P213</f>
        <v>1493.7999999999997</v>
      </c>
    </row>
    <row r="214" spans="1:17" x14ac:dyDescent="0.25">
      <c r="A214" s="35">
        <v>29</v>
      </c>
      <c r="B214" s="25" t="s">
        <v>51</v>
      </c>
      <c r="C214" s="1" t="s">
        <v>62</v>
      </c>
      <c r="D214" s="29"/>
      <c r="E214" s="1" t="s">
        <v>74</v>
      </c>
      <c r="F214" s="26" t="s">
        <v>369</v>
      </c>
      <c r="G214" s="26" t="s">
        <v>326</v>
      </c>
      <c r="H214" s="30">
        <v>0</v>
      </c>
      <c r="I214" s="30">
        <v>0</v>
      </c>
      <c r="J214" s="30">
        <v>0</v>
      </c>
      <c r="K214" s="31"/>
      <c r="L214" s="28">
        <v>0</v>
      </c>
      <c r="M214" s="28">
        <f t="shared" si="8"/>
        <v>0</v>
      </c>
      <c r="N214" s="27">
        <v>1</v>
      </c>
      <c r="O214" s="32">
        <v>2290.6</v>
      </c>
      <c r="P214" s="28">
        <v>2290.6</v>
      </c>
      <c r="Q214" s="28">
        <f>O214-P214</f>
        <v>0</v>
      </c>
    </row>
    <row r="215" spans="1:17" x14ac:dyDescent="0.25">
      <c r="A215" s="35">
        <v>30</v>
      </c>
      <c r="B215" s="25" t="s">
        <v>150</v>
      </c>
      <c r="C215" s="1" t="s">
        <v>62</v>
      </c>
      <c r="D215" s="29"/>
      <c r="E215" s="1" t="s">
        <v>74</v>
      </c>
      <c r="F215" s="26" t="s">
        <v>370</v>
      </c>
      <c r="G215" s="26" t="s">
        <v>326</v>
      </c>
      <c r="H215" s="30">
        <v>0</v>
      </c>
      <c r="I215" s="30">
        <v>0</v>
      </c>
      <c r="J215" s="30">
        <v>0</v>
      </c>
      <c r="K215" s="31"/>
      <c r="L215" s="28">
        <v>0</v>
      </c>
      <c r="M215" s="28">
        <f t="shared" si="8"/>
        <v>0</v>
      </c>
      <c r="N215" s="27">
        <v>0</v>
      </c>
      <c r="O215" s="32"/>
      <c r="P215" s="28">
        <v>0</v>
      </c>
      <c r="Q215" s="28">
        <f>O215-P215</f>
        <v>0</v>
      </c>
    </row>
    <row r="216" spans="1:17" x14ac:dyDescent="0.25">
      <c r="A216" s="35">
        <v>31</v>
      </c>
      <c r="B216" s="25" t="s">
        <v>286</v>
      </c>
      <c r="C216" s="1" t="s">
        <v>62</v>
      </c>
      <c r="D216" s="29"/>
      <c r="E216" s="1" t="s">
        <v>74</v>
      </c>
      <c r="F216" s="26" t="s">
        <v>476</v>
      </c>
      <c r="G216" s="26" t="s">
        <v>326</v>
      </c>
      <c r="H216" s="30">
        <v>4</v>
      </c>
      <c r="I216" s="30">
        <v>1</v>
      </c>
      <c r="J216" s="30">
        <v>1</v>
      </c>
      <c r="K216" s="31">
        <v>1233.4000000000001</v>
      </c>
      <c r="L216" s="28"/>
      <c r="M216" s="28">
        <f t="shared" si="8"/>
        <v>1233.4000000000001</v>
      </c>
      <c r="N216" s="27">
        <v>0</v>
      </c>
      <c r="O216" s="32"/>
      <c r="P216" s="28"/>
      <c r="Q216" s="28"/>
    </row>
    <row r="217" spans="1:17" x14ac:dyDescent="0.25">
      <c r="A217" s="35">
        <v>32</v>
      </c>
      <c r="B217" s="25" t="s">
        <v>290</v>
      </c>
      <c r="C217" s="1" t="s">
        <v>62</v>
      </c>
      <c r="D217" s="29"/>
      <c r="E217" s="1" t="s">
        <v>371</v>
      </c>
      <c r="F217" s="26" t="s">
        <v>372</v>
      </c>
      <c r="G217" s="26" t="s">
        <v>326</v>
      </c>
      <c r="H217" s="30">
        <v>6</v>
      </c>
      <c r="I217" s="30">
        <v>3</v>
      </c>
      <c r="J217" s="30">
        <v>3</v>
      </c>
      <c r="K217" s="31">
        <f>1409.6+704.8</f>
        <v>2114.3999999999996</v>
      </c>
      <c r="L217" s="28">
        <f>1409.6</f>
        <v>1409.6</v>
      </c>
      <c r="M217" s="28">
        <f t="shared" si="8"/>
        <v>704.79999999999973</v>
      </c>
      <c r="N217" s="27">
        <v>0</v>
      </c>
      <c r="O217" s="32"/>
      <c r="P217" s="32">
        <v>0</v>
      </c>
      <c r="Q217" s="28">
        <f>O217-P217</f>
        <v>0</v>
      </c>
    </row>
    <row r="218" spans="1:17" x14ac:dyDescent="0.25">
      <c r="A218" s="35">
        <v>33</v>
      </c>
      <c r="B218" s="25" t="s">
        <v>134</v>
      </c>
      <c r="C218" s="1" t="s">
        <v>62</v>
      </c>
      <c r="D218" s="29"/>
      <c r="E218" s="1" t="s">
        <v>74</v>
      </c>
      <c r="F218" s="26" t="s">
        <v>373</v>
      </c>
      <c r="G218" s="26" t="s">
        <v>326</v>
      </c>
      <c r="H218" s="30">
        <v>3</v>
      </c>
      <c r="I218" s="30">
        <v>1</v>
      </c>
      <c r="J218" s="30">
        <v>1</v>
      </c>
      <c r="K218" s="31">
        <f>1938.2</f>
        <v>1938.2</v>
      </c>
      <c r="L218" s="28">
        <v>0</v>
      </c>
      <c r="M218" s="28">
        <f t="shared" si="8"/>
        <v>1938.2</v>
      </c>
      <c r="N218" s="27">
        <v>2</v>
      </c>
      <c r="O218" s="32">
        <v>2643</v>
      </c>
      <c r="P218" s="28">
        <f>881+1762</f>
        <v>2643</v>
      </c>
      <c r="Q218" s="28">
        <f>O218-P218</f>
        <v>0</v>
      </c>
    </row>
    <row r="219" spans="1:17" x14ac:dyDescent="0.25">
      <c r="A219" s="35">
        <v>34</v>
      </c>
      <c r="B219" s="25" t="s">
        <v>135</v>
      </c>
      <c r="C219" s="1" t="s">
        <v>62</v>
      </c>
      <c r="D219" s="29"/>
      <c r="E219" s="1" t="s">
        <v>74</v>
      </c>
      <c r="F219" s="26" t="s">
        <v>374</v>
      </c>
      <c r="G219" s="26" t="s">
        <v>326</v>
      </c>
      <c r="H219" s="30">
        <v>17</v>
      </c>
      <c r="I219" s="30">
        <v>4</v>
      </c>
      <c r="J219" s="30">
        <v>4</v>
      </c>
      <c r="K219" s="31">
        <f>5109.8+881</f>
        <v>5990.8</v>
      </c>
      <c r="L219" s="28">
        <f>2290.6+2819.2</f>
        <v>5109.7999999999993</v>
      </c>
      <c r="M219" s="28">
        <f t="shared" si="8"/>
        <v>881.00000000000091</v>
      </c>
      <c r="N219" s="27">
        <v>33</v>
      </c>
      <c r="O219" s="32">
        <f>15109.16+9717</f>
        <v>24826.16</v>
      </c>
      <c r="P219" s="28">
        <f>14228.16+881</f>
        <v>15109.16</v>
      </c>
      <c r="Q219" s="28">
        <f>O219-P219</f>
        <v>9717</v>
      </c>
    </row>
    <row r="220" spans="1:17" ht="25.5" x14ac:dyDescent="0.25">
      <c r="A220" s="36">
        <v>35</v>
      </c>
      <c r="B220" s="25" t="s">
        <v>508</v>
      </c>
      <c r="C220" s="1" t="s">
        <v>64</v>
      </c>
      <c r="D220" s="24" t="s">
        <v>509</v>
      </c>
      <c r="E220" s="1" t="s">
        <v>74</v>
      </c>
      <c r="F220" s="26" t="s">
        <v>510</v>
      </c>
      <c r="G220" s="26" t="s">
        <v>326</v>
      </c>
      <c r="H220" s="30">
        <v>3</v>
      </c>
      <c r="I220" s="30">
        <v>0</v>
      </c>
      <c r="J220" s="30">
        <v>0</v>
      </c>
      <c r="K220" s="31"/>
      <c r="L220" s="28"/>
      <c r="M220" s="28"/>
      <c r="N220" s="27">
        <v>0</v>
      </c>
      <c r="O220" s="32"/>
      <c r="P220" s="28"/>
      <c r="Q220" s="28"/>
    </row>
    <row r="221" spans="1:17" x14ac:dyDescent="0.25">
      <c r="A221" s="35">
        <v>36</v>
      </c>
      <c r="B221" s="25" t="s">
        <v>299</v>
      </c>
      <c r="C221" s="1" t="s">
        <v>62</v>
      </c>
      <c r="D221" s="29"/>
      <c r="E221" s="1" t="s">
        <v>158</v>
      </c>
      <c r="F221" s="26" t="s">
        <v>375</v>
      </c>
      <c r="G221" s="26" t="s">
        <v>326</v>
      </c>
      <c r="H221" s="30">
        <v>3</v>
      </c>
      <c r="I221" s="30">
        <v>1</v>
      </c>
      <c r="J221" s="30">
        <v>1</v>
      </c>
      <c r="K221" s="31">
        <f>704.8</f>
        <v>704.8</v>
      </c>
      <c r="L221" s="28">
        <f>704.8</f>
        <v>704.8</v>
      </c>
      <c r="M221" s="28">
        <f t="shared" ref="M221:M231" si="9">K221-L221</f>
        <v>0</v>
      </c>
      <c r="N221" s="27">
        <v>0</v>
      </c>
      <c r="O221" s="32"/>
      <c r="P221" s="28">
        <v>0</v>
      </c>
      <c r="Q221" s="28">
        <f>O221-P221</f>
        <v>0</v>
      </c>
    </row>
    <row r="222" spans="1:17" x14ac:dyDescent="0.25">
      <c r="A222" s="35">
        <v>37</v>
      </c>
      <c r="B222" s="25" t="s">
        <v>376</v>
      </c>
      <c r="C222" s="1" t="s">
        <v>62</v>
      </c>
      <c r="D222" s="29"/>
      <c r="E222" s="1" t="s">
        <v>74</v>
      </c>
      <c r="F222" s="26" t="s">
        <v>377</v>
      </c>
      <c r="G222" s="26" t="s">
        <v>326</v>
      </c>
      <c r="H222" s="30">
        <v>1</v>
      </c>
      <c r="I222" s="30">
        <v>1</v>
      </c>
      <c r="J222" s="30">
        <v>1</v>
      </c>
      <c r="K222" s="31">
        <f>1409.6</f>
        <v>1409.6</v>
      </c>
      <c r="L222" s="28"/>
      <c r="M222" s="28">
        <f t="shared" si="9"/>
        <v>1409.6</v>
      </c>
      <c r="N222" s="27">
        <v>0</v>
      </c>
      <c r="O222" s="32"/>
      <c r="P222" s="28"/>
      <c r="Q222" s="28"/>
    </row>
    <row r="223" spans="1:17" x14ac:dyDescent="0.25">
      <c r="A223" s="35">
        <v>38</v>
      </c>
      <c r="B223" s="25" t="s">
        <v>129</v>
      </c>
      <c r="C223" s="1" t="s">
        <v>62</v>
      </c>
      <c r="D223" s="29"/>
      <c r="E223" s="1" t="s">
        <v>74</v>
      </c>
      <c r="F223" s="26" t="s">
        <v>378</v>
      </c>
      <c r="G223" s="26" t="s">
        <v>326</v>
      </c>
      <c r="H223" s="30">
        <v>22</v>
      </c>
      <c r="I223" s="30">
        <v>6</v>
      </c>
      <c r="J223" s="30">
        <v>6</v>
      </c>
      <c r="K223" s="31">
        <f>7355.96+1306.55</f>
        <v>8662.51</v>
      </c>
      <c r="L223" s="28">
        <f>3615.96+5046.55</f>
        <v>8662.51</v>
      </c>
      <c r="M223" s="28">
        <f t="shared" si="9"/>
        <v>0</v>
      </c>
      <c r="N223" s="27">
        <v>19</v>
      </c>
      <c r="O223" s="32">
        <f>28417.04+2923.96+3402.23</f>
        <v>34743.230000000003</v>
      </c>
      <c r="P223" s="32">
        <f>22002.43+5101.53+1313.08+2923.96+3402.23</f>
        <v>34743.230000000003</v>
      </c>
      <c r="Q223" s="28">
        <f t="shared" ref="Q223:Q231" si="10">O223-P223</f>
        <v>0</v>
      </c>
    </row>
    <row r="224" spans="1:17" x14ac:dyDescent="0.25">
      <c r="A224" s="35">
        <v>39</v>
      </c>
      <c r="B224" s="25" t="s">
        <v>379</v>
      </c>
      <c r="C224" s="1" t="s">
        <v>62</v>
      </c>
      <c r="D224" s="29"/>
      <c r="E224" s="1" t="s">
        <v>158</v>
      </c>
      <c r="F224" s="26" t="s">
        <v>380</v>
      </c>
      <c r="G224" s="26" t="s">
        <v>326</v>
      </c>
      <c r="H224" s="30">
        <v>2</v>
      </c>
      <c r="I224" s="30">
        <v>1</v>
      </c>
      <c r="J224" s="30">
        <v>1</v>
      </c>
      <c r="K224" s="31">
        <v>704.8</v>
      </c>
      <c r="L224" s="28">
        <f>704.8</f>
        <v>704.8</v>
      </c>
      <c r="M224" s="28">
        <f t="shared" si="9"/>
        <v>0</v>
      </c>
      <c r="N224" s="27">
        <v>0</v>
      </c>
      <c r="O224" s="32"/>
      <c r="P224" s="28">
        <v>0</v>
      </c>
      <c r="Q224" s="28">
        <f t="shared" si="10"/>
        <v>0</v>
      </c>
    </row>
    <row r="225" spans="1:17" x14ac:dyDescent="0.25">
      <c r="A225" s="35">
        <v>40</v>
      </c>
      <c r="B225" s="25" t="s">
        <v>130</v>
      </c>
      <c r="C225" s="1" t="s">
        <v>62</v>
      </c>
      <c r="D225" s="29"/>
      <c r="E225" s="1" t="s">
        <v>74</v>
      </c>
      <c r="F225" s="26" t="s">
        <v>381</v>
      </c>
      <c r="G225" s="26" t="s">
        <v>326</v>
      </c>
      <c r="H225" s="30">
        <v>0</v>
      </c>
      <c r="I225" s="30">
        <v>0</v>
      </c>
      <c r="J225" s="30">
        <v>0</v>
      </c>
      <c r="K225" s="31"/>
      <c r="L225" s="28"/>
      <c r="M225" s="28">
        <f t="shared" si="9"/>
        <v>0</v>
      </c>
      <c r="N225" s="27">
        <v>0</v>
      </c>
      <c r="O225" s="32"/>
      <c r="P225" s="28">
        <v>0</v>
      </c>
      <c r="Q225" s="28">
        <f t="shared" si="10"/>
        <v>0</v>
      </c>
    </row>
    <row r="226" spans="1:17" x14ac:dyDescent="0.25">
      <c r="A226" s="35">
        <v>41</v>
      </c>
      <c r="B226" s="25" t="s">
        <v>382</v>
      </c>
      <c r="C226" s="1" t="s">
        <v>62</v>
      </c>
      <c r="D226" s="29"/>
      <c r="E226" s="1" t="s">
        <v>383</v>
      </c>
      <c r="F226" s="26" t="s">
        <v>384</v>
      </c>
      <c r="G226" s="26" t="s">
        <v>326</v>
      </c>
      <c r="H226" s="30">
        <v>1</v>
      </c>
      <c r="I226" s="30">
        <v>1</v>
      </c>
      <c r="J226" s="30">
        <v>1</v>
      </c>
      <c r="K226" s="31">
        <v>704.8</v>
      </c>
      <c r="L226" s="28">
        <v>0</v>
      </c>
      <c r="M226" s="28">
        <f t="shared" si="9"/>
        <v>704.8</v>
      </c>
      <c r="N226" s="27">
        <v>0</v>
      </c>
      <c r="O226" s="32"/>
      <c r="P226" s="28">
        <v>0</v>
      </c>
      <c r="Q226" s="28">
        <f t="shared" si="10"/>
        <v>0</v>
      </c>
    </row>
    <row r="227" spans="1:17" x14ac:dyDescent="0.25">
      <c r="A227" s="35">
        <v>42</v>
      </c>
      <c r="B227" s="25" t="s">
        <v>385</v>
      </c>
      <c r="C227" s="1" t="s">
        <v>62</v>
      </c>
      <c r="D227" s="29"/>
      <c r="E227" s="29" t="s">
        <v>145</v>
      </c>
      <c r="F227" s="26" t="s">
        <v>386</v>
      </c>
      <c r="G227" s="26" t="s">
        <v>326</v>
      </c>
      <c r="H227" s="30">
        <v>10</v>
      </c>
      <c r="I227" s="30">
        <v>2</v>
      </c>
      <c r="J227" s="30">
        <v>2</v>
      </c>
      <c r="K227" s="31">
        <v>1762</v>
      </c>
      <c r="L227" s="28">
        <f>1057.2+704.8</f>
        <v>1762</v>
      </c>
      <c r="M227" s="28">
        <f t="shared" si="9"/>
        <v>0</v>
      </c>
      <c r="N227" s="27">
        <v>18</v>
      </c>
      <c r="O227" s="32">
        <v>9602.9</v>
      </c>
      <c r="P227" s="32">
        <f>9074.3+528.6</f>
        <v>9602.9</v>
      </c>
      <c r="Q227" s="28">
        <f t="shared" si="10"/>
        <v>0</v>
      </c>
    </row>
    <row r="228" spans="1:17" x14ac:dyDescent="0.25">
      <c r="A228" s="35">
        <v>43</v>
      </c>
      <c r="B228" s="25" t="s">
        <v>387</v>
      </c>
      <c r="C228" s="1" t="s">
        <v>62</v>
      </c>
      <c r="D228" s="29"/>
      <c r="E228" s="1" t="s">
        <v>157</v>
      </c>
      <c r="F228" s="26" t="s">
        <v>388</v>
      </c>
      <c r="G228" s="26" t="s">
        <v>326</v>
      </c>
      <c r="H228" s="30">
        <v>0</v>
      </c>
      <c r="I228" s="30">
        <v>0</v>
      </c>
      <c r="J228" s="30">
        <v>0</v>
      </c>
      <c r="K228" s="29"/>
      <c r="L228" s="28">
        <v>0</v>
      </c>
      <c r="M228" s="28">
        <f t="shared" si="9"/>
        <v>0</v>
      </c>
      <c r="N228" s="27">
        <v>0</v>
      </c>
      <c r="O228" s="32"/>
      <c r="P228" s="28">
        <v>0</v>
      </c>
      <c r="Q228" s="28">
        <f t="shared" si="10"/>
        <v>0</v>
      </c>
    </row>
    <row r="229" spans="1:17" x14ac:dyDescent="0.25">
      <c r="A229" s="35">
        <v>44</v>
      </c>
      <c r="B229" s="25" t="s">
        <v>96</v>
      </c>
      <c r="C229" s="1" t="s">
        <v>62</v>
      </c>
      <c r="D229" s="29"/>
      <c r="E229" s="1" t="s">
        <v>389</v>
      </c>
      <c r="F229" s="26" t="s">
        <v>390</v>
      </c>
      <c r="G229" s="26" t="s">
        <v>326</v>
      </c>
      <c r="H229" s="30">
        <v>0</v>
      </c>
      <c r="I229" s="30">
        <v>0</v>
      </c>
      <c r="J229" s="30">
        <v>0</v>
      </c>
      <c r="K229" s="29"/>
      <c r="L229" s="28">
        <v>0</v>
      </c>
      <c r="M229" s="28">
        <f t="shared" si="9"/>
        <v>0</v>
      </c>
      <c r="N229" s="27">
        <v>0</v>
      </c>
      <c r="O229" s="32"/>
      <c r="P229" s="28">
        <v>0</v>
      </c>
      <c r="Q229" s="28">
        <f t="shared" si="10"/>
        <v>0</v>
      </c>
    </row>
    <row r="230" spans="1:17" x14ac:dyDescent="0.25">
      <c r="A230" s="35">
        <v>45</v>
      </c>
      <c r="B230" s="25" t="s">
        <v>54</v>
      </c>
      <c r="C230" s="1" t="s">
        <v>62</v>
      </c>
      <c r="D230" s="29"/>
      <c r="E230" s="1" t="s">
        <v>338</v>
      </c>
      <c r="F230" s="26" t="s">
        <v>391</v>
      </c>
      <c r="G230" s="26" t="s">
        <v>326</v>
      </c>
      <c r="H230" s="30">
        <v>0</v>
      </c>
      <c r="I230" s="30">
        <v>0</v>
      </c>
      <c r="J230" s="29">
        <v>0</v>
      </c>
      <c r="K230" s="29"/>
      <c r="L230" s="28">
        <v>0</v>
      </c>
      <c r="M230" s="28">
        <f t="shared" si="9"/>
        <v>0</v>
      </c>
      <c r="N230" s="27">
        <v>0</v>
      </c>
      <c r="O230" s="32"/>
      <c r="P230" s="32">
        <v>0</v>
      </c>
      <c r="Q230" s="28">
        <f t="shared" si="10"/>
        <v>0</v>
      </c>
    </row>
    <row r="231" spans="1:17" ht="39" x14ac:dyDescent="0.25">
      <c r="A231" s="36">
        <v>46</v>
      </c>
      <c r="B231" s="25" t="s">
        <v>131</v>
      </c>
      <c r="C231" s="1" t="s">
        <v>64</v>
      </c>
      <c r="D231" s="38" t="s">
        <v>392</v>
      </c>
      <c r="E231" s="1" t="s">
        <v>158</v>
      </c>
      <c r="F231" s="39" t="s">
        <v>393</v>
      </c>
      <c r="G231" s="26" t="s">
        <v>326</v>
      </c>
      <c r="H231" s="30">
        <v>0</v>
      </c>
      <c r="I231" s="30">
        <v>0</v>
      </c>
      <c r="J231" s="33">
        <v>0</v>
      </c>
      <c r="K231" s="29"/>
      <c r="L231" s="28">
        <v>0</v>
      </c>
      <c r="M231" s="28">
        <f t="shared" si="9"/>
        <v>0</v>
      </c>
      <c r="N231" s="27">
        <v>0</v>
      </c>
      <c r="O231" s="32"/>
      <c r="P231" s="28">
        <v>0</v>
      </c>
      <c r="Q231" s="28">
        <f t="shared" si="10"/>
        <v>0</v>
      </c>
    </row>
    <row r="232" spans="1:17" x14ac:dyDescent="0.25">
      <c r="A232" s="40">
        <v>1</v>
      </c>
      <c r="B232" s="41" t="s">
        <v>47</v>
      </c>
      <c r="C232" s="40" t="s">
        <v>62</v>
      </c>
      <c r="D232" s="41"/>
      <c r="E232" s="41" t="s">
        <v>141</v>
      </c>
      <c r="F232" s="41" t="s">
        <v>448</v>
      </c>
      <c r="G232" s="41" t="s">
        <v>142</v>
      </c>
      <c r="H232" s="42">
        <v>6</v>
      </c>
      <c r="I232" s="42">
        <v>1</v>
      </c>
      <c r="J232" s="42">
        <v>1</v>
      </c>
      <c r="K232" s="42">
        <v>1233.4000000000001</v>
      </c>
      <c r="L232" s="42"/>
      <c r="M232" s="42">
        <v>1233.4000000000001</v>
      </c>
      <c r="N232" s="42">
        <v>17</v>
      </c>
      <c r="O232" s="42">
        <v>24659.43</v>
      </c>
      <c r="P232" s="42">
        <v>13031.96</v>
      </c>
      <c r="Q232" s="42">
        <v>11627.47</v>
      </c>
    </row>
    <row r="233" spans="1:17" x14ac:dyDescent="0.25">
      <c r="A233" s="40">
        <f>A232+1</f>
        <v>2</v>
      </c>
      <c r="B233" s="41" t="s">
        <v>55</v>
      </c>
      <c r="C233" s="40" t="s">
        <v>62</v>
      </c>
      <c r="D233" s="41"/>
      <c r="E233" s="41" t="s">
        <v>141</v>
      </c>
      <c r="F233" s="41" t="s">
        <v>449</v>
      </c>
      <c r="G233" s="41" t="s">
        <v>142</v>
      </c>
      <c r="H233" s="42">
        <v>8</v>
      </c>
      <c r="I233" s="42">
        <v>3</v>
      </c>
      <c r="J233" s="42">
        <v>3</v>
      </c>
      <c r="K233" s="42">
        <v>2995.4</v>
      </c>
      <c r="L233" s="42">
        <v>1409.6</v>
      </c>
      <c r="M233" s="42">
        <v>1585.8</v>
      </c>
      <c r="N233" s="42">
        <v>10</v>
      </c>
      <c r="O233" s="42">
        <v>16122.3</v>
      </c>
      <c r="P233" s="42">
        <v>7312.3</v>
      </c>
      <c r="Q233" s="42">
        <v>8810</v>
      </c>
    </row>
    <row r="234" spans="1:17" ht="15" customHeight="1" x14ac:dyDescent="0.25">
      <c r="A234" s="40">
        <f>A233+1</f>
        <v>3</v>
      </c>
      <c r="B234" s="41" t="s">
        <v>122</v>
      </c>
      <c r="C234" s="40" t="s">
        <v>62</v>
      </c>
      <c r="D234" s="41"/>
      <c r="E234" s="41" t="s">
        <v>143</v>
      </c>
      <c r="F234" s="41" t="s">
        <v>450</v>
      </c>
      <c r="G234" s="41" t="s">
        <v>142</v>
      </c>
      <c r="H234" s="42">
        <v>5</v>
      </c>
      <c r="I234" s="42"/>
      <c r="J234" s="42"/>
      <c r="K234" s="42"/>
      <c r="L234" s="42"/>
      <c r="M234" s="42"/>
      <c r="N234" s="42">
        <v>3</v>
      </c>
      <c r="O234" s="42">
        <v>8312.94</v>
      </c>
      <c r="P234" s="42">
        <v>5141.34</v>
      </c>
      <c r="Q234" s="42">
        <v>3171.6</v>
      </c>
    </row>
    <row r="235" spans="1:17" ht="15" customHeight="1" x14ac:dyDescent="0.25">
      <c r="A235" s="40">
        <f>A234+1</f>
        <v>4</v>
      </c>
      <c r="B235" s="41" t="s">
        <v>144</v>
      </c>
      <c r="C235" s="40" t="s">
        <v>62</v>
      </c>
      <c r="D235" s="41"/>
      <c r="E235" s="41" t="s">
        <v>141</v>
      </c>
      <c r="F235" s="41" t="s">
        <v>451</v>
      </c>
      <c r="G235" s="41" t="s">
        <v>142</v>
      </c>
      <c r="H235" s="42">
        <v>7</v>
      </c>
      <c r="I235" s="42">
        <v>3</v>
      </c>
      <c r="J235" s="42"/>
      <c r="K235" s="42">
        <v>2643</v>
      </c>
      <c r="L235" s="42"/>
      <c r="M235" s="42">
        <v>2643</v>
      </c>
      <c r="N235" s="42">
        <v>2</v>
      </c>
      <c r="O235" s="42">
        <v>1938.2</v>
      </c>
      <c r="P235" s="40"/>
      <c r="Q235" s="42">
        <v>1938.2</v>
      </c>
    </row>
    <row r="236" spans="1:17" ht="15" customHeight="1" x14ac:dyDescent="0.25">
      <c r="A236" s="40">
        <f>A235+1</f>
        <v>5</v>
      </c>
      <c r="B236" s="41" t="s">
        <v>46</v>
      </c>
      <c r="C236" s="40" t="s">
        <v>62</v>
      </c>
      <c r="D236" s="41"/>
      <c r="E236" s="41" t="s">
        <v>452</v>
      </c>
      <c r="F236" s="41" t="s">
        <v>453</v>
      </c>
      <c r="G236" s="41" t="s">
        <v>142</v>
      </c>
      <c r="H236" s="42"/>
      <c r="I236" s="42"/>
      <c r="J236" s="42"/>
      <c r="K236" s="42"/>
      <c r="L236" s="42"/>
      <c r="M236" s="42"/>
      <c r="N236" s="42"/>
      <c r="O236" s="42"/>
      <c r="P236" s="40"/>
      <c r="Q236" s="40"/>
    </row>
    <row r="237" spans="1:17" ht="15" customHeight="1" x14ac:dyDescent="0.25">
      <c r="A237" s="43">
        <v>6</v>
      </c>
      <c r="B237" s="44" t="s">
        <v>133</v>
      </c>
      <c r="C237" s="43" t="s">
        <v>67</v>
      </c>
      <c r="D237" s="43" t="s">
        <v>397</v>
      </c>
      <c r="E237" s="44" t="s">
        <v>74</v>
      </c>
      <c r="F237" s="44" t="s">
        <v>454</v>
      </c>
      <c r="G237" s="41" t="s">
        <v>142</v>
      </c>
      <c r="H237" s="45"/>
      <c r="I237" s="46"/>
      <c r="J237" s="46"/>
      <c r="K237" s="46"/>
      <c r="L237" s="43"/>
      <c r="M237" s="46"/>
      <c r="N237" s="43"/>
      <c r="O237" s="43"/>
      <c r="P237" s="43"/>
      <c r="Q237" s="43"/>
    </row>
    <row r="238" spans="1:17" ht="15" customHeight="1" x14ac:dyDescent="0.25">
      <c r="A238" s="43">
        <v>7</v>
      </c>
      <c r="B238" s="44" t="s">
        <v>176</v>
      </c>
      <c r="C238" s="43" t="s">
        <v>62</v>
      </c>
      <c r="D238" s="43"/>
      <c r="E238" s="44" t="s">
        <v>141</v>
      </c>
      <c r="F238" s="43" t="s">
        <v>455</v>
      </c>
      <c r="G238" s="44" t="s">
        <v>142</v>
      </c>
      <c r="H238" s="45">
        <v>8</v>
      </c>
      <c r="I238" s="45">
        <v>4</v>
      </c>
      <c r="J238" s="45">
        <v>4</v>
      </c>
      <c r="K238" s="45">
        <v>3277.32</v>
      </c>
      <c r="L238" s="45">
        <v>704.8</v>
      </c>
      <c r="M238" s="45">
        <v>1938.2</v>
      </c>
      <c r="N238" s="43"/>
      <c r="O238" s="43"/>
      <c r="P238" s="43"/>
      <c r="Q238" s="43"/>
    </row>
    <row r="239" spans="1:17" ht="15" customHeight="1" x14ac:dyDescent="0.25">
      <c r="A239" s="43">
        <v>8</v>
      </c>
      <c r="B239" s="44" t="s">
        <v>235</v>
      </c>
      <c r="C239" s="43" t="s">
        <v>62</v>
      </c>
      <c r="D239" s="43"/>
      <c r="E239" s="44" t="s">
        <v>456</v>
      </c>
      <c r="F239" s="44" t="s">
        <v>457</v>
      </c>
      <c r="G239" s="44" t="s">
        <v>142</v>
      </c>
      <c r="H239" s="46">
        <v>2</v>
      </c>
      <c r="I239" s="43"/>
      <c r="J239" s="43"/>
      <c r="K239" s="43"/>
      <c r="L239" s="43"/>
      <c r="M239" s="43"/>
      <c r="N239" s="43"/>
      <c r="O239" s="43"/>
      <c r="P239" s="43"/>
      <c r="Q239" s="43"/>
    </row>
    <row r="240" spans="1:17" ht="15" customHeight="1" x14ac:dyDescent="0.25">
      <c r="A240" s="43">
        <v>9</v>
      </c>
      <c r="B240" s="44" t="s">
        <v>251</v>
      </c>
      <c r="C240" s="43" t="s">
        <v>62</v>
      </c>
      <c r="D240" s="43"/>
      <c r="E240" s="44" t="s">
        <v>141</v>
      </c>
      <c r="F240" s="44" t="s">
        <v>458</v>
      </c>
      <c r="G240" s="44" t="s">
        <v>142</v>
      </c>
      <c r="H240" s="45">
        <v>5</v>
      </c>
      <c r="I240" s="45">
        <v>2</v>
      </c>
      <c r="J240" s="45">
        <v>2</v>
      </c>
      <c r="K240" s="45">
        <v>1409.6</v>
      </c>
      <c r="L240" s="43"/>
      <c r="M240" s="45">
        <v>1409.6</v>
      </c>
      <c r="N240" s="43"/>
      <c r="O240" s="43"/>
      <c r="P240" s="43"/>
      <c r="Q240" s="43"/>
    </row>
    <row r="241" spans="1:17" ht="15" customHeight="1" x14ac:dyDescent="0.25">
      <c r="A241" s="43">
        <v>10</v>
      </c>
      <c r="B241" s="44" t="s">
        <v>30</v>
      </c>
      <c r="C241" s="43" t="s">
        <v>62</v>
      </c>
      <c r="D241" s="43"/>
      <c r="E241" s="44" t="s">
        <v>459</v>
      </c>
      <c r="F241" s="44" t="s">
        <v>460</v>
      </c>
      <c r="G241" s="43" t="s">
        <v>142</v>
      </c>
      <c r="H241" s="45">
        <v>1</v>
      </c>
      <c r="I241" s="43"/>
      <c r="J241" s="43"/>
      <c r="K241" s="43"/>
      <c r="L241" s="43"/>
      <c r="M241" s="43"/>
      <c r="N241" s="43"/>
      <c r="O241" s="43"/>
      <c r="P241" s="43"/>
      <c r="Q241" s="43"/>
    </row>
    <row r="242" spans="1:17" x14ac:dyDescent="0.25">
      <c r="A242" s="43">
        <v>11</v>
      </c>
      <c r="B242" s="44" t="s">
        <v>35</v>
      </c>
      <c r="C242" s="43" t="s">
        <v>62</v>
      </c>
      <c r="D242" s="43"/>
      <c r="E242" s="44" t="s">
        <v>461</v>
      </c>
      <c r="F242" s="43" t="s">
        <v>462</v>
      </c>
      <c r="G242" s="43" t="s">
        <v>142</v>
      </c>
      <c r="H242" s="45">
        <v>1</v>
      </c>
      <c r="I242" s="43"/>
      <c r="J242" s="43"/>
      <c r="K242" s="43"/>
      <c r="L242" s="43"/>
      <c r="M242" s="43"/>
      <c r="N242" s="43"/>
      <c r="O242" s="43"/>
      <c r="P242" s="43"/>
      <c r="Q242" s="43"/>
    </row>
    <row r="243" spans="1:17" x14ac:dyDescent="0.25">
      <c r="A243" s="47">
        <v>1</v>
      </c>
      <c r="B243" s="1" t="s">
        <v>19</v>
      </c>
      <c r="C243" s="1" t="s">
        <v>62</v>
      </c>
      <c r="D243" s="48"/>
      <c r="E243" s="1" t="s">
        <v>71</v>
      </c>
      <c r="F243" s="1" t="s">
        <v>394</v>
      </c>
      <c r="G243" s="49" t="s">
        <v>395</v>
      </c>
      <c r="H243" s="50">
        <v>0</v>
      </c>
      <c r="I243" s="51">
        <v>0</v>
      </c>
      <c r="J243" s="52">
        <v>0</v>
      </c>
      <c r="K243" s="28">
        <v>0</v>
      </c>
      <c r="L243" s="28">
        <v>0</v>
      </c>
      <c r="M243" s="28">
        <v>0</v>
      </c>
      <c r="N243" s="53">
        <v>0</v>
      </c>
      <c r="O243" s="54"/>
      <c r="P243" s="54"/>
      <c r="Q243" s="55">
        <f t="shared" ref="Q243:Q249" si="11">O243-P243</f>
        <v>0</v>
      </c>
    </row>
    <row r="244" spans="1:17" ht="51" x14ac:dyDescent="0.25">
      <c r="A244" s="56">
        <f>A243+1</f>
        <v>2</v>
      </c>
      <c r="B244" s="1" t="s">
        <v>90</v>
      </c>
      <c r="C244" s="1" t="s">
        <v>62</v>
      </c>
      <c r="D244" s="1" t="s">
        <v>63</v>
      </c>
      <c r="E244" s="1" t="s">
        <v>205</v>
      </c>
      <c r="F244" s="1" t="s">
        <v>396</v>
      </c>
      <c r="G244" s="27" t="s">
        <v>395</v>
      </c>
      <c r="H244" s="27">
        <v>15</v>
      </c>
      <c r="I244" s="27">
        <v>3</v>
      </c>
      <c r="J244" s="27">
        <v>3</v>
      </c>
      <c r="K244" s="28">
        <v>4228.8</v>
      </c>
      <c r="L244" s="28">
        <v>4228.8</v>
      </c>
      <c r="M244" s="28">
        <v>0</v>
      </c>
      <c r="N244" s="27">
        <v>15</v>
      </c>
      <c r="O244" s="28">
        <v>23170.3</v>
      </c>
      <c r="P244" s="28">
        <v>23170.3</v>
      </c>
      <c r="Q244" s="55">
        <f t="shared" si="11"/>
        <v>0</v>
      </c>
    </row>
    <row r="245" spans="1:17" x14ac:dyDescent="0.25">
      <c r="A245" s="56">
        <f>A244+1</f>
        <v>3</v>
      </c>
      <c r="B245" s="49" t="s">
        <v>133</v>
      </c>
      <c r="C245" s="47" t="s">
        <v>67</v>
      </c>
      <c r="D245" s="48" t="s">
        <v>397</v>
      </c>
      <c r="E245" s="49" t="s">
        <v>74</v>
      </c>
      <c r="F245" s="1" t="s">
        <v>398</v>
      </c>
      <c r="G245" s="27" t="s">
        <v>395</v>
      </c>
      <c r="H245" s="27">
        <v>5</v>
      </c>
      <c r="I245" s="27">
        <v>0</v>
      </c>
      <c r="J245" s="27">
        <v>0</v>
      </c>
      <c r="K245" s="28">
        <v>0</v>
      </c>
      <c r="L245" s="28">
        <v>0</v>
      </c>
      <c r="M245" s="28">
        <v>0</v>
      </c>
      <c r="N245" s="27">
        <v>4</v>
      </c>
      <c r="O245" s="28">
        <v>7102.19</v>
      </c>
      <c r="P245" s="28">
        <v>7102.19</v>
      </c>
      <c r="Q245" s="55">
        <f t="shared" si="11"/>
        <v>0</v>
      </c>
    </row>
    <row r="246" spans="1:17" ht="25.5" x14ac:dyDescent="0.25">
      <c r="A246" s="56">
        <v>4</v>
      </c>
      <c r="B246" s="1" t="s">
        <v>399</v>
      </c>
      <c r="C246" s="1" t="s">
        <v>62</v>
      </c>
      <c r="D246" s="1"/>
      <c r="E246" s="1" t="s">
        <v>400</v>
      </c>
      <c r="F246" s="1" t="s">
        <v>401</v>
      </c>
      <c r="G246" s="27" t="s">
        <v>395</v>
      </c>
      <c r="H246" s="27">
        <v>19</v>
      </c>
      <c r="I246" s="27">
        <v>0</v>
      </c>
      <c r="J246" s="27">
        <v>0</v>
      </c>
      <c r="K246" s="28">
        <v>0</v>
      </c>
      <c r="L246" s="28">
        <v>0</v>
      </c>
      <c r="M246" s="28">
        <v>0</v>
      </c>
      <c r="N246" s="27">
        <v>0</v>
      </c>
      <c r="O246" s="28"/>
      <c r="P246" s="28">
        <v>0</v>
      </c>
      <c r="Q246" s="55">
        <f t="shared" si="11"/>
        <v>0</v>
      </c>
    </row>
    <row r="247" spans="1:17" x14ac:dyDescent="0.25">
      <c r="A247" s="56">
        <v>5</v>
      </c>
      <c r="B247" s="1" t="s">
        <v>402</v>
      </c>
      <c r="C247" s="1" t="s">
        <v>62</v>
      </c>
      <c r="D247" s="1"/>
      <c r="E247" s="49" t="s">
        <v>74</v>
      </c>
      <c r="F247" s="1" t="s">
        <v>403</v>
      </c>
      <c r="G247" s="27" t="s">
        <v>395</v>
      </c>
      <c r="H247" s="27">
        <v>2</v>
      </c>
      <c r="I247" s="27">
        <v>0</v>
      </c>
      <c r="J247" s="27">
        <v>0</v>
      </c>
      <c r="K247" s="28">
        <v>0</v>
      </c>
      <c r="L247" s="28">
        <v>0</v>
      </c>
      <c r="M247" s="28">
        <v>0</v>
      </c>
      <c r="N247" s="27">
        <v>0</v>
      </c>
      <c r="O247" s="28"/>
      <c r="P247" s="28">
        <v>0</v>
      </c>
      <c r="Q247" s="55">
        <f t="shared" si="11"/>
        <v>0</v>
      </c>
    </row>
    <row r="248" spans="1:17" ht="25.5" x14ac:dyDescent="0.25">
      <c r="A248" s="56">
        <v>6</v>
      </c>
      <c r="B248" s="1" t="s">
        <v>48</v>
      </c>
      <c r="C248" s="1" t="s">
        <v>62</v>
      </c>
      <c r="D248" s="1"/>
      <c r="E248" s="1" t="s">
        <v>81</v>
      </c>
      <c r="F248" s="1" t="s">
        <v>404</v>
      </c>
      <c r="G248" s="27" t="s">
        <v>395</v>
      </c>
      <c r="H248" s="27">
        <v>13</v>
      </c>
      <c r="I248" s="27">
        <v>0</v>
      </c>
      <c r="J248" s="27">
        <v>0</v>
      </c>
      <c r="K248" s="28">
        <v>0</v>
      </c>
      <c r="L248" s="28">
        <v>0</v>
      </c>
      <c r="M248" s="28">
        <v>0</v>
      </c>
      <c r="N248" s="27">
        <v>8</v>
      </c>
      <c r="O248" s="28">
        <v>11453</v>
      </c>
      <c r="P248" s="28">
        <v>8810</v>
      </c>
      <c r="Q248" s="55">
        <f t="shared" si="11"/>
        <v>2643</v>
      </c>
    </row>
    <row r="249" spans="1:17" x14ac:dyDescent="0.25">
      <c r="A249" s="56">
        <v>7</v>
      </c>
      <c r="B249" s="1" t="s">
        <v>39</v>
      </c>
      <c r="C249" s="1" t="s">
        <v>62</v>
      </c>
      <c r="D249" s="1"/>
      <c r="E249" s="1" t="s">
        <v>77</v>
      </c>
      <c r="F249" s="1" t="s">
        <v>405</v>
      </c>
      <c r="G249" s="27" t="s">
        <v>395</v>
      </c>
      <c r="H249" s="27">
        <v>14</v>
      </c>
      <c r="I249" s="27">
        <v>0</v>
      </c>
      <c r="J249" s="27">
        <v>0</v>
      </c>
      <c r="K249" s="28">
        <v>0</v>
      </c>
      <c r="L249" s="28">
        <v>0</v>
      </c>
      <c r="M249" s="28">
        <v>0</v>
      </c>
      <c r="N249" s="27">
        <v>10</v>
      </c>
      <c r="O249" s="28">
        <v>15858</v>
      </c>
      <c r="P249" s="28">
        <v>10924.4</v>
      </c>
      <c r="Q249" s="55">
        <f t="shared" si="11"/>
        <v>4933.6000000000004</v>
      </c>
    </row>
    <row r="250" spans="1:17" ht="15" customHeight="1" x14ac:dyDescent="0.25">
      <c r="A250" s="56">
        <v>8</v>
      </c>
      <c r="B250" s="1" t="s">
        <v>127</v>
      </c>
      <c r="C250" s="1" t="s">
        <v>62</v>
      </c>
      <c r="D250" s="1"/>
      <c r="E250" s="49" t="s">
        <v>74</v>
      </c>
      <c r="F250" s="1" t="s">
        <v>406</v>
      </c>
      <c r="G250" s="27" t="s">
        <v>395</v>
      </c>
      <c r="H250" s="27">
        <v>0</v>
      </c>
      <c r="I250" s="27">
        <v>0</v>
      </c>
      <c r="J250" s="27">
        <v>0</v>
      </c>
      <c r="K250" s="28">
        <v>0</v>
      </c>
      <c r="L250" s="28">
        <v>0</v>
      </c>
      <c r="M250" s="28">
        <v>0</v>
      </c>
      <c r="N250" s="27">
        <v>1</v>
      </c>
      <c r="O250" s="28">
        <v>264.3</v>
      </c>
      <c r="P250" s="28">
        <v>0</v>
      </c>
      <c r="Q250" s="28">
        <v>264.3</v>
      </c>
    </row>
  </sheetData>
  <autoFilter ref="A8:Q250"/>
  <mergeCells count="8">
    <mergeCell ref="B7:G7"/>
    <mergeCell ref="H7:M7"/>
    <mergeCell ref="N7:Q7"/>
    <mergeCell ref="O1:Q1"/>
    <mergeCell ref="A3:Q3"/>
    <mergeCell ref="A4:Q4"/>
    <mergeCell ref="A5:Q5"/>
    <mergeCell ref="A6:Q6"/>
  </mergeCells>
  <pageMargins left="0.31496062992125984" right="0.31496062992125984" top="0.55118110236220474" bottom="0.55118110236220474" header="0" footer="0"/>
  <pageSetup paperSize="9" scale="18" fitToWidth="2" orientation="landscape" horizontalDpi="300" verticalDpi="3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R299"/>
  <sheetViews>
    <sheetView topLeftCell="A58" workbookViewId="0">
      <selection activeCell="B90" sqref="B90"/>
    </sheetView>
  </sheetViews>
  <sheetFormatPr defaultRowHeight="12.75" x14ac:dyDescent="0.2"/>
  <cols>
    <col min="1" max="1" width="5" style="459" customWidth="1"/>
    <col min="2" max="2" width="43" style="459" customWidth="1"/>
    <col min="3" max="3" width="10.140625" style="459" customWidth="1"/>
    <col min="4" max="4" width="45" style="459" customWidth="1"/>
    <col min="5" max="5" width="34.5703125" style="459" customWidth="1"/>
    <col min="6" max="6" width="20.42578125" style="459" customWidth="1"/>
    <col min="7" max="7" width="36" style="459" customWidth="1"/>
    <col min="8" max="10" width="9.140625" style="459"/>
    <col min="11" max="12" width="9.5703125" style="459" customWidth="1"/>
    <col min="13" max="13" width="9.42578125" style="459" customWidth="1"/>
    <col min="14" max="14" width="9.140625" style="459"/>
    <col min="15" max="16" width="10.5703125" style="459" customWidth="1"/>
    <col min="17" max="17" width="9.42578125" style="459" customWidth="1"/>
    <col min="18" max="256" width="9.140625" style="459"/>
    <col min="257" max="257" width="5" style="459" customWidth="1"/>
    <col min="258" max="258" width="43" style="459" customWidth="1"/>
    <col min="259" max="259" width="10.140625" style="459" customWidth="1"/>
    <col min="260" max="260" width="45" style="459" customWidth="1"/>
    <col min="261" max="261" width="34.5703125" style="459" customWidth="1"/>
    <col min="262" max="262" width="20.42578125" style="459" customWidth="1"/>
    <col min="263" max="263" width="36" style="459" customWidth="1"/>
    <col min="264" max="266" width="9.140625" style="459"/>
    <col min="267" max="268" width="9.5703125" style="459" customWidth="1"/>
    <col min="269" max="269" width="9.42578125" style="459" customWidth="1"/>
    <col min="270" max="270" width="9.140625" style="459"/>
    <col min="271" max="272" width="10.5703125" style="459" customWidth="1"/>
    <col min="273" max="273" width="9.42578125" style="459" customWidth="1"/>
    <col min="274" max="512" width="9.140625" style="459"/>
    <col min="513" max="513" width="5" style="459" customWidth="1"/>
    <col min="514" max="514" width="43" style="459" customWidth="1"/>
    <col min="515" max="515" width="10.140625" style="459" customWidth="1"/>
    <col min="516" max="516" width="45" style="459" customWidth="1"/>
    <col min="517" max="517" width="34.5703125" style="459" customWidth="1"/>
    <col min="518" max="518" width="20.42578125" style="459" customWidth="1"/>
    <col min="519" max="519" width="36" style="459" customWidth="1"/>
    <col min="520" max="522" width="9.140625" style="459"/>
    <col min="523" max="524" width="9.5703125" style="459" customWidth="1"/>
    <col min="525" max="525" width="9.42578125" style="459" customWidth="1"/>
    <col min="526" max="526" width="9.140625" style="459"/>
    <col min="527" max="528" width="10.5703125" style="459" customWidth="1"/>
    <col min="529" max="529" width="9.42578125" style="459" customWidth="1"/>
    <col min="530" max="768" width="9.140625" style="459"/>
    <col min="769" max="769" width="5" style="459" customWidth="1"/>
    <col min="770" max="770" width="43" style="459" customWidth="1"/>
    <col min="771" max="771" width="10.140625" style="459" customWidth="1"/>
    <col min="772" max="772" width="45" style="459" customWidth="1"/>
    <col min="773" max="773" width="34.5703125" style="459" customWidth="1"/>
    <col min="774" max="774" width="20.42578125" style="459" customWidth="1"/>
    <col min="775" max="775" width="36" style="459" customWidth="1"/>
    <col min="776" max="778" width="9.140625" style="459"/>
    <col min="779" max="780" width="9.5703125" style="459" customWidth="1"/>
    <col min="781" max="781" width="9.42578125" style="459" customWidth="1"/>
    <col min="782" max="782" width="9.140625" style="459"/>
    <col min="783" max="784" width="10.5703125" style="459" customWidth="1"/>
    <col min="785" max="785" width="9.42578125" style="459" customWidth="1"/>
    <col min="786" max="1024" width="9.140625" style="459"/>
    <col min="1025" max="1025" width="5" style="459" customWidth="1"/>
    <col min="1026" max="1026" width="43" style="459" customWidth="1"/>
    <col min="1027" max="1027" width="10.140625" style="459" customWidth="1"/>
    <col min="1028" max="1028" width="45" style="459" customWidth="1"/>
    <col min="1029" max="1029" width="34.5703125" style="459" customWidth="1"/>
    <col min="1030" max="1030" width="20.42578125" style="459" customWidth="1"/>
    <col min="1031" max="1031" width="36" style="459" customWidth="1"/>
    <col min="1032" max="1034" width="9.140625" style="459"/>
    <col min="1035" max="1036" width="9.5703125" style="459" customWidth="1"/>
    <col min="1037" max="1037" width="9.42578125" style="459" customWidth="1"/>
    <col min="1038" max="1038" width="9.140625" style="459"/>
    <col min="1039" max="1040" width="10.5703125" style="459" customWidth="1"/>
    <col min="1041" max="1041" width="9.42578125" style="459" customWidth="1"/>
    <col min="1042" max="1280" width="9.140625" style="459"/>
    <col min="1281" max="1281" width="5" style="459" customWidth="1"/>
    <col min="1282" max="1282" width="43" style="459" customWidth="1"/>
    <col min="1283" max="1283" width="10.140625" style="459" customWidth="1"/>
    <col min="1284" max="1284" width="45" style="459" customWidth="1"/>
    <col min="1285" max="1285" width="34.5703125" style="459" customWidth="1"/>
    <col min="1286" max="1286" width="20.42578125" style="459" customWidth="1"/>
    <col min="1287" max="1287" width="36" style="459" customWidth="1"/>
    <col min="1288" max="1290" width="9.140625" style="459"/>
    <col min="1291" max="1292" width="9.5703125" style="459" customWidth="1"/>
    <col min="1293" max="1293" width="9.42578125" style="459" customWidth="1"/>
    <col min="1294" max="1294" width="9.140625" style="459"/>
    <col min="1295" max="1296" width="10.5703125" style="459" customWidth="1"/>
    <col min="1297" max="1297" width="9.42578125" style="459" customWidth="1"/>
    <col min="1298" max="1536" width="9.140625" style="459"/>
    <col min="1537" max="1537" width="5" style="459" customWidth="1"/>
    <col min="1538" max="1538" width="43" style="459" customWidth="1"/>
    <col min="1539" max="1539" width="10.140625" style="459" customWidth="1"/>
    <col min="1540" max="1540" width="45" style="459" customWidth="1"/>
    <col min="1541" max="1541" width="34.5703125" style="459" customWidth="1"/>
    <col min="1542" max="1542" width="20.42578125" style="459" customWidth="1"/>
    <col min="1543" max="1543" width="36" style="459" customWidth="1"/>
    <col min="1544" max="1546" width="9.140625" style="459"/>
    <col min="1547" max="1548" width="9.5703125" style="459" customWidth="1"/>
    <col min="1549" max="1549" width="9.42578125" style="459" customWidth="1"/>
    <col min="1550" max="1550" width="9.140625" style="459"/>
    <col min="1551" max="1552" width="10.5703125" style="459" customWidth="1"/>
    <col min="1553" max="1553" width="9.42578125" style="459" customWidth="1"/>
    <col min="1554" max="1792" width="9.140625" style="459"/>
    <col min="1793" max="1793" width="5" style="459" customWidth="1"/>
    <col min="1794" max="1794" width="43" style="459" customWidth="1"/>
    <col min="1795" max="1795" width="10.140625" style="459" customWidth="1"/>
    <col min="1796" max="1796" width="45" style="459" customWidth="1"/>
    <col min="1797" max="1797" width="34.5703125" style="459" customWidth="1"/>
    <col min="1798" max="1798" width="20.42578125" style="459" customWidth="1"/>
    <col min="1799" max="1799" width="36" style="459" customWidth="1"/>
    <col min="1800" max="1802" width="9.140625" style="459"/>
    <col min="1803" max="1804" width="9.5703125" style="459" customWidth="1"/>
    <col min="1805" max="1805" width="9.42578125" style="459" customWidth="1"/>
    <col min="1806" max="1806" width="9.140625" style="459"/>
    <col min="1807" max="1808" width="10.5703125" style="459" customWidth="1"/>
    <col min="1809" max="1809" width="9.42578125" style="459" customWidth="1"/>
    <col min="1810" max="2048" width="9.140625" style="459"/>
    <col min="2049" max="2049" width="5" style="459" customWidth="1"/>
    <col min="2050" max="2050" width="43" style="459" customWidth="1"/>
    <col min="2051" max="2051" width="10.140625" style="459" customWidth="1"/>
    <col min="2052" max="2052" width="45" style="459" customWidth="1"/>
    <col min="2053" max="2053" width="34.5703125" style="459" customWidth="1"/>
    <col min="2054" max="2054" width="20.42578125" style="459" customWidth="1"/>
    <col min="2055" max="2055" width="36" style="459" customWidth="1"/>
    <col min="2056" max="2058" width="9.140625" style="459"/>
    <col min="2059" max="2060" width="9.5703125" style="459" customWidth="1"/>
    <col min="2061" max="2061" width="9.42578125" style="459" customWidth="1"/>
    <col min="2062" max="2062" width="9.140625" style="459"/>
    <col min="2063" max="2064" width="10.5703125" style="459" customWidth="1"/>
    <col min="2065" max="2065" width="9.42578125" style="459" customWidth="1"/>
    <col min="2066" max="2304" width="9.140625" style="459"/>
    <col min="2305" max="2305" width="5" style="459" customWidth="1"/>
    <col min="2306" max="2306" width="43" style="459" customWidth="1"/>
    <col min="2307" max="2307" width="10.140625" style="459" customWidth="1"/>
    <col min="2308" max="2308" width="45" style="459" customWidth="1"/>
    <col min="2309" max="2309" width="34.5703125" style="459" customWidth="1"/>
    <col min="2310" max="2310" width="20.42578125" style="459" customWidth="1"/>
    <col min="2311" max="2311" width="36" style="459" customWidth="1"/>
    <col min="2312" max="2314" width="9.140625" style="459"/>
    <col min="2315" max="2316" width="9.5703125" style="459" customWidth="1"/>
    <col min="2317" max="2317" width="9.42578125" style="459" customWidth="1"/>
    <col min="2318" max="2318" width="9.140625" style="459"/>
    <col min="2319" max="2320" width="10.5703125" style="459" customWidth="1"/>
    <col min="2321" max="2321" width="9.42578125" style="459" customWidth="1"/>
    <col min="2322" max="2560" width="9.140625" style="459"/>
    <col min="2561" max="2561" width="5" style="459" customWidth="1"/>
    <col min="2562" max="2562" width="43" style="459" customWidth="1"/>
    <col min="2563" max="2563" width="10.140625" style="459" customWidth="1"/>
    <col min="2564" max="2564" width="45" style="459" customWidth="1"/>
    <col min="2565" max="2565" width="34.5703125" style="459" customWidth="1"/>
    <col min="2566" max="2566" width="20.42578125" style="459" customWidth="1"/>
    <col min="2567" max="2567" width="36" style="459" customWidth="1"/>
    <col min="2568" max="2570" width="9.140625" style="459"/>
    <col min="2571" max="2572" width="9.5703125" style="459" customWidth="1"/>
    <col min="2573" max="2573" width="9.42578125" style="459" customWidth="1"/>
    <col min="2574" max="2574" width="9.140625" style="459"/>
    <col min="2575" max="2576" width="10.5703125" style="459" customWidth="1"/>
    <col min="2577" max="2577" width="9.42578125" style="459" customWidth="1"/>
    <col min="2578" max="2816" width="9.140625" style="459"/>
    <col min="2817" max="2817" width="5" style="459" customWidth="1"/>
    <col min="2818" max="2818" width="43" style="459" customWidth="1"/>
    <col min="2819" max="2819" width="10.140625" style="459" customWidth="1"/>
    <col min="2820" max="2820" width="45" style="459" customWidth="1"/>
    <col min="2821" max="2821" width="34.5703125" style="459" customWidth="1"/>
    <col min="2822" max="2822" width="20.42578125" style="459" customWidth="1"/>
    <col min="2823" max="2823" width="36" style="459" customWidth="1"/>
    <col min="2824" max="2826" width="9.140625" style="459"/>
    <col min="2827" max="2828" width="9.5703125" style="459" customWidth="1"/>
    <col min="2829" max="2829" width="9.42578125" style="459" customWidth="1"/>
    <col min="2830" max="2830" width="9.140625" style="459"/>
    <col min="2831" max="2832" width="10.5703125" style="459" customWidth="1"/>
    <col min="2833" max="2833" width="9.42578125" style="459" customWidth="1"/>
    <col min="2834" max="3072" width="9.140625" style="459"/>
    <col min="3073" max="3073" width="5" style="459" customWidth="1"/>
    <col min="3074" max="3074" width="43" style="459" customWidth="1"/>
    <col min="3075" max="3075" width="10.140625" style="459" customWidth="1"/>
    <col min="3076" max="3076" width="45" style="459" customWidth="1"/>
    <col min="3077" max="3077" width="34.5703125" style="459" customWidth="1"/>
    <col min="3078" max="3078" width="20.42578125" style="459" customWidth="1"/>
    <col min="3079" max="3079" width="36" style="459" customWidth="1"/>
    <col min="3080" max="3082" width="9.140625" style="459"/>
    <col min="3083" max="3084" width="9.5703125" style="459" customWidth="1"/>
    <col min="3085" max="3085" width="9.42578125" style="459" customWidth="1"/>
    <col min="3086" max="3086" width="9.140625" style="459"/>
    <col min="3087" max="3088" width="10.5703125" style="459" customWidth="1"/>
    <col min="3089" max="3089" width="9.42578125" style="459" customWidth="1"/>
    <col min="3090" max="3328" width="9.140625" style="459"/>
    <col min="3329" max="3329" width="5" style="459" customWidth="1"/>
    <col min="3330" max="3330" width="43" style="459" customWidth="1"/>
    <col min="3331" max="3331" width="10.140625" style="459" customWidth="1"/>
    <col min="3332" max="3332" width="45" style="459" customWidth="1"/>
    <col min="3333" max="3333" width="34.5703125" style="459" customWidth="1"/>
    <col min="3334" max="3334" width="20.42578125" style="459" customWidth="1"/>
    <col min="3335" max="3335" width="36" style="459" customWidth="1"/>
    <col min="3336" max="3338" width="9.140625" style="459"/>
    <col min="3339" max="3340" width="9.5703125" style="459" customWidth="1"/>
    <col min="3341" max="3341" width="9.42578125" style="459" customWidth="1"/>
    <col min="3342" max="3342" width="9.140625" style="459"/>
    <col min="3343" max="3344" width="10.5703125" style="459" customWidth="1"/>
    <col min="3345" max="3345" width="9.42578125" style="459" customWidth="1"/>
    <col min="3346" max="3584" width="9.140625" style="459"/>
    <col min="3585" max="3585" width="5" style="459" customWidth="1"/>
    <col min="3586" max="3586" width="43" style="459" customWidth="1"/>
    <col min="3587" max="3587" width="10.140625" style="459" customWidth="1"/>
    <col min="3588" max="3588" width="45" style="459" customWidth="1"/>
    <col min="3589" max="3589" width="34.5703125" style="459" customWidth="1"/>
    <col min="3590" max="3590" width="20.42578125" style="459" customWidth="1"/>
    <col min="3591" max="3591" width="36" style="459" customWidth="1"/>
    <col min="3592" max="3594" width="9.140625" style="459"/>
    <col min="3595" max="3596" width="9.5703125" style="459" customWidth="1"/>
    <col min="3597" max="3597" width="9.42578125" style="459" customWidth="1"/>
    <col min="3598" max="3598" width="9.140625" style="459"/>
    <col min="3599" max="3600" width="10.5703125" style="459" customWidth="1"/>
    <col min="3601" max="3601" width="9.42578125" style="459" customWidth="1"/>
    <col min="3602" max="3840" width="9.140625" style="459"/>
    <col min="3841" max="3841" width="5" style="459" customWidth="1"/>
    <col min="3842" max="3842" width="43" style="459" customWidth="1"/>
    <col min="3843" max="3843" width="10.140625" style="459" customWidth="1"/>
    <col min="3844" max="3844" width="45" style="459" customWidth="1"/>
    <col min="3845" max="3845" width="34.5703125" style="459" customWidth="1"/>
    <col min="3846" max="3846" width="20.42578125" style="459" customWidth="1"/>
    <col min="3847" max="3847" width="36" style="459" customWidth="1"/>
    <col min="3848" max="3850" width="9.140625" style="459"/>
    <col min="3851" max="3852" width="9.5703125" style="459" customWidth="1"/>
    <col min="3853" max="3853" width="9.42578125" style="459" customWidth="1"/>
    <col min="3854" max="3854" width="9.140625" style="459"/>
    <col min="3855" max="3856" width="10.5703125" style="459" customWidth="1"/>
    <col min="3857" max="3857" width="9.42578125" style="459" customWidth="1"/>
    <col min="3858" max="4096" width="9.140625" style="459"/>
    <col min="4097" max="4097" width="5" style="459" customWidth="1"/>
    <col min="4098" max="4098" width="43" style="459" customWidth="1"/>
    <col min="4099" max="4099" width="10.140625" style="459" customWidth="1"/>
    <col min="4100" max="4100" width="45" style="459" customWidth="1"/>
    <col min="4101" max="4101" width="34.5703125" style="459" customWidth="1"/>
    <col min="4102" max="4102" width="20.42578125" style="459" customWidth="1"/>
    <col min="4103" max="4103" width="36" style="459" customWidth="1"/>
    <col min="4104" max="4106" width="9.140625" style="459"/>
    <col min="4107" max="4108" width="9.5703125" style="459" customWidth="1"/>
    <col min="4109" max="4109" width="9.42578125" style="459" customWidth="1"/>
    <col min="4110" max="4110" width="9.140625" style="459"/>
    <col min="4111" max="4112" width="10.5703125" style="459" customWidth="1"/>
    <col min="4113" max="4113" width="9.42578125" style="459" customWidth="1"/>
    <col min="4114" max="4352" width="9.140625" style="459"/>
    <col min="4353" max="4353" width="5" style="459" customWidth="1"/>
    <col min="4354" max="4354" width="43" style="459" customWidth="1"/>
    <col min="4355" max="4355" width="10.140625" style="459" customWidth="1"/>
    <col min="4356" max="4356" width="45" style="459" customWidth="1"/>
    <col min="4357" max="4357" width="34.5703125" style="459" customWidth="1"/>
    <col min="4358" max="4358" width="20.42578125" style="459" customWidth="1"/>
    <col min="4359" max="4359" width="36" style="459" customWidth="1"/>
    <col min="4360" max="4362" width="9.140625" style="459"/>
    <col min="4363" max="4364" width="9.5703125" style="459" customWidth="1"/>
    <col min="4365" max="4365" width="9.42578125" style="459" customWidth="1"/>
    <col min="4366" max="4366" width="9.140625" style="459"/>
    <col min="4367" max="4368" width="10.5703125" style="459" customWidth="1"/>
    <col min="4369" max="4369" width="9.42578125" style="459" customWidth="1"/>
    <col min="4370" max="4608" width="9.140625" style="459"/>
    <col min="4609" max="4609" width="5" style="459" customWidth="1"/>
    <col min="4610" max="4610" width="43" style="459" customWidth="1"/>
    <col min="4611" max="4611" width="10.140625" style="459" customWidth="1"/>
    <col min="4612" max="4612" width="45" style="459" customWidth="1"/>
    <col min="4613" max="4613" width="34.5703125" style="459" customWidth="1"/>
    <col min="4614" max="4614" width="20.42578125" style="459" customWidth="1"/>
    <col min="4615" max="4615" width="36" style="459" customWidth="1"/>
    <col min="4616" max="4618" width="9.140625" style="459"/>
    <col min="4619" max="4620" width="9.5703125" style="459" customWidth="1"/>
    <col min="4621" max="4621" width="9.42578125" style="459" customWidth="1"/>
    <col min="4622" max="4622" width="9.140625" style="459"/>
    <col min="4623" max="4624" width="10.5703125" style="459" customWidth="1"/>
    <col min="4625" max="4625" width="9.42578125" style="459" customWidth="1"/>
    <col min="4626" max="4864" width="9.140625" style="459"/>
    <col min="4865" max="4865" width="5" style="459" customWidth="1"/>
    <col min="4866" max="4866" width="43" style="459" customWidth="1"/>
    <col min="4867" max="4867" width="10.140625" style="459" customWidth="1"/>
    <col min="4868" max="4868" width="45" style="459" customWidth="1"/>
    <col min="4869" max="4869" width="34.5703125" style="459" customWidth="1"/>
    <col min="4870" max="4870" width="20.42578125" style="459" customWidth="1"/>
    <col min="4871" max="4871" width="36" style="459" customWidth="1"/>
    <col min="4872" max="4874" width="9.140625" style="459"/>
    <col min="4875" max="4876" width="9.5703125" style="459" customWidth="1"/>
    <col min="4877" max="4877" width="9.42578125" style="459" customWidth="1"/>
    <col min="4878" max="4878" width="9.140625" style="459"/>
    <col min="4879" max="4880" width="10.5703125" style="459" customWidth="1"/>
    <col min="4881" max="4881" width="9.42578125" style="459" customWidth="1"/>
    <col min="4882" max="5120" width="9.140625" style="459"/>
    <col min="5121" max="5121" width="5" style="459" customWidth="1"/>
    <col min="5122" max="5122" width="43" style="459" customWidth="1"/>
    <col min="5123" max="5123" width="10.140625" style="459" customWidth="1"/>
    <col min="5124" max="5124" width="45" style="459" customWidth="1"/>
    <col min="5125" max="5125" width="34.5703125" style="459" customWidth="1"/>
    <col min="5126" max="5126" width="20.42578125" style="459" customWidth="1"/>
    <col min="5127" max="5127" width="36" style="459" customWidth="1"/>
    <col min="5128" max="5130" width="9.140625" style="459"/>
    <col min="5131" max="5132" width="9.5703125" style="459" customWidth="1"/>
    <col min="5133" max="5133" width="9.42578125" style="459" customWidth="1"/>
    <col min="5134" max="5134" width="9.140625" style="459"/>
    <col min="5135" max="5136" width="10.5703125" style="459" customWidth="1"/>
    <col min="5137" max="5137" width="9.42578125" style="459" customWidth="1"/>
    <col min="5138" max="5376" width="9.140625" style="459"/>
    <col min="5377" max="5377" width="5" style="459" customWidth="1"/>
    <col min="5378" max="5378" width="43" style="459" customWidth="1"/>
    <col min="5379" max="5379" width="10.140625" style="459" customWidth="1"/>
    <col min="5380" max="5380" width="45" style="459" customWidth="1"/>
    <col min="5381" max="5381" width="34.5703125" style="459" customWidth="1"/>
    <col min="5382" max="5382" width="20.42578125" style="459" customWidth="1"/>
    <col min="5383" max="5383" width="36" style="459" customWidth="1"/>
    <col min="5384" max="5386" width="9.140625" style="459"/>
    <col min="5387" max="5388" width="9.5703125" style="459" customWidth="1"/>
    <col min="5389" max="5389" width="9.42578125" style="459" customWidth="1"/>
    <col min="5390" max="5390" width="9.140625" style="459"/>
    <col min="5391" max="5392" width="10.5703125" style="459" customWidth="1"/>
    <col min="5393" max="5393" width="9.42578125" style="459" customWidth="1"/>
    <col min="5394" max="5632" width="9.140625" style="459"/>
    <col min="5633" max="5633" width="5" style="459" customWidth="1"/>
    <col min="5634" max="5634" width="43" style="459" customWidth="1"/>
    <col min="5635" max="5635" width="10.140625" style="459" customWidth="1"/>
    <col min="5636" max="5636" width="45" style="459" customWidth="1"/>
    <col min="5637" max="5637" width="34.5703125" style="459" customWidth="1"/>
    <col min="5638" max="5638" width="20.42578125" style="459" customWidth="1"/>
    <col min="5639" max="5639" width="36" style="459" customWidth="1"/>
    <col min="5640" max="5642" width="9.140625" style="459"/>
    <col min="5643" max="5644" width="9.5703125" style="459" customWidth="1"/>
    <col min="5645" max="5645" width="9.42578125" style="459" customWidth="1"/>
    <col min="5646" max="5646" width="9.140625" style="459"/>
    <col min="5647" max="5648" width="10.5703125" style="459" customWidth="1"/>
    <col min="5649" max="5649" width="9.42578125" style="459" customWidth="1"/>
    <col min="5650" max="5888" width="9.140625" style="459"/>
    <col min="5889" max="5889" width="5" style="459" customWidth="1"/>
    <col min="5890" max="5890" width="43" style="459" customWidth="1"/>
    <col min="5891" max="5891" width="10.140625" style="459" customWidth="1"/>
    <col min="5892" max="5892" width="45" style="459" customWidth="1"/>
    <col min="5893" max="5893" width="34.5703125" style="459" customWidth="1"/>
    <col min="5894" max="5894" width="20.42578125" style="459" customWidth="1"/>
    <col min="5895" max="5895" width="36" style="459" customWidth="1"/>
    <col min="5896" max="5898" width="9.140625" style="459"/>
    <col min="5899" max="5900" width="9.5703125" style="459" customWidth="1"/>
    <col min="5901" max="5901" width="9.42578125" style="459" customWidth="1"/>
    <col min="5902" max="5902" width="9.140625" style="459"/>
    <col min="5903" max="5904" width="10.5703125" style="459" customWidth="1"/>
    <col min="5905" max="5905" width="9.42578125" style="459" customWidth="1"/>
    <col min="5906" max="6144" width="9.140625" style="459"/>
    <col min="6145" max="6145" width="5" style="459" customWidth="1"/>
    <col min="6146" max="6146" width="43" style="459" customWidth="1"/>
    <col min="6147" max="6147" width="10.140625" style="459" customWidth="1"/>
    <col min="6148" max="6148" width="45" style="459" customWidth="1"/>
    <col min="6149" max="6149" width="34.5703125" style="459" customWidth="1"/>
    <col min="6150" max="6150" width="20.42578125" style="459" customWidth="1"/>
    <col min="6151" max="6151" width="36" style="459" customWidth="1"/>
    <col min="6152" max="6154" width="9.140625" style="459"/>
    <col min="6155" max="6156" width="9.5703125" style="459" customWidth="1"/>
    <col min="6157" max="6157" width="9.42578125" style="459" customWidth="1"/>
    <col min="6158" max="6158" width="9.140625" style="459"/>
    <col min="6159" max="6160" width="10.5703125" style="459" customWidth="1"/>
    <col min="6161" max="6161" width="9.42578125" style="459" customWidth="1"/>
    <col min="6162" max="6400" width="9.140625" style="459"/>
    <col min="6401" max="6401" width="5" style="459" customWidth="1"/>
    <col min="6402" max="6402" width="43" style="459" customWidth="1"/>
    <col min="6403" max="6403" width="10.140625" style="459" customWidth="1"/>
    <col min="6404" max="6404" width="45" style="459" customWidth="1"/>
    <col min="6405" max="6405" width="34.5703125" style="459" customWidth="1"/>
    <col min="6406" max="6406" width="20.42578125" style="459" customWidth="1"/>
    <col min="6407" max="6407" width="36" style="459" customWidth="1"/>
    <col min="6408" max="6410" width="9.140625" style="459"/>
    <col min="6411" max="6412" width="9.5703125" style="459" customWidth="1"/>
    <col min="6413" max="6413" width="9.42578125" style="459" customWidth="1"/>
    <col min="6414" max="6414" width="9.140625" style="459"/>
    <col min="6415" max="6416" width="10.5703125" style="459" customWidth="1"/>
    <col min="6417" max="6417" width="9.42578125" style="459" customWidth="1"/>
    <col min="6418" max="6656" width="9.140625" style="459"/>
    <col min="6657" max="6657" width="5" style="459" customWidth="1"/>
    <col min="6658" max="6658" width="43" style="459" customWidth="1"/>
    <col min="6659" max="6659" width="10.140625" style="459" customWidth="1"/>
    <col min="6660" max="6660" width="45" style="459" customWidth="1"/>
    <col min="6661" max="6661" width="34.5703125" style="459" customWidth="1"/>
    <col min="6662" max="6662" width="20.42578125" style="459" customWidth="1"/>
    <col min="6663" max="6663" width="36" style="459" customWidth="1"/>
    <col min="6664" max="6666" width="9.140625" style="459"/>
    <col min="6667" max="6668" width="9.5703125" style="459" customWidth="1"/>
    <col min="6669" max="6669" width="9.42578125" style="459" customWidth="1"/>
    <col min="6670" max="6670" width="9.140625" style="459"/>
    <col min="6671" max="6672" width="10.5703125" style="459" customWidth="1"/>
    <col min="6673" max="6673" width="9.42578125" style="459" customWidth="1"/>
    <col min="6674" max="6912" width="9.140625" style="459"/>
    <col min="6913" max="6913" width="5" style="459" customWidth="1"/>
    <col min="6914" max="6914" width="43" style="459" customWidth="1"/>
    <col min="6915" max="6915" width="10.140625" style="459" customWidth="1"/>
    <col min="6916" max="6916" width="45" style="459" customWidth="1"/>
    <col min="6917" max="6917" width="34.5703125" style="459" customWidth="1"/>
    <col min="6918" max="6918" width="20.42578125" style="459" customWidth="1"/>
    <col min="6919" max="6919" width="36" style="459" customWidth="1"/>
    <col min="6920" max="6922" width="9.140625" style="459"/>
    <col min="6923" max="6924" width="9.5703125" style="459" customWidth="1"/>
    <col min="6925" max="6925" width="9.42578125" style="459" customWidth="1"/>
    <col min="6926" max="6926" width="9.140625" style="459"/>
    <col min="6927" max="6928" width="10.5703125" style="459" customWidth="1"/>
    <col min="6929" max="6929" width="9.42578125" style="459" customWidth="1"/>
    <col min="6930" max="7168" width="9.140625" style="459"/>
    <col min="7169" max="7169" width="5" style="459" customWidth="1"/>
    <col min="7170" max="7170" width="43" style="459" customWidth="1"/>
    <col min="7171" max="7171" width="10.140625" style="459" customWidth="1"/>
    <col min="7172" max="7172" width="45" style="459" customWidth="1"/>
    <col min="7173" max="7173" width="34.5703125" style="459" customWidth="1"/>
    <col min="7174" max="7174" width="20.42578125" style="459" customWidth="1"/>
    <col min="7175" max="7175" width="36" style="459" customWidth="1"/>
    <col min="7176" max="7178" width="9.140625" style="459"/>
    <col min="7179" max="7180" width="9.5703125" style="459" customWidth="1"/>
    <col min="7181" max="7181" width="9.42578125" style="459" customWidth="1"/>
    <col min="7182" max="7182" width="9.140625" style="459"/>
    <col min="7183" max="7184" width="10.5703125" style="459" customWidth="1"/>
    <col min="7185" max="7185" width="9.42578125" style="459" customWidth="1"/>
    <col min="7186" max="7424" width="9.140625" style="459"/>
    <col min="7425" max="7425" width="5" style="459" customWidth="1"/>
    <col min="7426" max="7426" width="43" style="459" customWidth="1"/>
    <col min="7427" max="7427" width="10.140625" style="459" customWidth="1"/>
    <col min="7428" max="7428" width="45" style="459" customWidth="1"/>
    <col min="7429" max="7429" width="34.5703125" style="459" customWidth="1"/>
    <col min="7430" max="7430" width="20.42578125" style="459" customWidth="1"/>
    <col min="7431" max="7431" width="36" style="459" customWidth="1"/>
    <col min="7432" max="7434" width="9.140625" style="459"/>
    <col min="7435" max="7436" width="9.5703125" style="459" customWidth="1"/>
    <col min="7437" max="7437" width="9.42578125" style="459" customWidth="1"/>
    <col min="7438" max="7438" width="9.140625" style="459"/>
    <col min="7439" max="7440" width="10.5703125" style="459" customWidth="1"/>
    <col min="7441" max="7441" width="9.42578125" style="459" customWidth="1"/>
    <col min="7442" max="7680" width="9.140625" style="459"/>
    <col min="7681" max="7681" width="5" style="459" customWidth="1"/>
    <col min="7682" max="7682" width="43" style="459" customWidth="1"/>
    <col min="7683" max="7683" width="10.140625" style="459" customWidth="1"/>
    <col min="7684" max="7684" width="45" style="459" customWidth="1"/>
    <col min="7685" max="7685" width="34.5703125" style="459" customWidth="1"/>
    <col min="7686" max="7686" width="20.42578125" style="459" customWidth="1"/>
    <col min="7687" max="7687" width="36" style="459" customWidth="1"/>
    <col min="7688" max="7690" width="9.140625" style="459"/>
    <col min="7691" max="7692" width="9.5703125" style="459" customWidth="1"/>
    <col min="7693" max="7693" width="9.42578125" style="459" customWidth="1"/>
    <col min="7694" max="7694" width="9.140625" style="459"/>
    <col min="7695" max="7696" width="10.5703125" style="459" customWidth="1"/>
    <col min="7697" max="7697" width="9.42578125" style="459" customWidth="1"/>
    <col min="7698" max="7936" width="9.140625" style="459"/>
    <col min="7937" max="7937" width="5" style="459" customWidth="1"/>
    <col min="7938" max="7938" width="43" style="459" customWidth="1"/>
    <col min="7939" max="7939" width="10.140625" style="459" customWidth="1"/>
    <col min="7940" max="7940" width="45" style="459" customWidth="1"/>
    <col min="7941" max="7941" width="34.5703125" style="459" customWidth="1"/>
    <col min="7942" max="7942" width="20.42578125" style="459" customWidth="1"/>
    <col min="7943" max="7943" width="36" style="459" customWidth="1"/>
    <col min="7944" max="7946" width="9.140625" style="459"/>
    <col min="7947" max="7948" width="9.5703125" style="459" customWidth="1"/>
    <col min="7949" max="7949" width="9.42578125" style="459" customWidth="1"/>
    <col min="7950" max="7950" width="9.140625" style="459"/>
    <col min="7951" max="7952" width="10.5703125" style="459" customWidth="1"/>
    <col min="7953" max="7953" width="9.42578125" style="459" customWidth="1"/>
    <col min="7954" max="8192" width="9.140625" style="459"/>
    <col min="8193" max="8193" width="5" style="459" customWidth="1"/>
    <col min="8194" max="8194" width="43" style="459" customWidth="1"/>
    <col min="8195" max="8195" width="10.140625" style="459" customWidth="1"/>
    <col min="8196" max="8196" width="45" style="459" customWidth="1"/>
    <col min="8197" max="8197" width="34.5703125" style="459" customWidth="1"/>
    <col min="8198" max="8198" width="20.42578125" style="459" customWidth="1"/>
    <col min="8199" max="8199" width="36" style="459" customWidth="1"/>
    <col min="8200" max="8202" width="9.140625" style="459"/>
    <col min="8203" max="8204" width="9.5703125" style="459" customWidth="1"/>
    <col min="8205" max="8205" width="9.42578125" style="459" customWidth="1"/>
    <col min="8206" max="8206" width="9.140625" style="459"/>
    <col min="8207" max="8208" width="10.5703125" style="459" customWidth="1"/>
    <col min="8209" max="8209" width="9.42578125" style="459" customWidth="1"/>
    <col min="8210" max="8448" width="9.140625" style="459"/>
    <col min="8449" max="8449" width="5" style="459" customWidth="1"/>
    <col min="8450" max="8450" width="43" style="459" customWidth="1"/>
    <col min="8451" max="8451" width="10.140625" style="459" customWidth="1"/>
    <col min="8452" max="8452" width="45" style="459" customWidth="1"/>
    <col min="8453" max="8453" width="34.5703125" style="459" customWidth="1"/>
    <col min="8454" max="8454" width="20.42578125" style="459" customWidth="1"/>
    <col min="8455" max="8455" width="36" style="459" customWidth="1"/>
    <col min="8456" max="8458" width="9.140625" style="459"/>
    <col min="8459" max="8460" width="9.5703125" style="459" customWidth="1"/>
    <col min="8461" max="8461" width="9.42578125" style="459" customWidth="1"/>
    <col min="8462" max="8462" width="9.140625" style="459"/>
    <col min="8463" max="8464" width="10.5703125" style="459" customWidth="1"/>
    <col min="8465" max="8465" width="9.42578125" style="459" customWidth="1"/>
    <col min="8466" max="8704" width="9.140625" style="459"/>
    <col min="8705" max="8705" width="5" style="459" customWidth="1"/>
    <col min="8706" max="8706" width="43" style="459" customWidth="1"/>
    <col min="8707" max="8707" width="10.140625" style="459" customWidth="1"/>
    <col min="8708" max="8708" width="45" style="459" customWidth="1"/>
    <col min="8709" max="8709" width="34.5703125" style="459" customWidth="1"/>
    <col min="8710" max="8710" width="20.42578125" style="459" customWidth="1"/>
    <col min="8711" max="8711" width="36" style="459" customWidth="1"/>
    <col min="8712" max="8714" width="9.140625" style="459"/>
    <col min="8715" max="8716" width="9.5703125" style="459" customWidth="1"/>
    <col min="8717" max="8717" width="9.42578125" style="459" customWidth="1"/>
    <col min="8718" max="8718" width="9.140625" style="459"/>
    <col min="8719" max="8720" width="10.5703125" style="459" customWidth="1"/>
    <col min="8721" max="8721" width="9.42578125" style="459" customWidth="1"/>
    <col min="8722" max="8960" width="9.140625" style="459"/>
    <col min="8961" max="8961" width="5" style="459" customWidth="1"/>
    <col min="8962" max="8962" width="43" style="459" customWidth="1"/>
    <col min="8963" max="8963" width="10.140625" style="459" customWidth="1"/>
    <col min="8964" max="8964" width="45" style="459" customWidth="1"/>
    <col min="8965" max="8965" width="34.5703125" style="459" customWidth="1"/>
    <col min="8966" max="8966" width="20.42578125" style="459" customWidth="1"/>
    <col min="8967" max="8967" width="36" style="459" customWidth="1"/>
    <col min="8968" max="8970" width="9.140625" style="459"/>
    <col min="8971" max="8972" width="9.5703125" style="459" customWidth="1"/>
    <col min="8973" max="8973" width="9.42578125" style="459" customWidth="1"/>
    <col min="8974" max="8974" width="9.140625" style="459"/>
    <col min="8975" max="8976" width="10.5703125" style="459" customWidth="1"/>
    <col min="8977" max="8977" width="9.42578125" style="459" customWidth="1"/>
    <col min="8978" max="9216" width="9.140625" style="459"/>
    <col min="9217" max="9217" width="5" style="459" customWidth="1"/>
    <col min="9218" max="9218" width="43" style="459" customWidth="1"/>
    <col min="9219" max="9219" width="10.140625" style="459" customWidth="1"/>
    <col min="9220" max="9220" width="45" style="459" customWidth="1"/>
    <col min="9221" max="9221" width="34.5703125" style="459" customWidth="1"/>
    <col min="9222" max="9222" width="20.42578125" style="459" customWidth="1"/>
    <col min="9223" max="9223" width="36" style="459" customWidth="1"/>
    <col min="9224" max="9226" width="9.140625" style="459"/>
    <col min="9227" max="9228" width="9.5703125" style="459" customWidth="1"/>
    <col min="9229" max="9229" width="9.42578125" style="459" customWidth="1"/>
    <col min="9230" max="9230" width="9.140625" style="459"/>
    <col min="9231" max="9232" width="10.5703125" style="459" customWidth="1"/>
    <col min="9233" max="9233" width="9.42578125" style="459" customWidth="1"/>
    <col min="9234" max="9472" width="9.140625" style="459"/>
    <col min="9473" max="9473" width="5" style="459" customWidth="1"/>
    <col min="9474" max="9474" width="43" style="459" customWidth="1"/>
    <col min="9475" max="9475" width="10.140625" style="459" customWidth="1"/>
    <col min="9476" max="9476" width="45" style="459" customWidth="1"/>
    <col min="9477" max="9477" width="34.5703125" style="459" customWidth="1"/>
    <col min="9478" max="9478" width="20.42578125" style="459" customWidth="1"/>
    <col min="9479" max="9479" width="36" style="459" customWidth="1"/>
    <col min="9480" max="9482" width="9.140625" style="459"/>
    <col min="9483" max="9484" width="9.5703125" style="459" customWidth="1"/>
    <col min="9485" max="9485" width="9.42578125" style="459" customWidth="1"/>
    <col min="9486" max="9486" width="9.140625" style="459"/>
    <col min="9487" max="9488" width="10.5703125" style="459" customWidth="1"/>
    <col min="9489" max="9489" width="9.42578125" style="459" customWidth="1"/>
    <col min="9490" max="9728" width="9.140625" style="459"/>
    <col min="9729" max="9729" width="5" style="459" customWidth="1"/>
    <col min="9730" max="9730" width="43" style="459" customWidth="1"/>
    <col min="9731" max="9731" width="10.140625" style="459" customWidth="1"/>
    <col min="9732" max="9732" width="45" style="459" customWidth="1"/>
    <col min="9733" max="9733" width="34.5703125" style="459" customWidth="1"/>
    <col min="9734" max="9734" width="20.42578125" style="459" customWidth="1"/>
    <col min="9735" max="9735" width="36" style="459" customWidth="1"/>
    <col min="9736" max="9738" width="9.140625" style="459"/>
    <col min="9739" max="9740" width="9.5703125" style="459" customWidth="1"/>
    <col min="9741" max="9741" width="9.42578125" style="459" customWidth="1"/>
    <col min="9742" max="9742" width="9.140625" style="459"/>
    <col min="9743" max="9744" width="10.5703125" style="459" customWidth="1"/>
    <col min="9745" max="9745" width="9.42578125" style="459" customWidth="1"/>
    <col min="9746" max="9984" width="9.140625" style="459"/>
    <col min="9985" max="9985" width="5" style="459" customWidth="1"/>
    <col min="9986" max="9986" width="43" style="459" customWidth="1"/>
    <col min="9987" max="9987" width="10.140625" style="459" customWidth="1"/>
    <col min="9988" max="9988" width="45" style="459" customWidth="1"/>
    <col min="9989" max="9989" width="34.5703125" style="459" customWidth="1"/>
    <col min="9990" max="9990" width="20.42578125" style="459" customWidth="1"/>
    <col min="9991" max="9991" width="36" style="459" customWidth="1"/>
    <col min="9992" max="9994" width="9.140625" style="459"/>
    <col min="9995" max="9996" width="9.5703125" style="459" customWidth="1"/>
    <col min="9997" max="9997" width="9.42578125" style="459" customWidth="1"/>
    <col min="9998" max="9998" width="9.140625" style="459"/>
    <col min="9999" max="10000" width="10.5703125" style="459" customWidth="1"/>
    <col min="10001" max="10001" width="9.42578125" style="459" customWidth="1"/>
    <col min="10002" max="10240" width="9.140625" style="459"/>
    <col min="10241" max="10241" width="5" style="459" customWidth="1"/>
    <col min="10242" max="10242" width="43" style="459" customWidth="1"/>
    <col min="10243" max="10243" width="10.140625" style="459" customWidth="1"/>
    <col min="10244" max="10244" width="45" style="459" customWidth="1"/>
    <col min="10245" max="10245" width="34.5703125" style="459" customWidth="1"/>
    <col min="10246" max="10246" width="20.42578125" style="459" customWidth="1"/>
    <col min="10247" max="10247" width="36" style="459" customWidth="1"/>
    <col min="10248" max="10250" width="9.140625" style="459"/>
    <col min="10251" max="10252" width="9.5703125" style="459" customWidth="1"/>
    <col min="10253" max="10253" width="9.42578125" style="459" customWidth="1"/>
    <col min="10254" max="10254" width="9.140625" style="459"/>
    <col min="10255" max="10256" width="10.5703125" style="459" customWidth="1"/>
    <col min="10257" max="10257" width="9.42578125" style="459" customWidth="1"/>
    <col min="10258" max="10496" width="9.140625" style="459"/>
    <col min="10497" max="10497" width="5" style="459" customWidth="1"/>
    <col min="10498" max="10498" width="43" style="459" customWidth="1"/>
    <col min="10499" max="10499" width="10.140625" style="459" customWidth="1"/>
    <col min="10500" max="10500" width="45" style="459" customWidth="1"/>
    <col min="10501" max="10501" width="34.5703125" style="459" customWidth="1"/>
    <col min="10502" max="10502" width="20.42578125" style="459" customWidth="1"/>
    <col min="10503" max="10503" width="36" style="459" customWidth="1"/>
    <col min="10504" max="10506" width="9.140625" style="459"/>
    <col min="10507" max="10508" width="9.5703125" style="459" customWidth="1"/>
    <col min="10509" max="10509" width="9.42578125" style="459" customWidth="1"/>
    <col min="10510" max="10510" width="9.140625" style="459"/>
    <col min="10511" max="10512" width="10.5703125" style="459" customWidth="1"/>
    <col min="10513" max="10513" width="9.42578125" style="459" customWidth="1"/>
    <col min="10514" max="10752" width="9.140625" style="459"/>
    <col min="10753" max="10753" width="5" style="459" customWidth="1"/>
    <col min="10754" max="10754" width="43" style="459" customWidth="1"/>
    <col min="10755" max="10755" width="10.140625" style="459" customWidth="1"/>
    <col min="10756" max="10756" width="45" style="459" customWidth="1"/>
    <col min="10757" max="10757" width="34.5703125" style="459" customWidth="1"/>
    <col min="10758" max="10758" width="20.42578125" style="459" customWidth="1"/>
    <col min="10759" max="10759" width="36" style="459" customWidth="1"/>
    <col min="10760" max="10762" width="9.140625" style="459"/>
    <col min="10763" max="10764" width="9.5703125" style="459" customWidth="1"/>
    <col min="10765" max="10765" width="9.42578125" style="459" customWidth="1"/>
    <col min="10766" max="10766" width="9.140625" style="459"/>
    <col min="10767" max="10768" width="10.5703125" style="459" customWidth="1"/>
    <col min="10769" max="10769" width="9.42578125" style="459" customWidth="1"/>
    <col min="10770" max="11008" width="9.140625" style="459"/>
    <col min="11009" max="11009" width="5" style="459" customWidth="1"/>
    <col min="11010" max="11010" width="43" style="459" customWidth="1"/>
    <col min="11011" max="11011" width="10.140625" style="459" customWidth="1"/>
    <col min="11012" max="11012" width="45" style="459" customWidth="1"/>
    <col min="11013" max="11013" width="34.5703125" style="459" customWidth="1"/>
    <col min="11014" max="11014" width="20.42578125" style="459" customWidth="1"/>
    <col min="11015" max="11015" width="36" style="459" customWidth="1"/>
    <col min="11016" max="11018" width="9.140625" style="459"/>
    <col min="11019" max="11020" width="9.5703125" style="459" customWidth="1"/>
    <col min="11021" max="11021" width="9.42578125" style="459" customWidth="1"/>
    <col min="11022" max="11022" width="9.140625" style="459"/>
    <col min="11023" max="11024" width="10.5703125" style="459" customWidth="1"/>
    <col min="11025" max="11025" width="9.42578125" style="459" customWidth="1"/>
    <col min="11026" max="11264" width="9.140625" style="459"/>
    <col min="11265" max="11265" width="5" style="459" customWidth="1"/>
    <col min="11266" max="11266" width="43" style="459" customWidth="1"/>
    <col min="11267" max="11267" width="10.140625" style="459" customWidth="1"/>
    <col min="11268" max="11268" width="45" style="459" customWidth="1"/>
    <col min="11269" max="11269" width="34.5703125" style="459" customWidth="1"/>
    <col min="11270" max="11270" width="20.42578125" style="459" customWidth="1"/>
    <col min="11271" max="11271" width="36" style="459" customWidth="1"/>
    <col min="11272" max="11274" width="9.140625" style="459"/>
    <col min="11275" max="11276" width="9.5703125" style="459" customWidth="1"/>
    <col min="11277" max="11277" width="9.42578125" style="459" customWidth="1"/>
    <col min="11278" max="11278" width="9.140625" style="459"/>
    <col min="11279" max="11280" width="10.5703125" style="459" customWidth="1"/>
    <col min="11281" max="11281" width="9.42578125" style="459" customWidth="1"/>
    <col min="11282" max="11520" width="9.140625" style="459"/>
    <col min="11521" max="11521" width="5" style="459" customWidth="1"/>
    <col min="11522" max="11522" width="43" style="459" customWidth="1"/>
    <col min="11523" max="11523" width="10.140625" style="459" customWidth="1"/>
    <col min="11524" max="11524" width="45" style="459" customWidth="1"/>
    <col min="11525" max="11525" width="34.5703125" style="459" customWidth="1"/>
    <col min="11526" max="11526" width="20.42578125" style="459" customWidth="1"/>
    <col min="11527" max="11527" width="36" style="459" customWidth="1"/>
    <col min="11528" max="11530" width="9.140625" style="459"/>
    <col min="11531" max="11532" width="9.5703125" style="459" customWidth="1"/>
    <col min="11533" max="11533" width="9.42578125" style="459" customWidth="1"/>
    <col min="11534" max="11534" width="9.140625" style="459"/>
    <col min="11535" max="11536" width="10.5703125" style="459" customWidth="1"/>
    <col min="11537" max="11537" width="9.42578125" style="459" customWidth="1"/>
    <col min="11538" max="11776" width="9.140625" style="459"/>
    <col min="11777" max="11777" width="5" style="459" customWidth="1"/>
    <col min="11778" max="11778" width="43" style="459" customWidth="1"/>
    <col min="11779" max="11779" width="10.140625" style="459" customWidth="1"/>
    <col min="11780" max="11780" width="45" style="459" customWidth="1"/>
    <col min="11781" max="11781" width="34.5703125" style="459" customWidth="1"/>
    <col min="11782" max="11782" width="20.42578125" style="459" customWidth="1"/>
    <col min="11783" max="11783" width="36" style="459" customWidth="1"/>
    <col min="11784" max="11786" width="9.140625" style="459"/>
    <col min="11787" max="11788" width="9.5703125" style="459" customWidth="1"/>
    <col min="11789" max="11789" width="9.42578125" style="459" customWidth="1"/>
    <col min="11790" max="11790" width="9.140625" style="459"/>
    <col min="11791" max="11792" width="10.5703125" style="459" customWidth="1"/>
    <col min="11793" max="11793" width="9.42578125" style="459" customWidth="1"/>
    <col min="11794" max="12032" width="9.140625" style="459"/>
    <col min="12033" max="12033" width="5" style="459" customWidth="1"/>
    <col min="12034" max="12034" width="43" style="459" customWidth="1"/>
    <col min="12035" max="12035" width="10.140625" style="459" customWidth="1"/>
    <col min="12036" max="12036" width="45" style="459" customWidth="1"/>
    <col min="12037" max="12037" width="34.5703125" style="459" customWidth="1"/>
    <col min="12038" max="12038" width="20.42578125" style="459" customWidth="1"/>
    <col min="12039" max="12039" width="36" style="459" customWidth="1"/>
    <col min="12040" max="12042" width="9.140625" style="459"/>
    <col min="12043" max="12044" width="9.5703125" style="459" customWidth="1"/>
    <col min="12045" max="12045" width="9.42578125" style="459" customWidth="1"/>
    <col min="12046" max="12046" width="9.140625" style="459"/>
    <col min="12047" max="12048" width="10.5703125" style="459" customWidth="1"/>
    <col min="12049" max="12049" width="9.42578125" style="459" customWidth="1"/>
    <col min="12050" max="12288" width="9.140625" style="459"/>
    <col min="12289" max="12289" width="5" style="459" customWidth="1"/>
    <col min="12290" max="12290" width="43" style="459" customWidth="1"/>
    <col min="12291" max="12291" width="10.140625" style="459" customWidth="1"/>
    <col min="12292" max="12292" width="45" style="459" customWidth="1"/>
    <col min="12293" max="12293" width="34.5703125" style="459" customWidth="1"/>
    <col min="12294" max="12294" width="20.42578125" style="459" customWidth="1"/>
    <col min="12295" max="12295" width="36" style="459" customWidth="1"/>
    <col min="12296" max="12298" width="9.140625" style="459"/>
    <col min="12299" max="12300" width="9.5703125" style="459" customWidth="1"/>
    <col min="12301" max="12301" width="9.42578125" style="459" customWidth="1"/>
    <col min="12302" max="12302" width="9.140625" style="459"/>
    <col min="12303" max="12304" width="10.5703125" style="459" customWidth="1"/>
    <col min="12305" max="12305" width="9.42578125" style="459" customWidth="1"/>
    <col min="12306" max="12544" width="9.140625" style="459"/>
    <col min="12545" max="12545" width="5" style="459" customWidth="1"/>
    <col min="12546" max="12546" width="43" style="459" customWidth="1"/>
    <col min="12547" max="12547" width="10.140625" style="459" customWidth="1"/>
    <col min="12548" max="12548" width="45" style="459" customWidth="1"/>
    <col min="12549" max="12549" width="34.5703125" style="459" customWidth="1"/>
    <col min="12550" max="12550" width="20.42578125" style="459" customWidth="1"/>
    <col min="12551" max="12551" width="36" style="459" customWidth="1"/>
    <col min="12552" max="12554" width="9.140625" style="459"/>
    <col min="12555" max="12556" width="9.5703125" style="459" customWidth="1"/>
    <col min="12557" max="12557" width="9.42578125" style="459" customWidth="1"/>
    <col min="12558" max="12558" width="9.140625" style="459"/>
    <col min="12559" max="12560" width="10.5703125" style="459" customWidth="1"/>
    <col min="12561" max="12561" width="9.42578125" style="459" customWidth="1"/>
    <col min="12562" max="12800" width="9.140625" style="459"/>
    <col min="12801" max="12801" width="5" style="459" customWidth="1"/>
    <col min="12802" max="12802" width="43" style="459" customWidth="1"/>
    <col min="12803" max="12803" width="10.140625" style="459" customWidth="1"/>
    <col min="12804" max="12804" width="45" style="459" customWidth="1"/>
    <col min="12805" max="12805" width="34.5703125" style="459" customWidth="1"/>
    <col min="12806" max="12806" width="20.42578125" style="459" customWidth="1"/>
    <col min="12807" max="12807" width="36" style="459" customWidth="1"/>
    <col min="12808" max="12810" width="9.140625" style="459"/>
    <col min="12811" max="12812" width="9.5703125" style="459" customWidth="1"/>
    <col min="12813" max="12813" width="9.42578125" style="459" customWidth="1"/>
    <col min="12814" max="12814" width="9.140625" style="459"/>
    <col min="12815" max="12816" width="10.5703125" style="459" customWidth="1"/>
    <col min="12817" max="12817" width="9.42578125" style="459" customWidth="1"/>
    <col min="12818" max="13056" width="9.140625" style="459"/>
    <col min="13057" max="13057" width="5" style="459" customWidth="1"/>
    <col min="13058" max="13058" width="43" style="459" customWidth="1"/>
    <col min="13059" max="13059" width="10.140625" style="459" customWidth="1"/>
    <col min="13060" max="13060" width="45" style="459" customWidth="1"/>
    <col min="13061" max="13061" width="34.5703125" style="459" customWidth="1"/>
    <col min="13062" max="13062" width="20.42578125" style="459" customWidth="1"/>
    <col min="13063" max="13063" width="36" style="459" customWidth="1"/>
    <col min="13064" max="13066" width="9.140625" style="459"/>
    <col min="13067" max="13068" width="9.5703125" style="459" customWidth="1"/>
    <col min="13069" max="13069" width="9.42578125" style="459" customWidth="1"/>
    <col min="13070" max="13070" width="9.140625" style="459"/>
    <col min="13071" max="13072" width="10.5703125" style="459" customWidth="1"/>
    <col min="13073" max="13073" width="9.42578125" style="459" customWidth="1"/>
    <col min="13074" max="13312" width="9.140625" style="459"/>
    <col min="13313" max="13313" width="5" style="459" customWidth="1"/>
    <col min="13314" max="13314" width="43" style="459" customWidth="1"/>
    <col min="13315" max="13315" width="10.140625" style="459" customWidth="1"/>
    <col min="13316" max="13316" width="45" style="459" customWidth="1"/>
    <col min="13317" max="13317" width="34.5703125" style="459" customWidth="1"/>
    <col min="13318" max="13318" width="20.42578125" style="459" customWidth="1"/>
    <col min="13319" max="13319" width="36" style="459" customWidth="1"/>
    <col min="13320" max="13322" width="9.140625" style="459"/>
    <col min="13323" max="13324" width="9.5703125" style="459" customWidth="1"/>
    <col min="13325" max="13325" width="9.42578125" style="459" customWidth="1"/>
    <col min="13326" max="13326" width="9.140625" style="459"/>
    <col min="13327" max="13328" width="10.5703125" style="459" customWidth="1"/>
    <col min="13329" max="13329" width="9.42578125" style="459" customWidth="1"/>
    <col min="13330" max="13568" width="9.140625" style="459"/>
    <col min="13569" max="13569" width="5" style="459" customWidth="1"/>
    <col min="13570" max="13570" width="43" style="459" customWidth="1"/>
    <col min="13571" max="13571" width="10.140625" style="459" customWidth="1"/>
    <col min="13572" max="13572" width="45" style="459" customWidth="1"/>
    <col min="13573" max="13573" width="34.5703125" style="459" customWidth="1"/>
    <col min="13574" max="13574" width="20.42578125" style="459" customWidth="1"/>
    <col min="13575" max="13575" width="36" style="459" customWidth="1"/>
    <col min="13576" max="13578" width="9.140625" style="459"/>
    <col min="13579" max="13580" width="9.5703125" style="459" customWidth="1"/>
    <col min="13581" max="13581" width="9.42578125" style="459" customWidth="1"/>
    <col min="13582" max="13582" width="9.140625" style="459"/>
    <col min="13583" max="13584" width="10.5703125" style="459" customWidth="1"/>
    <col min="13585" max="13585" width="9.42578125" style="459" customWidth="1"/>
    <col min="13586" max="13824" width="9.140625" style="459"/>
    <col min="13825" max="13825" width="5" style="459" customWidth="1"/>
    <col min="13826" max="13826" width="43" style="459" customWidth="1"/>
    <col min="13827" max="13827" width="10.140625" style="459" customWidth="1"/>
    <col min="13828" max="13828" width="45" style="459" customWidth="1"/>
    <col min="13829" max="13829" width="34.5703125" style="459" customWidth="1"/>
    <col min="13830" max="13830" width="20.42578125" style="459" customWidth="1"/>
    <col min="13831" max="13831" width="36" style="459" customWidth="1"/>
    <col min="13832" max="13834" width="9.140625" style="459"/>
    <col min="13835" max="13836" width="9.5703125" style="459" customWidth="1"/>
    <col min="13837" max="13837" width="9.42578125" style="459" customWidth="1"/>
    <col min="13838" max="13838" width="9.140625" style="459"/>
    <col min="13839" max="13840" width="10.5703125" style="459" customWidth="1"/>
    <col min="13841" max="13841" width="9.42578125" style="459" customWidth="1"/>
    <col min="13842" max="14080" width="9.140625" style="459"/>
    <col min="14081" max="14081" width="5" style="459" customWidth="1"/>
    <col min="14082" max="14082" width="43" style="459" customWidth="1"/>
    <col min="14083" max="14083" width="10.140625" style="459" customWidth="1"/>
    <col min="14084" max="14084" width="45" style="459" customWidth="1"/>
    <col min="14085" max="14085" width="34.5703125" style="459" customWidth="1"/>
    <col min="14086" max="14086" width="20.42578125" style="459" customWidth="1"/>
    <col min="14087" max="14087" width="36" style="459" customWidth="1"/>
    <col min="14088" max="14090" width="9.140625" style="459"/>
    <col min="14091" max="14092" width="9.5703125" style="459" customWidth="1"/>
    <col min="14093" max="14093" width="9.42578125" style="459" customWidth="1"/>
    <col min="14094" max="14094" width="9.140625" style="459"/>
    <col min="14095" max="14096" width="10.5703125" style="459" customWidth="1"/>
    <col min="14097" max="14097" width="9.42578125" style="459" customWidth="1"/>
    <col min="14098" max="14336" width="9.140625" style="459"/>
    <col min="14337" max="14337" width="5" style="459" customWidth="1"/>
    <col min="14338" max="14338" width="43" style="459" customWidth="1"/>
    <col min="14339" max="14339" width="10.140625" style="459" customWidth="1"/>
    <col min="14340" max="14340" width="45" style="459" customWidth="1"/>
    <col min="14341" max="14341" width="34.5703125" style="459" customWidth="1"/>
    <col min="14342" max="14342" width="20.42578125" style="459" customWidth="1"/>
    <col min="14343" max="14343" width="36" style="459" customWidth="1"/>
    <col min="14344" max="14346" width="9.140625" style="459"/>
    <col min="14347" max="14348" width="9.5703125" style="459" customWidth="1"/>
    <col min="14349" max="14349" width="9.42578125" style="459" customWidth="1"/>
    <col min="14350" max="14350" width="9.140625" style="459"/>
    <col min="14351" max="14352" width="10.5703125" style="459" customWidth="1"/>
    <col min="14353" max="14353" width="9.42578125" style="459" customWidth="1"/>
    <col min="14354" max="14592" width="9.140625" style="459"/>
    <col min="14593" max="14593" width="5" style="459" customWidth="1"/>
    <col min="14594" max="14594" width="43" style="459" customWidth="1"/>
    <col min="14595" max="14595" width="10.140625" style="459" customWidth="1"/>
    <col min="14596" max="14596" width="45" style="459" customWidth="1"/>
    <col min="14597" max="14597" width="34.5703125" style="459" customWidth="1"/>
    <col min="14598" max="14598" width="20.42578125" style="459" customWidth="1"/>
    <col min="14599" max="14599" width="36" style="459" customWidth="1"/>
    <col min="14600" max="14602" width="9.140625" style="459"/>
    <col min="14603" max="14604" width="9.5703125" style="459" customWidth="1"/>
    <col min="14605" max="14605" width="9.42578125" style="459" customWidth="1"/>
    <col min="14606" max="14606" width="9.140625" style="459"/>
    <col min="14607" max="14608" width="10.5703125" style="459" customWidth="1"/>
    <col min="14609" max="14609" width="9.42578125" style="459" customWidth="1"/>
    <col min="14610" max="14848" width="9.140625" style="459"/>
    <col min="14849" max="14849" width="5" style="459" customWidth="1"/>
    <col min="14850" max="14850" width="43" style="459" customWidth="1"/>
    <col min="14851" max="14851" width="10.140625" style="459" customWidth="1"/>
    <col min="14852" max="14852" width="45" style="459" customWidth="1"/>
    <col min="14853" max="14853" width="34.5703125" style="459" customWidth="1"/>
    <col min="14854" max="14854" width="20.42578125" style="459" customWidth="1"/>
    <col min="14855" max="14855" width="36" style="459" customWidth="1"/>
    <col min="14856" max="14858" width="9.140625" style="459"/>
    <col min="14859" max="14860" width="9.5703125" style="459" customWidth="1"/>
    <col min="14861" max="14861" width="9.42578125" style="459" customWidth="1"/>
    <col min="14862" max="14862" width="9.140625" style="459"/>
    <col min="14863" max="14864" width="10.5703125" style="459" customWidth="1"/>
    <col min="14865" max="14865" width="9.42578125" style="459" customWidth="1"/>
    <col min="14866" max="15104" width="9.140625" style="459"/>
    <col min="15105" max="15105" width="5" style="459" customWidth="1"/>
    <col min="15106" max="15106" width="43" style="459" customWidth="1"/>
    <col min="15107" max="15107" width="10.140625" style="459" customWidth="1"/>
    <col min="15108" max="15108" width="45" style="459" customWidth="1"/>
    <col min="15109" max="15109" width="34.5703125" style="459" customWidth="1"/>
    <col min="15110" max="15110" width="20.42578125" style="459" customWidth="1"/>
    <col min="15111" max="15111" width="36" style="459" customWidth="1"/>
    <col min="15112" max="15114" width="9.140625" style="459"/>
    <col min="15115" max="15116" width="9.5703125" style="459" customWidth="1"/>
    <col min="15117" max="15117" width="9.42578125" style="459" customWidth="1"/>
    <col min="15118" max="15118" width="9.140625" style="459"/>
    <col min="15119" max="15120" width="10.5703125" style="459" customWidth="1"/>
    <col min="15121" max="15121" width="9.42578125" style="459" customWidth="1"/>
    <col min="15122" max="15360" width="9.140625" style="459"/>
    <col min="15361" max="15361" width="5" style="459" customWidth="1"/>
    <col min="15362" max="15362" width="43" style="459" customWidth="1"/>
    <col min="15363" max="15363" width="10.140625" style="459" customWidth="1"/>
    <col min="15364" max="15364" width="45" style="459" customWidth="1"/>
    <col min="15365" max="15365" width="34.5703125" style="459" customWidth="1"/>
    <col min="15366" max="15366" width="20.42578125" style="459" customWidth="1"/>
    <col min="15367" max="15367" width="36" style="459" customWidth="1"/>
    <col min="15368" max="15370" width="9.140625" style="459"/>
    <col min="15371" max="15372" width="9.5703125" style="459" customWidth="1"/>
    <col min="15373" max="15373" width="9.42578125" style="459" customWidth="1"/>
    <col min="15374" max="15374" width="9.140625" style="459"/>
    <col min="15375" max="15376" width="10.5703125" style="459" customWidth="1"/>
    <col min="15377" max="15377" width="9.42578125" style="459" customWidth="1"/>
    <col min="15378" max="15616" width="9.140625" style="459"/>
    <col min="15617" max="15617" width="5" style="459" customWidth="1"/>
    <col min="15618" max="15618" width="43" style="459" customWidth="1"/>
    <col min="15619" max="15619" width="10.140625" style="459" customWidth="1"/>
    <col min="15620" max="15620" width="45" style="459" customWidth="1"/>
    <col min="15621" max="15621" width="34.5703125" style="459" customWidth="1"/>
    <col min="15622" max="15622" width="20.42578125" style="459" customWidth="1"/>
    <col min="15623" max="15623" width="36" style="459" customWidth="1"/>
    <col min="15624" max="15626" width="9.140625" style="459"/>
    <col min="15627" max="15628" width="9.5703125" style="459" customWidth="1"/>
    <col min="15629" max="15629" width="9.42578125" style="459" customWidth="1"/>
    <col min="15630" max="15630" width="9.140625" style="459"/>
    <col min="15631" max="15632" width="10.5703125" style="459" customWidth="1"/>
    <col min="15633" max="15633" width="9.42578125" style="459" customWidth="1"/>
    <col min="15634" max="15872" width="9.140625" style="459"/>
    <col min="15873" max="15873" width="5" style="459" customWidth="1"/>
    <col min="15874" max="15874" width="43" style="459" customWidth="1"/>
    <col min="15875" max="15875" width="10.140625" style="459" customWidth="1"/>
    <col min="15876" max="15876" width="45" style="459" customWidth="1"/>
    <col min="15877" max="15877" width="34.5703125" style="459" customWidth="1"/>
    <col min="15878" max="15878" width="20.42578125" style="459" customWidth="1"/>
    <col min="15879" max="15879" width="36" style="459" customWidth="1"/>
    <col min="15880" max="15882" width="9.140625" style="459"/>
    <col min="15883" max="15884" width="9.5703125" style="459" customWidth="1"/>
    <col min="15885" max="15885" width="9.42578125" style="459" customWidth="1"/>
    <col min="15886" max="15886" width="9.140625" style="459"/>
    <col min="15887" max="15888" width="10.5703125" style="459" customWidth="1"/>
    <col min="15889" max="15889" width="9.42578125" style="459" customWidth="1"/>
    <col min="15890" max="16128" width="9.140625" style="459"/>
    <col min="16129" max="16129" width="5" style="459" customWidth="1"/>
    <col min="16130" max="16130" width="43" style="459" customWidth="1"/>
    <col min="16131" max="16131" width="10.140625" style="459" customWidth="1"/>
    <col min="16132" max="16132" width="45" style="459" customWidth="1"/>
    <col min="16133" max="16133" width="34.5703125" style="459" customWidth="1"/>
    <col min="16134" max="16134" width="20.42578125" style="459" customWidth="1"/>
    <col min="16135" max="16135" width="36" style="459" customWidth="1"/>
    <col min="16136" max="16138" width="9.140625" style="459"/>
    <col min="16139" max="16140" width="9.5703125" style="459" customWidth="1"/>
    <col min="16141" max="16141" width="9.42578125" style="459" customWidth="1"/>
    <col min="16142" max="16142" width="9.140625" style="459"/>
    <col min="16143" max="16144" width="10.5703125" style="459" customWidth="1"/>
    <col min="16145" max="16145" width="9.42578125" style="459" customWidth="1"/>
    <col min="16146" max="16384" width="9.140625" style="459"/>
  </cols>
  <sheetData>
    <row r="1" spans="1:252" ht="127.5" x14ac:dyDescent="0.2">
      <c r="A1" s="494"/>
      <c r="B1" s="495"/>
      <c r="C1" s="495"/>
      <c r="D1" s="495"/>
      <c r="E1" s="495"/>
      <c r="F1" s="495"/>
      <c r="G1" s="495"/>
      <c r="H1" s="495"/>
      <c r="I1" s="495"/>
      <c r="J1" s="495"/>
      <c r="K1" s="496"/>
      <c r="L1" s="496"/>
      <c r="M1" s="496"/>
      <c r="N1" s="495"/>
      <c r="O1" s="523" t="s">
        <v>15</v>
      </c>
      <c r="P1" s="523"/>
      <c r="Q1" s="523"/>
      <c r="R1" s="524"/>
      <c r="S1" s="524"/>
      <c r="T1" s="524"/>
      <c r="U1" s="524"/>
      <c r="V1" s="524"/>
      <c r="W1" s="524"/>
      <c r="X1" s="524"/>
      <c r="Y1" s="524"/>
      <c r="Z1" s="524"/>
      <c r="AA1" s="524"/>
      <c r="AB1" s="524"/>
      <c r="AC1" s="524"/>
      <c r="AD1" s="524"/>
      <c r="AE1" s="524"/>
      <c r="AF1" s="524"/>
      <c r="AG1" s="524"/>
      <c r="AH1" s="524"/>
      <c r="AI1" s="524"/>
      <c r="AJ1" s="524"/>
      <c r="AK1" s="524"/>
      <c r="AL1" s="524"/>
      <c r="AM1" s="524"/>
      <c r="AN1" s="524"/>
      <c r="AO1" s="524"/>
      <c r="AP1" s="524"/>
      <c r="AQ1" s="524"/>
      <c r="AR1" s="524"/>
      <c r="AS1" s="524"/>
      <c r="AT1" s="524"/>
      <c r="AU1" s="524"/>
      <c r="AV1" s="524"/>
      <c r="AW1" s="524"/>
      <c r="AX1" s="524"/>
      <c r="AY1" s="524"/>
      <c r="AZ1" s="524"/>
      <c r="BA1" s="524"/>
      <c r="BB1" s="524"/>
      <c r="BC1" s="524"/>
      <c r="BD1" s="524"/>
      <c r="BE1" s="524"/>
      <c r="BF1" s="524"/>
      <c r="BG1" s="524"/>
      <c r="BH1" s="524"/>
      <c r="BI1" s="524"/>
      <c r="BJ1" s="524"/>
      <c r="BK1" s="524"/>
      <c r="BL1" s="524"/>
      <c r="BM1" s="524"/>
      <c r="BN1" s="524"/>
      <c r="BO1" s="524"/>
      <c r="BP1" s="524"/>
      <c r="BQ1" s="524"/>
      <c r="BR1" s="524"/>
      <c r="BS1" s="524"/>
      <c r="BT1" s="524"/>
      <c r="BU1" s="524"/>
      <c r="BV1" s="524"/>
      <c r="BW1" s="524"/>
      <c r="BX1" s="524"/>
      <c r="BY1" s="524"/>
      <c r="BZ1" s="524"/>
      <c r="CA1" s="524"/>
      <c r="CB1" s="524"/>
      <c r="CC1" s="524"/>
      <c r="CD1" s="524"/>
      <c r="CE1" s="524"/>
      <c r="CF1" s="524"/>
      <c r="CG1" s="524"/>
      <c r="CH1" s="524"/>
      <c r="CI1" s="524"/>
      <c r="CJ1" s="524"/>
      <c r="CK1" s="524"/>
      <c r="CL1" s="524"/>
      <c r="CM1" s="524"/>
      <c r="CN1" s="524"/>
      <c r="CO1" s="524"/>
      <c r="CP1" s="524"/>
      <c r="CQ1" s="524"/>
      <c r="CR1" s="524"/>
      <c r="CS1" s="524"/>
      <c r="CT1" s="524"/>
      <c r="CU1" s="524"/>
      <c r="CV1" s="524"/>
      <c r="CW1" s="524"/>
      <c r="CX1" s="524"/>
      <c r="CY1" s="524"/>
      <c r="CZ1" s="524"/>
      <c r="DA1" s="524"/>
      <c r="DB1" s="524"/>
      <c r="DC1" s="524"/>
      <c r="DD1" s="524"/>
      <c r="DE1" s="524"/>
      <c r="DF1" s="524"/>
      <c r="DG1" s="524"/>
      <c r="DH1" s="524"/>
      <c r="DI1" s="524"/>
      <c r="DJ1" s="524"/>
      <c r="DK1" s="524"/>
      <c r="DL1" s="524"/>
      <c r="DM1" s="524"/>
      <c r="DN1" s="524"/>
      <c r="DO1" s="524"/>
      <c r="DP1" s="524"/>
      <c r="DQ1" s="524"/>
      <c r="DR1" s="524"/>
      <c r="DS1" s="524"/>
      <c r="DT1" s="524"/>
      <c r="DU1" s="524"/>
      <c r="DV1" s="524"/>
      <c r="DW1" s="524"/>
      <c r="DX1" s="524"/>
      <c r="DY1" s="524"/>
      <c r="DZ1" s="524"/>
      <c r="EA1" s="524"/>
      <c r="EB1" s="524"/>
      <c r="EC1" s="524"/>
      <c r="ED1" s="524"/>
      <c r="EE1" s="524"/>
      <c r="EF1" s="524"/>
      <c r="EG1" s="524"/>
      <c r="EH1" s="524"/>
      <c r="EI1" s="524"/>
      <c r="EJ1" s="524"/>
      <c r="EK1" s="524"/>
      <c r="EL1" s="524"/>
      <c r="EM1" s="524"/>
      <c r="EN1" s="524"/>
      <c r="EO1" s="524"/>
      <c r="EP1" s="524"/>
      <c r="EQ1" s="524"/>
      <c r="ER1" s="524"/>
      <c r="ES1" s="524"/>
      <c r="ET1" s="524"/>
      <c r="EU1" s="524"/>
      <c r="EV1" s="524"/>
      <c r="EW1" s="524"/>
      <c r="EX1" s="524"/>
      <c r="EY1" s="524"/>
      <c r="EZ1" s="524"/>
      <c r="FA1" s="524"/>
      <c r="FB1" s="524"/>
      <c r="FC1" s="524"/>
      <c r="FD1" s="524"/>
      <c r="FE1" s="524"/>
      <c r="FF1" s="524"/>
      <c r="FG1" s="524"/>
      <c r="FH1" s="524"/>
      <c r="FI1" s="524"/>
      <c r="FJ1" s="524"/>
      <c r="FK1" s="524"/>
      <c r="FL1" s="524"/>
      <c r="FM1" s="524"/>
      <c r="FN1" s="524"/>
      <c r="FO1" s="524"/>
      <c r="FP1" s="524"/>
      <c r="FQ1" s="524"/>
      <c r="FR1" s="524"/>
      <c r="FS1" s="524"/>
      <c r="FT1" s="524"/>
      <c r="FU1" s="524"/>
      <c r="FV1" s="524"/>
      <c r="FW1" s="524"/>
      <c r="FX1" s="524"/>
      <c r="FY1" s="524"/>
      <c r="FZ1" s="524"/>
      <c r="GA1" s="524"/>
      <c r="GB1" s="524"/>
      <c r="GC1" s="524"/>
      <c r="GD1" s="524"/>
      <c r="GE1" s="524"/>
      <c r="GF1" s="524"/>
      <c r="GG1" s="524"/>
      <c r="GH1" s="524"/>
      <c r="GI1" s="524"/>
      <c r="GJ1" s="524"/>
      <c r="GK1" s="524"/>
      <c r="GL1" s="524"/>
      <c r="GM1" s="524"/>
      <c r="GN1" s="524"/>
      <c r="GO1" s="524"/>
      <c r="GP1" s="524"/>
      <c r="GQ1" s="524"/>
      <c r="GR1" s="524"/>
      <c r="GS1" s="524"/>
      <c r="GT1" s="524"/>
      <c r="GU1" s="524"/>
      <c r="GV1" s="524"/>
      <c r="GW1" s="524"/>
      <c r="GX1" s="524"/>
      <c r="GY1" s="524"/>
      <c r="GZ1" s="524"/>
      <c r="HA1" s="524"/>
      <c r="HB1" s="524"/>
      <c r="HC1" s="524"/>
      <c r="HD1" s="524"/>
      <c r="HE1" s="524"/>
      <c r="HF1" s="524"/>
      <c r="HG1" s="524"/>
      <c r="HH1" s="524"/>
      <c r="HI1" s="524"/>
      <c r="HJ1" s="524"/>
      <c r="HK1" s="524"/>
      <c r="HL1" s="524"/>
      <c r="HM1" s="524"/>
      <c r="HN1" s="524"/>
      <c r="HO1" s="524"/>
      <c r="HP1" s="524"/>
      <c r="HQ1" s="524"/>
      <c r="HR1" s="524"/>
      <c r="HS1" s="524"/>
      <c r="HT1" s="524"/>
      <c r="HU1" s="524"/>
      <c r="HV1" s="524"/>
      <c r="HW1" s="524"/>
      <c r="HX1" s="524"/>
      <c r="HY1" s="524"/>
      <c r="HZ1" s="524"/>
      <c r="IA1" s="524"/>
      <c r="IB1" s="524"/>
      <c r="IC1" s="524"/>
      <c r="ID1" s="524"/>
      <c r="IE1" s="524"/>
      <c r="IF1" s="524"/>
      <c r="IG1" s="524"/>
      <c r="IH1" s="524"/>
      <c r="II1" s="524"/>
      <c r="IJ1" s="524"/>
      <c r="IK1" s="524"/>
      <c r="IL1" s="524"/>
      <c r="IM1" s="524"/>
      <c r="IN1" s="524"/>
      <c r="IO1" s="524"/>
      <c r="IP1" s="524"/>
      <c r="IQ1" s="524"/>
      <c r="IR1" s="524"/>
    </row>
    <row r="2" spans="1:252" x14ac:dyDescent="0.2">
      <c r="A2" s="494"/>
      <c r="B2" s="495"/>
      <c r="C2" s="495"/>
      <c r="D2" s="495"/>
      <c r="E2" s="495"/>
      <c r="F2" s="495"/>
      <c r="G2" s="495"/>
      <c r="H2" s="495"/>
      <c r="I2" s="495"/>
      <c r="J2" s="495"/>
      <c r="K2" s="496"/>
      <c r="L2" s="496"/>
      <c r="M2" s="496"/>
      <c r="N2" s="495"/>
      <c r="O2" s="496"/>
      <c r="P2" s="496"/>
      <c r="Q2" s="496"/>
      <c r="R2" s="524"/>
      <c r="S2" s="524"/>
      <c r="T2" s="524"/>
      <c r="U2" s="524"/>
      <c r="V2" s="524"/>
      <c r="W2" s="524"/>
      <c r="X2" s="524"/>
      <c r="Y2" s="524"/>
      <c r="Z2" s="524"/>
      <c r="AA2" s="524"/>
      <c r="AB2" s="524"/>
      <c r="AC2" s="524"/>
      <c r="AD2" s="524"/>
      <c r="AE2" s="524"/>
      <c r="AF2" s="524"/>
      <c r="AG2" s="524"/>
      <c r="AH2" s="524"/>
      <c r="AI2" s="524"/>
      <c r="AJ2" s="524"/>
      <c r="AK2" s="524"/>
      <c r="AL2" s="524"/>
      <c r="AM2" s="524"/>
      <c r="AN2" s="524"/>
      <c r="AO2" s="524"/>
      <c r="AP2" s="524"/>
      <c r="AQ2" s="524"/>
      <c r="AR2" s="524"/>
      <c r="AS2" s="524"/>
      <c r="AT2" s="524"/>
      <c r="AU2" s="524"/>
      <c r="AV2" s="524"/>
      <c r="AW2" s="524"/>
      <c r="AX2" s="524"/>
      <c r="AY2" s="524"/>
      <c r="AZ2" s="524"/>
      <c r="BA2" s="524"/>
      <c r="BB2" s="524"/>
      <c r="BC2" s="524"/>
      <c r="BD2" s="524"/>
      <c r="BE2" s="524"/>
      <c r="BF2" s="524"/>
      <c r="BG2" s="524"/>
      <c r="BH2" s="524"/>
      <c r="BI2" s="524"/>
      <c r="BJ2" s="524"/>
      <c r="BK2" s="524"/>
      <c r="BL2" s="524"/>
      <c r="BM2" s="524"/>
      <c r="BN2" s="524"/>
      <c r="BO2" s="524"/>
      <c r="BP2" s="524"/>
      <c r="BQ2" s="524"/>
      <c r="BR2" s="524"/>
      <c r="BS2" s="524"/>
      <c r="BT2" s="524"/>
      <c r="BU2" s="524"/>
      <c r="BV2" s="524"/>
      <c r="BW2" s="524"/>
      <c r="BX2" s="524"/>
      <c r="BY2" s="524"/>
      <c r="BZ2" s="524"/>
      <c r="CA2" s="524"/>
      <c r="CB2" s="524"/>
      <c r="CC2" s="524"/>
      <c r="CD2" s="524"/>
      <c r="CE2" s="524"/>
      <c r="CF2" s="524"/>
      <c r="CG2" s="524"/>
      <c r="CH2" s="524"/>
      <c r="CI2" s="524"/>
      <c r="CJ2" s="524"/>
      <c r="CK2" s="524"/>
      <c r="CL2" s="524"/>
      <c r="CM2" s="524"/>
      <c r="CN2" s="524"/>
      <c r="CO2" s="524"/>
      <c r="CP2" s="524"/>
      <c r="CQ2" s="524"/>
      <c r="CR2" s="524"/>
      <c r="CS2" s="524"/>
      <c r="CT2" s="524"/>
      <c r="CU2" s="524"/>
      <c r="CV2" s="524"/>
      <c r="CW2" s="524"/>
      <c r="CX2" s="524"/>
      <c r="CY2" s="524"/>
      <c r="CZ2" s="524"/>
      <c r="DA2" s="524"/>
      <c r="DB2" s="524"/>
      <c r="DC2" s="524"/>
      <c r="DD2" s="524"/>
      <c r="DE2" s="524"/>
      <c r="DF2" s="524"/>
      <c r="DG2" s="524"/>
      <c r="DH2" s="524"/>
      <c r="DI2" s="524"/>
      <c r="DJ2" s="524"/>
      <c r="DK2" s="524"/>
      <c r="DL2" s="524"/>
      <c r="DM2" s="524"/>
      <c r="DN2" s="524"/>
      <c r="DO2" s="524"/>
      <c r="DP2" s="524"/>
      <c r="DQ2" s="524"/>
      <c r="DR2" s="524"/>
      <c r="DS2" s="524"/>
      <c r="DT2" s="524"/>
      <c r="DU2" s="524"/>
      <c r="DV2" s="524"/>
      <c r="DW2" s="524"/>
      <c r="DX2" s="524"/>
      <c r="DY2" s="524"/>
      <c r="DZ2" s="524"/>
      <c r="EA2" s="524"/>
      <c r="EB2" s="524"/>
      <c r="EC2" s="524"/>
      <c r="ED2" s="524"/>
      <c r="EE2" s="524"/>
      <c r="EF2" s="524"/>
      <c r="EG2" s="524"/>
      <c r="EH2" s="524"/>
      <c r="EI2" s="524"/>
      <c r="EJ2" s="524"/>
      <c r="EK2" s="524"/>
      <c r="EL2" s="524"/>
      <c r="EM2" s="524"/>
      <c r="EN2" s="524"/>
      <c r="EO2" s="524"/>
      <c r="EP2" s="524"/>
      <c r="EQ2" s="524"/>
      <c r="ER2" s="524"/>
      <c r="ES2" s="524"/>
      <c r="ET2" s="524"/>
      <c r="EU2" s="524"/>
      <c r="EV2" s="524"/>
      <c r="EW2" s="524"/>
      <c r="EX2" s="524"/>
      <c r="EY2" s="524"/>
      <c r="EZ2" s="524"/>
      <c r="FA2" s="524"/>
      <c r="FB2" s="524"/>
      <c r="FC2" s="524"/>
      <c r="FD2" s="524"/>
      <c r="FE2" s="524"/>
      <c r="FF2" s="524"/>
      <c r="FG2" s="524"/>
      <c r="FH2" s="524"/>
      <c r="FI2" s="524"/>
      <c r="FJ2" s="524"/>
      <c r="FK2" s="524"/>
      <c r="FL2" s="524"/>
      <c r="FM2" s="524"/>
      <c r="FN2" s="524"/>
      <c r="FO2" s="524"/>
      <c r="FP2" s="524"/>
      <c r="FQ2" s="524"/>
      <c r="FR2" s="524"/>
      <c r="FS2" s="524"/>
      <c r="FT2" s="524"/>
      <c r="FU2" s="524"/>
      <c r="FV2" s="524"/>
      <c r="FW2" s="524"/>
      <c r="FX2" s="524"/>
      <c r="FY2" s="524"/>
      <c r="FZ2" s="524"/>
      <c r="GA2" s="524"/>
      <c r="GB2" s="524"/>
      <c r="GC2" s="524"/>
      <c r="GD2" s="524"/>
      <c r="GE2" s="524"/>
      <c r="GF2" s="524"/>
      <c r="GG2" s="524"/>
      <c r="GH2" s="524"/>
      <c r="GI2" s="524"/>
      <c r="GJ2" s="524"/>
      <c r="GK2" s="524"/>
      <c r="GL2" s="524"/>
      <c r="GM2" s="524"/>
      <c r="GN2" s="524"/>
      <c r="GO2" s="524"/>
      <c r="GP2" s="524"/>
      <c r="GQ2" s="524"/>
      <c r="GR2" s="524"/>
      <c r="GS2" s="524"/>
      <c r="GT2" s="524"/>
      <c r="GU2" s="524"/>
      <c r="GV2" s="524"/>
      <c r="GW2" s="524"/>
      <c r="GX2" s="524"/>
      <c r="GY2" s="524"/>
      <c r="GZ2" s="524"/>
      <c r="HA2" s="524"/>
      <c r="HB2" s="524"/>
      <c r="HC2" s="524"/>
      <c r="HD2" s="524"/>
      <c r="HE2" s="524"/>
      <c r="HF2" s="524"/>
      <c r="HG2" s="524"/>
      <c r="HH2" s="524"/>
      <c r="HI2" s="524"/>
      <c r="HJ2" s="524"/>
      <c r="HK2" s="524"/>
      <c r="HL2" s="524"/>
      <c r="HM2" s="524"/>
      <c r="HN2" s="524"/>
      <c r="HO2" s="524"/>
      <c r="HP2" s="524"/>
      <c r="HQ2" s="524"/>
      <c r="HR2" s="524"/>
      <c r="HS2" s="524"/>
      <c r="HT2" s="524"/>
      <c r="HU2" s="524"/>
      <c r="HV2" s="524"/>
      <c r="HW2" s="524"/>
      <c r="HX2" s="524"/>
      <c r="HY2" s="524"/>
      <c r="HZ2" s="524"/>
      <c r="IA2" s="524"/>
      <c r="IB2" s="524"/>
      <c r="IC2" s="524"/>
      <c r="ID2" s="524"/>
      <c r="IE2" s="524"/>
      <c r="IF2" s="524"/>
      <c r="IG2" s="524"/>
      <c r="IH2" s="524"/>
      <c r="II2" s="524"/>
      <c r="IJ2" s="524"/>
      <c r="IK2" s="524"/>
      <c r="IL2" s="524"/>
      <c r="IM2" s="524"/>
      <c r="IN2" s="524"/>
      <c r="IO2" s="524"/>
      <c r="IP2" s="524"/>
      <c r="IQ2" s="524"/>
      <c r="IR2" s="524"/>
    </row>
    <row r="3" spans="1:252" ht="15" x14ac:dyDescent="0.2">
      <c r="A3" s="497" t="s">
        <v>669</v>
      </c>
      <c r="B3" s="497"/>
      <c r="C3" s="497"/>
      <c r="D3" s="497"/>
      <c r="E3" s="497"/>
      <c r="F3" s="497"/>
      <c r="G3" s="497"/>
      <c r="H3" s="497"/>
      <c r="I3" s="497"/>
      <c r="J3" s="497"/>
      <c r="K3" s="497"/>
      <c r="L3" s="497"/>
      <c r="M3" s="497"/>
      <c r="N3" s="497"/>
      <c r="O3" s="497"/>
      <c r="P3" s="497"/>
      <c r="Q3" s="497"/>
      <c r="R3" s="524"/>
      <c r="S3" s="524"/>
      <c r="T3" s="524"/>
      <c r="U3" s="524"/>
      <c r="V3" s="524"/>
      <c r="W3" s="524"/>
      <c r="X3" s="524"/>
      <c r="Y3" s="524"/>
      <c r="Z3" s="524"/>
      <c r="AA3" s="524"/>
      <c r="AB3" s="524"/>
      <c r="AC3" s="524"/>
      <c r="AD3" s="524"/>
      <c r="AE3" s="524"/>
      <c r="AF3" s="524"/>
      <c r="AG3" s="524"/>
      <c r="AH3" s="524"/>
      <c r="AI3" s="524"/>
      <c r="AJ3" s="524"/>
      <c r="AK3" s="524"/>
      <c r="AL3" s="524"/>
      <c r="AM3" s="524"/>
      <c r="AN3" s="524"/>
      <c r="AO3" s="524"/>
      <c r="AP3" s="524"/>
      <c r="AQ3" s="524"/>
      <c r="AR3" s="524"/>
      <c r="AS3" s="524"/>
      <c r="AT3" s="524"/>
      <c r="AU3" s="524"/>
      <c r="AV3" s="524"/>
      <c r="AW3" s="524"/>
      <c r="AX3" s="524"/>
      <c r="AY3" s="524"/>
      <c r="AZ3" s="524"/>
      <c r="BA3" s="524"/>
      <c r="BB3" s="524"/>
      <c r="BC3" s="524"/>
      <c r="BD3" s="524"/>
      <c r="BE3" s="524"/>
      <c r="BF3" s="524"/>
      <c r="BG3" s="524"/>
      <c r="BH3" s="524"/>
      <c r="BI3" s="524"/>
      <c r="BJ3" s="524"/>
      <c r="BK3" s="524"/>
      <c r="BL3" s="524"/>
      <c r="BM3" s="524"/>
      <c r="BN3" s="524"/>
      <c r="BO3" s="524"/>
      <c r="BP3" s="524"/>
      <c r="BQ3" s="524"/>
      <c r="BR3" s="524"/>
      <c r="BS3" s="524"/>
      <c r="BT3" s="524"/>
      <c r="BU3" s="524"/>
      <c r="BV3" s="524"/>
      <c r="BW3" s="524"/>
      <c r="BX3" s="524"/>
      <c r="BY3" s="524"/>
      <c r="BZ3" s="524"/>
      <c r="CA3" s="524"/>
      <c r="CB3" s="524"/>
      <c r="CC3" s="524"/>
      <c r="CD3" s="524"/>
      <c r="CE3" s="524"/>
      <c r="CF3" s="524"/>
      <c r="CG3" s="524"/>
      <c r="CH3" s="524"/>
      <c r="CI3" s="524"/>
      <c r="CJ3" s="524"/>
      <c r="CK3" s="524"/>
      <c r="CL3" s="524"/>
      <c r="CM3" s="524"/>
      <c r="CN3" s="524"/>
      <c r="CO3" s="524"/>
      <c r="CP3" s="524"/>
      <c r="CQ3" s="524"/>
      <c r="CR3" s="524"/>
      <c r="CS3" s="524"/>
      <c r="CT3" s="524"/>
      <c r="CU3" s="524"/>
      <c r="CV3" s="524"/>
      <c r="CW3" s="524"/>
      <c r="CX3" s="524"/>
      <c r="CY3" s="524"/>
      <c r="CZ3" s="524"/>
      <c r="DA3" s="524"/>
      <c r="DB3" s="524"/>
      <c r="DC3" s="524"/>
      <c r="DD3" s="524"/>
      <c r="DE3" s="524"/>
      <c r="DF3" s="524"/>
      <c r="DG3" s="524"/>
      <c r="DH3" s="524"/>
      <c r="DI3" s="524"/>
      <c r="DJ3" s="524"/>
      <c r="DK3" s="524"/>
      <c r="DL3" s="524"/>
      <c r="DM3" s="524"/>
      <c r="DN3" s="524"/>
      <c r="DO3" s="524"/>
      <c r="DP3" s="524"/>
      <c r="DQ3" s="524"/>
      <c r="DR3" s="524"/>
      <c r="DS3" s="524"/>
      <c r="DT3" s="524"/>
      <c r="DU3" s="524"/>
      <c r="DV3" s="524"/>
      <c r="DW3" s="524"/>
      <c r="DX3" s="524"/>
      <c r="DY3" s="524"/>
      <c r="DZ3" s="524"/>
      <c r="EA3" s="524"/>
      <c r="EB3" s="524"/>
      <c r="EC3" s="524"/>
      <c r="ED3" s="524"/>
      <c r="EE3" s="524"/>
      <c r="EF3" s="524"/>
      <c r="EG3" s="524"/>
      <c r="EH3" s="524"/>
      <c r="EI3" s="524"/>
      <c r="EJ3" s="524"/>
      <c r="EK3" s="524"/>
      <c r="EL3" s="524"/>
      <c r="EM3" s="524"/>
      <c r="EN3" s="524"/>
      <c r="EO3" s="524"/>
      <c r="EP3" s="524"/>
      <c r="EQ3" s="524"/>
      <c r="ER3" s="524"/>
      <c r="ES3" s="524"/>
      <c r="ET3" s="524"/>
      <c r="EU3" s="524"/>
      <c r="EV3" s="524"/>
      <c r="EW3" s="524"/>
      <c r="EX3" s="524"/>
      <c r="EY3" s="524"/>
      <c r="EZ3" s="524"/>
      <c r="FA3" s="524"/>
      <c r="FB3" s="524"/>
      <c r="FC3" s="524"/>
      <c r="FD3" s="524"/>
      <c r="FE3" s="524"/>
      <c r="FF3" s="524"/>
      <c r="FG3" s="524"/>
      <c r="FH3" s="524"/>
      <c r="FI3" s="524"/>
      <c r="FJ3" s="524"/>
      <c r="FK3" s="524"/>
      <c r="FL3" s="524"/>
      <c r="FM3" s="524"/>
      <c r="FN3" s="524"/>
      <c r="FO3" s="524"/>
      <c r="FP3" s="524"/>
      <c r="FQ3" s="524"/>
      <c r="FR3" s="524"/>
      <c r="FS3" s="524"/>
      <c r="FT3" s="524"/>
      <c r="FU3" s="524"/>
      <c r="FV3" s="524"/>
      <c r="FW3" s="524"/>
      <c r="FX3" s="524"/>
      <c r="FY3" s="524"/>
      <c r="FZ3" s="524"/>
      <c r="GA3" s="524"/>
      <c r="GB3" s="524"/>
      <c r="GC3" s="524"/>
      <c r="GD3" s="524"/>
      <c r="GE3" s="524"/>
      <c r="GF3" s="524"/>
      <c r="GG3" s="524"/>
      <c r="GH3" s="524"/>
      <c r="GI3" s="524"/>
      <c r="GJ3" s="524"/>
      <c r="GK3" s="524"/>
      <c r="GL3" s="524"/>
      <c r="GM3" s="524"/>
      <c r="GN3" s="524"/>
      <c r="GO3" s="524"/>
      <c r="GP3" s="524"/>
      <c r="GQ3" s="524"/>
      <c r="GR3" s="524"/>
      <c r="GS3" s="524"/>
      <c r="GT3" s="524"/>
      <c r="GU3" s="524"/>
      <c r="GV3" s="524"/>
      <c r="GW3" s="524"/>
      <c r="GX3" s="524"/>
      <c r="GY3" s="524"/>
      <c r="GZ3" s="524"/>
      <c r="HA3" s="524"/>
      <c r="HB3" s="524"/>
      <c r="HC3" s="524"/>
      <c r="HD3" s="524"/>
      <c r="HE3" s="524"/>
      <c r="HF3" s="524"/>
      <c r="HG3" s="524"/>
      <c r="HH3" s="524"/>
      <c r="HI3" s="524"/>
      <c r="HJ3" s="524"/>
      <c r="HK3" s="524"/>
      <c r="HL3" s="524"/>
      <c r="HM3" s="524"/>
      <c r="HN3" s="524"/>
      <c r="HO3" s="524"/>
      <c r="HP3" s="524"/>
      <c r="HQ3" s="524"/>
      <c r="HR3" s="524"/>
      <c r="HS3" s="524"/>
      <c r="HT3" s="524"/>
      <c r="HU3" s="524"/>
      <c r="HV3" s="524"/>
      <c r="HW3" s="524"/>
      <c r="HX3" s="524"/>
      <c r="HY3" s="524"/>
      <c r="HZ3" s="524"/>
      <c r="IA3" s="524"/>
      <c r="IB3" s="524"/>
      <c r="IC3" s="524"/>
      <c r="ID3" s="524"/>
      <c r="IE3" s="524"/>
      <c r="IF3" s="524"/>
      <c r="IG3" s="524"/>
      <c r="IH3" s="524"/>
      <c r="II3" s="524"/>
      <c r="IJ3" s="524"/>
      <c r="IK3" s="524"/>
      <c r="IL3" s="524"/>
      <c r="IM3" s="524"/>
      <c r="IN3" s="524"/>
      <c r="IO3" s="524"/>
      <c r="IP3" s="524"/>
      <c r="IQ3" s="524"/>
      <c r="IR3" s="524"/>
    </row>
    <row r="4" spans="1:252" ht="18.75" x14ac:dyDescent="0.2">
      <c r="A4" s="498" t="s">
        <v>16</v>
      </c>
      <c r="B4" s="498"/>
      <c r="C4" s="498"/>
      <c r="D4" s="498"/>
      <c r="E4" s="498"/>
      <c r="F4" s="498"/>
      <c r="G4" s="498"/>
      <c r="H4" s="498"/>
      <c r="I4" s="498"/>
      <c r="J4" s="498"/>
      <c r="K4" s="498"/>
      <c r="L4" s="498"/>
      <c r="M4" s="498"/>
      <c r="N4" s="498"/>
      <c r="O4" s="498"/>
      <c r="P4" s="498"/>
      <c r="Q4" s="498"/>
      <c r="R4" s="524"/>
      <c r="S4" s="524"/>
      <c r="T4" s="524"/>
      <c r="U4" s="524"/>
      <c r="V4" s="524"/>
      <c r="W4" s="524"/>
      <c r="X4" s="524"/>
      <c r="Y4" s="524"/>
      <c r="Z4" s="524"/>
      <c r="AA4" s="524"/>
      <c r="AB4" s="524"/>
      <c r="AC4" s="524"/>
      <c r="AD4" s="524"/>
      <c r="AE4" s="524"/>
      <c r="AF4" s="524"/>
      <c r="AG4" s="524"/>
      <c r="AH4" s="524"/>
      <c r="AI4" s="524"/>
      <c r="AJ4" s="524"/>
      <c r="AK4" s="524"/>
      <c r="AL4" s="524"/>
      <c r="AM4" s="524"/>
      <c r="AN4" s="524"/>
      <c r="AO4" s="524"/>
      <c r="AP4" s="524"/>
      <c r="AQ4" s="524"/>
      <c r="AR4" s="524"/>
      <c r="AS4" s="524"/>
      <c r="AT4" s="524"/>
      <c r="AU4" s="524"/>
      <c r="AV4" s="524"/>
      <c r="AW4" s="524"/>
      <c r="AX4" s="524"/>
      <c r="AY4" s="524"/>
      <c r="AZ4" s="524"/>
      <c r="BA4" s="524"/>
      <c r="BB4" s="524"/>
      <c r="BC4" s="524"/>
      <c r="BD4" s="524"/>
      <c r="BE4" s="524"/>
      <c r="BF4" s="524"/>
      <c r="BG4" s="524"/>
      <c r="BH4" s="524"/>
      <c r="BI4" s="524"/>
      <c r="BJ4" s="524"/>
      <c r="BK4" s="524"/>
      <c r="BL4" s="524"/>
      <c r="BM4" s="524"/>
      <c r="BN4" s="524"/>
      <c r="BO4" s="524"/>
      <c r="BP4" s="524"/>
      <c r="BQ4" s="524"/>
      <c r="BR4" s="524"/>
      <c r="BS4" s="524"/>
      <c r="BT4" s="524"/>
      <c r="BU4" s="524"/>
      <c r="BV4" s="524"/>
      <c r="BW4" s="524"/>
      <c r="BX4" s="524"/>
      <c r="BY4" s="524"/>
      <c r="BZ4" s="524"/>
      <c r="CA4" s="524"/>
      <c r="CB4" s="524"/>
      <c r="CC4" s="524"/>
      <c r="CD4" s="524"/>
      <c r="CE4" s="524"/>
      <c r="CF4" s="524"/>
      <c r="CG4" s="524"/>
      <c r="CH4" s="524"/>
      <c r="CI4" s="524"/>
      <c r="CJ4" s="524"/>
      <c r="CK4" s="524"/>
      <c r="CL4" s="524"/>
      <c r="CM4" s="524"/>
      <c r="CN4" s="524"/>
      <c r="CO4" s="524"/>
      <c r="CP4" s="524"/>
      <c r="CQ4" s="524"/>
      <c r="CR4" s="524"/>
      <c r="CS4" s="524"/>
      <c r="CT4" s="524"/>
      <c r="CU4" s="524"/>
      <c r="CV4" s="524"/>
      <c r="CW4" s="524"/>
      <c r="CX4" s="524"/>
      <c r="CY4" s="524"/>
      <c r="CZ4" s="524"/>
      <c r="DA4" s="524"/>
      <c r="DB4" s="524"/>
      <c r="DC4" s="524"/>
      <c r="DD4" s="524"/>
      <c r="DE4" s="524"/>
      <c r="DF4" s="524"/>
      <c r="DG4" s="524"/>
      <c r="DH4" s="524"/>
      <c r="DI4" s="524"/>
      <c r="DJ4" s="524"/>
      <c r="DK4" s="524"/>
      <c r="DL4" s="524"/>
      <c r="DM4" s="524"/>
      <c r="DN4" s="524"/>
      <c r="DO4" s="524"/>
      <c r="DP4" s="524"/>
      <c r="DQ4" s="524"/>
      <c r="DR4" s="524"/>
      <c r="DS4" s="524"/>
      <c r="DT4" s="524"/>
      <c r="DU4" s="524"/>
      <c r="DV4" s="524"/>
      <c r="DW4" s="524"/>
      <c r="DX4" s="524"/>
      <c r="DY4" s="524"/>
      <c r="DZ4" s="524"/>
      <c r="EA4" s="524"/>
      <c r="EB4" s="524"/>
      <c r="EC4" s="524"/>
      <c r="ED4" s="524"/>
      <c r="EE4" s="524"/>
      <c r="EF4" s="524"/>
      <c r="EG4" s="524"/>
      <c r="EH4" s="524"/>
      <c r="EI4" s="524"/>
      <c r="EJ4" s="524"/>
      <c r="EK4" s="524"/>
      <c r="EL4" s="524"/>
      <c r="EM4" s="524"/>
      <c r="EN4" s="524"/>
      <c r="EO4" s="524"/>
      <c r="EP4" s="524"/>
      <c r="EQ4" s="524"/>
      <c r="ER4" s="524"/>
      <c r="ES4" s="524"/>
      <c r="ET4" s="524"/>
      <c r="EU4" s="524"/>
      <c r="EV4" s="524"/>
      <c r="EW4" s="524"/>
      <c r="EX4" s="524"/>
      <c r="EY4" s="524"/>
      <c r="EZ4" s="524"/>
      <c r="FA4" s="524"/>
      <c r="FB4" s="524"/>
      <c r="FC4" s="524"/>
      <c r="FD4" s="524"/>
      <c r="FE4" s="524"/>
      <c r="FF4" s="524"/>
      <c r="FG4" s="524"/>
      <c r="FH4" s="524"/>
      <c r="FI4" s="524"/>
      <c r="FJ4" s="524"/>
      <c r="FK4" s="524"/>
      <c r="FL4" s="524"/>
      <c r="FM4" s="524"/>
      <c r="FN4" s="524"/>
      <c r="FO4" s="524"/>
      <c r="FP4" s="524"/>
      <c r="FQ4" s="524"/>
      <c r="FR4" s="524"/>
      <c r="FS4" s="524"/>
      <c r="FT4" s="524"/>
      <c r="FU4" s="524"/>
      <c r="FV4" s="524"/>
      <c r="FW4" s="524"/>
      <c r="FX4" s="524"/>
      <c r="FY4" s="524"/>
      <c r="FZ4" s="524"/>
      <c r="GA4" s="524"/>
      <c r="GB4" s="524"/>
      <c r="GC4" s="524"/>
      <c r="GD4" s="524"/>
      <c r="GE4" s="524"/>
      <c r="GF4" s="524"/>
      <c r="GG4" s="524"/>
      <c r="GH4" s="524"/>
      <c r="GI4" s="524"/>
      <c r="GJ4" s="524"/>
      <c r="GK4" s="524"/>
      <c r="GL4" s="524"/>
      <c r="GM4" s="524"/>
      <c r="GN4" s="524"/>
      <c r="GO4" s="524"/>
      <c r="GP4" s="524"/>
      <c r="GQ4" s="524"/>
      <c r="GR4" s="524"/>
      <c r="GS4" s="524"/>
      <c r="GT4" s="524"/>
      <c r="GU4" s="524"/>
      <c r="GV4" s="524"/>
      <c r="GW4" s="524"/>
      <c r="GX4" s="524"/>
      <c r="GY4" s="524"/>
      <c r="GZ4" s="524"/>
      <c r="HA4" s="524"/>
      <c r="HB4" s="524"/>
      <c r="HC4" s="524"/>
      <c r="HD4" s="524"/>
      <c r="HE4" s="524"/>
      <c r="HF4" s="524"/>
      <c r="HG4" s="524"/>
      <c r="HH4" s="524"/>
      <c r="HI4" s="524"/>
      <c r="HJ4" s="524"/>
      <c r="HK4" s="524"/>
      <c r="HL4" s="524"/>
      <c r="HM4" s="524"/>
      <c r="HN4" s="524"/>
      <c r="HO4" s="524"/>
      <c r="HP4" s="524"/>
      <c r="HQ4" s="524"/>
      <c r="HR4" s="524"/>
      <c r="HS4" s="524"/>
      <c r="HT4" s="524"/>
      <c r="HU4" s="524"/>
      <c r="HV4" s="524"/>
      <c r="HW4" s="524"/>
      <c r="HX4" s="524"/>
      <c r="HY4" s="524"/>
      <c r="HZ4" s="524"/>
      <c r="IA4" s="524"/>
      <c r="IB4" s="524"/>
      <c r="IC4" s="524"/>
      <c r="ID4" s="524"/>
      <c r="IE4" s="524"/>
      <c r="IF4" s="524"/>
      <c r="IG4" s="524"/>
      <c r="IH4" s="524"/>
      <c r="II4" s="524"/>
      <c r="IJ4" s="524"/>
      <c r="IK4" s="524"/>
      <c r="IL4" s="524"/>
      <c r="IM4" s="524"/>
      <c r="IN4" s="524"/>
      <c r="IO4" s="524"/>
      <c r="IP4" s="524"/>
      <c r="IQ4" s="524"/>
      <c r="IR4" s="524"/>
    </row>
    <row r="5" spans="1:252" x14ac:dyDescent="0.2">
      <c r="A5" s="499" t="s">
        <v>14</v>
      </c>
      <c r="B5" s="499"/>
      <c r="C5" s="499"/>
      <c r="D5" s="499"/>
      <c r="E5" s="499"/>
      <c r="F5" s="499"/>
      <c r="G5" s="499"/>
      <c r="H5" s="499"/>
      <c r="I5" s="499"/>
      <c r="J5" s="499"/>
      <c r="K5" s="499"/>
      <c r="L5" s="499"/>
      <c r="M5" s="499"/>
      <c r="N5" s="499"/>
      <c r="O5" s="499"/>
      <c r="P5" s="499"/>
      <c r="Q5" s="499"/>
      <c r="R5" s="524"/>
      <c r="S5" s="524"/>
      <c r="T5" s="524"/>
      <c r="U5" s="524"/>
      <c r="V5" s="524"/>
      <c r="W5" s="524"/>
      <c r="X5" s="524"/>
      <c r="Y5" s="524"/>
      <c r="Z5" s="524"/>
      <c r="AA5" s="524"/>
      <c r="AB5" s="524"/>
      <c r="AC5" s="524"/>
      <c r="AD5" s="524"/>
      <c r="AE5" s="524"/>
      <c r="AF5" s="524"/>
      <c r="AG5" s="524"/>
      <c r="AH5" s="524"/>
      <c r="AI5" s="524"/>
      <c r="AJ5" s="524"/>
      <c r="AK5" s="524"/>
      <c r="AL5" s="524"/>
      <c r="AM5" s="524"/>
      <c r="AN5" s="524"/>
      <c r="AO5" s="524"/>
      <c r="AP5" s="524"/>
      <c r="AQ5" s="524"/>
      <c r="AR5" s="524"/>
      <c r="AS5" s="524"/>
      <c r="AT5" s="524"/>
      <c r="AU5" s="524"/>
      <c r="AV5" s="524"/>
      <c r="AW5" s="524"/>
      <c r="AX5" s="524"/>
      <c r="AY5" s="524"/>
      <c r="AZ5" s="524"/>
      <c r="BA5" s="524"/>
      <c r="BB5" s="524"/>
      <c r="BC5" s="524"/>
      <c r="BD5" s="524"/>
      <c r="BE5" s="524"/>
      <c r="BF5" s="524"/>
      <c r="BG5" s="524"/>
      <c r="BH5" s="524"/>
      <c r="BI5" s="524"/>
      <c r="BJ5" s="524"/>
      <c r="BK5" s="524"/>
      <c r="BL5" s="524"/>
      <c r="BM5" s="524"/>
      <c r="BN5" s="524"/>
      <c r="BO5" s="524"/>
      <c r="BP5" s="524"/>
      <c r="BQ5" s="524"/>
      <c r="BR5" s="524"/>
      <c r="BS5" s="524"/>
      <c r="BT5" s="524"/>
      <c r="BU5" s="524"/>
      <c r="BV5" s="524"/>
      <c r="BW5" s="524"/>
      <c r="BX5" s="524"/>
      <c r="BY5" s="524"/>
      <c r="BZ5" s="524"/>
      <c r="CA5" s="524"/>
      <c r="CB5" s="524"/>
      <c r="CC5" s="524"/>
      <c r="CD5" s="524"/>
      <c r="CE5" s="524"/>
      <c r="CF5" s="524"/>
      <c r="CG5" s="524"/>
      <c r="CH5" s="524"/>
      <c r="CI5" s="524"/>
      <c r="CJ5" s="524"/>
      <c r="CK5" s="524"/>
      <c r="CL5" s="524"/>
      <c r="CM5" s="524"/>
      <c r="CN5" s="524"/>
      <c r="CO5" s="524"/>
      <c r="CP5" s="524"/>
      <c r="CQ5" s="524"/>
      <c r="CR5" s="524"/>
      <c r="CS5" s="524"/>
      <c r="CT5" s="524"/>
      <c r="CU5" s="524"/>
      <c r="CV5" s="524"/>
      <c r="CW5" s="524"/>
      <c r="CX5" s="524"/>
      <c r="CY5" s="524"/>
      <c r="CZ5" s="524"/>
      <c r="DA5" s="524"/>
      <c r="DB5" s="524"/>
      <c r="DC5" s="524"/>
      <c r="DD5" s="524"/>
      <c r="DE5" s="524"/>
      <c r="DF5" s="524"/>
      <c r="DG5" s="524"/>
      <c r="DH5" s="524"/>
      <c r="DI5" s="524"/>
      <c r="DJ5" s="524"/>
      <c r="DK5" s="524"/>
      <c r="DL5" s="524"/>
      <c r="DM5" s="524"/>
      <c r="DN5" s="524"/>
      <c r="DO5" s="524"/>
      <c r="DP5" s="524"/>
      <c r="DQ5" s="524"/>
      <c r="DR5" s="524"/>
      <c r="DS5" s="524"/>
      <c r="DT5" s="524"/>
      <c r="DU5" s="524"/>
      <c r="DV5" s="524"/>
      <c r="DW5" s="524"/>
      <c r="DX5" s="524"/>
      <c r="DY5" s="524"/>
      <c r="DZ5" s="524"/>
      <c r="EA5" s="524"/>
      <c r="EB5" s="524"/>
      <c r="EC5" s="524"/>
      <c r="ED5" s="524"/>
      <c r="EE5" s="524"/>
      <c r="EF5" s="524"/>
      <c r="EG5" s="524"/>
      <c r="EH5" s="524"/>
      <c r="EI5" s="524"/>
      <c r="EJ5" s="524"/>
      <c r="EK5" s="524"/>
      <c r="EL5" s="524"/>
      <c r="EM5" s="524"/>
      <c r="EN5" s="524"/>
      <c r="EO5" s="524"/>
      <c r="EP5" s="524"/>
      <c r="EQ5" s="524"/>
      <c r="ER5" s="524"/>
      <c r="ES5" s="524"/>
      <c r="ET5" s="524"/>
      <c r="EU5" s="524"/>
      <c r="EV5" s="524"/>
      <c r="EW5" s="524"/>
      <c r="EX5" s="524"/>
      <c r="EY5" s="524"/>
      <c r="EZ5" s="524"/>
      <c r="FA5" s="524"/>
      <c r="FB5" s="524"/>
      <c r="FC5" s="524"/>
      <c r="FD5" s="524"/>
      <c r="FE5" s="524"/>
      <c r="FF5" s="524"/>
      <c r="FG5" s="524"/>
      <c r="FH5" s="524"/>
      <c r="FI5" s="524"/>
      <c r="FJ5" s="524"/>
      <c r="FK5" s="524"/>
      <c r="FL5" s="524"/>
      <c r="FM5" s="524"/>
      <c r="FN5" s="524"/>
      <c r="FO5" s="524"/>
      <c r="FP5" s="524"/>
      <c r="FQ5" s="524"/>
      <c r="FR5" s="524"/>
      <c r="FS5" s="524"/>
      <c r="FT5" s="524"/>
      <c r="FU5" s="524"/>
      <c r="FV5" s="524"/>
      <c r="FW5" s="524"/>
      <c r="FX5" s="524"/>
      <c r="FY5" s="524"/>
      <c r="FZ5" s="524"/>
      <c r="GA5" s="524"/>
      <c r="GB5" s="524"/>
      <c r="GC5" s="524"/>
      <c r="GD5" s="524"/>
      <c r="GE5" s="524"/>
      <c r="GF5" s="524"/>
      <c r="GG5" s="524"/>
      <c r="GH5" s="524"/>
      <c r="GI5" s="524"/>
      <c r="GJ5" s="524"/>
      <c r="GK5" s="524"/>
      <c r="GL5" s="524"/>
      <c r="GM5" s="524"/>
      <c r="GN5" s="524"/>
      <c r="GO5" s="524"/>
      <c r="GP5" s="524"/>
      <c r="GQ5" s="524"/>
      <c r="GR5" s="524"/>
      <c r="GS5" s="524"/>
      <c r="GT5" s="524"/>
      <c r="GU5" s="524"/>
      <c r="GV5" s="524"/>
      <c r="GW5" s="524"/>
      <c r="GX5" s="524"/>
      <c r="GY5" s="524"/>
      <c r="GZ5" s="524"/>
      <c r="HA5" s="524"/>
      <c r="HB5" s="524"/>
      <c r="HC5" s="524"/>
      <c r="HD5" s="524"/>
      <c r="HE5" s="524"/>
      <c r="HF5" s="524"/>
      <c r="HG5" s="524"/>
      <c r="HH5" s="524"/>
      <c r="HI5" s="524"/>
      <c r="HJ5" s="524"/>
      <c r="HK5" s="524"/>
      <c r="HL5" s="524"/>
      <c r="HM5" s="524"/>
      <c r="HN5" s="524"/>
      <c r="HO5" s="524"/>
      <c r="HP5" s="524"/>
      <c r="HQ5" s="524"/>
      <c r="HR5" s="524"/>
      <c r="HS5" s="524"/>
      <c r="HT5" s="524"/>
      <c r="HU5" s="524"/>
      <c r="HV5" s="524"/>
      <c r="HW5" s="524"/>
      <c r="HX5" s="524"/>
      <c r="HY5" s="524"/>
      <c r="HZ5" s="524"/>
      <c r="IA5" s="524"/>
      <c r="IB5" s="524"/>
      <c r="IC5" s="524"/>
      <c r="ID5" s="524"/>
      <c r="IE5" s="524"/>
      <c r="IF5" s="524"/>
      <c r="IG5" s="524"/>
      <c r="IH5" s="524"/>
      <c r="II5" s="524"/>
      <c r="IJ5" s="524"/>
      <c r="IK5" s="524"/>
      <c r="IL5" s="524"/>
      <c r="IM5" s="524"/>
      <c r="IN5" s="524"/>
      <c r="IO5" s="524"/>
      <c r="IP5" s="524"/>
      <c r="IQ5" s="524"/>
      <c r="IR5" s="524"/>
    </row>
    <row r="6" spans="1:252" ht="21" x14ac:dyDescent="0.2">
      <c r="A6" s="525" t="s">
        <v>17</v>
      </c>
      <c r="B6" s="525"/>
      <c r="C6" s="525"/>
      <c r="D6" s="525"/>
      <c r="E6" s="525"/>
      <c r="F6" s="525"/>
      <c r="G6" s="525"/>
      <c r="H6" s="525"/>
      <c r="I6" s="525"/>
      <c r="J6" s="525"/>
      <c r="K6" s="525"/>
      <c r="L6" s="525"/>
      <c r="M6" s="525"/>
      <c r="N6" s="525"/>
      <c r="O6" s="525"/>
      <c r="P6" s="525"/>
      <c r="Q6" s="525"/>
      <c r="R6" s="524"/>
      <c r="S6" s="524"/>
      <c r="T6" s="524"/>
      <c r="U6" s="524"/>
      <c r="V6" s="524"/>
      <c r="W6" s="524"/>
      <c r="X6" s="524"/>
      <c r="Y6" s="524"/>
      <c r="Z6" s="524"/>
      <c r="AA6" s="524"/>
      <c r="AB6" s="524"/>
      <c r="AC6" s="524"/>
      <c r="AD6" s="524"/>
      <c r="AE6" s="524"/>
      <c r="AF6" s="524"/>
      <c r="AG6" s="524"/>
      <c r="AH6" s="524"/>
      <c r="AI6" s="524"/>
      <c r="AJ6" s="524"/>
      <c r="AK6" s="524"/>
      <c r="AL6" s="524"/>
      <c r="AM6" s="524"/>
      <c r="AN6" s="524"/>
      <c r="AO6" s="524"/>
      <c r="AP6" s="524"/>
      <c r="AQ6" s="524"/>
      <c r="AR6" s="524"/>
      <c r="AS6" s="524"/>
      <c r="AT6" s="524"/>
      <c r="AU6" s="524"/>
      <c r="AV6" s="524"/>
      <c r="AW6" s="524"/>
      <c r="AX6" s="524"/>
      <c r="AY6" s="524"/>
      <c r="AZ6" s="524"/>
      <c r="BA6" s="524"/>
      <c r="BB6" s="524"/>
      <c r="BC6" s="524"/>
      <c r="BD6" s="524"/>
      <c r="BE6" s="524"/>
      <c r="BF6" s="524"/>
      <c r="BG6" s="524"/>
      <c r="BH6" s="524"/>
      <c r="BI6" s="524"/>
      <c r="BJ6" s="524"/>
      <c r="BK6" s="524"/>
      <c r="BL6" s="524"/>
      <c r="BM6" s="524"/>
      <c r="BN6" s="524"/>
      <c r="BO6" s="524"/>
      <c r="BP6" s="524"/>
      <c r="BQ6" s="524"/>
      <c r="BR6" s="524"/>
      <c r="BS6" s="524"/>
      <c r="BT6" s="524"/>
      <c r="BU6" s="524"/>
      <c r="BV6" s="524"/>
      <c r="BW6" s="524"/>
      <c r="BX6" s="524"/>
      <c r="BY6" s="524"/>
      <c r="BZ6" s="524"/>
      <c r="CA6" s="524"/>
      <c r="CB6" s="524"/>
      <c r="CC6" s="524"/>
      <c r="CD6" s="524"/>
      <c r="CE6" s="524"/>
      <c r="CF6" s="524"/>
      <c r="CG6" s="524"/>
      <c r="CH6" s="524"/>
      <c r="CI6" s="524"/>
      <c r="CJ6" s="524"/>
      <c r="CK6" s="524"/>
      <c r="CL6" s="524"/>
      <c r="CM6" s="524"/>
      <c r="CN6" s="524"/>
      <c r="CO6" s="524"/>
      <c r="CP6" s="524"/>
      <c r="CQ6" s="524"/>
      <c r="CR6" s="524"/>
      <c r="CS6" s="524"/>
      <c r="CT6" s="524"/>
      <c r="CU6" s="524"/>
      <c r="CV6" s="524"/>
      <c r="CW6" s="524"/>
      <c r="CX6" s="524"/>
      <c r="CY6" s="524"/>
      <c r="CZ6" s="524"/>
      <c r="DA6" s="524"/>
      <c r="DB6" s="524"/>
      <c r="DC6" s="524"/>
      <c r="DD6" s="524"/>
      <c r="DE6" s="524"/>
      <c r="DF6" s="524"/>
      <c r="DG6" s="524"/>
      <c r="DH6" s="524"/>
      <c r="DI6" s="524"/>
      <c r="DJ6" s="524"/>
      <c r="DK6" s="524"/>
      <c r="DL6" s="524"/>
      <c r="DM6" s="524"/>
      <c r="DN6" s="524"/>
      <c r="DO6" s="524"/>
      <c r="DP6" s="524"/>
      <c r="DQ6" s="524"/>
      <c r="DR6" s="524"/>
      <c r="DS6" s="524"/>
      <c r="DT6" s="524"/>
      <c r="DU6" s="524"/>
      <c r="DV6" s="524"/>
      <c r="DW6" s="524"/>
      <c r="DX6" s="524"/>
      <c r="DY6" s="524"/>
      <c r="DZ6" s="524"/>
      <c r="EA6" s="524"/>
      <c r="EB6" s="524"/>
      <c r="EC6" s="524"/>
      <c r="ED6" s="524"/>
      <c r="EE6" s="524"/>
      <c r="EF6" s="524"/>
      <c r="EG6" s="524"/>
      <c r="EH6" s="524"/>
      <c r="EI6" s="524"/>
      <c r="EJ6" s="524"/>
      <c r="EK6" s="524"/>
      <c r="EL6" s="524"/>
      <c r="EM6" s="524"/>
      <c r="EN6" s="524"/>
      <c r="EO6" s="524"/>
      <c r="EP6" s="524"/>
      <c r="EQ6" s="524"/>
      <c r="ER6" s="524"/>
      <c r="ES6" s="524"/>
      <c r="ET6" s="524"/>
      <c r="EU6" s="524"/>
      <c r="EV6" s="524"/>
      <c r="EW6" s="524"/>
      <c r="EX6" s="524"/>
      <c r="EY6" s="524"/>
      <c r="EZ6" s="524"/>
      <c r="FA6" s="524"/>
      <c r="FB6" s="524"/>
      <c r="FC6" s="524"/>
      <c r="FD6" s="524"/>
      <c r="FE6" s="524"/>
      <c r="FF6" s="524"/>
      <c r="FG6" s="524"/>
      <c r="FH6" s="524"/>
      <c r="FI6" s="524"/>
      <c r="FJ6" s="524"/>
      <c r="FK6" s="524"/>
      <c r="FL6" s="524"/>
      <c r="FM6" s="524"/>
      <c r="FN6" s="524"/>
      <c r="FO6" s="524"/>
      <c r="FP6" s="524"/>
      <c r="FQ6" s="524"/>
      <c r="FR6" s="524"/>
      <c r="FS6" s="524"/>
      <c r="FT6" s="524"/>
      <c r="FU6" s="524"/>
      <c r="FV6" s="524"/>
      <c r="FW6" s="524"/>
      <c r="FX6" s="524"/>
      <c r="FY6" s="524"/>
      <c r="FZ6" s="524"/>
      <c r="GA6" s="524"/>
      <c r="GB6" s="524"/>
      <c r="GC6" s="524"/>
      <c r="GD6" s="524"/>
      <c r="GE6" s="524"/>
      <c r="GF6" s="524"/>
      <c r="GG6" s="524"/>
      <c r="GH6" s="524"/>
      <c r="GI6" s="524"/>
      <c r="GJ6" s="524"/>
      <c r="GK6" s="524"/>
      <c r="GL6" s="524"/>
      <c r="GM6" s="524"/>
      <c r="GN6" s="524"/>
      <c r="GO6" s="524"/>
      <c r="GP6" s="524"/>
      <c r="GQ6" s="524"/>
      <c r="GR6" s="524"/>
      <c r="GS6" s="524"/>
      <c r="GT6" s="524"/>
      <c r="GU6" s="524"/>
      <c r="GV6" s="524"/>
      <c r="GW6" s="524"/>
      <c r="GX6" s="524"/>
      <c r="GY6" s="524"/>
      <c r="GZ6" s="524"/>
      <c r="HA6" s="524"/>
      <c r="HB6" s="524"/>
      <c r="HC6" s="524"/>
      <c r="HD6" s="524"/>
      <c r="HE6" s="524"/>
      <c r="HF6" s="524"/>
      <c r="HG6" s="524"/>
      <c r="HH6" s="524"/>
      <c r="HI6" s="524"/>
      <c r="HJ6" s="524"/>
      <c r="HK6" s="524"/>
      <c r="HL6" s="524"/>
      <c r="HM6" s="524"/>
      <c r="HN6" s="524"/>
      <c r="HO6" s="524"/>
      <c r="HP6" s="524"/>
      <c r="HQ6" s="524"/>
      <c r="HR6" s="524"/>
      <c r="HS6" s="524"/>
      <c r="HT6" s="524"/>
      <c r="HU6" s="524"/>
      <c r="HV6" s="524"/>
      <c r="HW6" s="524"/>
      <c r="HX6" s="524"/>
      <c r="HY6" s="524"/>
      <c r="HZ6" s="524"/>
      <c r="IA6" s="524"/>
      <c r="IB6" s="524"/>
      <c r="IC6" s="524"/>
      <c r="ID6" s="524"/>
      <c r="IE6" s="524"/>
      <c r="IF6" s="524"/>
      <c r="IG6" s="524"/>
      <c r="IH6" s="524"/>
      <c r="II6" s="524"/>
      <c r="IJ6" s="524"/>
      <c r="IK6" s="524"/>
      <c r="IL6" s="524"/>
      <c r="IM6" s="524"/>
      <c r="IN6" s="524"/>
      <c r="IO6" s="524"/>
      <c r="IP6" s="524"/>
      <c r="IQ6" s="524"/>
      <c r="IR6" s="524"/>
    </row>
    <row r="7" spans="1:252" ht="51" x14ac:dyDescent="0.2">
      <c r="A7" s="501" t="s">
        <v>0</v>
      </c>
      <c r="B7" s="502" t="s">
        <v>10</v>
      </c>
      <c r="C7" s="595"/>
      <c r="D7" s="503"/>
      <c r="E7" s="503"/>
      <c r="F7" s="503"/>
      <c r="G7" s="504"/>
      <c r="H7" s="502" t="s">
        <v>322</v>
      </c>
      <c r="I7" s="503"/>
      <c r="J7" s="503"/>
      <c r="K7" s="503"/>
      <c r="L7" s="503"/>
      <c r="M7" s="503"/>
      <c r="N7" s="502" t="s">
        <v>324</v>
      </c>
      <c r="O7" s="503"/>
      <c r="P7" s="503"/>
      <c r="Q7" s="504"/>
      <c r="R7" s="524"/>
      <c r="S7" s="524"/>
      <c r="T7" s="524"/>
      <c r="U7" s="524"/>
      <c r="V7" s="524"/>
      <c r="W7" s="524"/>
      <c r="X7" s="524"/>
      <c r="Y7" s="524"/>
      <c r="Z7" s="524"/>
      <c r="AA7" s="524"/>
      <c r="AB7" s="524"/>
      <c r="AC7" s="524"/>
      <c r="AD7" s="524"/>
      <c r="AE7" s="524"/>
      <c r="AF7" s="524"/>
      <c r="AG7" s="524"/>
      <c r="AH7" s="524"/>
      <c r="AI7" s="524"/>
      <c r="AJ7" s="524"/>
      <c r="AK7" s="524"/>
      <c r="AL7" s="524"/>
      <c r="AM7" s="524"/>
      <c r="AN7" s="524"/>
      <c r="AO7" s="524"/>
      <c r="AP7" s="524"/>
      <c r="AQ7" s="524"/>
      <c r="AR7" s="524"/>
      <c r="AS7" s="524"/>
      <c r="AT7" s="524"/>
      <c r="AU7" s="524"/>
      <c r="AV7" s="524"/>
      <c r="AW7" s="524"/>
      <c r="AX7" s="524"/>
      <c r="AY7" s="524"/>
      <c r="AZ7" s="524"/>
      <c r="BA7" s="524"/>
      <c r="BB7" s="524"/>
      <c r="BC7" s="524"/>
      <c r="BD7" s="524"/>
      <c r="BE7" s="524"/>
      <c r="BF7" s="524"/>
      <c r="BG7" s="524"/>
      <c r="BH7" s="524"/>
      <c r="BI7" s="524"/>
      <c r="BJ7" s="524"/>
      <c r="BK7" s="524"/>
      <c r="BL7" s="524"/>
      <c r="BM7" s="524"/>
      <c r="BN7" s="524"/>
      <c r="BO7" s="524"/>
      <c r="BP7" s="524"/>
      <c r="BQ7" s="524"/>
      <c r="BR7" s="524"/>
      <c r="BS7" s="524"/>
      <c r="BT7" s="524"/>
      <c r="BU7" s="524"/>
      <c r="BV7" s="524"/>
      <c r="BW7" s="524"/>
      <c r="BX7" s="524"/>
      <c r="BY7" s="524"/>
      <c r="BZ7" s="524"/>
      <c r="CA7" s="524"/>
      <c r="CB7" s="524"/>
      <c r="CC7" s="524"/>
      <c r="CD7" s="524"/>
      <c r="CE7" s="524"/>
      <c r="CF7" s="524"/>
      <c r="CG7" s="524"/>
      <c r="CH7" s="524"/>
      <c r="CI7" s="524"/>
      <c r="CJ7" s="524"/>
      <c r="CK7" s="524"/>
      <c r="CL7" s="524"/>
      <c r="CM7" s="524"/>
      <c r="CN7" s="524"/>
      <c r="CO7" s="524"/>
      <c r="CP7" s="524"/>
      <c r="CQ7" s="524"/>
      <c r="CR7" s="524"/>
      <c r="CS7" s="524"/>
      <c r="CT7" s="524"/>
      <c r="CU7" s="524"/>
      <c r="CV7" s="524"/>
      <c r="CW7" s="524"/>
      <c r="CX7" s="524"/>
      <c r="CY7" s="524"/>
      <c r="CZ7" s="524"/>
      <c r="DA7" s="524"/>
      <c r="DB7" s="524"/>
      <c r="DC7" s="524"/>
      <c r="DD7" s="524"/>
      <c r="DE7" s="524"/>
      <c r="DF7" s="524"/>
      <c r="DG7" s="524"/>
      <c r="DH7" s="524"/>
      <c r="DI7" s="524"/>
      <c r="DJ7" s="524"/>
      <c r="DK7" s="524"/>
      <c r="DL7" s="524"/>
      <c r="DM7" s="524"/>
      <c r="DN7" s="524"/>
      <c r="DO7" s="524"/>
      <c r="DP7" s="524"/>
      <c r="DQ7" s="524"/>
      <c r="DR7" s="524"/>
      <c r="DS7" s="524"/>
      <c r="DT7" s="524"/>
      <c r="DU7" s="524"/>
      <c r="DV7" s="524"/>
      <c r="DW7" s="524"/>
      <c r="DX7" s="524"/>
      <c r="DY7" s="524"/>
      <c r="DZ7" s="524"/>
      <c r="EA7" s="524"/>
      <c r="EB7" s="524"/>
      <c r="EC7" s="524"/>
      <c r="ED7" s="524"/>
      <c r="EE7" s="524"/>
      <c r="EF7" s="524"/>
      <c r="EG7" s="524"/>
      <c r="EH7" s="524"/>
      <c r="EI7" s="524"/>
      <c r="EJ7" s="524"/>
      <c r="EK7" s="524"/>
      <c r="EL7" s="524"/>
      <c r="EM7" s="524"/>
      <c r="EN7" s="524"/>
      <c r="EO7" s="524"/>
      <c r="EP7" s="524"/>
      <c r="EQ7" s="524"/>
      <c r="ER7" s="524"/>
      <c r="ES7" s="524"/>
      <c r="ET7" s="524"/>
      <c r="EU7" s="524"/>
      <c r="EV7" s="524"/>
      <c r="EW7" s="524"/>
      <c r="EX7" s="524"/>
      <c r="EY7" s="524"/>
      <c r="EZ7" s="524"/>
      <c r="FA7" s="524"/>
      <c r="FB7" s="524"/>
      <c r="FC7" s="524"/>
      <c r="FD7" s="524"/>
      <c r="FE7" s="524"/>
      <c r="FF7" s="524"/>
      <c r="FG7" s="524"/>
      <c r="FH7" s="524"/>
      <c r="FI7" s="524"/>
      <c r="FJ7" s="524"/>
      <c r="FK7" s="524"/>
      <c r="FL7" s="524"/>
      <c r="FM7" s="524"/>
      <c r="FN7" s="524"/>
      <c r="FO7" s="524"/>
      <c r="FP7" s="524"/>
      <c r="FQ7" s="524"/>
      <c r="FR7" s="524"/>
      <c r="FS7" s="524"/>
      <c r="FT7" s="524"/>
      <c r="FU7" s="524"/>
      <c r="FV7" s="524"/>
      <c r="FW7" s="524"/>
      <c r="FX7" s="524"/>
      <c r="FY7" s="524"/>
      <c r="FZ7" s="524"/>
      <c r="GA7" s="524"/>
      <c r="GB7" s="524"/>
      <c r="GC7" s="524"/>
      <c r="GD7" s="524"/>
      <c r="GE7" s="524"/>
      <c r="GF7" s="524"/>
      <c r="GG7" s="524"/>
      <c r="GH7" s="524"/>
      <c r="GI7" s="524"/>
      <c r="GJ7" s="524"/>
      <c r="GK7" s="524"/>
      <c r="GL7" s="524"/>
      <c r="GM7" s="524"/>
      <c r="GN7" s="524"/>
      <c r="GO7" s="524"/>
      <c r="GP7" s="524"/>
      <c r="GQ7" s="524"/>
      <c r="GR7" s="524"/>
      <c r="GS7" s="524"/>
      <c r="GT7" s="524"/>
      <c r="GU7" s="524"/>
      <c r="GV7" s="524"/>
      <c r="GW7" s="524"/>
      <c r="GX7" s="524"/>
      <c r="GY7" s="524"/>
      <c r="GZ7" s="524"/>
      <c r="HA7" s="524"/>
      <c r="HB7" s="524"/>
      <c r="HC7" s="524"/>
      <c r="HD7" s="524"/>
      <c r="HE7" s="524"/>
      <c r="HF7" s="524"/>
      <c r="HG7" s="524"/>
      <c r="HH7" s="524"/>
      <c r="HI7" s="524"/>
      <c r="HJ7" s="524"/>
      <c r="HK7" s="524"/>
      <c r="HL7" s="524"/>
      <c r="HM7" s="524"/>
      <c r="HN7" s="524"/>
      <c r="HO7" s="524"/>
      <c r="HP7" s="524"/>
      <c r="HQ7" s="524"/>
      <c r="HR7" s="524"/>
      <c r="HS7" s="524"/>
      <c r="HT7" s="524"/>
      <c r="HU7" s="524"/>
      <c r="HV7" s="524"/>
      <c r="HW7" s="524"/>
      <c r="HX7" s="524"/>
      <c r="HY7" s="524"/>
      <c r="HZ7" s="524"/>
      <c r="IA7" s="524"/>
      <c r="IB7" s="524"/>
      <c r="IC7" s="524"/>
      <c r="ID7" s="524"/>
      <c r="IE7" s="524"/>
      <c r="IF7" s="524"/>
      <c r="IG7" s="524"/>
      <c r="IH7" s="524"/>
      <c r="II7" s="524"/>
      <c r="IJ7" s="524"/>
      <c r="IK7" s="524"/>
      <c r="IL7" s="524"/>
      <c r="IM7" s="524"/>
      <c r="IN7" s="524"/>
      <c r="IO7" s="524"/>
      <c r="IP7" s="524"/>
      <c r="IQ7" s="524"/>
      <c r="IR7" s="524"/>
    </row>
    <row r="8" spans="1:252" ht="204" x14ac:dyDescent="0.2">
      <c r="A8" s="505"/>
      <c r="B8" s="506" t="s">
        <v>4</v>
      </c>
      <c r="C8" s="506" t="s">
        <v>1</v>
      </c>
      <c r="D8" s="506" t="s">
        <v>3</v>
      </c>
      <c r="E8" s="506" t="s">
        <v>2</v>
      </c>
      <c r="F8" s="506" t="s">
        <v>6</v>
      </c>
      <c r="G8" s="506" t="s">
        <v>5</v>
      </c>
      <c r="H8" s="506" t="s">
        <v>7</v>
      </c>
      <c r="I8" s="507" t="s">
        <v>8</v>
      </c>
      <c r="J8" s="507" t="s">
        <v>9</v>
      </c>
      <c r="K8" s="508" t="s">
        <v>11</v>
      </c>
      <c r="L8" s="508" t="s">
        <v>12</v>
      </c>
      <c r="M8" s="508" t="s">
        <v>13</v>
      </c>
      <c r="N8" s="507" t="s">
        <v>9</v>
      </c>
      <c r="O8" s="508" t="s">
        <v>11</v>
      </c>
      <c r="P8" s="508" t="s">
        <v>12</v>
      </c>
      <c r="Q8" s="509" t="s">
        <v>13</v>
      </c>
      <c r="R8" s="524"/>
      <c r="S8" s="524"/>
      <c r="T8" s="524"/>
      <c r="U8" s="524"/>
      <c r="V8" s="524"/>
      <c r="W8" s="524"/>
      <c r="X8" s="524"/>
      <c r="Y8" s="524"/>
      <c r="Z8" s="524"/>
      <c r="AA8" s="524"/>
      <c r="AB8" s="524"/>
      <c r="AC8" s="524"/>
      <c r="AD8" s="524"/>
      <c r="AE8" s="524"/>
      <c r="AF8" s="524"/>
      <c r="AG8" s="524"/>
      <c r="AH8" s="524"/>
      <c r="AI8" s="524"/>
      <c r="AJ8" s="524"/>
      <c r="AK8" s="524"/>
      <c r="AL8" s="524"/>
      <c r="AM8" s="524"/>
      <c r="AN8" s="524"/>
      <c r="AO8" s="524"/>
      <c r="AP8" s="524"/>
      <c r="AQ8" s="524"/>
      <c r="AR8" s="524"/>
      <c r="AS8" s="524"/>
      <c r="AT8" s="524"/>
      <c r="AU8" s="524"/>
      <c r="AV8" s="524"/>
      <c r="AW8" s="524"/>
      <c r="AX8" s="524"/>
      <c r="AY8" s="524"/>
      <c r="AZ8" s="524"/>
      <c r="BA8" s="524"/>
      <c r="BB8" s="524"/>
      <c r="BC8" s="524"/>
      <c r="BD8" s="524"/>
      <c r="BE8" s="524"/>
      <c r="BF8" s="524"/>
      <c r="BG8" s="524"/>
      <c r="BH8" s="524"/>
      <c r="BI8" s="524"/>
      <c r="BJ8" s="524"/>
      <c r="BK8" s="524"/>
      <c r="BL8" s="524"/>
      <c r="BM8" s="524"/>
      <c r="BN8" s="524"/>
      <c r="BO8" s="524"/>
      <c r="BP8" s="524"/>
      <c r="BQ8" s="524"/>
      <c r="BR8" s="524"/>
      <c r="BS8" s="524"/>
      <c r="BT8" s="524"/>
      <c r="BU8" s="524"/>
      <c r="BV8" s="524"/>
      <c r="BW8" s="524"/>
      <c r="BX8" s="524"/>
      <c r="BY8" s="524"/>
      <c r="BZ8" s="524"/>
      <c r="CA8" s="524"/>
      <c r="CB8" s="524"/>
      <c r="CC8" s="524"/>
      <c r="CD8" s="524"/>
      <c r="CE8" s="524"/>
      <c r="CF8" s="524"/>
      <c r="CG8" s="524"/>
      <c r="CH8" s="524"/>
      <c r="CI8" s="524"/>
      <c r="CJ8" s="524"/>
      <c r="CK8" s="524"/>
      <c r="CL8" s="524"/>
      <c r="CM8" s="524"/>
      <c r="CN8" s="524"/>
      <c r="CO8" s="524"/>
      <c r="CP8" s="524"/>
      <c r="CQ8" s="524"/>
      <c r="CR8" s="524"/>
      <c r="CS8" s="524"/>
      <c r="CT8" s="524"/>
      <c r="CU8" s="524"/>
      <c r="CV8" s="524"/>
      <c r="CW8" s="524"/>
      <c r="CX8" s="524"/>
      <c r="CY8" s="524"/>
      <c r="CZ8" s="524"/>
      <c r="DA8" s="524"/>
      <c r="DB8" s="524"/>
      <c r="DC8" s="524"/>
      <c r="DD8" s="524"/>
      <c r="DE8" s="524"/>
      <c r="DF8" s="524"/>
      <c r="DG8" s="524"/>
      <c r="DH8" s="524"/>
      <c r="DI8" s="524"/>
      <c r="DJ8" s="524"/>
      <c r="DK8" s="524"/>
      <c r="DL8" s="524"/>
      <c r="DM8" s="524"/>
      <c r="DN8" s="524"/>
      <c r="DO8" s="524"/>
      <c r="DP8" s="524"/>
      <c r="DQ8" s="524"/>
      <c r="DR8" s="524"/>
      <c r="DS8" s="524"/>
      <c r="DT8" s="524"/>
      <c r="DU8" s="524"/>
      <c r="DV8" s="524"/>
      <c r="DW8" s="524"/>
      <c r="DX8" s="524"/>
      <c r="DY8" s="524"/>
      <c r="DZ8" s="524"/>
      <c r="EA8" s="524"/>
      <c r="EB8" s="524"/>
      <c r="EC8" s="524"/>
      <c r="ED8" s="524"/>
      <c r="EE8" s="524"/>
      <c r="EF8" s="524"/>
      <c r="EG8" s="524"/>
      <c r="EH8" s="524"/>
      <c r="EI8" s="524"/>
      <c r="EJ8" s="524"/>
      <c r="EK8" s="524"/>
      <c r="EL8" s="524"/>
      <c r="EM8" s="524"/>
      <c r="EN8" s="524"/>
      <c r="EO8" s="524"/>
      <c r="EP8" s="524"/>
      <c r="EQ8" s="524"/>
      <c r="ER8" s="524"/>
      <c r="ES8" s="524"/>
      <c r="ET8" s="524"/>
      <c r="EU8" s="524"/>
      <c r="EV8" s="524"/>
      <c r="EW8" s="524"/>
      <c r="EX8" s="524"/>
      <c r="EY8" s="524"/>
      <c r="EZ8" s="524"/>
      <c r="FA8" s="524"/>
      <c r="FB8" s="524"/>
      <c r="FC8" s="524"/>
      <c r="FD8" s="524"/>
      <c r="FE8" s="524"/>
      <c r="FF8" s="524"/>
      <c r="FG8" s="524"/>
      <c r="FH8" s="524"/>
      <c r="FI8" s="524"/>
      <c r="FJ8" s="524"/>
      <c r="FK8" s="524"/>
      <c r="FL8" s="524"/>
      <c r="FM8" s="524"/>
      <c r="FN8" s="524"/>
      <c r="FO8" s="524"/>
      <c r="FP8" s="524"/>
      <c r="FQ8" s="524"/>
      <c r="FR8" s="524"/>
      <c r="FS8" s="524"/>
      <c r="FT8" s="524"/>
      <c r="FU8" s="524"/>
      <c r="FV8" s="524"/>
      <c r="FW8" s="524"/>
      <c r="FX8" s="524"/>
      <c r="FY8" s="524"/>
      <c r="FZ8" s="524"/>
      <c r="GA8" s="524"/>
      <c r="GB8" s="524"/>
      <c r="GC8" s="524"/>
      <c r="GD8" s="524"/>
      <c r="GE8" s="524"/>
      <c r="GF8" s="524"/>
      <c r="GG8" s="524"/>
      <c r="GH8" s="524"/>
      <c r="GI8" s="524"/>
      <c r="GJ8" s="524"/>
      <c r="GK8" s="524"/>
      <c r="GL8" s="524"/>
      <c r="GM8" s="524"/>
      <c r="GN8" s="524"/>
      <c r="GO8" s="524"/>
      <c r="GP8" s="524"/>
      <c r="GQ8" s="524"/>
      <c r="GR8" s="524"/>
      <c r="GS8" s="524"/>
      <c r="GT8" s="524"/>
      <c r="GU8" s="524"/>
      <c r="GV8" s="524"/>
      <c r="GW8" s="524"/>
      <c r="GX8" s="524"/>
      <c r="GY8" s="524"/>
      <c r="GZ8" s="524"/>
      <c r="HA8" s="524"/>
      <c r="HB8" s="524"/>
      <c r="HC8" s="524"/>
      <c r="HD8" s="524"/>
      <c r="HE8" s="524"/>
      <c r="HF8" s="524"/>
      <c r="HG8" s="524"/>
      <c r="HH8" s="524"/>
      <c r="HI8" s="524"/>
      <c r="HJ8" s="524"/>
      <c r="HK8" s="524"/>
      <c r="HL8" s="524"/>
      <c r="HM8" s="524"/>
      <c r="HN8" s="524"/>
      <c r="HO8" s="524"/>
      <c r="HP8" s="524"/>
      <c r="HQ8" s="524"/>
      <c r="HR8" s="524"/>
      <c r="HS8" s="524"/>
      <c r="HT8" s="524"/>
      <c r="HU8" s="524"/>
      <c r="HV8" s="524"/>
      <c r="HW8" s="524"/>
      <c r="HX8" s="524"/>
      <c r="HY8" s="524"/>
      <c r="HZ8" s="524"/>
      <c r="IA8" s="524"/>
      <c r="IB8" s="524"/>
      <c r="IC8" s="524"/>
      <c r="ID8" s="524"/>
      <c r="IE8" s="524"/>
      <c r="IF8" s="524"/>
      <c r="IG8" s="524"/>
      <c r="IH8" s="524"/>
      <c r="II8" s="524"/>
      <c r="IJ8" s="524"/>
      <c r="IK8" s="524"/>
      <c r="IL8" s="524"/>
      <c r="IM8" s="524"/>
      <c r="IN8" s="524"/>
      <c r="IO8" s="524"/>
      <c r="IP8" s="524"/>
      <c r="IQ8" s="524"/>
      <c r="IR8" s="524"/>
    </row>
    <row r="9" spans="1:252" ht="15.75" customHeight="1" x14ac:dyDescent="0.2">
      <c r="A9" s="529">
        <v>1</v>
      </c>
      <c r="B9" s="529" t="s">
        <v>159</v>
      </c>
      <c r="C9" s="516" t="s">
        <v>62</v>
      </c>
      <c r="D9" s="529" t="s">
        <v>63</v>
      </c>
      <c r="E9" s="529" t="s">
        <v>121</v>
      </c>
      <c r="F9" s="529" t="s">
        <v>160</v>
      </c>
      <c r="G9" s="510" t="s">
        <v>670</v>
      </c>
      <c r="H9" s="529">
        <v>3</v>
      </c>
      <c r="I9" s="529">
        <v>3</v>
      </c>
      <c r="J9" s="529">
        <v>3</v>
      </c>
      <c r="K9" s="529">
        <v>1493.3</v>
      </c>
      <c r="L9" s="529">
        <v>1493.3</v>
      </c>
      <c r="M9" s="529">
        <v>0</v>
      </c>
      <c r="N9" s="529">
        <v>9</v>
      </c>
      <c r="O9" s="529">
        <v>26421.62</v>
      </c>
      <c r="P9" s="529">
        <v>26421.62</v>
      </c>
      <c r="Q9" s="529">
        <v>0</v>
      </c>
    </row>
    <row r="10" spans="1:252" ht="15.75" customHeight="1" x14ac:dyDescent="0.2">
      <c r="A10" s="529">
        <v>2</v>
      </c>
      <c r="B10" s="529" t="s">
        <v>95</v>
      </c>
      <c r="C10" s="516" t="s">
        <v>62</v>
      </c>
      <c r="D10" s="529" t="s">
        <v>63</v>
      </c>
      <c r="E10" s="529" t="s">
        <v>74</v>
      </c>
      <c r="F10" s="529" t="s">
        <v>161</v>
      </c>
      <c r="G10" s="510" t="s">
        <v>670</v>
      </c>
      <c r="H10" s="529">
        <v>54</v>
      </c>
      <c r="I10" s="529">
        <v>49</v>
      </c>
      <c r="J10" s="529">
        <v>66</v>
      </c>
      <c r="K10" s="529">
        <v>77731.58</v>
      </c>
      <c r="L10" s="529">
        <v>75145.89</v>
      </c>
      <c r="M10" s="529">
        <v>2585.69</v>
      </c>
      <c r="N10" s="529">
        <v>31</v>
      </c>
      <c r="O10" s="529">
        <v>98356.77</v>
      </c>
      <c r="P10" s="529">
        <v>93401.69</v>
      </c>
      <c r="Q10" s="529">
        <v>4955.08</v>
      </c>
    </row>
    <row r="11" spans="1:252" ht="15.75" customHeight="1" x14ac:dyDescent="0.2">
      <c r="A11" s="529">
        <v>3</v>
      </c>
      <c r="B11" s="529" t="s">
        <v>684</v>
      </c>
      <c r="C11" s="516" t="s">
        <v>64</v>
      </c>
      <c r="D11" s="529" t="s">
        <v>486</v>
      </c>
      <c r="E11" s="529" t="s">
        <v>174</v>
      </c>
      <c r="F11" s="529" t="s">
        <v>685</v>
      </c>
      <c r="G11" s="510" t="s">
        <v>670</v>
      </c>
      <c r="H11" s="529">
        <v>9</v>
      </c>
      <c r="I11" s="529">
        <v>4</v>
      </c>
      <c r="J11" s="529">
        <v>4</v>
      </c>
      <c r="K11" s="529">
        <v>0</v>
      </c>
      <c r="L11" s="529">
        <v>0</v>
      </c>
      <c r="M11" s="529">
        <v>0</v>
      </c>
      <c r="N11" s="529">
        <v>0</v>
      </c>
      <c r="O11" s="529">
        <v>0</v>
      </c>
      <c r="P11" s="529">
        <v>0</v>
      </c>
      <c r="Q11" s="529">
        <v>0</v>
      </c>
    </row>
    <row r="12" spans="1:252" ht="15.75" customHeight="1" x14ac:dyDescent="0.2">
      <c r="A12" s="529">
        <v>4</v>
      </c>
      <c r="B12" s="529" t="s">
        <v>541</v>
      </c>
      <c r="C12" s="516" t="s">
        <v>62</v>
      </c>
      <c r="D12" s="529"/>
      <c r="E12" s="529" t="s">
        <v>177</v>
      </c>
      <c r="F12" s="529" t="s">
        <v>542</v>
      </c>
      <c r="G12" s="510" t="s">
        <v>670</v>
      </c>
      <c r="H12" s="529">
        <v>30</v>
      </c>
      <c r="I12" s="529">
        <v>24</v>
      </c>
      <c r="J12" s="529">
        <v>34</v>
      </c>
      <c r="K12" s="529">
        <v>16190.58</v>
      </c>
      <c r="L12" s="529">
        <v>16190.58</v>
      </c>
      <c r="M12" s="529">
        <v>0</v>
      </c>
      <c r="N12" s="529">
        <v>0</v>
      </c>
      <c r="O12" s="529">
        <v>0</v>
      </c>
      <c r="P12" s="529">
        <v>0</v>
      </c>
      <c r="Q12" s="529">
        <v>0</v>
      </c>
    </row>
    <row r="13" spans="1:252" ht="15.75" customHeight="1" x14ac:dyDescent="0.2">
      <c r="A13" s="529">
        <v>5</v>
      </c>
      <c r="B13" s="529" t="s">
        <v>628</v>
      </c>
      <c r="C13" s="516" t="s">
        <v>62</v>
      </c>
      <c r="D13" s="529"/>
      <c r="E13" s="529" t="s">
        <v>174</v>
      </c>
      <c r="F13" s="529" t="s">
        <v>653</v>
      </c>
      <c r="G13" s="510" t="s">
        <v>670</v>
      </c>
      <c r="H13" s="529">
        <v>10</v>
      </c>
      <c r="I13" s="529">
        <v>9</v>
      </c>
      <c r="J13" s="529">
        <v>10</v>
      </c>
      <c r="K13" s="529">
        <v>0</v>
      </c>
      <c r="L13" s="529">
        <v>0</v>
      </c>
      <c r="M13" s="529">
        <v>0</v>
      </c>
      <c r="N13" s="529">
        <v>0</v>
      </c>
      <c r="O13" s="529">
        <v>0</v>
      </c>
      <c r="P13" s="529">
        <v>0</v>
      </c>
      <c r="Q13" s="529">
        <v>0</v>
      </c>
    </row>
    <row r="14" spans="1:252" ht="15.75" customHeight="1" x14ac:dyDescent="0.2">
      <c r="A14" s="529">
        <v>6</v>
      </c>
      <c r="B14" s="529" t="s">
        <v>18</v>
      </c>
      <c r="C14" s="516" t="s">
        <v>62</v>
      </c>
      <c r="D14" s="529" t="s">
        <v>63</v>
      </c>
      <c r="E14" s="529" t="s">
        <v>70</v>
      </c>
      <c r="F14" s="529" t="s">
        <v>565</v>
      </c>
      <c r="G14" s="510" t="s">
        <v>670</v>
      </c>
      <c r="H14" s="529">
        <v>6</v>
      </c>
      <c r="I14" s="529">
        <v>1</v>
      </c>
      <c r="J14" s="529">
        <v>1</v>
      </c>
      <c r="K14" s="529">
        <v>3936.79</v>
      </c>
      <c r="L14" s="529">
        <v>3936.79</v>
      </c>
      <c r="M14" s="529">
        <v>0</v>
      </c>
      <c r="N14" s="529">
        <v>2</v>
      </c>
      <c r="O14" s="529">
        <v>3205.88</v>
      </c>
      <c r="P14" s="529">
        <v>3205.88</v>
      </c>
      <c r="Q14" s="529">
        <v>0</v>
      </c>
    </row>
    <row r="15" spans="1:252" ht="15.75" customHeight="1" x14ac:dyDescent="0.2">
      <c r="A15" s="529">
        <v>7</v>
      </c>
      <c r="B15" s="529" t="s">
        <v>19</v>
      </c>
      <c r="C15" s="516" t="s">
        <v>62</v>
      </c>
      <c r="D15" s="529" t="s">
        <v>63</v>
      </c>
      <c r="E15" s="529" t="s">
        <v>71</v>
      </c>
      <c r="F15" s="529" t="s">
        <v>162</v>
      </c>
      <c r="G15" s="510" t="s">
        <v>670</v>
      </c>
      <c r="H15" s="529">
        <v>123</v>
      </c>
      <c r="I15" s="529">
        <v>107</v>
      </c>
      <c r="J15" s="529">
        <v>141</v>
      </c>
      <c r="K15" s="529">
        <v>139338.70000000001</v>
      </c>
      <c r="L15" s="529">
        <v>127395.25</v>
      </c>
      <c r="M15" s="529">
        <v>11943.45</v>
      </c>
      <c r="N15" s="529">
        <v>32</v>
      </c>
      <c r="O15" s="529">
        <v>69551</v>
      </c>
      <c r="P15" s="529">
        <v>63610.01</v>
      </c>
      <c r="Q15" s="529">
        <v>5940.99</v>
      </c>
    </row>
    <row r="16" spans="1:252" ht="15.75" customHeight="1" x14ac:dyDescent="0.2">
      <c r="A16" s="529">
        <v>8</v>
      </c>
      <c r="B16" s="529" t="s">
        <v>672</v>
      </c>
      <c r="C16" s="516" t="s">
        <v>62</v>
      </c>
      <c r="D16" s="529"/>
      <c r="E16" s="529" t="s">
        <v>158</v>
      </c>
      <c r="F16" s="529" t="s">
        <v>673</v>
      </c>
      <c r="G16" s="510" t="s">
        <v>670</v>
      </c>
      <c r="H16" s="529">
        <v>0</v>
      </c>
      <c r="I16" s="529">
        <v>0</v>
      </c>
      <c r="J16" s="529">
        <v>0</v>
      </c>
      <c r="K16" s="529">
        <v>0</v>
      </c>
      <c r="L16" s="529">
        <v>0</v>
      </c>
      <c r="M16" s="529">
        <v>0</v>
      </c>
      <c r="N16" s="529">
        <v>1</v>
      </c>
      <c r="O16" s="529">
        <v>5462.2</v>
      </c>
      <c r="P16" s="529">
        <v>5462.2</v>
      </c>
      <c r="Q16" s="529">
        <v>0</v>
      </c>
    </row>
    <row r="17" spans="1:17" ht="15.75" customHeight="1" x14ac:dyDescent="0.2">
      <c r="A17" s="529">
        <v>9</v>
      </c>
      <c r="B17" s="529" t="s">
        <v>20</v>
      </c>
      <c r="C17" s="516" t="s">
        <v>62</v>
      </c>
      <c r="D17" s="529" t="s">
        <v>63</v>
      </c>
      <c r="E17" s="529" t="s">
        <v>72</v>
      </c>
      <c r="F17" s="529" t="s">
        <v>163</v>
      </c>
      <c r="G17" s="510" t="s">
        <v>670</v>
      </c>
      <c r="H17" s="529">
        <v>0</v>
      </c>
      <c r="I17" s="529">
        <v>0</v>
      </c>
      <c r="J17" s="529">
        <v>0</v>
      </c>
      <c r="K17" s="529">
        <v>0</v>
      </c>
      <c r="L17" s="529">
        <v>0</v>
      </c>
      <c r="M17" s="529">
        <v>0</v>
      </c>
      <c r="N17" s="529">
        <v>0</v>
      </c>
      <c r="O17" s="529">
        <v>6138.73</v>
      </c>
      <c r="P17" s="529">
        <v>6138.73</v>
      </c>
      <c r="Q17" s="529">
        <v>0</v>
      </c>
    </row>
    <row r="18" spans="1:17" ht="15.75" customHeight="1" x14ac:dyDescent="0.2">
      <c r="A18" s="529">
        <v>10</v>
      </c>
      <c r="B18" s="529" t="s">
        <v>100</v>
      </c>
      <c r="C18" s="516" t="s">
        <v>62</v>
      </c>
      <c r="D18" s="529" t="s">
        <v>63</v>
      </c>
      <c r="E18" s="529" t="s">
        <v>101</v>
      </c>
      <c r="F18" s="529" t="s">
        <v>164</v>
      </c>
      <c r="G18" s="510" t="s">
        <v>670</v>
      </c>
      <c r="H18" s="529">
        <v>18</v>
      </c>
      <c r="I18" s="529">
        <v>14</v>
      </c>
      <c r="J18" s="529">
        <v>20</v>
      </c>
      <c r="K18" s="529">
        <v>28244.77</v>
      </c>
      <c r="L18" s="529">
        <v>28244.77</v>
      </c>
      <c r="M18" s="529">
        <v>0</v>
      </c>
      <c r="N18" s="529">
        <v>13</v>
      </c>
      <c r="O18" s="529">
        <v>40292.959999999999</v>
      </c>
      <c r="P18" s="529">
        <v>40292.959999999999</v>
      </c>
      <c r="Q18" s="529">
        <v>0</v>
      </c>
    </row>
    <row r="19" spans="1:17" ht="15.75" customHeight="1" x14ac:dyDescent="0.2">
      <c r="A19" s="529">
        <v>11</v>
      </c>
      <c r="B19" s="529" t="s">
        <v>86</v>
      </c>
      <c r="C19" s="516" t="s">
        <v>62</v>
      </c>
      <c r="D19" s="529" t="s">
        <v>63</v>
      </c>
      <c r="E19" s="529" t="s">
        <v>74</v>
      </c>
      <c r="F19" s="529" t="s">
        <v>165</v>
      </c>
      <c r="G19" s="510" t="s">
        <v>670</v>
      </c>
      <c r="H19" s="529">
        <v>53</v>
      </c>
      <c r="I19" s="529">
        <v>33</v>
      </c>
      <c r="J19" s="529">
        <v>36</v>
      </c>
      <c r="K19" s="529">
        <v>26897.93</v>
      </c>
      <c r="L19" s="529">
        <v>26897.93</v>
      </c>
      <c r="M19" s="529">
        <v>0</v>
      </c>
      <c r="N19" s="529">
        <v>23</v>
      </c>
      <c r="O19" s="529">
        <v>58714.67</v>
      </c>
      <c r="P19" s="529">
        <v>58714.67</v>
      </c>
      <c r="Q19" s="529">
        <v>0</v>
      </c>
    </row>
    <row r="20" spans="1:17" ht="15.75" customHeight="1" x14ac:dyDescent="0.2">
      <c r="A20" s="529">
        <v>12</v>
      </c>
      <c r="B20" s="529" t="s">
        <v>166</v>
      </c>
      <c r="C20" s="516" t="s">
        <v>62</v>
      </c>
      <c r="D20" s="529"/>
      <c r="E20" s="529" t="s">
        <v>63</v>
      </c>
      <c r="F20" s="529" t="s">
        <v>167</v>
      </c>
      <c r="G20" s="510" t="s">
        <v>670</v>
      </c>
      <c r="H20" s="529">
        <v>21</v>
      </c>
      <c r="I20" s="529">
        <v>16</v>
      </c>
      <c r="J20" s="529">
        <v>17</v>
      </c>
      <c r="K20" s="529">
        <v>12377.17</v>
      </c>
      <c r="L20" s="529">
        <v>12377.17</v>
      </c>
      <c r="M20" s="529">
        <v>0</v>
      </c>
      <c r="N20" s="529">
        <v>0</v>
      </c>
      <c r="O20" s="529">
        <v>0</v>
      </c>
      <c r="P20" s="529">
        <v>0</v>
      </c>
      <c r="Q20" s="529">
        <v>0</v>
      </c>
    </row>
    <row r="21" spans="1:17" ht="15.75" customHeight="1" x14ac:dyDescent="0.2">
      <c r="A21" s="529">
        <v>13</v>
      </c>
      <c r="B21" s="529" t="s">
        <v>168</v>
      </c>
      <c r="C21" s="516" t="s">
        <v>62</v>
      </c>
      <c r="D21" s="529"/>
      <c r="E21" s="529" t="s">
        <v>63</v>
      </c>
      <c r="F21" s="529" t="s">
        <v>169</v>
      </c>
      <c r="G21" s="510" t="s">
        <v>670</v>
      </c>
      <c r="H21" s="529">
        <v>49</v>
      </c>
      <c r="I21" s="529">
        <v>44</v>
      </c>
      <c r="J21" s="529">
        <v>54</v>
      </c>
      <c r="K21" s="529">
        <v>35849.160000000003</v>
      </c>
      <c r="L21" s="529">
        <v>35849.160000000003</v>
      </c>
      <c r="M21" s="529">
        <v>0</v>
      </c>
      <c r="N21" s="529">
        <v>0</v>
      </c>
      <c r="O21" s="529">
        <v>0</v>
      </c>
      <c r="P21" s="529">
        <v>0</v>
      </c>
      <c r="Q21" s="529">
        <v>0</v>
      </c>
    </row>
    <row r="22" spans="1:17" ht="15.75" customHeight="1" x14ac:dyDescent="0.2">
      <c r="A22" s="529">
        <v>14</v>
      </c>
      <c r="B22" s="529" t="s">
        <v>21</v>
      </c>
      <c r="C22" s="516" t="s">
        <v>62</v>
      </c>
      <c r="D22" s="529" t="s">
        <v>63</v>
      </c>
      <c r="E22" s="529" t="s">
        <v>73</v>
      </c>
      <c r="F22" s="529" t="s">
        <v>170</v>
      </c>
      <c r="G22" s="510" t="s">
        <v>670</v>
      </c>
      <c r="H22" s="529">
        <v>56</v>
      </c>
      <c r="I22" s="529">
        <v>51</v>
      </c>
      <c r="J22" s="529">
        <v>60</v>
      </c>
      <c r="K22" s="529">
        <v>63779.16</v>
      </c>
      <c r="L22" s="529">
        <v>63779.16</v>
      </c>
      <c r="M22" s="529">
        <v>0</v>
      </c>
      <c r="N22" s="529">
        <v>42</v>
      </c>
      <c r="O22" s="529">
        <v>148889.4</v>
      </c>
      <c r="P22" s="529">
        <v>148889.4</v>
      </c>
      <c r="Q22" s="529">
        <v>0</v>
      </c>
    </row>
    <row r="23" spans="1:17" ht="15.75" customHeight="1" x14ac:dyDescent="0.2">
      <c r="A23" s="529">
        <v>15</v>
      </c>
      <c r="B23" s="529" t="s">
        <v>22</v>
      </c>
      <c r="C23" s="516" t="s">
        <v>62</v>
      </c>
      <c r="D23" s="529" t="s">
        <v>63</v>
      </c>
      <c r="E23" s="529" t="s">
        <v>74</v>
      </c>
      <c r="F23" s="529" t="s">
        <v>171</v>
      </c>
      <c r="G23" s="510" t="s">
        <v>670</v>
      </c>
      <c r="H23" s="529">
        <v>47</v>
      </c>
      <c r="I23" s="529">
        <v>39</v>
      </c>
      <c r="J23" s="529">
        <v>54</v>
      </c>
      <c r="K23" s="529">
        <v>53100.33</v>
      </c>
      <c r="L23" s="529">
        <v>53100.33</v>
      </c>
      <c r="M23" s="529">
        <v>0</v>
      </c>
      <c r="N23" s="529">
        <v>45</v>
      </c>
      <c r="O23" s="529">
        <v>101080.14</v>
      </c>
      <c r="P23" s="529">
        <v>101080.14</v>
      </c>
      <c r="Q23" s="529">
        <v>0</v>
      </c>
    </row>
    <row r="24" spans="1:17" ht="15.75" customHeight="1" x14ac:dyDescent="0.2">
      <c r="A24" s="529">
        <v>16</v>
      </c>
      <c r="B24" s="529" t="s">
        <v>24</v>
      </c>
      <c r="C24" s="516" t="s">
        <v>62</v>
      </c>
      <c r="D24" s="529" t="s">
        <v>63</v>
      </c>
      <c r="E24" s="529" t="s">
        <v>74</v>
      </c>
      <c r="F24" s="529" t="s">
        <v>172</v>
      </c>
      <c r="G24" s="510" t="s">
        <v>670</v>
      </c>
      <c r="H24" s="529">
        <v>63</v>
      </c>
      <c r="I24" s="529">
        <v>55</v>
      </c>
      <c r="J24" s="529">
        <v>70</v>
      </c>
      <c r="K24" s="529">
        <v>43142.82</v>
      </c>
      <c r="L24" s="529">
        <v>43142.82</v>
      </c>
      <c r="M24" s="529">
        <v>0</v>
      </c>
      <c r="N24" s="529">
        <v>32</v>
      </c>
      <c r="O24" s="529">
        <v>91426.1</v>
      </c>
      <c r="P24" s="529">
        <v>91426.1</v>
      </c>
      <c r="Q24" s="529">
        <v>0</v>
      </c>
    </row>
    <row r="25" spans="1:17" ht="15.75" customHeight="1" x14ac:dyDescent="0.2">
      <c r="A25" s="529">
        <v>17</v>
      </c>
      <c r="B25" s="529" t="s">
        <v>102</v>
      </c>
      <c r="C25" s="516" t="s">
        <v>67</v>
      </c>
      <c r="D25" s="529" t="s">
        <v>594</v>
      </c>
      <c r="E25" s="529" t="s">
        <v>74</v>
      </c>
      <c r="F25" s="529" t="s">
        <v>477</v>
      </c>
      <c r="G25" s="510" t="s">
        <v>670</v>
      </c>
      <c r="H25" s="529">
        <v>5</v>
      </c>
      <c r="I25" s="529">
        <v>1</v>
      </c>
      <c r="J25" s="529">
        <v>1</v>
      </c>
      <c r="K25" s="529">
        <v>528.6</v>
      </c>
      <c r="L25" s="529">
        <v>528.6</v>
      </c>
      <c r="M25" s="529">
        <v>0</v>
      </c>
      <c r="N25" s="529">
        <v>4</v>
      </c>
      <c r="O25" s="529">
        <v>9770.18</v>
      </c>
      <c r="P25" s="529">
        <v>9770.18</v>
      </c>
      <c r="Q25" s="529">
        <v>0</v>
      </c>
    </row>
    <row r="26" spans="1:17" ht="15.75" customHeight="1" x14ac:dyDescent="0.2">
      <c r="A26" s="529">
        <v>18</v>
      </c>
      <c r="B26" s="529" t="s">
        <v>173</v>
      </c>
      <c r="C26" s="516" t="s">
        <v>67</v>
      </c>
      <c r="D26" s="529" t="s">
        <v>478</v>
      </c>
      <c r="E26" s="529" t="s">
        <v>174</v>
      </c>
      <c r="F26" s="529" t="s">
        <v>175</v>
      </c>
      <c r="G26" s="510" t="s">
        <v>670</v>
      </c>
      <c r="H26" s="529">
        <v>32</v>
      </c>
      <c r="I26" s="529">
        <v>24</v>
      </c>
      <c r="J26" s="529">
        <v>28</v>
      </c>
      <c r="K26" s="529">
        <v>19933.77</v>
      </c>
      <c r="L26" s="529">
        <v>19933.77</v>
      </c>
      <c r="M26" s="529">
        <v>0</v>
      </c>
      <c r="N26" s="529">
        <v>0</v>
      </c>
      <c r="O26" s="529">
        <v>0</v>
      </c>
      <c r="P26" s="529">
        <v>0</v>
      </c>
      <c r="Q26" s="529">
        <v>0</v>
      </c>
    </row>
    <row r="27" spans="1:17" ht="15.75" customHeight="1" x14ac:dyDescent="0.2">
      <c r="A27" s="529">
        <v>19</v>
      </c>
      <c r="B27" s="529" t="s">
        <v>25</v>
      </c>
      <c r="C27" s="516" t="s">
        <v>62</v>
      </c>
      <c r="D27" s="529" t="s">
        <v>63</v>
      </c>
      <c r="E27" s="529" t="s">
        <v>76</v>
      </c>
      <c r="F27" s="529" t="s">
        <v>584</v>
      </c>
      <c r="G27" s="510" t="s">
        <v>670</v>
      </c>
      <c r="H27" s="529">
        <v>65</v>
      </c>
      <c r="I27" s="529">
        <v>0</v>
      </c>
      <c r="J27" s="529">
        <v>0</v>
      </c>
      <c r="K27" s="529">
        <v>0</v>
      </c>
      <c r="L27" s="529">
        <v>0</v>
      </c>
      <c r="M27" s="529">
        <v>0</v>
      </c>
      <c r="N27" s="529">
        <v>0</v>
      </c>
      <c r="O27" s="529">
        <v>0</v>
      </c>
      <c r="P27" s="529">
        <v>0</v>
      </c>
      <c r="Q27" s="529">
        <v>0</v>
      </c>
    </row>
    <row r="28" spans="1:17" ht="15.75" customHeight="1" x14ac:dyDescent="0.2">
      <c r="A28" s="529">
        <v>20</v>
      </c>
      <c r="B28" s="529" t="s">
        <v>600</v>
      </c>
      <c r="C28" s="516" t="s">
        <v>62</v>
      </c>
      <c r="D28" s="529" t="s">
        <v>63</v>
      </c>
      <c r="E28" s="529" t="s">
        <v>75</v>
      </c>
      <c r="F28" s="529" t="s">
        <v>103</v>
      </c>
      <c r="G28" s="510" t="s">
        <v>670</v>
      </c>
      <c r="H28" s="529">
        <v>0</v>
      </c>
      <c r="I28" s="529">
        <v>0</v>
      </c>
      <c r="J28" s="529">
        <v>0</v>
      </c>
      <c r="K28" s="529">
        <v>0</v>
      </c>
      <c r="L28" s="529">
        <v>0</v>
      </c>
      <c r="M28" s="529">
        <v>0</v>
      </c>
      <c r="N28" s="529">
        <v>19</v>
      </c>
      <c r="O28" s="529">
        <v>62481.86</v>
      </c>
      <c r="P28" s="529">
        <v>62481.86</v>
      </c>
      <c r="Q28" s="529">
        <v>0</v>
      </c>
    </row>
    <row r="29" spans="1:17" ht="15.75" customHeight="1" x14ac:dyDescent="0.2">
      <c r="A29" s="529">
        <v>21</v>
      </c>
      <c r="B29" s="529" t="s">
        <v>479</v>
      </c>
      <c r="C29" s="516" t="s">
        <v>67</v>
      </c>
      <c r="D29" s="529" t="s">
        <v>480</v>
      </c>
      <c r="E29" s="529" t="s">
        <v>271</v>
      </c>
      <c r="F29" s="529" t="s">
        <v>481</v>
      </c>
      <c r="G29" s="510" t="s">
        <v>670</v>
      </c>
      <c r="H29" s="529">
        <v>16</v>
      </c>
      <c r="I29" s="529">
        <v>12</v>
      </c>
      <c r="J29" s="529">
        <v>12</v>
      </c>
      <c r="K29" s="529">
        <v>3449.4</v>
      </c>
      <c r="L29" s="529">
        <v>3449.4</v>
      </c>
      <c r="M29" s="529">
        <v>0</v>
      </c>
      <c r="N29" s="529">
        <v>0</v>
      </c>
      <c r="O29" s="529">
        <v>0</v>
      </c>
      <c r="P29" s="529">
        <v>0</v>
      </c>
      <c r="Q29" s="529">
        <v>0</v>
      </c>
    </row>
    <row r="30" spans="1:17" ht="15.75" customHeight="1" x14ac:dyDescent="0.2">
      <c r="A30" s="529">
        <v>22</v>
      </c>
      <c r="B30" s="529" t="s">
        <v>176</v>
      </c>
      <c r="C30" s="516" t="s">
        <v>62</v>
      </c>
      <c r="D30" s="529"/>
      <c r="E30" s="529" t="s">
        <v>177</v>
      </c>
      <c r="F30" s="529" t="s">
        <v>178</v>
      </c>
      <c r="G30" s="510" t="s">
        <v>670</v>
      </c>
      <c r="H30" s="529">
        <v>21</v>
      </c>
      <c r="I30" s="529">
        <v>15</v>
      </c>
      <c r="J30" s="529">
        <v>16</v>
      </c>
      <c r="K30" s="529">
        <v>14354.65</v>
      </c>
      <c r="L30" s="529">
        <v>14354.65</v>
      </c>
      <c r="M30" s="529">
        <v>0</v>
      </c>
      <c r="N30" s="529">
        <v>0</v>
      </c>
      <c r="O30" s="529">
        <v>0</v>
      </c>
      <c r="P30" s="529">
        <v>0</v>
      </c>
      <c r="Q30" s="529">
        <v>0</v>
      </c>
    </row>
    <row r="31" spans="1:17" ht="15.75" customHeight="1" x14ac:dyDescent="0.2">
      <c r="A31" s="529">
        <v>23</v>
      </c>
      <c r="B31" s="529" t="s">
        <v>152</v>
      </c>
      <c r="C31" s="516" t="s">
        <v>62</v>
      </c>
      <c r="D31" s="529" t="s">
        <v>63</v>
      </c>
      <c r="E31" s="529" t="s">
        <v>63</v>
      </c>
      <c r="F31" s="529" t="s">
        <v>179</v>
      </c>
      <c r="G31" s="510" t="s">
        <v>670</v>
      </c>
      <c r="H31" s="529">
        <v>31</v>
      </c>
      <c r="I31" s="529">
        <v>19</v>
      </c>
      <c r="J31" s="529">
        <v>22</v>
      </c>
      <c r="K31" s="529">
        <v>38119.06</v>
      </c>
      <c r="L31" s="529">
        <v>38119.06</v>
      </c>
      <c r="M31" s="529">
        <v>0</v>
      </c>
      <c r="N31" s="529">
        <v>17</v>
      </c>
      <c r="O31" s="529">
        <v>10875.99</v>
      </c>
      <c r="P31" s="529">
        <v>10875.99</v>
      </c>
      <c r="Q31" s="529">
        <v>0</v>
      </c>
    </row>
    <row r="32" spans="1:17" ht="15.75" customHeight="1" x14ac:dyDescent="0.2">
      <c r="A32" s="529">
        <v>24</v>
      </c>
      <c r="B32" s="529" t="s">
        <v>88</v>
      </c>
      <c r="C32" s="516" t="s">
        <v>62</v>
      </c>
      <c r="D32" s="529" t="s">
        <v>63</v>
      </c>
      <c r="E32" s="529" t="s">
        <v>74</v>
      </c>
      <c r="F32" s="529" t="s">
        <v>180</v>
      </c>
      <c r="G32" s="510" t="s">
        <v>670</v>
      </c>
      <c r="H32" s="529">
        <v>9</v>
      </c>
      <c r="I32" s="529">
        <v>6</v>
      </c>
      <c r="J32" s="529">
        <v>6</v>
      </c>
      <c r="K32" s="529">
        <v>7768.25</v>
      </c>
      <c r="L32" s="529">
        <v>7768.25</v>
      </c>
      <c r="M32" s="529">
        <v>0</v>
      </c>
      <c r="N32" s="529">
        <v>3</v>
      </c>
      <c r="O32" s="529">
        <v>22884.99</v>
      </c>
      <c r="P32" s="529">
        <v>22884.99</v>
      </c>
      <c r="Q32" s="529">
        <v>0</v>
      </c>
    </row>
    <row r="33" spans="1:17" ht="15.75" customHeight="1" x14ac:dyDescent="0.2">
      <c r="A33" s="529">
        <v>25</v>
      </c>
      <c r="B33" s="529" t="s">
        <v>26</v>
      </c>
      <c r="C33" s="516" t="s">
        <v>62</v>
      </c>
      <c r="D33" s="529" t="s">
        <v>63</v>
      </c>
      <c r="E33" s="529" t="s">
        <v>74</v>
      </c>
      <c r="F33" s="529" t="s">
        <v>181</v>
      </c>
      <c r="G33" s="510" t="s">
        <v>670</v>
      </c>
      <c r="H33" s="529">
        <v>31</v>
      </c>
      <c r="I33" s="529">
        <v>28</v>
      </c>
      <c r="J33" s="529">
        <v>38</v>
      </c>
      <c r="K33" s="529">
        <v>65045.440000000002</v>
      </c>
      <c r="L33" s="529">
        <v>65045.440000000002</v>
      </c>
      <c r="M33" s="529">
        <v>0</v>
      </c>
      <c r="N33" s="529">
        <v>20</v>
      </c>
      <c r="O33" s="529">
        <v>27881.98</v>
      </c>
      <c r="P33" s="529">
        <v>27881.98</v>
      </c>
      <c r="Q33" s="529">
        <v>0</v>
      </c>
    </row>
    <row r="34" spans="1:17" ht="15.75" customHeight="1" x14ac:dyDescent="0.2">
      <c r="A34" s="529">
        <v>26</v>
      </c>
      <c r="B34" s="529" t="s">
        <v>182</v>
      </c>
      <c r="C34" s="516" t="s">
        <v>62</v>
      </c>
      <c r="D34" s="529" t="s">
        <v>63</v>
      </c>
      <c r="E34" s="529" t="s">
        <v>174</v>
      </c>
      <c r="F34" s="529" t="s">
        <v>183</v>
      </c>
      <c r="G34" s="510" t="s">
        <v>670</v>
      </c>
      <c r="H34" s="529">
        <v>43</v>
      </c>
      <c r="I34" s="529">
        <v>23</v>
      </c>
      <c r="J34" s="529">
        <v>28</v>
      </c>
      <c r="K34" s="529">
        <v>23283.040000000001</v>
      </c>
      <c r="L34" s="529">
        <v>23283.040000000001</v>
      </c>
      <c r="M34" s="529">
        <v>0</v>
      </c>
      <c r="N34" s="529">
        <v>0</v>
      </c>
      <c r="O34" s="529">
        <v>0</v>
      </c>
      <c r="P34" s="529">
        <v>0</v>
      </c>
      <c r="Q34" s="529">
        <v>0</v>
      </c>
    </row>
    <row r="35" spans="1:17" ht="15.75" customHeight="1" x14ac:dyDescent="0.2">
      <c r="A35" s="529">
        <v>27</v>
      </c>
      <c r="B35" s="529" t="s">
        <v>601</v>
      </c>
      <c r="C35" s="516" t="s">
        <v>62</v>
      </c>
      <c r="D35" s="529" t="s">
        <v>63</v>
      </c>
      <c r="E35" s="529" t="s">
        <v>366</v>
      </c>
      <c r="F35" s="529" t="s">
        <v>602</v>
      </c>
      <c r="G35" s="510" t="s">
        <v>670</v>
      </c>
      <c r="H35" s="529">
        <v>5</v>
      </c>
      <c r="I35" s="529">
        <v>0</v>
      </c>
      <c r="J35" s="529">
        <v>0</v>
      </c>
      <c r="K35" s="529">
        <v>0</v>
      </c>
      <c r="L35" s="529">
        <v>0</v>
      </c>
      <c r="M35" s="529">
        <v>0</v>
      </c>
      <c r="N35" s="529">
        <v>0</v>
      </c>
      <c r="O35" s="529">
        <v>0</v>
      </c>
      <c r="P35" s="529">
        <v>0</v>
      </c>
      <c r="Q35" s="529">
        <v>0</v>
      </c>
    </row>
    <row r="36" spans="1:17" ht="15.75" customHeight="1" x14ac:dyDescent="0.2">
      <c r="A36" s="529">
        <v>28</v>
      </c>
      <c r="B36" s="529" t="s">
        <v>137</v>
      </c>
      <c r="C36" s="516" t="s">
        <v>62</v>
      </c>
      <c r="D36" s="529" t="s">
        <v>63</v>
      </c>
      <c r="E36" s="529" t="s">
        <v>78</v>
      </c>
      <c r="F36" s="529" t="s">
        <v>184</v>
      </c>
      <c r="G36" s="510" t="s">
        <v>670</v>
      </c>
      <c r="H36" s="529">
        <v>11</v>
      </c>
      <c r="I36" s="529">
        <v>6</v>
      </c>
      <c r="J36" s="529">
        <v>6</v>
      </c>
      <c r="K36" s="529">
        <v>8691.83</v>
      </c>
      <c r="L36" s="529">
        <v>8691.83</v>
      </c>
      <c r="M36" s="529">
        <v>0</v>
      </c>
      <c r="N36" s="529">
        <v>5</v>
      </c>
      <c r="O36" s="529">
        <v>9148.83</v>
      </c>
      <c r="P36" s="529">
        <v>9148.83</v>
      </c>
      <c r="Q36" s="529">
        <v>0</v>
      </c>
    </row>
    <row r="37" spans="1:17" ht="15.75" customHeight="1" x14ac:dyDescent="0.2">
      <c r="A37" s="529">
        <v>29</v>
      </c>
      <c r="B37" s="529" t="s">
        <v>335</v>
      </c>
      <c r="C37" s="516" t="s">
        <v>62</v>
      </c>
      <c r="D37" s="529" t="s">
        <v>63</v>
      </c>
      <c r="E37" s="529" t="s">
        <v>74</v>
      </c>
      <c r="F37" s="529" t="s">
        <v>748</v>
      </c>
      <c r="G37" s="510" t="s">
        <v>670</v>
      </c>
      <c r="H37" s="529">
        <v>5</v>
      </c>
      <c r="I37" s="529">
        <v>0</v>
      </c>
      <c r="J37" s="529">
        <v>0</v>
      </c>
      <c r="K37" s="529">
        <v>0</v>
      </c>
      <c r="L37" s="529">
        <v>0</v>
      </c>
      <c r="M37" s="529">
        <v>0</v>
      </c>
      <c r="N37" s="529">
        <v>0</v>
      </c>
      <c r="O37" s="529">
        <v>0</v>
      </c>
      <c r="P37" s="529">
        <v>0</v>
      </c>
      <c r="Q37" s="529">
        <v>0</v>
      </c>
    </row>
    <row r="38" spans="1:17" ht="15.75" customHeight="1" x14ac:dyDescent="0.2">
      <c r="A38" s="529">
        <v>30</v>
      </c>
      <c r="B38" s="529" t="s">
        <v>185</v>
      </c>
      <c r="C38" s="516" t="s">
        <v>62</v>
      </c>
      <c r="D38" s="529" t="s">
        <v>63</v>
      </c>
      <c r="E38" s="529" t="s">
        <v>186</v>
      </c>
      <c r="F38" s="529" t="s">
        <v>463</v>
      </c>
      <c r="G38" s="510" t="s">
        <v>670</v>
      </c>
      <c r="H38" s="529">
        <v>15</v>
      </c>
      <c r="I38" s="529">
        <v>12</v>
      </c>
      <c r="J38" s="529">
        <v>14</v>
      </c>
      <c r="K38" s="529">
        <v>2746.17</v>
      </c>
      <c r="L38" s="529">
        <v>2746.17</v>
      </c>
      <c r="M38" s="529">
        <v>0</v>
      </c>
      <c r="N38" s="529">
        <v>0</v>
      </c>
      <c r="O38" s="529">
        <v>0</v>
      </c>
      <c r="P38" s="529">
        <v>0</v>
      </c>
      <c r="Q38" s="529">
        <v>0</v>
      </c>
    </row>
    <row r="39" spans="1:17" ht="15.75" customHeight="1" x14ac:dyDescent="0.2">
      <c r="A39" s="529">
        <v>31</v>
      </c>
      <c r="B39" s="529" t="s">
        <v>27</v>
      </c>
      <c r="C39" s="516" t="s">
        <v>62</v>
      </c>
      <c r="D39" s="529" t="s">
        <v>63</v>
      </c>
      <c r="E39" s="529" t="s">
        <v>74</v>
      </c>
      <c r="F39" s="529" t="s">
        <v>187</v>
      </c>
      <c r="G39" s="510" t="s">
        <v>670</v>
      </c>
      <c r="H39" s="529">
        <v>19</v>
      </c>
      <c r="I39" s="529">
        <v>13</v>
      </c>
      <c r="J39" s="529">
        <v>14</v>
      </c>
      <c r="K39" s="529">
        <v>13050.84</v>
      </c>
      <c r="L39" s="529">
        <v>13050.84</v>
      </c>
      <c r="M39" s="529">
        <v>0</v>
      </c>
      <c r="N39" s="529">
        <v>7</v>
      </c>
      <c r="O39" s="529">
        <v>35186.089999999997</v>
      </c>
      <c r="P39" s="529">
        <v>35186.089999999997</v>
      </c>
      <c r="Q39" s="529">
        <v>0</v>
      </c>
    </row>
    <row r="40" spans="1:17" ht="15.75" customHeight="1" x14ac:dyDescent="0.2">
      <c r="A40" s="529">
        <v>32</v>
      </c>
      <c r="B40" s="529" t="s">
        <v>654</v>
      </c>
      <c r="C40" s="516" t="s">
        <v>67</v>
      </c>
      <c r="D40" s="529" t="s">
        <v>680</v>
      </c>
      <c r="E40" s="529" t="s">
        <v>655</v>
      </c>
      <c r="F40" s="529" t="s">
        <v>656</v>
      </c>
      <c r="G40" s="510" t="s">
        <v>670</v>
      </c>
      <c r="H40" s="529">
        <v>7</v>
      </c>
      <c r="I40" s="529">
        <v>2</v>
      </c>
      <c r="J40" s="529">
        <v>2</v>
      </c>
      <c r="K40" s="529">
        <v>0</v>
      </c>
      <c r="L40" s="529">
        <v>0</v>
      </c>
      <c r="M40" s="529">
        <v>0</v>
      </c>
      <c r="N40" s="529">
        <v>0</v>
      </c>
      <c r="O40" s="529">
        <v>0</v>
      </c>
      <c r="P40" s="529">
        <v>0</v>
      </c>
      <c r="Q40" s="529">
        <v>0</v>
      </c>
    </row>
    <row r="41" spans="1:17" ht="15.75" customHeight="1" x14ac:dyDescent="0.2">
      <c r="A41" s="529">
        <v>33</v>
      </c>
      <c r="B41" s="529" t="s">
        <v>482</v>
      </c>
      <c r="C41" s="516" t="s">
        <v>64</v>
      </c>
      <c r="D41" s="529" t="s">
        <v>483</v>
      </c>
      <c r="E41" s="529" t="s">
        <v>313</v>
      </c>
      <c r="F41" s="529" t="s">
        <v>484</v>
      </c>
      <c r="G41" s="510" t="s">
        <v>670</v>
      </c>
      <c r="H41" s="529">
        <v>12</v>
      </c>
      <c r="I41" s="529">
        <v>2</v>
      </c>
      <c r="J41" s="529">
        <v>2</v>
      </c>
      <c r="K41" s="529">
        <v>0</v>
      </c>
      <c r="L41" s="529">
        <v>0</v>
      </c>
      <c r="M41" s="529">
        <v>0</v>
      </c>
      <c r="N41" s="529">
        <v>0</v>
      </c>
      <c r="O41" s="529">
        <v>0</v>
      </c>
      <c r="P41" s="529">
        <v>0</v>
      </c>
      <c r="Q41" s="529">
        <v>0</v>
      </c>
    </row>
    <row r="42" spans="1:17" ht="15.75" customHeight="1" x14ac:dyDescent="0.2">
      <c r="A42" s="529">
        <v>34</v>
      </c>
      <c r="B42" s="529" t="s">
        <v>104</v>
      </c>
      <c r="C42" s="516" t="s">
        <v>62</v>
      </c>
      <c r="D42" s="529" t="s">
        <v>63</v>
      </c>
      <c r="E42" s="529" t="s">
        <v>105</v>
      </c>
      <c r="F42" s="529" t="s">
        <v>188</v>
      </c>
      <c r="G42" s="510" t="s">
        <v>670</v>
      </c>
      <c r="H42" s="529">
        <v>9</v>
      </c>
      <c r="I42" s="529">
        <v>7</v>
      </c>
      <c r="J42" s="529">
        <v>9</v>
      </c>
      <c r="K42" s="529">
        <v>19587.169999999998</v>
      </c>
      <c r="L42" s="529">
        <v>19587.169999999998</v>
      </c>
      <c r="M42" s="529">
        <v>0</v>
      </c>
      <c r="N42" s="529">
        <v>26</v>
      </c>
      <c r="O42" s="529">
        <v>55727.91</v>
      </c>
      <c r="P42" s="529">
        <v>55727.91</v>
      </c>
      <c r="Q42" s="529">
        <v>0</v>
      </c>
    </row>
    <row r="43" spans="1:17" ht="15.75" customHeight="1" x14ac:dyDescent="0.2">
      <c r="A43" s="529">
        <v>35</v>
      </c>
      <c r="B43" s="529" t="s">
        <v>517</v>
      </c>
      <c r="C43" s="516" t="s">
        <v>62</v>
      </c>
      <c r="D43" s="529" t="s">
        <v>63</v>
      </c>
      <c r="E43" s="529" t="s">
        <v>239</v>
      </c>
      <c r="F43" s="529" t="s">
        <v>567</v>
      </c>
      <c r="G43" s="510" t="s">
        <v>670</v>
      </c>
      <c r="H43" s="529">
        <v>23</v>
      </c>
      <c r="I43" s="529">
        <v>18</v>
      </c>
      <c r="J43" s="529">
        <v>19</v>
      </c>
      <c r="K43" s="529">
        <v>8593.74</v>
      </c>
      <c r="L43" s="529">
        <v>8593.74</v>
      </c>
      <c r="M43" s="529">
        <v>0</v>
      </c>
      <c r="N43" s="529">
        <v>0</v>
      </c>
      <c r="O43" s="529">
        <v>0</v>
      </c>
      <c r="P43" s="529">
        <v>0</v>
      </c>
      <c r="Q43" s="529">
        <v>0</v>
      </c>
    </row>
    <row r="44" spans="1:17" ht="15.75" customHeight="1" x14ac:dyDescent="0.2">
      <c r="A44" s="529">
        <v>36</v>
      </c>
      <c r="B44" s="529" t="s">
        <v>28</v>
      </c>
      <c r="C44" s="516" t="s">
        <v>62</v>
      </c>
      <c r="D44" s="529" t="s">
        <v>63</v>
      </c>
      <c r="E44" s="529" t="s">
        <v>74</v>
      </c>
      <c r="F44" s="529" t="s">
        <v>189</v>
      </c>
      <c r="G44" s="510" t="s">
        <v>670</v>
      </c>
      <c r="H44" s="529">
        <v>14</v>
      </c>
      <c r="I44" s="529">
        <v>10</v>
      </c>
      <c r="J44" s="529">
        <v>11</v>
      </c>
      <c r="K44" s="529">
        <v>13276.34</v>
      </c>
      <c r="L44" s="529">
        <v>13276.34</v>
      </c>
      <c r="M44" s="529">
        <v>0</v>
      </c>
      <c r="N44" s="529">
        <v>8</v>
      </c>
      <c r="O44" s="529">
        <v>18393.25</v>
      </c>
      <c r="P44" s="529">
        <v>18393.25</v>
      </c>
      <c r="Q44" s="529">
        <v>0</v>
      </c>
    </row>
    <row r="45" spans="1:17" ht="15.75" customHeight="1" x14ac:dyDescent="0.2">
      <c r="A45" s="529">
        <v>37</v>
      </c>
      <c r="B45" s="529" t="s">
        <v>190</v>
      </c>
      <c r="C45" s="516" t="s">
        <v>62</v>
      </c>
      <c r="D45" s="529" t="s">
        <v>63</v>
      </c>
      <c r="E45" s="529" t="s">
        <v>63</v>
      </c>
      <c r="F45" s="529" t="s">
        <v>191</v>
      </c>
      <c r="G45" s="510" t="s">
        <v>670</v>
      </c>
      <c r="H45" s="529">
        <v>20</v>
      </c>
      <c r="I45" s="529">
        <v>17</v>
      </c>
      <c r="J45" s="529">
        <v>17</v>
      </c>
      <c r="K45" s="529">
        <v>15430.42</v>
      </c>
      <c r="L45" s="529">
        <v>15430.42</v>
      </c>
      <c r="M45" s="529">
        <v>0</v>
      </c>
      <c r="N45" s="529">
        <v>0</v>
      </c>
      <c r="O45" s="529">
        <v>0</v>
      </c>
      <c r="P45" s="529">
        <v>0</v>
      </c>
      <c r="Q45" s="529">
        <v>0</v>
      </c>
    </row>
    <row r="46" spans="1:17" ht="15.75" customHeight="1" x14ac:dyDescent="0.2">
      <c r="A46" s="529">
        <v>38</v>
      </c>
      <c r="B46" s="529" t="s">
        <v>89</v>
      </c>
      <c r="C46" s="516" t="s">
        <v>62</v>
      </c>
      <c r="D46" s="529" t="s">
        <v>63</v>
      </c>
      <c r="E46" s="529" t="s">
        <v>74</v>
      </c>
      <c r="F46" s="529" t="s">
        <v>195</v>
      </c>
      <c r="G46" s="510" t="s">
        <v>670</v>
      </c>
      <c r="H46" s="529">
        <v>42</v>
      </c>
      <c r="I46" s="529">
        <v>37</v>
      </c>
      <c r="J46" s="529">
        <v>40</v>
      </c>
      <c r="K46" s="529">
        <v>34420.629999999997</v>
      </c>
      <c r="L46" s="529">
        <v>34420.629999999997</v>
      </c>
      <c r="M46" s="529">
        <v>0</v>
      </c>
      <c r="N46" s="529">
        <v>7</v>
      </c>
      <c r="O46" s="529">
        <v>39298.120000000003</v>
      </c>
      <c r="P46" s="529">
        <v>39298.120000000003</v>
      </c>
      <c r="Q46" s="529">
        <v>0</v>
      </c>
    </row>
    <row r="47" spans="1:17" ht="15.75" customHeight="1" x14ac:dyDescent="0.2">
      <c r="A47" s="529">
        <v>39</v>
      </c>
      <c r="B47" s="529" t="s">
        <v>196</v>
      </c>
      <c r="C47" s="516" t="s">
        <v>62</v>
      </c>
      <c r="D47" s="529" t="s">
        <v>63</v>
      </c>
      <c r="E47" s="529" t="s">
        <v>197</v>
      </c>
      <c r="F47" s="529" t="s">
        <v>198</v>
      </c>
      <c r="G47" s="510" t="s">
        <v>670</v>
      </c>
      <c r="H47" s="529">
        <v>28</v>
      </c>
      <c r="I47" s="529">
        <v>18</v>
      </c>
      <c r="J47" s="529">
        <v>19</v>
      </c>
      <c r="K47" s="529">
        <v>29345.31</v>
      </c>
      <c r="L47" s="529">
        <v>24634.21</v>
      </c>
      <c r="M47" s="529">
        <v>4711.1000000000004</v>
      </c>
      <c r="N47" s="529">
        <v>0</v>
      </c>
      <c r="O47" s="529">
        <v>0</v>
      </c>
      <c r="P47" s="529">
        <v>0</v>
      </c>
      <c r="Q47" s="529">
        <v>0</v>
      </c>
    </row>
    <row r="48" spans="1:17" ht="15.75" customHeight="1" x14ac:dyDescent="0.2">
      <c r="A48" s="529">
        <v>40</v>
      </c>
      <c r="B48" s="529" t="s">
        <v>106</v>
      </c>
      <c r="C48" s="516" t="s">
        <v>62</v>
      </c>
      <c r="D48" s="529" t="s">
        <v>63</v>
      </c>
      <c r="E48" s="529" t="s">
        <v>74</v>
      </c>
      <c r="F48" s="529" t="s">
        <v>199</v>
      </c>
      <c r="G48" s="510" t="s">
        <v>670</v>
      </c>
      <c r="H48" s="529">
        <v>56</v>
      </c>
      <c r="I48" s="529">
        <v>47</v>
      </c>
      <c r="J48" s="529">
        <v>68</v>
      </c>
      <c r="K48" s="529">
        <v>86009.18</v>
      </c>
      <c r="L48" s="529">
        <v>86009.18</v>
      </c>
      <c r="M48" s="529">
        <v>0</v>
      </c>
      <c r="N48" s="529">
        <v>28</v>
      </c>
      <c r="O48" s="529">
        <v>150774.95000000001</v>
      </c>
      <c r="P48" s="529">
        <v>150774.95000000001</v>
      </c>
      <c r="Q48" s="529">
        <v>0</v>
      </c>
    </row>
    <row r="49" spans="1:17" ht="15.75" customHeight="1" x14ac:dyDescent="0.2">
      <c r="A49" s="529">
        <v>41</v>
      </c>
      <c r="B49" s="529" t="s">
        <v>750</v>
      </c>
      <c r="C49" s="516" t="s">
        <v>62</v>
      </c>
      <c r="D49" s="529" t="s">
        <v>63</v>
      </c>
      <c r="E49" s="529" t="s">
        <v>313</v>
      </c>
      <c r="F49" s="529" t="s">
        <v>751</v>
      </c>
      <c r="G49" s="510" t="s">
        <v>670</v>
      </c>
      <c r="H49" s="529">
        <v>1</v>
      </c>
      <c r="I49" s="529">
        <v>0</v>
      </c>
      <c r="J49" s="529">
        <v>0</v>
      </c>
      <c r="K49" s="529">
        <v>0</v>
      </c>
      <c r="L49" s="529">
        <v>0</v>
      </c>
      <c r="M49" s="529">
        <v>0</v>
      </c>
      <c r="N49" s="529">
        <v>0</v>
      </c>
      <c r="O49" s="529">
        <v>0</v>
      </c>
      <c r="P49" s="529">
        <v>0</v>
      </c>
      <c r="Q49" s="529">
        <v>0</v>
      </c>
    </row>
    <row r="50" spans="1:17" ht="15.75" customHeight="1" x14ac:dyDescent="0.2">
      <c r="A50" s="529">
        <v>42</v>
      </c>
      <c r="B50" s="529" t="s">
        <v>107</v>
      </c>
      <c r="C50" s="516" t="s">
        <v>62</v>
      </c>
      <c r="D50" s="529" t="s">
        <v>63</v>
      </c>
      <c r="E50" s="529" t="s">
        <v>74</v>
      </c>
      <c r="F50" s="529" t="s">
        <v>752</v>
      </c>
      <c r="G50" s="510" t="s">
        <v>670</v>
      </c>
      <c r="H50" s="529">
        <v>10</v>
      </c>
      <c r="I50" s="529">
        <v>2</v>
      </c>
      <c r="J50" s="529">
        <v>2</v>
      </c>
      <c r="K50" s="529">
        <v>0</v>
      </c>
      <c r="L50" s="529">
        <v>0</v>
      </c>
      <c r="M50" s="529">
        <v>0</v>
      </c>
      <c r="N50" s="529">
        <v>3</v>
      </c>
      <c r="O50" s="529">
        <v>0</v>
      </c>
      <c r="P50" s="529">
        <v>0</v>
      </c>
      <c r="Q50" s="529">
        <v>0</v>
      </c>
    </row>
    <row r="51" spans="1:17" ht="15.75" customHeight="1" x14ac:dyDescent="0.2">
      <c r="A51" s="529">
        <v>43</v>
      </c>
      <c r="B51" s="529" t="s">
        <v>29</v>
      </c>
      <c r="C51" s="516" t="s">
        <v>62</v>
      </c>
      <c r="D51" s="529" t="s">
        <v>63</v>
      </c>
      <c r="E51" s="529" t="s">
        <v>74</v>
      </c>
      <c r="F51" s="529" t="s">
        <v>200</v>
      </c>
      <c r="G51" s="510" t="s">
        <v>670</v>
      </c>
      <c r="H51" s="529">
        <v>34</v>
      </c>
      <c r="I51" s="529">
        <v>30</v>
      </c>
      <c r="J51" s="529">
        <v>44</v>
      </c>
      <c r="K51" s="529">
        <v>40540.85</v>
      </c>
      <c r="L51" s="529">
        <v>40540.85</v>
      </c>
      <c r="M51" s="529">
        <v>0</v>
      </c>
      <c r="N51" s="529">
        <v>21</v>
      </c>
      <c r="O51" s="529">
        <v>29336.76</v>
      </c>
      <c r="P51" s="529">
        <v>29336.76</v>
      </c>
      <c r="Q51" s="529">
        <v>0</v>
      </c>
    </row>
    <row r="52" spans="1:17" ht="15.75" customHeight="1" x14ac:dyDescent="0.2">
      <c r="A52" s="529">
        <v>44</v>
      </c>
      <c r="B52" s="529" t="s">
        <v>201</v>
      </c>
      <c r="C52" s="516" t="s">
        <v>67</v>
      </c>
      <c r="D52" s="529" t="s">
        <v>485</v>
      </c>
      <c r="E52" s="529" t="s">
        <v>74</v>
      </c>
      <c r="F52" s="529" t="s">
        <v>202</v>
      </c>
      <c r="G52" s="510" t="s">
        <v>670</v>
      </c>
      <c r="H52" s="529">
        <v>32</v>
      </c>
      <c r="I52" s="529">
        <v>26</v>
      </c>
      <c r="J52" s="529">
        <v>29</v>
      </c>
      <c r="K52" s="529">
        <v>42330.61</v>
      </c>
      <c r="L52" s="529">
        <v>42330.61</v>
      </c>
      <c r="M52" s="529">
        <v>0</v>
      </c>
      <c r="N52" s="529">
        <v>1</v>
      </c>
      <c r="O52" s="529">
        <v>1717.95</v>
      </c>
      <c r="P52" s="529">
        <v>1717.95</v>
      </c>
      <c r="Q52" s="529">
        <v>0</v>
      </c>
    </row>
    <row r="53" spans="1:17" ht="15.75" customHeight="1" x14ac:dyDescent="0.2">
      <c r="A53" s="529">
        <v>45</v>
      </c>
      <c r="B53" s="529" t="s">
        <v>30</v>
      </c>
      <c r="C53" s="516" t="s">
        <v>62</v>
      </c>
      <c r="D53" s="529" t="s">
        <v>63</v>
      </c>
      <c r="E53" s="529" t="s">
        <v>203</v>
      </c>
      <c r="F53" s="529" t="s">
        <v>204</v>
      </c>
      <c r="G53" s="510" t="s">
        <v>670</v>
      </c>
      <c r="H53" s="529">
        <v>28</v>
      </c>
      <c r="I53" s="529">
        <v>20</v>
      </c>
      <c r="J53" s="529">
        <v>28</v>
      </c>
      <c r="K53" s="529">
        <v>65292.95</v>
      </c>
      <c r="L53" s="529">
        <v>65292.95</v>
      </c>
      <c r="M53" s="529">
        <v>0</v>
      </c>
      <c r="N53" s="529">
        <v>20</v>
      </c>
      <c r="O53" s="529">
        <v>85051.08</v>
      </c>
      <c r="P53" s="529">
        <v>85051.08</v>
      </c>
      <c r="Q53" s="529">
        <v>0</v>
      </c>
    </row>
    <row r="54" spans="1:17" ht="15.75" customHeight="1" x14ac:dyDescent="0.2">
      <c r="A54" s="529">
        <v>46</v>
      </c>
      <c r="B54" s="529" t="s">
        <v>90</v>
      </c>
      <c r="C54" s="516" t="s">
        <v>62</v>
      </c>
      <c r="D54" s="529" t="s">
        <v>63</v>
      </c>
      <c r="E54" s="529" t="s">
        <v>205</v>
      </c>
      <c r="F54" s="529" t="s">
        <v>464</v>
      </c>
      <c r="G54" s="510" t="s">
        <v>670</v>
      </c>
      <c r="H54" s="529">
        <v>29</v>
      </c>
      <c r="I54" s="529">
        <v>18</v>
      </c>
      <c r="J54" s="529">
        <v>25</v>
      </c>
      <c r="K54" s="529">
        <v>36149.81</v>
      </c>
      <c r="L54" s="529">
        <v>36149.81</v>
      </c>
      <c r="M54" s="529">
        <v>0</v>
      </c>
      <c r="N54" s="529">
        <v>18</v>
      </c>
      <c r="O54" s="529">
        <v>23475.1</v>
      </c>
      <c r="P54" s="529">
        <v>23475.1</v>
      </c>
      <c r="Q54" s="529">
        <v>0</v>
      </c>
    </row>
    <row r="55" spans="1:17" ht="15.75" customHeight="1" x14ac:dyDescent="0.2">
      <c r="A55" s="529">
        <v>47</v>
      </c>
      <c r="B55" s="529" t="s">
        <v>31</v>
      </c>
      <c r="C55" s="516" t="s">
        <v>62</v>
      </c>
      <c r="D55" s="529" t="s">
        <v>63</v>
      </c>
      <c r="E55" s="529" t="s">
        <v>74</v>
      </c>
      <c r="F55" s="529" t="s">
        <v>206</v>
      </c>
      <c r="G55" s="510" t="s">
        <v>670</v>
      </c>
      <c r="H55" s="529">
        <v>65</v>
      </c>
      <c r="I55" s="529">
        <v>57</v>
      </c>
      <c r="J55" s="529">
        <v>68</v>
      </c>
      <c r="K55" s="529">
        <v>112192.49</v>
      </c>
      <c r="L55" s="529">
        <v>112192.49</v>
      </c>
      <c r="M55" s="529">
        <v>0</v>
      </c>
      <c r="N55" s="529">
        <v>23</v>
      </c>
      <c r="O55" s="529">
        <v>88399.12</v>
      </c>
      <c r="P55" s="529">
        <v>88399.12</v>
      </c>
      <c r="Q55" s="529">
        <v>0</v>
      </c>
    </row>
    <row r="56" spans="1:17" ht="15.75" customHeight="1" x14ac:dyDescent="0.2">
      <c r="A56" s="529">
        <v>48</v>
      </c>
      <c r="B56" s="529" t="s">
        <v>631</v>
      </c>
      <c r="C56" s="516" t="s">
        <v>62</v>
      </c>
      <c r="D56" s="529" t="s">
        <v>63</v>
      </c>
      <c r="E56" s="529" t="s">
        <v>63</v>
      </c>
      <c r="F56" s="529" t="s">
        <v>732</v>
      </c>
      <c r="G56" s="510" t="s">
        <v>670</v>
      </c>
      <c r="H56" s="529">
        <v>14</v>
      </c>
      <c r="I56" s="529">
        <v>5</v>
      </c>
      <c r="J56" s="529">
        <v>5</v>
      </c>
      <c r="K56" s="529">
        <v>589.12</v>
      </c>
      <c r="L56" s="529">
        <v>589.12</v>
      </c>
      <c r="M56" s="529">
        <v>0</v>
      </c>
      <c r="N56" s="529">
        <v>0</v>
      </c>
      <c r="O56" s="529">
        <v>0</v>
      </c>
      <c r="P56" s="529">
        <v>0</v>
      </c>
      <c r="Q56" s="529">
        <v>0</v>
      </c>
    </row>
    <row r="57" spans="1:17" ht="15.75" customHeight="1" x14ac:dyDescent="0.2">
      <c r="A57" s="529">
        <v>49</v>
      </c>
      <c r="B57" s="529" t="s">
        <v>605</v>
      </c>
      <c r="C57" s="516" t="s">
        <v>62</v>
      </c>
      <c r="D57" s="529" t="s">
        <v>63</v>
      </c>
      <c r="E57" s="529" t="s">
        <v>108</v>
      </c>
      <c r="F57" s="529" t="s">
        <v>606</v>
      </c>
      <c r="G57" s="510" t="s">
        <v>670</v>
      </c>
      <c r="H57" s="529">
        <v>5</v>
      </c>
      <c r="I57" s="529">
        <v>2</v>
      </c>
      <c r="J57" s="529">
        <v>2</v>
      </c>
      <c r="K57" s="529">
        <v>0</v>
      </c>
      <c r="L57" s="529">
        <v>0</v>
      </c>
      <c r="M57" s="529">
        <v>0</v>
      </c>
      <c r="N57" s="529">
        <v>0</v>
      </c>
      <c r="O57" s="529">
        <v>1200.69</v>
      </c>
      <c r="P57" s="529">
        <v>1200.69</v>
      </c>
      <c r="Q57" s="529">
        <v>0</v>
      </c>
    </row>
    <row r="58" spans="1:17" ht="15.75" customHeight="1" x14ac:dyDescent="0.2">
      <c r="A58" s="529">
        <v>50</v>
      </c>
      <c r="B58" s="529" t="s">
        <v>32</v>
      </c>
      <c r="C58" s="516" t="s">
        <v>62</v>
      </c>
      <c r="D58" s="529" t="s">
        <v>63</v>
      </c>
      <c r="E58" s="529" t="s">
        <v>74</v>
      </c>
      <c r="F58" s="529" t="s">
        <v>207</v>
      </c>
      <c r="G58" s="510" t="s">
        <v>670</v>
      </c>
      <c r="H58" s="529">
        <v>56</v>
      </c>
      <c r="I58" s="529">
        <v>47</v>
      </c>
      <c r="J58" s="529">
        <v>52</v>
      </c>
      <c r="K58" s="529">
        <v>34934.46</v>
      </c>
      <c r="L58" s="529">
        <v>34934.46</v>
      </c>
      <c r="M58" s="529">
        <v>0</v>
      </c>
      <c r="N58" s="529">
        <v>40</v>
      </c>
      <c r="O58" s="529">
        <v>99653.31</v>
      </c>
      <c r="P58" s="529">
        <v>99653.31</v>
      </c>
      <c r="Q58" s="529">
        <v>0</v>
      </c>
    </row>
    <row r="59" spans="1:17" ht="15.75" customHeight="1" x14ac:dyDescent="0.2">
      <c r="A59" s="529">
        <v>51</v>
      </c>
      <c r="B59" s="529" t="s">
        <v>91</v>
      </c>
      <c r="C59" s="516" t="s">
        <v>62</v>
      </c>
      <c r="D59" s="529" t="s">
        <v>63</v>
      </c>
      <c r="E59" s="529" t="s">
        <v>63</v>
      </c>
      <c r="F59" s="529" t="s">
        <v>208</v>
      </c>
      <c r="G59" s="510" t="s">
        <v>670</v>
      </c>
      <c r="H59" s="529">
        <v>23</v>
      </c>
      <c r="I59" s="529">
        <v>13</v>
      </c>
      <c r="J59" s="529">
        <v>13</v>
      </c>
      <c r="K59" s="529">
        <v>7911.39</v>
      </c>
      <c r="L59" s="529">
        <v>7911.39</v>
      </c>
      <c r="M59" s="529">
        <v>0</v>
      </c>
      <c r="N59" s="529">
        <v>2</v>
      </c>
      <c r="O59" s="529">
        <v>17381.23</v>
      </c>
      <c r="P59" s="529">
        <v>17381.23</v>
      </c>
      <c r="Q59" s="529">
        <v>0</v>
      </c>
    </row>
    <row r="60" spans="1:17" ht="15.75" customHeight="1" x14ac:dyDescent="0.2">
      <c r="A60" s="529">
        <v>52</v>
      </c>
      <c r="B60" s="529" t="s">
        <v>33</v>
      </c>
      <c r="C60" s="516" t="s">
        <v>62</v>
      </c>
      <c r="D60" s="529" t="s">
        <v>63</v>
      </c>
      <c r="E60" s="529" t="s">
        <v>74</v>
      </c>
      <c r="F60" s="529" t="s">
        <v>209</v>
      </c>
      <c r="G60" s="510" t="s">
        <v>670</v>
      </c>
      <c r="H60" s="529">
        <v>43</v>
      </c>
      <c r="I60" s="529">
        <v>35</v>
      </c>
      <c r="J60" s="529">
        <v>50</v>
      </c>
      <c r="K60" s="529">
        <v>75311.38</v>
      </c>
      <c r="L60" s="529">
        <v>75311.38</v>
      </c>
      <c r="M60" s="529">
        <v>0</v>
      </c>
      <c r="N60" s="529">
        <v>42</v>
      </c>
      <c r="O60" s="529">
        <v>115656.4</v>
      </c>
      <c r="P60" s="529">
        <v>115656.4</v>
      </c>
      <c r="Q60" s="529">
        <v>0</v>
      </c>
    </row>
    <row r="61" spans="1:17" ht="15.75" customHeight="1" x14ac:dyDescent="0.2">
      <c r="A61" s="529">
        <v>53</v>
      </c>
      <c r="B61" s="529" t="s">
        <v>153</v>
      </c>
      <c r="C61" s="516" t="s">
        <v>62</v>
      </c>
      <c r="D61" s="529" t="s">
        <v>63</v>
      </c>
      <c r="E61" s="529" t="s">
        <v>74</v>
      </c>
      <c r="F61" s="529" t="s">
        <v>210</v>
      </c>
      <c r="G61" s="510" t="s">
        <v>670</v>
      </c>
      <c r="H61" s="529">
        <v>0</v>
      </c>
      <c r="I61" s="529">
        <v>0</v>
      </c>
      <c r="J61" s="529">
        <v>0</v>
      </c>
      <c r="K61" s="529">
        <v>0</v>
      </c>
      <c r="L61" s="529">
        <v>0</v>
      </c>
      <c r="M61" s="529">
        <v>0</v>
      </c>
      <c r="N61" s="529">
        <v>3</v>
      </c>
      <c r="O61" s="529">
        <v>35991.79</v>
      </c>
      <c r="P61" s="529">
        <v>35991.79</v>
      </c>
      <c r="Q61" s="529">
        <v>0</v>
      </c>
    </row>
    <row r="62" spans="1:17" ht="15.75" customHeight="1" x14ac:dyDescent="0.2">
      <c r="A62" s="529">
        <v>54</v>
      </c>
      <c r="B62" s="529" t="s">
        <v>34</v>
      </c>
      <c r="C62" s="516" t="s">
        <v>62</v>
      </c>
      <c r="D62" s="529" t="s">
        <v>63</v>
      </c>
      <c r="E62" s="529" t="s">
        <v>74</v>
      </c>
      <c r="F62" s="529" t="s">
        <v>211</v>
      </c>
      <c r="G62" s="510" t="s">
        <v>670</v>
      </c>
      <c r="H62" s="529">
        <v>24</v>
      </c>
      <c r="I62" s="529">
        <v>19</v>
      </c>
      <c r="J62" s="529">
        <v>22</v>
      </c>
      <c r="K62" s="529">
        <v>7566.68</v>
      </c>
      <c r="L62" s="529">
        <v>7566.68</v>
      </c>
      <c r="M62" s="529">
        <v>0</v>
      </c>
      <c r="N62" s="529">
        <v>26</v>
      </c>
      <c r="O62" s="529">
        <v>106055.76</v>
      </c>
      <c r="P62" s="529">
        <v>106055.76</v>
      </c>
      <c r="Q62" s="529">
        <v>0</v>
      </c>
    </row>
    <row r="63" spans="1:17" ht="15.75" customHeight="1" x14ac:dyDescent="0.2">
      <c r="A63" s="529">
        <v>55</v>
      </c>
      <c r="B63" s="529" t="s">
        <v>154</v>
      </c>
      <c r="C63" s="516" t="s">
        <v>62</v>
      </c>
      <c r="D63" s="529" t="s">
        <v>63</v>
      </c>
      <c r="E63" s="529" t="s">
        <v>72</v>
      </c>
      <c r="F63" s="529" t="s">
        <v>212</v>
      </c>
      <c r="G63" s="510" t="s">
        <v>670</v>
      </c>
      <c r="H63" s="529">
        <v>6</v>
      </c>
      <c r="I63" s="529">
        <v>2</v>
      </c>
      <c r="J63" s="529">
        <v>2</v>
      </c>
      <c r="K63" s="529">
        <v>2172.77</v>
      </c>
      <c r="L63" s="529">
        <v>2172.77</v>
      </c>
      <c r="M63" s="529">
        <v>0</v>
      </c>
      <c r="N63" s="529">
        <v>2</v>
      </c>
      <c r="O63" s="529">
        <v>10016.969999999999</v>
      </c>
      <c r="P63" s="529">
        <v>10016.969999999999</v>
      </c>
      <c r="Q63" s="529">
        <v>0</v>
      </c>
    </row>
    <row r="64" spans="1:17" ht="15.75" customHeight="1" x14ac:dyDescent="0.2">
      <c r="A64" s="529">
        <v>56</v>
      </c>
      <c r="B64" s="529" t="s">
        <v>109</v>
      </c>
      <c r="C64" s="516" t="s">
        <v>62</v>
      </c>
      <c r="D64" s="529" t="s">
        <v>63</v>
      </c>
      <c r="E64" s="529" t="s">
        <v>74</v>
      </c>
      <c r="F64" s="529" t="s">
        <v>213</v>
      </c>
      <c r="G64" s="510" t="s">
        <v>670</v>
      </c>
      <c r="H64" s="529">
        <v>0</v>
      </c>
      <c r="I64" s="529">
        <v>0</v>
      </c>
      <c r="J64" s="529">
        <v>0</v>
      </c>
      <c r="K64" s="529">
        <v>0</v>
      </c>
      <c r="L64" s="529">
        <v>0</v>
      </c>
      <c r="M64" s="529">
        <v>0</v>
      </c>
      <c r="N64" s="529">
        <v>2</v>
      </c>
      <c r="O64" s="529">
        <v>3812.68</v>
      </c>
      <c r="P64" s="529">
        <v>3812.68</v>
      </c>
      <c r="Q64" s="529">
        <v>0</v>
      </c>
    </row>
    <row r="65" spans="1:17" ht="15.75" customHeight="1" x14ac:dyDescent="0.2">
      <c r="A65" s="529">
        <v>57</v>
      </c>
      <c r="B65" s="529" t="s">
        <v>110</v>
      </c>
      <c r="C65" s="516" t="s">
        <v>62</v>
      </c>
      <c r="D65" s="529" t="s">
        <v>63</v>
      </c>
      <c r="E65" s="529" t="s">
        <v>74</v>
      </c>
      <c r="F65" s="529" t="s">
        <v>214</v>
      </c>
      <c r="G65" s="510" t="s">
        <v>670</v>
      </c>
      <c r="H65" s="529">
        <v>0</v>
      </c>
      <c r="I65" s="529">
        <v>0</v>
      </c>
      <c r="J65" s="529">
        <v>0</v>
      </c>
      <c r="K65" s="529">
        <v>0</v>
      </c>
      <c r="L65" s="529">
        <v>0</v>
      </c>
      <c r="M65" s="529">
        <v>0</v>
      </c>
      <c r="N65" s="529">
        <v>0</v>
      </c>
      <c r="O65" s="529">
        <v>12489.14</v>
      </c>
      <c r="P65" s="529">
        <v>12489.14</v>
      </c>
      <c r="Q65" s="529">
        <v>0</v>
      </c>
    </row>
    <row r="66" spans="1:17" ht="15.75" customHeight="1" x14ac:dyDescent="0.2">
      <c r="A66" s="529">
        <v>58</v>
      </c>
      <c r="B66" s="529" t="s">
        <v>92</v>
      </c>
      <c r="C66" s="516" t="s">
        <v>62</v>
      </c>
      <c r="D66" s="529" t="s">
        <v>63</v>
      </c>
      <c r="E66" s="529" t="s">
        <v>74</v>
      </c>
      <c r="F66" s="529" t="s">
        <v>215</v>
      </c>
      <c r="G66" s="510" t="s">
        <v>670</v>
      </c>
      <c r="H66" s="529">
        <v>41</v>
      </c>
      <c r="I66" s="529">
        <v>37</v>
      </c>
      <c r="J66" s="529">
        <v>49</v>
      </c>
      <c r="K66" s="529">
        <v>55173.48</v>
      </c>
      <c r="L66" s="529">
        <v>55173.48</v>
      </c>
      <c r="M66" s="529">
        <v>0</v>
      </c>
      <c r="N66" s="529">
        <v>16</v>
      </c>
      <c r="O66" s="529">
        <v>47264.21</v>
      </c>
      <c r="P66" s="529">
        <v>47264.21</v>
      </c>
      <c r="Q66" s="529">
        <v>0</v>
      </c>
    </row>
    <row r="67" spans="1:17" ht="15.75" customHeight="1" x14ac:dyDescent="0.2">
      <c r="A67" s="529">
        <v>59</v>
      </c>
      <c r="B67" s="529" t="s">
        <v>216</v>
      </c>
      <c r="C67" s="516" t="s">
        <v>67</v>
      </c>
      <c r="D67" s="529" t="s">
        <v>436</v>
      </c>
      <c r="E67" s="529" t="s">
        <v>217</v>
      </c>
      <c r="F67" s="529" t="s">
        <v>218</v>
      </c>
      <c r="G67" s="510" t="s">
        <v>670</v>
      </c>
      <c r="H67" s="529">
        <v>17</v>
      </c>
      <c r="I67" s="529">
        <v>12</v>
      </c>
      <c r="J67" s="529">
        <v>12</v>
      </c>
      <c r="K67" s="529">
        <v>8808.74</v>
      </c>
      <c r="L67" s="529">
        <v>8808.74</v>
      </c>
      <c r="M67" s="529">
        <v>0</v>
      </c>
      <c r="N67" s="529">
        <v>0</v>
      </c>
      <c r="O67" s="529">
        <v>0</v>
      </c>
      <c r="P67" s="529">
        <v>0</v>
      </c>
      <c r="Q67" s="529">
        <v>0</v>
      </c>
    </row>
    <row r="68" spans="1:17" ht="15.75" customHeight="1" x14ac:dyDescent="0.2">
      <c r="A68" s="529">
        <v>60</v>
      </c>
      <c r="B68" s="529" t="s">
        <v>35</v>
      </c>
      <c r="C68" s="516" t="s">
        <v>62</v>
      </c>
      <c r="D68" s="529" t="s">
        <v>63</v>
      </c>
      <c r="E68" s="529" t="s">
        <v>219</v>
      </c>
      <c r="F68" s="529" t="s">
        <v>220</v>
      </c>
      <c r="G68" s="510" t="s">
        <v>670</v>
      </c>
      <c r="H68" s="529">
        <v>60</v>
      </c>
      <c r="I68" s="529">
        <v>56</v>
      </c>
      <c r="J68" s="529">
        <v>63</v>
      </c>
      <c r="K68" s="529">
        <v>82511.28</v>
      </c>
      <c r="L68" s="529">
        <v>82511.28</v>
      </c>
      <c r="M68" s="529">
        <v>0</v>
      </c>
      <c r="N68" s="529">
        <v>34</v>
      </c>
      <c r="O68" s="529">
        <v>88743.22</v>
      </c>
      <c r="P68" s="529">
        <v>88743.22</v>
      </c>
      <c r="Q68" s="529">
        <v>0</v>
      </c>
    </row>
    <row r="69" spans="1:17" ht="15.75" customHeight="1" x14ac:dyDescent="0.2">
      <c r="A69" s="529">
        <v>61</v>
      </c>
      <c r="B69" s="529" t="s">
        <v>114</v>
      </c>
      <c r="C69" s="516" t="s">
        <v>62</v>
      </c>
      <c r="D69" s="529" t="s">
        <v>63</v>
      </c>
      <c r="E69" s="529" t="s">
        <v>115</v>
      </c>
      <c r="F69" s="529" t="s">
        <v>221</v>
      </c>
      <c r="G69" s="510" t="s">
        <v>670</v>
      </c>
      <c r="H69" s="529">
        <v>18</v>
      </c>
      <c r="I69" s="529">
        <v>11</v>
      </c>
      <c r="J69" s="529">
        <v>11</v>
      </c>
      <c r="K69" s="529">
        <v>21498.44</v>
      </c>
      <c r="L69" s="529">
        <v>16638.2</v>
      </c>
      <c r="M69" s="529">
        <v>4860.24</v>
      </c>
      <c r="N69" s="529">
        <v>1</v>
      </c>
      <c r="O69" s="529">
        <v>1108.48</v>
      </c>
      <c r="P69" s="529">
        <v>1108.48</v>
      </c>
      <c r="Q69" s="529">
        <v>0</v>
      </c>
    </row>
    <row r="70" spans="1:17" ht="15.75" customHeight="1" x14ac:dyDescent="0.2">
      <c r="A70" s="529">
        <v>62</v>
      </c>
      <c r="B70" s="529" t="s">
        <v>222</v>
      </c>
      <c r="C70" s="516" t="s">
        <v>64</v>
      </c>
      <c r="D70" s="529" t="s">
        <v>486</v>
      </c>
      <c r="E70" s="529" t="s">
        <v>223</v>
      </c>
      <c r="F70" s="529" t="s">
        <v>224</v>
      </c>
      <c r="G70" s="510" t="s">
        <v>670</v>
      </c>
      <c r="H70" s="529">
        <v>24</v>
      </c>
      <c r="I70" s="529">
        <v>20</v>
      </c>
      <c r="J70" s="529">
        <v>25</v>
      </c>
      <c r="K70" s="529">
        <v>31179.34</v>
      </c>
      <c r="L70" s="529">
        <v>31179.34</v>
      </c>
      <c r="M70" s="529">
        <v>0</v>
      </c>
      <c r="N70" s="529">
        <v>0</v>
      </c>
      <c r="O70" s="529">
        <v>0</v>
      </c>
      <c r="P70" s="529">
        <v>0</v>
      </c>
      <c r="Q70" s="529">
        <v>0</v>
      </c>
    </row>
    <row r="71" spans="1:17" ht="15.75" customHeight="1" x14ac:dyDescent="0.2">
      <c r="A71" s="529">
        <v>63</v>
      </c>
      <c r="B71" s="529" t="s">
        <v>93</v>
      </c>
      <c r="C71" s="516" t="s">
        <v>62</v>
      </c>
      <c r="D71" s="529" t="s">
        <v>63</v>
      </c>
      <c r="E71" s="529" t="s">
        <v>74</v>
      </c>
      <c r="F71" s="529" t="s">
        <v>225</v>
      </c>
      <c r="G71" s="510" t="s">
        <v>670</v>
      </c>
      <c r="H71" s="529">
        <v>14</v>
      </c>
      <c r="I71" s="529">
        <v>6</v>
      </c>
      <c r="J71" s="529">
        <v>7</v>
      </c>
      <c r="K71" s="529">
        <v>11798.3</v>
      </c>
      <c r="L71" s="529">
        <v>11798.3</v>
      </c>
      <c r="M71" s="529">
        <v>0</v>
      </c>
      <c r="N71" s="529">
        <v>7</v>
      </c>
      <c r="O71" s="529">
        <v>10672.71</v>
      </c>
      <c r="P71" s="529">
        <v>10672.71</v>
      </c>
      <c r="Q71" s="529">
        <v>0</v>
      </c>
    </row>
    <row r="72" spans="1:17" ht="15.75" customHeight="1" x14ac:dyDescent="0.2">
      <c r="A72" s="529">
        <v>64</v>
      </c>
      <c r="B72" s="529" t="s">
        <v>226</v>
      </c>
      <c r="C72" s="516" t="s">
        <v>62</v>
      </c>
      <c r="D72" s="529" t="s">
        <v>63</v>
      </c>
      <c r="E72" s="529" t="s">
        <v>174</v>
      </c>
      <c r="F72" s="529" t="s">
        <v>227</v>
      </c>
      <c r="G72" s="510" t="s">
        <v>670</v>
      </c>
      <c r="H72" s="529">
        <v>43</v>
      </c>
      <c r="I72" s="529">
        <v>17</v>
      </c>
      <c r="J72" s="529">
        <v>20</v>
      </c>
      <c r="K72" s="529">
        <v>59599.24</v>
      </c>
      <c r="L72" s="529">
        <v>59599.24</v>
      </c>
      <c r="M72" s="529">
        <v>0</v>
      </c>
      <c r="N72" s="529">
        <v>0</v>
      </c>
      <c r="O72" s="529">
        <v>0</v>
      </c>
      <c r="P72" s="529">
        <v>0</v>
      </c>
      <c r="Q72" s="529">
        <v>0</v>
      </c>
    </row>
    <row r="73" spans="1:17" ht="15.75" customHeight="1" x14ac:dyDescent="0.2">
      <c r="A73" s="529">
        <v>65</v>
      </c>
      <c r="B73" s="529" t="s">
        <v>228</v>
      </c>
      <c r="C73" s="516" t="s">
        <v>62</v>
      </c>
      <c r="D73" s="529" t="s">
        <v>63</v>
      </c>
      <c r="E73" s="529" t="s">
        <v>229</v>
      </c>
      <c r="F73" s="529" t="s">
        <v>230</v>
      </c>
      <c r="G73" s="510" t="s">
        <v>670</v>
      </c>
      <c r="H73" s="529">
        <v>51</v>
      </c>
      <c r="I73" s="529">
        <v>30</v>
      </c>
      <c r="J73" s="529">
        <v>38</v>
      </c>
      <c r="K73" s="529">
        <v>34002.400000000001</v>
      </c>
      <c r="L73" s="529">
        <v>34002.400000000001</v>
      </c>
      <c r="M73" s="529">
        <v>0</v>
      </c>
      <c r="N73" s="529">
        <v>0</v>
      </c>
      <c r="O73" s="529">
        <v>0</v>
      </c>
      <c r="P73" s="529">
        <v>0</v>
      </c>
      <c r="Q73" s="529">
        <v>0</v>
      </c>
    </row>
    <row r="74" spans="1:17" ht="15.75" customHeight="1" x14ac:dyDescent="0.2">
      <c r="A74" s="529">
        <v>66</v>
      </c>
      <c r="B74" s="529" t="s">
        <v>116</v>
      </c>
      <c r="C74" s="516" t="s">
        <v>62</v>
      </c>
      <c r="D74" s="529" t="s">
        <v>63</v>
      </c>
      <c r="E74" s="529" t="s">
        <v>74</v>
      </c>
      <c r="F74" s="529" t="s">
        <v>231</v>
      </c>
      <c r="G74" s="510" t="s">
        <v>670</v>
      </c>
      <c r="H74" s="529">
        <v>39</v>
      </c>
      <c r="I74" s="529">
        <v>30</v>
      </c>
      <c r="J74" s="529">
        <v>36</v>
      </c>
      <c r="K74" s="529">
        <v>42164.54</v>
      </c>
      <c r="L74" s="529">
        <v>42164.54</v>
      </c>
      <c r="M74" s="529">
        <v>0</v>
      </c>
      <c r="N74" s="529">
        <v>3</v>
      </c>
      <c r="O74" s="529">
        <v>5058.49</v>
      </c>
      <c r="P74" s="529">
        <v>5058.49</v>
      </c>
      <c r="Q74" s="529">
        <v>0</v>
      </c>
    </row>
    <row r="75" spans="1:17" ht="15.75" customHeight="1" x14ac:dyDescent="0.2">
      <c r="A75" s="529">
        <v>67</v>
      </c>
      <c r="B75" s="529" t="s">
        <v>232</v>
      </c>
      <c r="C75" s="516" t="s">
        <v>62</v>
      </c>
      <c r="D75" s="529" t="s">
        <v>63</v>
      </c>
      <c r="E75" s="529" t="s">
        <v>174</v>
      </c>
      <c r="F75" s="529" t="s">
        <v>233</v>
      </c>
      <c r="G75" s="510" t="s">
        <v>670</v>
      </c>
      <c r="H75" s="529">
        <v>18</v>
      </c>
      <c r="I75" s="529">
        <v>14</v>
      </c>
      <c r="J75" s="529">
        <v>17</v>
      </c>
      <c r="K75" s="529">
        <v>9716.0300000000007</v>
      </c>
      <c r="L75" s="529">
        <v>9716.0300000000007</v>
      </c>
      <c r="M75" s="529">
        <v>0</v>
      </c>
      <c r="N75" s="529">
        <v>0</v>
      </c>
      <c r="O75" s="529">
        <v>0</v>
      </c>
      <c r="P75" s="529">
        <v>0</v>
      </c>
      <c r="Q75" s="529">
        <v>0</v>
      </c>
    </row>
    <row r="76" spans="1:17" ht="15.75" customHeight="1" x14ac:dyDescent="0.2">
      <c r="A76" s="529">
        <v>68</v>
      </c>
      <c r="B76" s="529" t="s">
        <v>487</v>
      </c>
      <c r="C76" s="516" t="s">
        <v>62</v>
      </c>
      <c r="D76" s="529" t="s">
        <v>63</v>
      </c>
      <c r="E76" s="529" t="s">
        <v>282</v>
      </c>
      <c r="F76" s="529" t="s">
        <v>488</v>
      </c>
      <c r="G76" s="510" t="s">
        <v>670</v>
      </c>
      <c r="H76" s="529">
        <v>10</v>
      </c>
      <c r="I76" s="529">
        <v>3</v>
      </c>
      <c r="J76" s="529">
        <v>3</v>
      </c>
      <c r="K76" s="529">
        <v>1999.87</v>
      </c>
      <c r="L76" s="529">
        <v>1999.87</v>
      </c>
      <c r="M76" s="529">
        <v>0</v>
      </c>
      <c r="N76" s="529">
        <v>0</v>
      </c>
      <c r="O76" s="529">
        <v>0</v>
      </c>
      <c r="P76" s="529">
        <v>0</v>
      </c>
      <c r="Q76" s="529">
        <v>0</v>
      </c>
    </row>
    <row r="77" spans="1:17" ht="15.75" customHeight="1" x14ac:dyDescent="0.2">
      <c r="A77" s="529">
        <v>69</v>
      </c>
      <c r="B77" s="529" t="s">
        <v>357</v>
      </c>
      <c r="C77" s="516" t="s">
        <v>64</v>
      </c>
      <c r="D77" s="529" t="s">
        <v>585</v>
      </c>
      <c r="E77" s="529" t="s">
        <v>74</v>
      </c>
      <c r="F77" s="529" t="s">
        <v>586</v>
      </c>
      <c r="G77" s="510" t="s">
        <v>670</v>
      </c>
      <c r="H77" s="529">
        <v>6</v>
      </c>
      <c r="I77" s="529">
        <v>0</v>
      </c>
      <c r="J77" s="529">
        <v>0</v>
      </c>
      <c r="K77" s="529">
        <v>0</v>
      </c>
      <c r="L77" s="529">
        <v>0</v>
      </c>
      <c r="M77" s="529">
        <v>0</v>
      </c>
      <c r="N77" s="529">
        <v>1</v>
      </c>
      <c r="O77" s="529">
        <v>6753.85</v>
      </c>
      <c r="P77" s="529">
        <v>6753.85</v>
      </c>
      <c r="Q77" s="529">
        <v>0</v>
      </c>
    </row>
    <row r="78" spans="1:17" ht="15.75" customHeight="1" x14ac:dyDescent="0.2">
      <c r="A78" s="529">
        <v>70</v>
      </c>
      <c r="B78" s="529" t="s">
        <v>36</v>
      </c>
      <c r="C78" s="516" t="s">
        <v>62</v>
      </c>
      <c r="D78" s="529" t="s">
        <v>63</v>
      </c>
      <c r="E78" s="529" t="s">
        <v>74</v>
      </c>
      <c r="F78" s="529" t="s">
        <v>465</v>
      </c>
      <c r="G78" s="510" t="s">
        <v>670</v>
      </c>
      <c r="H78" s="529">
        <v>8</v>
      </c>
      <c r="I78" s="529">
        <v>4</v>
      </c>
      <c r="J78" s="529">
        <v>4</v>
      </c>
      <c r="K78" s="529">
        <v>352.4</v>
      </c>
      <c r="L78" s="529">
        <v>352.4</v>
      </c>
      <c r="M78" s="529">
        <v>0</v>
      </c>
      <c r="N78" s="529">
        <v>7</v>
      </c>
      <c r="O78" s="529">
        <v>20309.48</v>
      </c>
      <c r="P78" s="529">
        <v>20309.48</v>
      </c>
      <c r="Q78" s="529">
        <v>0</v>
      </c>
    </row>
    <row r="79" spans="1:17" ht="15.75" customHeight="1" x14ac:dyDescent="0.2">
      <c r="A79" s="529">
        <v>71</v>
      </c>
      <c r="B79" s="529" t="s">
        <v>658</v>
      </c>
      <c r="C79" s="516" t="s">
        <v>62</v>
      </c>
      <c r="D79" s="529" t="s">
        <v>63</v>
      </c>
      <c r="E79" s="529" t="s">
        <v>223</v>
      </c>
      <c r="F79" s="529" t="s">
        <v>659</v>
      </c>
      <c r="G79" s="510" t="s">
        <v>670</v>
      </c>
      <c r="H79" s="529">
        <v>13</v>
      </c>
      <c r="I79" s="529">
        <v>0</v>
      </c>
      <c r="J79" s="529">
        <v>0</v>
      </c>
      <c r="K79" s="529">
        <v>0</v>
      </c>
      <c r="L79" s="529">
        <v>0</v>
      </c>
      <c r="M79" s="529">
        <v>0</v>
      </c>
      <c r="N79" s="529">
        <v>0</v>
      </c>
      <c r="O79" s="529">
        <v>0</v>
      </c>
      <c r="P79" s="529">
        <v>0</v>
      </c>
      <c r="Q79" s="529">
        <v>0</v>
      </c>
    </row>
    <row r="80" spans="1:17" ht="15.75" customHeight="1" x14ac:dyDescent="0.2">
      <c r="A80" s="529">
        <v>72</v>
      </c>
      <c r="B80" s="529" t="s">
        <v>37</v>
      </c>
      <c r="C80" s="516" t="s">
        <v>62</v>
      </c>
      <c r="D80" s="529" t="s">
        <v>63</v>
      </c>
      <c r="E80" s="529" t="s">
        <v>70</v>
      </c>
      <c r="F80" s="529" t="s">
        <v>234</v>
      </c>
      <c r="G80" s="510" t="s">
        <v>670</v>
      </c>
      <c r="H80" s="529">
        <v>17</v>
      </c>
      <c r="I80" s="529">
        <v>10</v>
      </c>
      <c r="J80" s="529">
        <v>11</v>
      </c>
      <c r="K80" s="529">
        <v>11914.75</v>
      </c>
      <c r="L80" s="529">
        <v>11914.75</v>
      </c>
      <c r="M80" s="529">
        <v>0</v>
      </c>
      <c r="N80" s="529">
        <v>3</v>
      </c>
      <c r="O80" s="529">
        <v>19390.900000000001</v>
      </c>
      <c r="P80" s="529">
        <v>19390.900000000001</v>
      </c>
      <c r="Q80" s="529">
        <v>0</v>
      </c>
    </row>
    <row r="81" spans="1:17" ht="15.75" customHeight="1" x14ac:dyDescent="0.2">
      <c r="A81" s="529">
        <v>73</v>
      </c>
      <c r="B81" s="529" t="s">
        <v>235</v>
      </c>
      <c r="C81" s="516" t="s">
        <v>62</v>
      </c>
      <c r="D81" s="529" t="s">
        <v>63</v>
      </c>
      <c r="E81" s="529" t="s">
        <v>236</v>
      </c>
      <c r="F81" s="529" t="s">
        <v>237</v>
      </c>
      <c r="G81" s="510" t="s">
        <v>670</v>
      </c>
      <c r="H81" s="529">
        <v>16</v>
      </c>
      <c r="I81" s="529">
        <v>13</v>
      </c>
      <c r="J81" s="529">
        <v>20</v>
      </c>
      <c r="K81" s="529">
        <v>23840.49</v>
      </c>
      <c r="L81" s="529">
        <v>23840.49</v>
      </c>
      <c r="M81" s="529">
        <v>0</v>
      </c>
      <c r="N81" s="529">
        <v>0</v>
      </c>
      <c r="O81" s="529">
        <v>0</v>
      </c>
      <c r="P81" s="529">
        <v>0</v>
      </c>
      <c r="Q81" s="529">
        <v>0</v>
      </c>
    </row>
    <row r="82" spans="1:17" ht="15.75" customHeight="1" x14ac:dyDescent="0.2">
      <c r="A82" s="529">
        <v>74</v>
      </c>
      <c r="B82" s="529" t="s">
        <v>238</v>
      </c>
      <c r="C82" s="516" t="s">
        <v>62</v>
      </c>
      <c r="D82" s="529" t="s">
        <v>63</v>
      </c>
      <c r="E82" s="529" t="s">
        <v>239</v>
      </c>
      <c r="F82" s="529" t="s">
        <v>240</v>
      </c>
      <c r="G82" s="510" t="s">
        <v>670</v>
      </c>
      <c r="H82" s="529">
        <v>16</v>
      </c>
      <c r="I82" s="529">
        <v>11</v>
      </c>
      <c r="J82" s="529">
        <v>13</v>
      </c>
      <c r="K82" s="529">
        <v>9410.77</v>
      </c>
      <c r="L82" s="529">
        <v>9410.77</v>
      </c>
      <c r="M82" s="529">
        <v>0</v>
      </c>
      <c r="N82" s="529">
        <v>0</v>
      </c>
      <c r="O82" s="529">
        <v>0</v>
      </c>
      <c r="P82" s="529">
        <v>0</v>
      </c>
      <c r="Q82" s="529">
        <v>0</v>
      </c>
    </row>
    <row r="83" spans="1:17" ht="15.75" customHeight="1" x14ac:dyDescent="0.2">
      <c r="A83" s="529">
        <v>75</v>
      </c>
      <c r="B83" s="529" t="s">
        <v>587</v>
      </c>
      <c r="C83" s="516" t="s">
        <v>62</v>
      </c>
      <c r="D83" s="529" t="s">
        <v>63</v>
      </c>
      <c r="E83" s="529" t="s">
        <v>63</v>
      </c>
      <c r="F83" s="529" t="s">
        <v>609</v>
      </c>
      <c r="G83" s="510" t="s">
        <v>670</v>
      </c>
      <c r="H83" s="529">
        <v>0</v>
      </c>
      <c r="I83" s="529">
        <v>0</v>
      </c>
      <c r="J83" s="529">
        <v>0</v>
      </c>
      <c r="K83" s="529">
        <v>0</v>
      </c>
      <c r="L83" s="529">
        <v>0</v>
      </c>
      <c r="M83" s="529">
        <v>0</v>
      </c>
      <c r="N83" s="529">
        <v>2</v>
      </c>
      <c r="O83" s="529">
        <v>3658.79</v>
      </c>
      <c r="P83" s="529">
        <v>3658.79</v>
      </c>
      <c r="Q83" s="529">
        <v>0</v>
      </c>
    </row>
    <row r="84" spans="1:17" ht="15.75" customHeight="1" x14ac:dyDescent="0.2">
      <c r="A84" s="529">
        <v>76</v>
      </c>
      <c r="B84" s="529" t="s">
        <v>241</v>
      </c>
      <c r="C84" s="516" t="s">
        <v>62</v>
      </c>
      <c r="D84" s="529" t="s">
        <v>63</v>
      </c>
      <c r="E84" s="529" t="s">
        <v>242</v>
      </c>
      <c r="F84" s="529" t="s">
        <v>243</v>
      </c>
      <c r="G84" s="510" t="s">
        <v>670</v>
      </c>
      <c r="H84" s="529">
        <v>9</v>
      </c>
      <c r="I84" s="529">
        <v>9</v>
      </c>
      <c r="J84" s="529">
        <v>14</v>
      </c>
      <c r="K84" s="529">
        <v>26884.58</v>
      </c>
      <c r="L84" s="529">
        <v>26884.58</v>
      </c>
      <c r="M84" s="529">
        <v>0</v>
      </c>
      <c r="N84" s="529">
        <v>0</v>
      </c>
      <c r="O84" s="529">
        <v>0</v>
      </c>
      <c r="P84" s="529">
        <v>0</v>
      </c>
      <c r="Q84" s="529">
        <v>0</v>
      </c>
    </row>
    <row r="85" spans="1:17" ht="15.75" customHeight="1" x14ac:dyDescent="0.2">
      <c r="A85" s="529">
        <v>77</v>
      </c>
      <c r="B85" s="529" t="s">
        <v>38</v>
      </c>
      <c r="C85" s="516" t="s">
        <v>62</v>
      </c>
      <c r="D85" s="529" t="s">
        <v>63</v>
      </c>
      <c r="E85" s="529" t="s">
        <v>244</v>
      </c>
      <c r="F85" s="529" t="s">
        <v>245</v>
      </c>
      <c r="G85" s="510" t="s">
        <v>670</v>
      </c>
      <c r="H85" s="529">
        <v>118</v>
      </c>
      <c r="I85" s="529">
        <v>103</v>
      </c>
      <c r="J85" s="529">
        <v>161</v>
      </c>
      <c r="K85" s="529">
        <v>177826.79</v>
      </c>
      <c r="L85" s="529">
        <v>177826.79</v>
      </c>
      <c r="M85" s="529">
        <v>0</v>
      </c>
      <c r="N85" s="529">
        <v>96</v>
      </c>
      <c r="O85" s="529">
        <v>272452.59000000003</v>
      </c>
      <c r="P85" s="529">
        <v>272452.59000000003</v>
      </c>
      <c r="Q85" s="529">
        <v>0</v>
      </c>
    </row>
    <row r="86" spans="1:17" ht="15.75" customHeight="1" x14ac:dyDescent="0.2">
      <c r="A86" s="529">
        <v>78</v>
      </c>
      <c r="B86" s="529" t="s">
        <v>246</v>
      </c>
      <c r="C86" s="516" t="s">
        <v>62</v>
      </c>
      <c r="D86" s="529" t="s">
        <v>63</v>
      </c>
      <c r="E86" s="529" t="s">
        <v>247</v>
      </c>
      <c r="F86" s="529" t="s">
        <v>248</v>
      </c>
      <c r="G86" s="510" t="s">
        <v>670</v>
      </c>
      <c r="H86" s="529">
        <v>53</v>
      </c>
      <c r="I86" s="529">
        <v>37</v>
      </c>
      <c r="J86" s="529">
        <v>46</v>
      </c>
      <c r="K86" s="529">
        <v>26416.06</v>
      </c>
      <c r="L86" s="529">
        <v>26416.06</v>
      </c>
      <c r="M86" s="529">
        <v>0</v>
      </c>
      <c r="N86" s="529">
        <v>0</v>
      </c>
      <c r="O86" s="529">
        <v>0</v>
      </c>
      <c r="P86" s="529">
        <v>0</v>
      </c>
      <c r="Q86" s="529">
        <v>0</v>
      </c>
    </row>
    <row r="87" spans="1:17" ht="15.75" customHeight="1" x14ac:dyDescent="0.2">
      <c r="A87" s="529">
        <v>79</v>
      </c>
      <c r="B87" s="529" t="s">
        <v>39</v>
      </c>
      <c r="C87" s="516" t="s">
        <v>62</v>
      </c>
      <c r="D87" s="529" t="s">
        <v>63</v>
      </c>
      <c r="E87" s="529" t="s">
        <v>77</v>
      </c>
      <c r="F87" s="529" t="s">
        <v>466</v>
      </c>
      <c r="G87" s="510" t="s">
        <v>670</v>
      </c>
      <c r="H87" s="529">
        <v>131</v>
      </c>
      <c r="I87" s="529">
        <v>109</v>
      </c>
      <c r="J87" s="529">
        <v>116</v>
      </c>
      <c r="K87" s="529">
        <v>62619.199999999997</v>
      </c>
      <c r="L87" s="529">
        <v>62619.199999999997</v>
      </c>
      <c r="M87" s="529">
        <v>0</v>
      </c>
      <c r="N87" s="529">
        <v>11</v>
      </c>
      <c r="O87" s="529">
        <v>18898.939999999999</v>
      </c>
      <c r="P87" s="529">
        <v>18898.939999999999</v>
      </c>
      <c r="Q87" s="529">
        <v>0</v>
      </c>
    </row>
    <row r="88" spans="1:17" ht="15.75" customHeight="1" x14ac:dyDescent="0.2">
      <c r="A88" s="529">
        <v>80</v>
      </c>
      <c r="B88" s="529" t="s">
        <v>40</v>
      </c>
      <c r="C88" s="516" t="s">
        <v>62</v>
      </c>
      <c r="D88" s="529" t="s">
        <v>63</v>
      </c>
      <c r="E88" s="529" t="s">
        <v>249</v>
      </c>
      <c r="F88" s="529" t="s">
        <v>250</v>
      </c>
      <c r="G88" s="510" t="s">
        <v>670</v>
      </c>
      <c r="H88" s="529">
        <v>34</v>
      </c>
      <c r="I88" s="529">
        <v>31</v>
      </c>
      <c r="J88" s="529">
        <v>51</v>
      </c>
      <c r="K88" s="529">
        <v>77676.240000000005</v>
      </c>
      <c r="L88" s="529">
        <v>77676.240000000005</v>
      </c>
      <c r="M88" s="529">
        <v>0</v>
      </c>
      <c r="N88" s="529">
        <v>19</v>
      </c>
      <c r="O88" s="529">
        <v>51901.91</v>
      </c>
      <c r="P88" s="529">
        <v>51901.91</v>
      </c>
      <c r="Q88" s="529">
        <v>0</v>
      </c>
    </row>
    <row r="89" spans="1:17" ht="15.75" customHeight="1" x14ac:dyDescent="0.2">
      <c r="A89" s="529">
        <v>81</v>
      </c>
      <c r="B89" s="529" t="s">
        <v>660</v>
      </c>
      <c r="C89" s="516" t="s">
        <v>67</v>
      </c>
      <c r="D89" s="529" t="s">
        <v>661</v>
      </c>
      <c r="E89" s="529" t="s">
        <v>313</v>
      </c>
      <c r="F89" s="529" t="s">
        <v>662</v>
      </c>
      <c r="G89" s="510" t="s">
        <v>670</v>
      </c>
      <c r="H89" s="529">
        <v>7</v>
      </c>
      <c r="I89" s="529">
        <v>4</v>
      </c>
      <c r="J89" s="529">
        <v>4</v>
      </c>
      <c r="K89" s="529">
        <v>0</v>
      </c>
      <c r="L89" s="529">
        <v>0</v>
      </c>
      <c r="M89" s="529">
        <v>0</v>
      </c>
      <c r="N89" s="529">
        <v>0</v>
      </c>
      <c r="O89" s="529">
        <v>0</v>
      </c>
      <c r="P89" s="529">
        <v>0</v>
      </c>
      <c r="Q89" s="529">
        <v>0</v>
      </c>
    </row>
    <row r="90" spans="1:17" ht="15.75" customHeight="1" x14ac:dyDescent="0.2">
      <c r="A90" s="529">
        <v>82</v>
      </c>
      <c r="B90" s="529" t="s">
        <v>251</v>
      </c>
      <c r="C90" s="516" t="s">
        <v>62</v>
      </c>
      <c r="D90" s="529"/>
      <c r="E90" s="529" t="s">
        <v>177</v>
      </c>
      <c r="F90" s="529" t="s">
        <v>252</v>
      </c>
      <c r="G90" s="510" t="s">
        <v>670</v>
      </c>
      <c r="H90" s="529">
        <v>68</v>
      </c>
      <c r="I90" s="529">
        <v>51</v>
      </c>
      <c r="J90" s="529">
        <v>76</v>
      </c>
      <c r="K90" s="529">
        <v>85263.69</v>
      </c>
      <c r="L90" s="529">
        <v>77010.77</v>
      </c>
      <c r="M90" s="529">
        <v>8252.92</v>
      </c>
      <c r="N90" s="529">
        <v>0</v>
      </c>
      <c r="O90" s="529">
        <v>0</v>
      </c>
      <c r="P90" s="529">
        <v>0</v>
      </c>
      <c r="Q90" s="529">
        <v>0</v>
      </c>
    </row>
    <row r="91" spans="1:17" ht="15.75" customHeight="1" x14ac:dyDescent="0.2">
      <c r="A91" s="529">
        <v>83</v>
      </c>
      <c r="B91" s="529" t="s">
        <v>117</v>
      </c>
      <c r="C91" s="516" t="s">
        <v>62</v>
      </c>
      <c r="D91" s="529" t="s">
        <v>63</v>
      </c>
      <c r="E91" s="529" t="s">
        <v>74</v>
      </c>
      <c r="F91" s="529" t="s">
        <v>520</v>
      </c>
      <c r="G91" s="510" t="s">
        <v>670</v>
      </c>
      <c r="H91" s="529">
        <v>7</v>
      </c>
      <c r="I91" s="529">
        <v>2</v>
      </c>
      <c r="J91" s="529">
        <v>2</v>
      </c>
      <c r="K91" s="529">
        <v>3618.99</v>
      </c>
      <c r="L91" s="529">
        <v>3618.99</v>
      </c>
      <c r="M91" s="529">
        <v>0</v>
      </c>
      <c r="N91" s="529">
        <v>3</v>
      </c>
      <c r="O91" s="529">
        <v>9677.56</v>
      </c>
      <c r="P91" s="529">
        <v>9677.56</v>
      </c>
      <c r="Q91" s="529">
        <v>0</v>
      </c>
    </row>
    <row r="92" spans="1:17" ht="15.75" customHeight="1" x14ac:dyDescent="0.2">
      <c r="A92" s="529">
        <v>84</v>
      </c>
      <c r="B92" s="529" t="s">
        <v>41</v>
      </c>
      <c r="C92" s="516" t="s">
        <v>64</v>
      </c>
      <c r="D92" s="529" t="s">
        <v>65</v>
      </c>
      <c r="E92" s="529" t="s">
        <v>72</v>
      </c>
      <c r="F92" s="529" t="s">
        <v>253</v>
      </c>
      <c r="G92" s="510" t="s">
        <v>670</v>
      </c>
      <c r="H92" s="529">
        <v>2</v>
      </c>
      <c r="I92" s="529">
        <v>2</v>
      </c>
      <c r="J92" s="529">
        <v>2</v>
      </c>
      <c r="K92" s="529">
        <v>1575.23</v>
      </c>
      <c r="L92" s="529">
        <v>1575.23</v>
      </c>
      <c r="M92" s="529">
        <v>0</v>
      </c>
      <c r="N92" s="529">
        <v>12</v>
      </c>
      <c r="O92" s="529">
        <v>33315.620000000003</v>
      </c>
      <c r="P92" s="529">
        <v>33315.620000000003</v>
      </c>
      <c r="Q92" s="529">
        <v>0</v>
      </c>
    </row>
    <row r="93" spans="1:17" ht="15.75" customHeight="1" x14ac:dyDescent="0.2">
      <c r="A93" s="529">
        <v>85</v>
      </c>
      <c r="B93" s="529" t="s">
        <v>118</v>
      </c>
      <c r="C93" s="516" t="s">
        <v>62</v>
      </c>
      <c r="D93" s="529" t="s">
        <v>63</v>
      </c>
      <c r="E93" s="529" t="s">
        <v>63</v>
      </c>
      <c r="F93" s="529" t="s">
        <v>467</v>
      </c>
      <c r="G93" s="510" t="s">
        <v>670</v>
      </c>
      <c r="H93" s="529">
        <v>7</v>
      </c>
      <c r="I93" s="529">
        <v>2</v>
      </c>
      <c r="J93" s="529">
        <v>2</v>
      </c>
      <c r="K93" s="529">
        <v>939.94</v>
      </c>
      <c r="L93" s="529">
        <v>939.94</v>
      </c>
      <c r="M93" s="529">
        <v>0</v>
      </c>
      <c r="N93" s="529">
        <v>2</v>
      </c>
      <c r="O93" s="529">
        <v>23833.22</v>
      </c>
      <c r="P93" s="529">
        <v>23833.22</v>
      </c>
      <c r="Q93" s="529">
        <v>0</v>
      </c>
    </row>
    <row r="94" spans="1:17" ht="15.75" customHeight="1" x14ac:dyDescent="0.2">
      <c r="A94" s="529">
        <v>86</v>
      </c>
      <c r="B94" s="529" t="s">
        <v>548</v>
      </c>
      <c r="C94" s="516" t="s">
        <v>62</v>
      </c>
      <c r="D94" s="529" t="s">
        <v>63</v>
      </c>
      <c r="E94" s="529" t="s">
        <v>549</v>
      </c>
      <c r="F94" s="529" t="s">
        <v>550</v>
      </c>
      <c r="G94" s="510" t="s">
        <v>670</v>
      </c>
      <c r="H94" s="529">
        <v>7</v>
      </c>
      <c r="I94" s="529">
        <v>4</v>
      </c>
      <c r="J94" s="529">
        <v>4</v>
      </c>
      <c r="K94" s="529">
        <v>0</v>
      </c>
      <c r="L94" s="529">
        <v>0</v>
      </c>
      <c r="M94" s="529">
        <v>0</v>
      </c>
      <c r="N94" s="529">
        <v>0</v>
      </c>
      <c r="O94" s="529">
        <v>0</v>
      </c>
      <c r="P94" s="529">
        <v>0</v>
      </c>
      <c r="Q94" s="529">
        <v>0</v>
      </c>
    </row>
    <row r="95" spans="1:17" ht="15.75" customHeight="1" x14ac:dyDescent="0.2">
      <c r="A95" s="529">
        <v>87</v>
      </c>
      <c r="B95" s="529" t="s">
        <v>254</v>
      </c>
      <c r="C95" s="516" t="s">
        <v>62</v>
      </c>
      <c r="D95" s="529" t="s">
        <v>63</v>
      </c>
      <c r="E95" s="529" t="s">
        <v>239</v>
      </c>
      <c r="F95" s="529" t="s">
        <v>255</v>
      </c>
      <c r="G95" s="510" t="s">
        <v>670</v>
      </c>
      <c r="H95" s="529">
        <v>11</v>
      </c>
      <c r="I95" s="529">
        <v>9</v>
      </c>
      <c r="J95" s="529">
        <v>12</v>
      </c>
      <c r="K95" s="529">
        <v>11766.59</v>
      </c>
      <c r="L95" s="529">
        <v>11766.59</v>
      </c>
      <c r="M95" s="529">
        <v>0</v>
      </c>
      <c r="N95" s="529">
        <v>0</v>
      </c>
      <c r="O95" s="529">
        <v>0</v>
      </c>
      <c r="P95" s="529">
        <v>0</v>
      </c>
      <c r="Q95" s="529">
        <v>0</v>
      </c>
    </row>
    <row r="96" spans="1:17" ht="15.75" customHeight="1" x14ac:dyDescent="0.2">
      <c r="A96" s="529">
        <v>88</v>
      </c>
      <c r="B96" s="529" t="s">
        <v>256</v>
      </c>
      <c r="C96" s="516" t="s">
        <v>62</v>
      </c>
      <c r="D96" s="529" t="s">
        <v>63</v>
      </c>
      <c r="E96" s="529" t="s">
        <v>158</v>
      </c>
      <c r="F96" s="529" t="s">
        <v>257</v>
      </c>
      <c r="G96" s="510" t="s">
        <v>670</v>
      </c>
      <c r="H96" s="529">
        <v>19</v>
      </c>
      <c r="I96" s="529">
        <v>10</v>
      </c>
      <c r="J96" s="529">
        <v>10</v>
      </c>
      <c r="K96" s="529">
        <v>7885.09</v>
      </c>
      <c r="L96" s="529">
        <v>7885.09</v>
      </c>
      <c r="M96" s="529">
        <v>0</v>
      </c>
      <c r="N96" s="529">
        <v>0</v>
      </c>
      <c r="O96" s="529">
        <v>0</v>
      </c>
      <c r="P96" s="529">
        <v>0</v>
      </c>
      <c r="Q96" s="529">
        <v>0</v>
      </c>
    </row>
    <row r="97" spans="1:17" ht="15.75" customHeight="1" x14ac:dyDescent="0.2">
      <c r="A97" s="529">
        <v>89</v>
      </c>
      <c r="B97" s="529" t="s">
        <v>643</v>
      </c>
      <c r="C97" s="516" t="s">
        <v>62</v>
      </c>
      <c r="D97" s="529" t="s">
        <v>63</v>
      </c>
      <c r="E97" s="529" t="s">
        <v>313</v>
      </c>
      <c r="F97" s="529" t="s">
        <v>663</v>
      </c>
      <c r="G97" s="510" t="s">
        <v>670</v>
      </c>
      <c r="H97" s="529">
        <v>11</v>
      </c>
      <c r="I97" s="529">
        <v>6</v>
      </c>
      <c r="J97" s="529">
        <v>7</v>
      </c>
      <c r="K97" s="529">
        <v>1723.18</v>
      </c>
      <c r="L97" s="529">
        <v>1723.18</v>
      </c>
      <c r="M97" s="529">
        <v>0</v>
      </c>
      <c r="N97" s="529">
        <v>0</v>
      </c>
      <c r="O97" s="529">
        <v>0</v>
      </c>
      <c r="P97" s="529">
        <v>0</v>
      </c>
      <c r="Q97" s="529">
        <v>0</v>
      </c>
    </row>
    <row r="98" spans="1:17" ht="15.75" customHeight="1" x14ac:dyDescent="0.2">
      <c r="A98" s="529">
        <v>90</v>
      </c>
      <c r="B98" s="529" t="s">
        <v>258</v>
      </c>
      <c r="C98" s="516" t="s">
        <v>62</v>
      </c>
      <c r="D98" s="529" t="s">
        <v>63</v>
      </c>
      <c r="E98" s="529" t="s">
        <v>239</v>
      </c>
      <c r="F98" s="529" t="s">
        <v>259</v>
      </c>
      <c r="G98" s="510" t="s">
        <v>670</v>
      </c>
      <c r="H98" s="529">
        <v>40</v>
      </c>
      <c r="I98" s="529">
        <v>30</v>
      </c>
      <c r="J98" s="529">
        <v>35</v>
      </c>
      <c r="K98" s="529">
        <v>42977.760000000002</v>
      </c>
      <c r="L98" s="529">
        <v>42977.760000000002</v>
      </c>
      <c r="M98" s="529">
        <v>0</v>
      </c>
      <c r="N98" s="529">
        <v>0</v>
      </c>
      <c r="O98" s="529">
        <v>0</v>
      </c>
      <c r="P98" s="529">
        <v>0</v>
      </c>
      <c r="Q98" s="529">
        <v>0</v>
      </c>
    </row>
    <row r="99" spans="1:17" ht="15.75" customHeight="1" x14ac:dyDescent="0.2">
      <c r="A99" s="529">
        <v>91</v>
      </c>
      <c r="B99" s="529" t="s">
        <v>42</v>
      </c>
      <c r="C99" s="516" t="s">
        <v>62</v>
      </c>
      <c r="D99" s="529" t="s">
        <v>63</v>
      </c>
      <c r="E99" s="529" t="s">
        <v>78</v>
      </c>
      <c r="F99" s="529" t="s">
        <v>260</v>
      </c>
      <c r="G99" s="510" t="s">
        <v>670</v>
      </c>
      <c r="H99" s="529">
        <v>53</v>
      </c>
      <c r="I99" s="529">
        <v>42</v>
      </c>
      <c r="J99" s="529">
        <v>52</v>
      </c>
      <c r="K99" s="529">
        <v>105749.62</v>
      </c>
      <c r="L99" s="529">
        <v>102029.77</v>
      </c>
      <c r="M99" s="529">
        <v>3719.85</v>
      </c>
      <c r="N99" s="529">
        <v>38</v>
      </c>
      <c r="O99" s="529">
        <v>157669.39000000001</v>
      </c>
      <c r="P99" s="529">
        <v>157669.39000000001</v>
      </c>
      <c r="Q99" s="529">
        <v>0</v>
      </c>
    </row>
    <row r="100" spans="1:17" ht="15.75" customHeight="1" x14ac:dyDescent="0.2">
      <c r="A100" s="529">
        <v>92</v>
      </c>
      <c r="B100" s="529" t="s">
        <v>43</v>
      </c>
      <c r="C100" s="516" t="s">
        <v>62</v>
      </c>
      <c r="D100" s="529" t="s">
        <v>63</v>
      </c>
      <c r="E100" s="529" t="s">
        <v>72</v>
      </c>
      <c r="F100" s="529" t="s">
        <v>261</v>
      </c>
      <c r="G100" s="510" t="s">
        <v>670</v>
      </c>
      <c r="H100" s="529">
        <v>32</v>
      </c>
      <c r="I100" s="529">
        <v>23</v>
      </c>
      <c r="J100" s="529">
        <v>30</v>
      </c>
      <c r="K100" s="529">
        <v>43931.31</v>
      </c>
      <c r="L100" s="529">
        <v>43931.31</v>
      </c>
      <c r="M100" s="529">
        <v>0</v>
      </c>
      <c r="N100" s="529">
        <v>53</v>
      </c>
      <c r="O100" s="529">
        <v>199828.54</v>
      </c>
      <c r="P100" s="529">
        <v>199828.54</v>
      </c>
      <c r="Q100" s="529">
        <v>0</v>
      </c>
    </row>
    <row r="101" spans="1:17" ht="15.75" customHeight="1" x14ac:dyDescent="0.2">
      <c r="A101" s="529">
        <v>93</v>
      </c>
      <c r="B101" s="529" t="s">
        <v>44</v>
      </c>
      <c r="C101" s="516" t="s">
        <v>62</v>
      </c>
      <c r="D101" s="529" t="s">
        <v>63</v>
      </c>
      <c r="E101" s="529" t="s">
        <v>74</v>
      </c>
      <c r="F101" s="529" t="s">
        <v>262</v>
      </c>
      <c r="G101" s="510" t="s">
        <v>670</v>
      </c>
      <c r="H101" s="529">
        <v>55</v>
      </c>
      <c r="I101" s="529">
        <v>39</v>
      </c>
      <c r="J101" s="529">
        <v>45</v>
      </c>
      <c r="K101" s="529">
        <v>33316.980000000003</v>
      </c>
      <c r="L101" s="529">
        <v>33316.980000000003</v>
      </c>
      <c r="M101" s="529">
        <v>0</v>
      </c>
      <c r="N101" s="529">
        <v>44</v>
      </c>
      <c r="O101" s="529">
        <v>148820.37</v>
      </c>
      <c r="P101" s="529">
        <v>148820.37</v>
      </c>
      <c r="Q101" s="529">
        <v>0</v>
      </c>
    </row>
    <row r="102" spans="1:17" ht="15.75" customHeight="1" x14ac:dyDescent="0.2">
      <c r="A102" s="529">
        <v>94</v>
      </c>
      <c r="B102" s="529" t="s">
        <v>45</v>
      </c>
      <c r="C102" s="516" t="s">
        <v>62</v>
      </c>
      <c r="D102" s="529" t="s">
        <v>63</v>
      </c>
      <c r="E102" s="529" t="s">
        <v>79</v>
      </c>
      <c r="F102" s="529" t="s">
        <v>263</v>
      </c>
      <c r="G102" s="510" t="s">
        <v>670</v>
      </c>
      <c r="H102" s="529">
        <v>16</v>
      </c>
      <c r="I102" s="529">
        <v>12</v>
      </c>
      <c r="J102" s="529">
        <v>19</v>
      </c>
      <c r="K102" s="529">
        <v>32539.22</v>
      </c>
      <c r="L102" s="529">
        <v>32539.22</v>
      </c>
      <c r="M102" s="529">
        <v>0</v>
      </c>
      <c r="N102" s="529">
        <v>6</v>
      </c>
      <c r="O102" s="529">
        <v>25980.78</v>
      </c>
      <c r="P102" s="529">
        <v>25980.78</v>
      </c>
      <c r="Q102" s="529">
        <v>0</v>
      </c>
    </row>
    <row r="103" spans="1:17" ht="15.75" customHeight="1" x14ac:dyDescent="0.2">
      <c r="A103" s="529">
        <v>95</v>
      </c>
      <c r="B103" s="529" t="s">
        <v>264</v>
      </c>
      <c r="C103" s="516" t="s">
        <v>62</v>
      </c>
      <c r="D103" s="529" t="s">
        <v>63</v>
      </c>
      <c r="E103" s="529" t="s">
        <v>74</v>
      </c>
      <c r="F103" s="529" t="s">
        <v>265</v>
      </c>
      <c r="G103" s="510" t="s">
        <v>670</v>
      </c>
      <c r="H103" s="529">
        <v>27</v>
      </c>
      <c r="I103" s="529">
        <v>21</v>
      </c>
      <c r="J103" s="529">
        <v>25</v>
      </c>
      <c r="K103" s="529">
        <v>18935.36</v>
      </c>
      <c r="L103" s="529">
        <v>18935.36</v>
      </c>
      <c r="M103" s="529">
        <v>0</v>
      </c>
      <c r="N103" s="529">
        <v>0</v>
      </c>
      <c r="O103" s="529">
        <v>0</v>
      </c>
      <c r="P103" s="529">
        <v>0</v>
      </c>
      <c r="Q103" s="529">
        <v>0</v>
      </c>
    </row>
    <row r="104" spans="1:17" ht="15.75" customHeight="1" x14ac:dyDescent="0.2">
      <c r="A104" s="529">
        <v>96</v>
      </c>
      <c r="B104" s="529" t="s">
        <v>119</v>
      </c>
      <c r="C104" s="516" t="s">
        <v>62</v>
      </c>
      <c r="D104" s="529" t="s">
        <v>63</v>
      </c>
      <c r="E104" s="529" t="s">
        <v>108</v>
      </c>
      <c r="F104" s="529" t="s">
        <v>266</v>
      </c>
      <c r="G104" s="510" t="s">
        <v>670</v>
      </c>
      <c r="H104" s="529">
        <v>22</v>
      </c>
      <c r="I104" s="529">
        <v>17</v>
      </c>
      <c r="J104" s="529">
        <v>20</v>
      </c>
      <c r="K104" s="529">
        <v>20121.990000000002</v>
      </c>
      <c r="L104" s="529">
        <v>20121.990000000002</v>
      </c>
      <c r="M104" s="529">
        <v>0</v>
      </c>
      <c r="N104" s="529">
        <v>6</v>
      </c>
      <c r="O104" s="529">
        <v>1881.62</v>
      </c>
      <c r="P104" s="529">
        <v>1881.62</v>
      </c>
      <c r="Q104" s="529">
        <v>0</v>
      </c>
    </row>
    <row r="105" spans="1:17" ht="15.75" customHeight="1" x14ac:dyDescent="0.2">
      <c r="A105" s="529">
        <v>97</v>
      </c>
      <c r="B105" s="529" t="s">
        <v>46</v>
      </c>
      <c r="C105" s="516" t="s">
        <v>62</v>
      </c>
      <c r="D105" s="529" t="s">
        <v>63</v>
      </c>
      <c r="E105" s="529" t="s">
        <v>267</v>
      </c>
      <c r="F105" s="529" t="s">
        <v>268</v>
      </c>
      <c r="G105" s="510" t="s">
        <v>670</v>
      </c>
      <c r="H105" s="529">
        <v>29</v>
      </c>
      <c r="I105" s="529">
        <v>21</v>
      </c>
      <c r="J105" s="529">
        <v>33</v>
      </c>
      <c r="K105" s="529">
        <v>60965.35</v>
      </c>
      <c r="L105" s="529">
        <v>60965.35</v>
      </c>
      <c r="M105" s="529">
        <v>0</v>
      </c>
      <c r="N105" s="529">
        <v>28</v>
      </c>
      <c r="O105" s="529">
        <v>125896.58</v>
      </c>
      <c r="P105" s="529">
        <v>125896.58</v>
      </c>
      <c r="Q105" s="529">
        <v>0</v>
      </c>
    </row>
    <row r="106" spans="1:17" ht="15.75" customHeight="1" x14ac:dyDescent="0.2">
      <c r="A106" s="529">
        <v>98</v>
      </c>
      <c r="B106" s="529" t="s">
        <v>47</v>
      </c>
      <c r="C106" s="516" t="s">
        <v>62</v>
      </c>
      <c r="D106" s="529" t="s">
        <v>63</v>
      </c>
      <c r="E106" s="529" t="s">
        <v>80</v>
      </c>
      <c r="F106" s="529" t="s">
        <v>269</v>
      </c>
      <c r="G106" s="510" t="s">
        <v>670</v>
      </c>
      <c r="H106" s="529">
        <v>99</v>
      </c>
      <c r="I106" s="529">
        <v>81</v>
      </c>
      <c r="J106" s="529">
        <v>127</v>
      </c>
      <c r="K106" s="529">
        <v>235508.95</v>
      </c>
      <c r="L106" s="529">
        <v>201196.12</v>
      </c>
      <c r="M106" s="529">
        <v>34312.83</v>
      </c>
      <c r="N106" s="529">
        <v>128</v>
      </c>
      <c r="O106" s="529">
        <v>480608.94</v>
      </c>
      <c r="P106" s="529">
        <v>377678.74</v>
      </c>
      <c r="Q106" s="529">
        <v>102930.2</v>
      </c>
    </row>
    <row r="107" spans="1:17" ht="15.75" customHeight="1" x14ac:dyDescent="0.2">
      <c r="A107" s="529">
        <v>99</v>
      </c>
      <c r="B107" s="529" t="s">
        <v>270</v>
      </c>
      <c r="C107" s="516" t="s">
        <v>62</v>
      </c>
      <c r="D107" s="529" t="s">
        <v>63</v>
      </c>
      <c r="E107" s="529" t="s">
        <v>271</v>
      </c>
      <c r="F107" s="529" t="s">
        <v>272</v>
      </c>
      <c r="G107" s="510" t="s">
        <v>670</v>
      </c>
      <c r="H107" s="529">
        <v>18</v>
      </c>
      <c r="I107" s="529">
        <v>11</v>
      </c>
      <c r="J107" s="529">
        <v>17</v>
      </c>
      <c r="K107" s="529">
        <v>23603.22</v>
      </c>
      <c r="L107" s="529">
        <v>23603.22</v>
      </c>
      <c r="M107" s="529">
        <v>0</v>
      </c>
      <c r="N107" s="529">
        <v>0</v>
      </c>
      <c r="O107" s="529">
        <v>0</v>
      </c>
      <c r="P107" s="529">
        <v>0</v>
      </c>
      <c r="Q107" s="529">
        <v>0</v>
      </c>
    </row>
    <row r="108" spans="1:17" ht="15.75" customHeight="1" x14ac:dyDescent="0.2">
      <c r="A108" s="529">
        <v>100</v>
      </c>
      <c r="B108" s="529" t="s">
        <v>621</v>
      </c>
      <c r="C108" s="516" t="s">
        <v>62</v>
      </c>
      <c r="D108" s="529" t="s">
        <v>63</v>
      </c>
      <c r="E108" s="529" t="s">
        <v>239</v>
      </c>
      <c r="F108" s="529" t="s">
        <v>664</v>
      </c>
      <c r="G108" s="510" t="s">
        <v>670</v>
      </c>
      <c r="H108" s="529">
        <v>16</v>
      </c>
      <c r="I108" s="529">
        <v>11</v>
      </c>
      <c r="J108" s="529">
        <v>11</v>
      </c>
      <c r="K108" s="529">
        <v>0</v>
      </c>
      <c r="L108" s="529">
        <v>0</v>
      </c>
      <c r="M108" s="529">
        <v>0</v>
      </c>
      <c r="N108" s="529">
        <v>0</v>
      </c>
      <c r="O108" s="529">
        <v>0</v>
      </c>
      <c r="P108" s="529">
        <v>0</v>
      </c>
      <c r="Q108" s="529">
        <v>0</v>
      </c>
    </row>
    <row r="109" spans="1:17" ht="15.75" customHeight="1" x14ac:dyDescent="0.2">
      <c r="A109" s="529">
        <v>101</v>
      </c>
      <c r="B109" s="529" t="s">
        <v>723</v>
      </c>
      <c r="C109" s="516" t="s">
        <v>62</v>
      </c>
      <c r="D109" s="529" t="s">
        <v>63</v>
      </c>
      <c r="E109" s="529" t="s">
        <v>242</v>
      </c>
      <c r="F109" s="529" t="s">
        <v>775</v>
      </c>
      <c r="G109" s="510" t="s">
        <v>670</v>
      </c>
      <c r="H109" s="529">
        <v>4</v>
      </c>
      <c r="I109" s="529">
        <v>0</v>
      </c>
      <c r="J109" s="529">
        <v>0</v>
      </c>
      <c r="K109" s="529">
        <v>0</v>
      </c>
      <c r="L109" s="529">
        <v>0</v>
      </c>
      <c r="M109" s="529">
        <v>0</v>
      </c>
      <c r="N109" s="529">
        <v>0</v>
      </c>
      <c r="O109" s="529">
        <v>0</v>
      </c>
      <c r="P109" s="529">
        <v>0</v>
      </c>
      <c r="Q109" s="529">
        <v>0</v>
      </c>
    </row>
    <row r="110" spans="1:17" ht="15.75" customHeight="1" x14ac:dyDescent="0.2">
      <c r="A110" s="529">
        <v>102</v>
      </c>
      <c r="B110" s="529" t="s">
        <v>273</v>
      </c>
      <c r="C110" s="516" t="s">
        <v>62</v>
      </c>
      <c r="D110" s="529" t="s">
        <v>63</v>
      </c>
      <c r="E110" s="529" t="s">
        <v>186</v>
      </c>
      <c r="F110" s="529" t="s">
        <v>511</v>
      </c>
      <c r="G110" s="510" t="s">
        <v>670</v>
      </c>
      <c r="H110" s="529">
        <v>11</v>
      </c>
      <c r="I110" s="529">
        <v>0</v>
      </c>
      <c r="J110" s="529">
        <v>0</v>
      </c>
      <c r="K110" s="529">
        <v>0</v>
      </c>
      <c r="L110" s="529">
        <v>0</v>
      </c>
      <c r="M110" s="529">
        <v>0</v>
      </c>
      <c r="N110" s="529">
        <v>0</v>
      </c>
      <c r="O110" s="529">
        <v>0</v>
      </c>
      <c r="P110" s="529">
        <v>0</v>
      </c>
      <c r="Q110" s="529">
        <v>0</v>
      </c>
    </row>
    <row r="111" spans="1:17" ht="15.75" customHeight="1" x14ac:dyDescent="0.2">
      <c r="A111" s="529">
        <v>103</v>
      </c>
      <c r="B111" s="529" t="s">
        <v>490</v>
      </c>
      <c r="C111" s="516" t="s">
        <v>62</v>
      </c>
      <c r="D111" s="529" t="s">
        <v>63</v>
      </c>
      <c r="E111" s="529" t="s">
        <v>491</v>
      </c>
      <c r="F111" s="529" t="s">
        <v>492</v>
      </c>
      <c r="G111" s="510" t="s">
        <v>670</v>
      </c>
      <c r="H111" s="529">
        <v>18</v>
      </c>
      <c r="I111" s="529">
        <v>10</v>
      </c>
      <c r="J111" s="529">
        <v>12</v>
      </c>
      <c r="K111" s="529">
        <v>10195.18</v>
      </c>
      <c r="L111" s="529">
        <v>10195.18</v>
      </c>
      <c r="M111" s="529">
        <v>0</v>
      </c>
      <c r="N111" s="529">
        <v>0</v>
      </c>
      <c r="O111" s="529">
        <v>0</v>
      </c>
      <c r="P111" s="529">
        <v>0</v>
      </c>
      <c r="Q111" s="529">
        <v>0</v>
      </c>
    </row>
    <row r="112" spans="1:17" ht="15.75" customHeight="1" x14ac:dyDescent="0.2">
      <c r="A112" s="529">
        <v>104</v>
      </c>
      <c r="B112" s="529" t="s">
        <v>94</v>
      </c>
      <c r="C112" s="516" t="s">
        <v>62</v>
      </c>
      <c r="D112" s="529" t="s">
        <v>63</v>
      </c>
      <c r="E112" s="529" t="s">
        <v>74</v>
      </c>
      <c r="F112" s="529" t="s">
        <v>274</v>
      </c>
      <c r="G112" s="510" t="s">
        <v>670</v>
      </c>
      <c r="H112" s="529">
        <v>22</v>
      </c>
      <c r="I112" s="529">
        <v>7</v>
      </c>
      <c r="J112" s="529">
        <v>7</v>
      </c>
      <c r="K112" s="529">
        <v>9135.6200000000008</v>
      </c>
      <c r="L112" s="529">
        <v>9135.6200000000008</v>
      </c>
      <c r="M112" s="529">
        <v>0</v>
      </c>
      <c r="N112" s="529">
        <v>7</v>
      </c>
      <c r="O112" s="529">
        <v>9361.67</v>
      </c>
      <c r="P112" s="529">
        <v>9361.67</v>
      </c>
      <c r="Q112" s="529">
        <v>0</v>
      </c>
    </row>
    <row r="113" spans="1:17" ht="15.75" customHeight="1" x14ac:dyDescent="0.2">
      <c r="A113" s="529">
        <v>105</v>
      </c>
      <c r="B113" s="529" t="s">
        <v>120</v>
      </c>
      <c r="C113" s="516" t="s">
        <v>67</v>
      </c>
      <c r="D113" s="529" t="s">
        <v>493</v>
      </c>
      <c r="E113" s="529" t="s">
        <v>121</v>
      </c>
      <c r="F113" s="529" t="s">
        <v>468</v>
      </c>
      <c r="G113" s="510" t="s">
        <v>670</v>
      </c>
      <c r="H113" s="529">
        <v>16</v>
      </c>
      <c r="I113" s="529">
        <v>12</v>
      </c>
      <c r="J113" s="529">
        <v>14</v>
      </c>
      <c r="K113" s="529">
        <v>11996.24</v>
      </c>
      <c r="L113" s="529">
        <v>11996.24</v>
      </c>
      <c r="M113" s="529">
        <v>0</v>
      </c>
      <c r="N113" s="529">
        <v>0</v>
      </c>
      <c r="O113" s="529">
        <v>0</v>
      </c>
      <c r="P113" s="529">
        <v>0</v>
      </c>
      <c r="Q113" s="529">
        <v>0</v>
      </c>
    </row>
    <row r="114" spans="1:17" ht="15.75" customHeight="1" x14ac:dyDescent="0.2">
      <c r="A114" s="529">
        <v>106</v>
      </c>
      <c r="B114" s="529" t="s">
        <v>407</v>
      </c>
      <c r="C114" s="516" t="s">
        <v>62</v>
      </c>
      <c r="D114" s="529"/>
      <c r="E114" s="529" t="s">
        <v>186</v>
      </c>
      <c r="F114" s="529" t="s">
        <v>512</v>
      </c>
      <c r="G114" s="510" t="s">
        <v>670</v>
      </c>
      <c r="H114" s="529">
        <v>10</v>
      </c>
      <c r="I114" s="529">
        <v>5</v>
      </c>
      <c r="J114" s="529">
        <v>6</v>
      </c>
      <c r="K114" s="529">
        <v>4577.1000000000004</v>
      </c>
      <c r="L114" s="529">
        <v>4577.1000000000004</v>
      </c>
      <c r="M114" s="529">
        <v>0</v>
      </c>
      <c r="N114" s="529">
        <v>0</v>
      </c>
      <c r="O114" s="529">
        <v>0</v>
      </c>
      <c r="P114" s="529">
        <v>0</v>
      </c>
      <c r="Q114" s="529">
        <v>0</v>
      </c>
    </row>
    <row r="115" spans="1:17" ht="15.75" customHeight="1" x14ac:dyDescent="0.2">
      <c r="A115" s="529">
        <v>107</v>
      </c>
      <c r="B115" s="529" t="s">
        <v>754</v>
      </c>
      <c r="C115" s="516" t="s">
        <v>62</v>
      </c>
      <c r="D115" s="529" t="s">
        <v>63</v>
      </c>
      <c r="E115" s="529" t="s">
        <v>121</v>
      </c>
      <c r="F115" s="529" t="s">
        <v>755</v>
      </c>
      <c r="G115" s="510" t="s">
        <v>670</v>
      </c>
      <c r="H115" s="529">
        <v>2</v>
      </c>
      <c r="I115" s="529">
        <v>0</v>
      </c>
      <c r="J115" s="529">
        <v>0</v>
      </c>
      <c r="K115" s="529">
        <v>0</v>
      </c>
      <c r="L115" s="529">
        <v>0</v>
      </c>
      <c r="M115" s="529">
        <v>0</v>
      </c>
      <c r="N115" s="529">
        <v>0</v>
      </c>
      <c r="O115" s="529">
        <v>0</v>
      </c>
      <c r="P115" s="529">
        <v>0</v>
      </c>
      <c r="Q115" s="529">
        <v>0</v>
      </c>
    </row>
    <row r="116" spans="1:17" ht="15.75" customHeight="1" x14ac:dyDescent="0.2">
      <c r="A116" s="529">
        <v>108</v>
      </c>
      <c r="B116" s="529" t="s">
        <v>122</v>
      </c>
      <c r="C116" s="516" t="s">
        <v>62</v>
      </c>
      <c r="D116" s="529" t="s">
        <v>63</v>
      </c>
      <c r="E116" s="529" t="s">
        <v>275</v>
      </c>
      <c r="F116" s="529" t="s">
        <v>276</v>
      </c>
      <c r="G116" s="510" t="s">
        <v>670</v>
      </c>
      <c r="H116" s="529">
        <v>15</v>
      </c>
      <c r="I116" s="529">
        <v>15</v>
      </c>
      <c r="J116" s="529">
        <v>23</v>
      </c>
      <c r="K116" s="529">
        <v>18022.7</v>
      </c>
      <c r="L116" s="529">
        <v>18022.7</v>
      </c>
      <c r="M116" s="529">
        <v>0</v>
      </c>
      <c r="N116" s="529">
        <v>5</v>
      </c>
      <c r="O116" s="529">
        <v>9159.1299999999992</v>
      </c>
      <c r="P116" s="529">
        <v>9159.1299999999992</v>
      </c>
      <c r="Q116" s="529">
        <v>0</v>
      </c>
    </row>
    <row r="117" spans="1:17" ht="15.75" customHeight="1" x14ac:dyDescent="0.2">
      <c r="A117" s="529">
        <v>109</v>
      </c>
      <c r="B117" s="529" t="s">
        <v>133</v>
      </c>
      <c r="C117" s="516" t="s">
        <v>67</v>
      </c>
      <c r="D117" s="529" t="s">
        <v>494</v>
      </c>
      <c r="E117" s="529" t="s">
        <v>74</v>
      </c>
      <c r="F117" s="529" t="s">
        <v>577</v>
      </c>
      <c r="G117" s="510" t="s">
        <v>670</v>
      </c>
      <c r="H117" s="529">
        <v>14</v>
      </c>
      <c r="I117" s="529">
        <v>10</v>
      </c>
      <c r="J117" s="529">
        <v>14</v>
      </c>
      <c r="K117" s="529">
        <v>24017.200000000001</v>
      </c>
      <c r="L117" s="529">
        <v>24017.200000000001</v>
      </c>
      <c r="M117" s="529">
        <v>0</v>
      </c>
      <c r="N117" s="529">
        <v>0</v>
      </c>
      <c r="O117" s="529">
        <v>0</v>
      </c>
      <c r="P117" s="529">
        <v>0</v>
      </c>
      <c r="Q117" s="529">
        <v>0</v>
      </c>
    </row>
    <row r="118" spans="1:17" ht="15.75" customHeight="1" x14ac:dyDescent="0.2">
      <c r="A118" s="529">
        <v>110</v>
      </c>
      <c r="B118" s="529" t="s">
        <v>96</v>
      </c>
      <c r="C118" s="516" t="s">
        <v>62</v>
      </c>
      <c r="D118" s="529" t="s">
        <v>63</v>
      </c>
      <c r="E118" s="529" t="s">
        <v>98</v>
      </c>
      <c r="F118" s="529" t="s">
        <v>277</v>
      </c>
      <c r="G118" s="510" t="s">
        <v>670</v>
      </c>
      <c r="H118" s="529">
        <v>42</v>
      </c>
      <c r="I118" s="529">
        <v>10</v>
      </c>
      <c r="J118" s="529">
        <v>12</v>
      </c>
      <c r="K118" s="529">
        <v>22080.639999999999</v>
      </c>
      <c r="L118" s="529">
        <v>22080.639999999999</v>
      </c>
      <c r="M118" s="529">
        <v>0</v>
      </c>
      <c r="N118" s="529">
        <v>11</v>
      </c>
      <c r="O118" s="529">
        <v>47171.47</v>
      </c>
      <c r="P118" s="529">
        <v>47171.47</v>
      </c>
      <c r="Q118" s="529">
        <v>0</v>
      </c>
    </row>
    <row r="119" spans="1:17" ht="15.75" customHeight="1" x14ac:dyDescent="0.2">
      <c r="A119" s="529">
        <v>111</v>
      </c>
      <c r="B119" s="529" t="s">
        <v>48</v>
      </c>
      <c r="C119" s="516" t="s">
        <v>62</v>
      </c>
      <c r="D119" s="529" t="s">
        <v>63</v>
      </c>
      <c r="E119" s="529" t="s">
        <v>81</v>
      </c>
      <c r="F119" s="529" t="s">
        <v>278</v>
      </c>
      <c r="G119" s="510" t="s">
        <v>670</v>
      </c>
      <c r="H119" s="529">
        <v>61</v>
      </c>
      <c r="I119" s="529">
        <v>47</v>
      </c>
      <c r="J119" s="529">
        <v>74</v>
      </c>
      <c r="K119" s="529">
        <v>87897.82</v>
      </c>
      <c r="L119" s="529">
        <v>87897.82</v>
      </c>
      <c r="M119" s="529">
        <v>0</v>
      </c>
      <c r="N119" s="529">
        <v>21</v>
      </c>
      <c r="O119" s="529">
        <v>79680.25</v>
      </c>
      <c r="P119" s="529">
        <v>79680.25</v>
      </c>
      <c r="Q119" s="529">
        <v>0</v>
      </c>
    </row>
    <row r="120" spans="1:17" ht="15.75" customHeight="1" x14ac:dyDescent="0.2">
      <c r="A120" s="529">
        <v>112</v>
      </c>
      <c r="B120" s="529" t="s">
        <v>49</v>
      </c>
      <c r="C120" s="516" t="s">
        <v>62</v>
      </c>
      <c r="D120" s="529" t="s">
        <v>63</v>
      </c>
      <c r="E120" s="529" t="s">
        <v>74</v>
      </c>
      <c r="F120" s="529" t="s">
        <v>279</v>
      </c>
      <c r="G120" s="510" t="s">
        <v>670</v>
      </c>
      <c r="H120" s="529">
        <v>29</v>
      </c>
      <c r="I120" s="529">
        <v>23</v>
      </c>
      <c r="J120" s="529">
        <v>28</v>
      </c>
      <c r="K120" s="529">
        <v>44048.7</v>
      </c>
      <c r="L120" s="529">
        <v>44048.7</v>
      </c>
      <c r="M120" s="529">
        <v>0</v>
      </c>
      <c r="N120" s="529">
        <v>7</v>
      </c>
      <c r="O120" s="529">
        <v>40198.959999999999</v>
      </c>
      <c r="P120" s="529">
        <v>40198.959999999999</v>
      </c>
      <c r="Q120" s="529">
        <v>0</v>
      </c>
    </row>
    <row r="121" spans="1:17" ht="15.75" customHeight="1" x14ac:dyDescent="0.2">
      <c r="A121" s="529">
        <v>113</v>
      </c>
      <c r="B121" s="529" t="s">
        <v>50</v>
      </c>
      <c r="C121" s="516" t="s">
        <v>67</v>
      </c>
      <c r="D121" s="529" t="s">
        <v>123</v>
      </c>
      <c r="E121" s="529" t="s">
        <v>82</v>
      </c>
      <c r="F121" s="529" t="s">
        <v>280</v>
      </c>
      <c r="G121" s="510" t="s">
        <v>670</v>
      </c>
      <c r="H121" s="529">
        <v>8</v>
      </c>
      <c r="I121" s="529">
        <v>4</v>
      </c>
      <c r="J121" s="529">
        <v>4</v>
      </c>
      <c r="K121" s="529">
        <v>12811.52</v>
      </c>
      <c r="L121" s="529">
        <v>12811.52</v>
      </c>
      <c r="M121" s="529">
        <v>0</v>
      </c>
      <c r="N121" s="529">
        <v>5</v>
      </c>
      <c r="O121" s="529">
        <v>21689.57</v>
      </c>
      <c r="P121" s="529">
        <v>21689.57</v>
      </c>
      <c r="Q121" s="529">
        <v>0</v>
      </c>
    </row>
    <row r="122" spans="1:17" ht="15.75" customHeight="1" x14ac:dyDescent="0.2">
      <c r="A122" s="529">
        <v>114</v>
      </c>
      <c r="B122" s="529" t="s">
        <v>281</v>
      </c>
      <c r="C122" s="516" t="s">
        <v>62</v>
      </c>
      <c r="D122" s="529"/>
      <c r="E122" s="529" t="s">
        <v>282</v>
      </c>
      <c r="F122" s="529" t="s">
        <v>283</v>
      </c>
      <c r="G122" s="510" t="s">
        <v>670</v>
      </c>
      <c r="H122" s="529">
        <v>28</v>
      </c>
      <c r="I122" s="529">
        <v>5</v>
      </c>
      <c r="J122" s="529">
        <v>5</v>
      </c>
      <c r="K122" s="529">
        <v>2685.29</v>
      </c>
      <c r="L122" s="529">
        <v>2685.29</v>
      </c>
      <c r="M122" s="529">
        <v>0</v>
      </c>
      <c r="N122" s="529">
        <v>0</v>
      </c>
      <c r="O122" s="529">
        <v>0</v>
      </c>
      <c r="P122" s="529">
        <v>0</v>
      </c>
      <c r="Q122" s="529">
        <v>0</v>
      </c>
    </row>
    <row r="123" spans="1:17" ht="15.75" customHeight="1" x14ac:dyDescent="0.2">
      <c r="A123" s="529">
        <v>115</v>
      </c>
      <c r="B123" s="529" t="s">
        <v>124</v>
      </c>
      <c r="C123" s="516" t="s">
        <v>62</v>
      </c>
      <c r="D123" s="529" t="s">
        <v>63</v>
      </c>
      <c r="E123" s="529" t="s">
        <v>63</v>
      </c>
      <c r="F123" s="529" t="s">
        <v>284</v>
      </c>
      <c r="G123" s="510" t="s">
        <v>670</v>
      </c>
      <c r="H123" s="529">
        <v>38</v>
      </c>
      <c r="I123" s="529">
        <v>34</v>
      </c>
      <c r="J123" s="529">
        <v>47</v>
      </c>
      <c r="K123" s="529">
        <v>58265.41</v>
      </c>
      <c r="L123" s="529">
        <v>58265.41</v>
      </c>
      <c r="M123" s="529">
        <v>0</v>
      </c>
      <c r="N123" s="529">
        <v>17</v>
      </c>
      <c r="O123" s="529">
        <v>21019.74</v>
      </c>
      <c r="P123" s="529">
        <v>21019.74</v>
      </c>
      <c r="Q123" s="529">
        <v>0</v>
      </c>
    </row>
    <row r="124" spans="1:17" ht="15.75" customHeight="1" x14ac:dyDescent="0.2">
      <c r="A124" s="529">
        <v>116</v>
      </c>
      <c r="B124" s="529" t="s">
        <v>51</v>
      </c>
      <c r="C124" s="516" t="s">
        <v>62</v>
      </c>
      <c r="D124" s="529" t="s">
        <v>63</v>
      </c>
      <c r="E124" s="529" t="s">
        <v>74</v>
      </c>
      <c r="F124" s="529" t="s">
        <v>285</v>
      </c>
      <c r="G124" s="510" t="s">
        <v>670</v>
      </c>
      <c r="H124" s="529">
        <v>23</v>
      </c>
      <c r="I124" s="529">
        <v>15</v>
      </c>
      <c r="J124" s="529">
        <v>15</v>
      </c>
      <c r="K124" s="529">
        <v>5873.82</v>
      </c>
      <c r="L124" s="529">
        <v>5873.82</v>
      </c>
      <c r="M124" s="529">
        <v>0</v>
      </c>
      <c r="N124" s="529">
        <v>10</v>
      </c>
      <c r="O124" s="529">
        <v>1797.24</v>
      </c>
      <c r="P124" s="529">
        <v>1797.24</v>
      </c>
      <c r="Q124" s="529">
        <v>0</v>
      </c>
    </row>
    <row r="125" spans="1:17" ht="15.75" customHeight="1" x14ac:dyDescent="0.2">
      <c r="A125" s="529">
        <v>117</v>
      </c>
      <c r="B125" s="529" t="s">
        <v>756</v>
      </c>
      <c r="C125" s="516" t="s">
        <v>62</v>
      </c>
      <c r="D125" s="529" t="s">
        <v>63</v>
      </c>
      <c r="E125" s="529" t="s">
        <v>74</v>
      </c>
      <c r="F125" s="529" t="s">
        <v>666</v>
      </c>
      <c r="G125" s="510" t="s">
        <v>670</v>
      </c>
      <c r="H125" s="529">
        <v>0</v>
      </c>
      <c r="I125" s="529">
        <v>0</v>
      </c>
      <c r="J125" s="529">
        <v>0</v>
      </c>
      <c r="K125" s="529">
        <v>0</v>
      </c>
      <c r="L125" s="529">
        <v>0</v>
      </c>
      <c r="M125" s="529">
        <v>0</v>
      </c>
      <c r="N125" s="529">
        <v>1</v>
      </c>
      <c r="O125" s="529">
        <v>1516.12</v>
      </c>
      <c r="P125" s="529">
        <v>1516.12</v>
      </c>
      <c r="Q125" s="529">
        <v>0</v>
      </c>
    </row>
    <row r="126" spans="1:17" ht="15.75" customHeight="1" x14ac:dyDescent="0.2">
      <c r="A126" s="529">
        <v>118</v>
      </c>
      <c r="B126" s="529" t="s">
        <v>286</v>
      </c>
      <c r="C126" s="516" t="s">
        <v>62</v>
      </c>
      <c r="D126" s="529" t="s">
        <v>63</v>
      </c>
      <c r="E126" s="529" t="s">
        <v>174</v>
      </c>
      <c r="F126" s="529" t="s">
        <v>287</v>
      </c>
      <c r="G126" s="510" t="s">
        <v>670</v>
      </c>
      <c r="H126" s="529">
        <v>21</v>
      </c>
      <c r="I126" s="529">
        <v>17</v>
      </c>
      <c r="J126" s="529">
        <v>21</v>
      </c>
      <c r="K126" s="529">
        <v>16457.87</v>
      </c>
      <c r="L126" s="529">
        <v>16457.87</v>
      </c>
      <c r="M126" s="529">
        <v>0</v>
      </c>
      <c r="N126" s="529">
        <v>0</v>
      </c>
      <c r="O126" s="529">
        <v>0</v>
      </c>
      <c r="P126" s="529">
        <v>0</v>
      </c>
      <c r="Q126" s="529">
        <v>0</v>
      </c>
    </row>
    <row r="127" spans="1:17" ht="15.75" customHeight="1" x14ac:dyDescent="0.2">
      <c r="A127" s="529">
        <v>119</v>
      </c>
      <c r="B127" s="529" t="s">
        <v>469</v>
      </c>
      <c r="C127" s="516" t="s">
        <v>62</v>
      </c>
      <c r="D127" s="529" t="s">
        <v>63</v>
      </c>
      <c r="E127" s="529" t="s">
        <v>74</v>
      </c>
      <c r="F127" s="529" t="s">
        <v>470</v>
      </c>
      <c r="G127" s="510" t="s">
        <v>670</v>
      </c>
      <c r="H127" s="529">
        <v>2</v>
      </c>
      <c r="I127" s="529">
        <v>0</v>
      </c>
      <c r="J127" s="529">
        <v>0</v>
      </c>
      <c r="K127" s="529">
        <v>0</v>
      </c>
      <c r="L127" s="529">
        <v>0</v>
      </c>
      <c r="M127" s="529">
        <v>0</v>
      </c>
      <c r="N127" s="529">
        <v>0</v>
      </c>
      <c r="O127" s="529">
        <v>0</v>
      </c>
      <c r="P127" s="529">
        <v>0</v>
      </c>
      <c r="Q127" s="529">
        <v>0</v>
      </c>
    </row>
    <row r="128" spans="1:17" ht="15.75" customHeight="1" x14ac:dyDescent="0.2">
      <c r="A128" s="529">
        <v>120</v>
      </c>
      <c r="B128" s="529" t="s">
        <v>151</v>
      </c>
      <c r="C128" s="516" t="s">
        <v>62</v>
      </c>
      <c r="D128" s="529" t="s">
        <v>63</v>
      </c>
      <c r="E128" s="529" t="s">
        <v>74</v>
      </c>
      <c r="F128" s="529" t="s">
        <v>288</v>
      </c>
      <c r="G128" s="510" t="s">
        <v>670</v>
      </c>
      <c r="H128" s="529">
        <v>10</v>
      </c>
      <c r="I128" s="529">
        <v>8</v>
      </c>
      <c r="J128" s="529">
        <v>10</v>
      </c>
      <c r="K128" s="529">
        <v>15560.06</v>
      </c>
      <c r="L128" s="529">
        <v>15560.06</v>
      </c>
      <c r="M128" s="529">
        <v>0</v>
      </c>
      <c r="N128" s="529">
        <v>7</v>
      </c>
      <c r="O128" s="529">
        <v>14253.5</v>
      </c>
      <c r="P128" s="529">
        <v>14253.5</v>
      </c>
      <c r="Q128" s="529">
        <v>0</v>
      </c>
    </row>
    <row r="129" spans="1:17" ht="15.75" customHeight="1" x14ac:dyDescent="0.2">
      <c r="A129" s="529">
        <v>121</v>
      </c>
      <c r="B129" s="529" t="s">
        <v>155</v>
      </c>
      <c r="C129" s="516" t="s">
        <v>62</v>
      </c>
      <c r="D129" s="529" t="s">
        <v>63</v>
      </c>
      <c r="E129" s="529" t="s">
        <v>74</v>
      </c>
      <c r="F129" s="529" t="s">
        <v>289</v>
      </c>
      <c r="G129" s="510" t="s">
        <v>670</v>
      </c>
      <c r="H129" s="529">
        <v>18</v>
      </c>
      <c r="I129" s="529">
        <v>10</v>
      </c>
      <c r="J129" s="529">
        <v>16</v>
      </c>
      <c r="K129" s="529">
        <v>40408.04</v>
      </c>
      <c r="L129" s="529">
        <v>40408.04</v>
      </c>
      <c r="M129" s="529">
        <v>0</v>
      </c>
      <c r="N129" s="529">
        <v>4</v>
      </c>
      <c r="O129" s="529">
        <v>36500.199999999997</v>
      </c>
      <c r="P129" s="529">
        <v>36500.199999999997</v>
      </c>
      <c r="Q129" s="529">
        <v>0</v>
      </c>
    </row>
    <row r="130" spans="1:17" ht="15.75" customHeight="1" x14ac:dyDescent="0.2">
      <c r="A130" s="529">
        <v>122</v>
      </c>
      <c r="B130" s="529" t="s">
        <v>290</v>
      </c>
      <c r="C130" s="516" t="s">
        <v>62</v>
      </c>
      <c r="D130" s="529" t="s">
        <v>63</v>
      </c>
      <c r="E130" s="529" t="s">
        <v>291</v>
      </c>
      <c r="F130" s="529" t="s">
        <v>292</v>
      </c>
      <c r="G130" s="510" t="s">
        <v>670</v>
      </c>
      <c r="H130" s="529">
        <v>41</v>
      </c>
      <c r="I130" s="529">
        <v>29</v>
      </c>
      <c r="J130" s="529">
        <v>41</v>
      </c>
      <c r="K130" s="529">
        <v>34384.86</v>
      </c>
      <c r="L130" s="529">
        <v>34384.86</v>
      </c>
      <c r="M130" s="529">
        <v>0</v>
      </c>
      <c r="N130" s="529">
        <v>0</v>
      </c>
      <c r="O130" s="529">
        <v>0</v>
      </c>
      <c r="P130" s="529">
        <v>0</v>
      </c>
      <c r="Q130" s="529">
        <v>0</v>
      </c>
    </row>
    <row r="131" spans="1:17" ht="15.75" customHeight="1" x14ac:dyDescent="0.2">
      <c r="A131" s="529">
        <v>123</v>
      </c>
      <c r="B131" s="529" t="s">
        <v>495</v>
      </c>
      <c r="C131" s="516" t="s">
        <v>62</v>
      </c>
      <c r="D131" s="529" t="s">
        <v>63</v>
      </c>
      <c r="E131" s="529" t="s">
        <v>313</v>
      </c>
      <c r="F131" s="529" t="s">
        <v>496</v>
      </c>
      <c r="G131" s="510" t="s">
        <v>670</v>
      </c>
      <c r="H131" s="529">
        <v>31</v>
      </c>
      <c r="I131" s="529">
        <v>7</v>
      </c>
      <c r="J131" s="529">
        <v>7</v>
      </c>
      <c r="K131" s="529">
        <v>9234.7099999999991</v>
      </c>
      <c r="L131" s="529">
        <v>9234.7099999999991</v>
      </c>
      <c r="M131" s="529">
        <v>0</v>
      </c>
      <c r="N131" s="529">
        <v>0</v>
      </c>
      <c r="O131" s="529">
        <v>0</v>
      </c>
      <c r="P131" s="529">
        <v>0</v>
      </c>
      <c r="Q131" s="529">
        <v>0</v>
      </c>
    </row>
    <row r="132" spans="1:17" ht="15.75" customHeight="1" x14ac:dyDescent="0.2">
      <c r="A132" s="529">
        <v>124</v>
      </c>
      <c r="B132" s="529" t="s">
        <v>134</v>
      </c>
      <c r="C132" s="516" t="s">
        <v>62</v>
      </c>
      <c r="D132" s="529" t="s">
        <v>63</v>
      </c>
      <c r="E132" s="529" t="s">
        <v>74</v>
      </c>
      <c r="F132" s="529" t="s">
        <v>293</v>
      </c>
      <c r="G132" s="510" t="s">
        <v>670</v>
      </c>
      <c r="H132" s="529">
        <v>11</v>
      </c>
      <c r="I132" s="529">
        <v>6</v>
      </c>
      <c r="J132" s="529">
        <v>7</v>
      </c>
      <c r="K132" s="529">
        <v>10480.76</v>
      </c>
      <c r="L132" s="529">
        <v>10480.76</v>
      </c>
      <c r="M132" s="529">
        <v>0</v>
      </c>
      <c r="N132" s="529">
        <v>2</v>
      </c>
      <c r="O132" s="529">
        <v>10990.78</v>
      </c>
      <c r="P132" s="529">
        <v>10990.78</v>
      </c>
      <c r="Q132" s="529">
        <v>0</v>
      </c>
    </row>
    <row r="133" spans="1:17" ht="15.75" customHeight="1" x14ac:dyDescent="0.2">
      <c r="A133" s="529">
        <v>125</v>
      </c>
      <c r="B133" s="529" t="s">
        <v>127</v>
      </c>
      <c r="C133" s="516" t="s">
        <v>62</v>
      </c>
      <c r="D133" s="529" t="s">
        <v>63</v>
      </c>
      <c r="E133" s="529" t="s">
        <v>74</v>
      </c>
      <c r="F133" s="529" t="s">
        <v>294</v>
      </c>
      <c r="G133" s="510" t="s">
        <v>670</v>
      </c>
      <c r="H133" s="529">
        <v>10</v>
      </c>
      <c r="I133" s="529">
        <v>6</v>
      </c>
      <c r="J133" s="529">
        <v>7</v>
      </c>
      <c r="K133" s="529">
        <v>5794.74</v>
      </c>
      <c r="L133" s="529">
        <v>5794.74</v>
      </c>
      <c r="M133" s="529">
        <v>0</v>
      </c>
      <c r="N133" s="529">
        <v>2</v>
      </c>
      <c r="O133" s="529">
        <v>3267.6</v>
      </c>
      <c r="P133" s="529">
        <v>3267.6</v>
      </c>
      <c r="Q133" s="529">
        <v>0</v>
      </c>
    </row>
    <row r="134" spans="1:17" ht="15.75" customHeight="1" x14ac:dyDescent="0.2">
      <c r="A134" s="529">
        <v>126</v>
      </c>
      <c r="B134" s="529" t="s">
        <v>55</v>
      </c>
      <c r="C134" s="516" t="s">
        <v>64</v>
      </c>
      <c r="D134" s="529" t="s">
        <v>66</v>
      </c>
      <c r="E134" s="529" t="s">
        <v>80</v>
      </c>
      <c r="F134" s="529" t="s">
        <v>295</v>
      </c>
      <c r="G134" s="510" t="s">
        <v>670</v>
      </c>
      <c r="H134" s="529">
        <v>11</v>
      </c>
      <c r="I134" s="529">
        <v>8</v>
      </c>
      <c r="J134" s="529">
        <v>8</v>
      </c>
      <c r="K134" s="529">
        <v>1989.43</v>
      </c>
      <c r="L134" s="529">
        <v>1989.43</v>
      </c>
      <c r="M134" s="529">
        <v>0</v>
      </c>
      <c r="N134" s="529">
        <v>4</v>
      </c>
      <c r="O134" s="529">
        <v>17287.61</v>
      </c>
      <c r="P134" s="529">
        <v>17287.61</v>
      </c>
      <c r="Q134" s="529">
        <v>0</v>
      </c>
    </row>
    <row r="135" spans="1:17" ht="15.75" customHeight="1" x14ac:dyDescent="0.2">
      <c r="A135" s="529">
        <v>127</v>
      </c>
      <c r="B135" s="529" t="s">
        <v>135</v>
      </c>
      <c r="C135" s="516" t="s">
        <v>62</v>
      </c>
      <c r="D135" s="529" t="s">
        <v>63</v>
      </c>
      <c r="E135" s="529" t="s">
        <v>63</v>
      </c>
      <c r="F135" s="529" t="s">
        <v>296</v>
      </c>
      <c r="G135" s="510" t="s">
        <v>670</v>
      </c>
      <c r="H135" s="529">
        <v>8</v>
      </c>
      <c r="I135" s="529">
        <v>3</v>
      </c>
      <c r="J135" s="529">
        <v>3</v>
      </c>
      <c r="K135" s="529">
        <v>1786.07</v>
      </c>
      <c r="L135" s="529">
        <v>1786.07</v>
      </c>
      <c r="M135" s="529">
        <v>0</v>
      </c>
      <c r="N135" s="529">
        <v>10</v>
      </c>
      <c r="O135" s="529">
        <v>18103.34</v>
      </c>
      <c r="P135" s="529">
        <v>18103.34</v>
      </c>
      <c r="Q135" s="529">
        <v>0</v>
      </c>
    </row>
    <row r="136" spans="1:17" ht="15.75" customHeight="1" x14ac:dyDescent="0.2">
      <c r="A136" s="529">
        <v>128</v>
      </c>
      <c r="B136" s="529" t="s">
        <v>128</v>
      </c>
      <c r="C136" s="516" t="s">
        <v>62</v>
      </c>
      <c r="D136" s="529" t="s">
        <v>63</v>
      </c>
      <c r="E136" s="529" t="s">
        <v>74</v>
      </c>
      <c r="F136" s="529" t="s">
        <v>297</v>
      </c>
      <c r="G136" s="510" t="s">
        <v>670</v>
      </c>
      <c r="H136" s="529">
        <v>2</v>
      </c>
      <c r="I136" s="529">
        <v>2</v>
      </c>
      <c r="J136" s="529">
        <v>2</v>
      </c>
      <c r="K136" s="529">
        <v>1303.8499999999999</v>
      </c>
      <c r="L136" s="529">
        <v>1303.8499999999999</v>
      </c>
      <c r="M136" s="529">
        <v>0</v>
      </c>
      <c r="N136" s="529">
        <v>1</v>
      </c>
      <c r="O136" s="529">
        <v>264.3</v>
      </c>
      <c r="P136" s="529">
        <v>264.3</v>
      </c>
      <c r="Q136" s="529">
        <v>0</v>
      </c>
    </row>
    <row r="137" spans="1:17" ht="15.75" customHeight="1" x14ac:dyDescent="0.2">
      <c r="A137" s="529">
        <v>129</v>
      </c>
      <c r="B137" s="529" t="s">
        <v>508</v>
      </c>
      <c r="C137" s="516" t="s">
        <v>64</v>
      </c>
      <c r="D137" s="529" t="s">
        <v>551</v>
      </c>
      <c r="E137" s="529" t="s">
        <v>313</v>
      </c>
      <c r="F137" s="529" t="s">
        <v>552</v>
      </c>
      <c r="G137" s="510" t="s">
        <v>670</v>
      </c>
      <c r="H137" s="529">
        <v>33</v>
      </c>
      <c r="I137" s="529">
        <v>24</v>
      </c>
      <c r="J137" s="529">
        <v>27</v>
      </c>
      <c r="K137" s="529">
        <v>11219.42</v>
      </c>
      <c r="L137" s="529">
        <v>11219.42</v>
      </c>
      <c r="M137" s="529">
        <v>0</v>
      </c>
      <c r="N137" s="529">
        <v>0</v>
      </c>
      <c r="O137" s="529">
        <v>0</v>
      </c>
      <c r="P137" s="529">
        <v>0</v>
      </c>
      <c r="Q137" s="529">
        <v>0</v>
      </c>
    </row>
    <row r="138" spans="1:17" ht="15.75" customHeight="1" x14ac:dyDescent="0.2">
      <c r="A138" s="529">
        <v>130</v>
      </c>
      <c r="B138" s="529" t="s">
        <v>497</v>
      </c>
      <c r="C138" s="516" t="s">
        <v>62</v>
      </c>
      <c r="D138" s="529"/>
      <c r="E138" s="529" t="s">
        <v>313</v>
      </c>
      <c r="F138" s="529" t="s">
        <v>498</v>
      </c>
      <c r="G138" s="510" t="s">
        <v>670</v>
      </c>
      <c r="H138" s="529">
        <v>71</v>
      </c>
      <c r="I138" s="529">
        <v>44</v>
      </c>
      <c r="J138" s="529">
        <v>46</v>
      </c>
      <c r="K138" s="529">
        <v>29545.75</v>
      </c>
      <c r="L138" s="529">
        <v>29545.75</v>
      </c>
      <c r="M138" s="529">
        <v>0</v>
      </c>
      <c r="N138" s="529">
        <v>0</v>
      </c>
      <c r="O138" s="529">
        <v>0</v>
      </c>
      <c r="P138" s="529">
        <v>0</v>
      </c>
      <c r="Q138" s="529">
        <v>0</v>
      </c>
    </row>
    <row r="139" spans="1:17" ht="15.75" customHeight="1" x14ac:dyDescent="0.2">
      <c r="A139" s="529">
        <v>131</v>
      </c>
      <c r="B139" s="529" t="s">
        <v>646</v>
      </c>
      <c r="C139" s="516" t="s">
        <v>62</v>
      </c>
      <c r="D139" s="529" t="s">
        <v>63</v>
      </c>
      <c r="E139" s="529" t="s">
        <v>74</v>
      </c>
      <c r="F139" s="529" t="s">
        <v>757</v>
      </c>
      <c r="G139" s="510" t="s">
        <v>670</v>
      </c>
      <c r="H139" s="529">
        <v>4</v>
      </c>
      <c r="I139" s="529">
        <v>0</v>
      </c>
      <c r="J139" s="529">
        <v>0</v>
      </c>
      <c r="K139" s="529">
        <v>0</v>
      </c>
      <c r="L139" s="529">
        <v>0</v>
      </c>
      <c r="M139" s="529">
        <v>0</v>
      </c>
      <c r="N139" s="529">
        <v>0</v>
      </c>
      <c r="O139" s="529">
        <v>0</v>
      </c>
      <c r="P139" s="529">
        <v>0</v>
      </c>
      <c r="Q139" s="529">
        <v>0</v>
      </c>
    </row>
    <row r="140" spans="1:17" ht="15.75" customHeight="1" x14ac:dyDescent="0.2">
      <c r="A140" s="529">
        <v>132</v>
      </c>
      <c r="B140" s="529" t="s">
        <v>56</v>
      </c>
      <c r="C140" s="516" t="s">
        <v>62</v>
      </c>
      <c r="D140" s="529" t="s">
        <v>63</v>
      </c>
      <c r="E140" s="529" t="s">
        <v>83</v>
      </c>
      <c r="F140" s="529" t="s">
        <v>298</v>
      </c>
      <c r="G140" s="510" t="s">
        <v>670</v>
      </c>
      <c r="H140" s="529">
        <v>109</v>
      </c>
      <c r="I140" s="529">
        <v>95</v>
      </c>
      <c r="J140" s="529">
        <v>141</v>
      </c>
      <c r="K140" s="529">
        <v>141659.84</v>
      </c>
      <c r="L140" s="529">
        <v>132938.70000000001</v>
      </c>
      <c r="M140" s="529">
        <v>8721.14</v>
      </c>
      <c r="N140" s="529">
        <v>35</v>
      </c>
      <c r="O140" s="529">
        <v>96660.36</v>
      </c>
      <c r="P140" s="529">
        <v>96660.36</v>
      </c>
      <c r="Q140" s="529">
        <v>0</v>
      </c>
    </row>
    <row r="141" spans="1:17" ht="15.75" customHeight="1" x14ac:dyDescent="0.2">
      <c r="A141" s="529">
        <v>133</v>
      </c>
      <c r="B141" s="529" t="s">
        <v>638</v>
      </c>
      <c r="C141" s="516" t="s">
        <v>67</v>
      </c>
      <c r="D141" s="529" t="s">
        <v>639</v>
      </c>
      <c r="E141" s="529" t="s">
        <v>640</v>
      </c>
      <c r="F141" s="529" t="s">
        <v>641</v>
      </c>
      <c r="G141" s="510" t="s">
        <v>670</v>
      </c>
      <c r="H141" s="529">
        <v>10</v>
      </c>
      <c r="I141" s="529">
        <v>1</v>
      </c>
      <c r="J141" s="529">
        <v>1</v>
      </c>
      <c r="K141" s="529">
        <v>0</v>
      </c>
      <c r="L141" s="529">
        <v>0</v>
      </c>
      <c r="M141" s="529">
        <v>0</v>
      </c>
      <c r="N141" s="529">
        <v>0</v>
      </c>
      <c r="O141" s="529">
        <v>0</v>
      </c>
      <c r="P141" s="529">
        <v>0</v>
      </c>
      <c r="Q141" s="529">
        <v>0</v>
      </c>
    </row>
    <row r="142" spans="1:17" ht="15.75" customHeight="1" x14ac:dyDescent="0.2">
      <c r="A142" s="529">
        <v>134</v>
      </c>
      <c r="B142" s="529" t="s">
        <v>299</v>
      </c>
      <c r="C142" s="516" t="s">
        <v>62</v>
      </c>
      <c r="D142" s="529"/>
      <c r="E142" s="529" t="s">
        <v>174</v>
      </c>
      <c r="F142" s="529" t="s">
        <v>300</v>
      </c>
      <c r="G142" s="510" t="s">
        <v>670</v>
      </c>
      <c r="H142" s="529">
        <v>25</v>
      </c>
      <c r="I142" s="529">
        <v>22</v>
      </c>
      <c r="J142" s="529">
        <v>27</v>
      </c>
      <c r="K142" s="529">
        <v>18541.13</v>
      </c>
      <c r="L142" s="529">
        <v>18541.13</v>
      </c>
      <c r="M142" s="529">
        <v>0</v>
      </c>
      <c r="N142" s="529">
        <v>0</v>
      </c>
      <c r="O142" s="529">
        <v>0</v>
      </c>
      <c r="P142" s="529">
        <v>0</v>
      </c>
      <c r="Q142" s="529">
        <v>0</v>
      </c>
    </row>
    <row r="143" spans="1:17" ht="15.75" customHeight="1" x14ac:dyDescent="0.2">
      <c r="A143" s="529">
        <v>135</v>
      </c>
      <c r="B143" s="529" t="s">
        <v>156</v>
      </c>
      <c r="C143" s="516" t="s">
        <v>67</v>
      </c>
      <c r="D143" s="529" t="s">
        <v>499</v>
      </c>
      <c r="E143" s="529" t="s">
        <v>74</v>
      </c>
      <c r="F143" s="529" t="s">
        <v>301</v>
      </c>
      <c r="G143" s="510" t="s">
        <v>670</v>
      </c>
      <c r="H143" s="529">
        <v>42</v>
      </c>
      <c r="I143" s="529">
        <v>35</v>
      </c>
      <c r="J143" s="529">
        <v>43</v>
      </c>
      <c r="K143" s="529">
        <v>37665.79</v>
      </c>
      <c r="L143" s="529">
        <v>37665.79</v>
      </c>
      <c r="M143" s="529">
        <v>0</v>
      </c>
      <c r="N143" s="529">
        <v>41</v>
      </c>
      <c r="O143" s="529">
        <v>66837.119999999995</v>
      </c>
      <c r="P143" s="529">
        <v>66837.119999999995</v>
      </c>
      <c r="Q143" s="529">
        <v>0</v>
      </c>
    </row>
    <row r="144" spans="1:17" ht="15.75" customHeight="1" x14ac:dyDescent="0.2">
      <c r="A144" s="529">
        <v>136</v>
      </c>
      <c r="B144" s="529" t="s">
        <v>302</v>
      </c>
      <c r="C144" s="516" t="s">
        <v>62</v>
      </c>
      <c r="D144" s="529"/>
      <c r="E144" s="529" t="s">
        <v>63</v>
      </c>
      <c r="F144" s="529" t="s">
        <v>303</v>
      </c>
      <c r="G144" s="510" t="s">
        <v>670</v>
      </c>
      <c r="H144" s="529">
        <v>22</v>
      </c>
      <c r="I144" s="529">
        <v>19</v>
      </c>
      <c r="J144" s="529">
        <v>23</v>
      </c>
      <c r="K144" s="529">
        <v>9697.18</v>
      </c>
      <c r="L144" s="529">
        <v>9697.18</v>
      </c>
      <c r="M144" s="529">
        <v>0</v>
      </c>
      <c r="N144" s="529">
        <v>0</v>
      </c>
      <c r="O144" s="529">
        <v>0</v>
      </c>
      <c r="P144" s="529">
        <v>0</v>
      </c>
      <c r="Q144" s="529">
        <v>0</v>
      </c>
    </row>
    <row r="145" spans="1:17" ht="15.75" customHeight="1" x14ac:dyDescent="0.2">
      <c r="A145" s="529">
        <v>137</v>
      </c>
      <c r="B145" s="529" t="s">
        <v>140</v>
      </c>
      <c r="C145" s="516" t="s">
        <v>62</v>
      </c>
      <c r="D145" s="529" t="s">
        <v>63</v>
      </c>
      <c r="E145" s="529" t="s">
        <v>74</v>
      </c>
      <c r="F145" s="529" t="s">
        <v>304</v>
      </c>
      <c r="G145" s="510" t="s">
        <v>670</v>
      </c>
      <c r="H145" s="529">
        <v>70</v>
      </c>
      <c r="I145" s="529">
        <v>59</v>
      </c>
      <c r="J145" s="529">
        <v>64</v>
      </c>
      <c r="K145" s="529">
        <v>49113.38</v>
      </c>
      <c r="L145" s="529">
        <v>49113.38</v>
      </c>
      <c r="M145" s="529">
        <v>0</v>
      </c>
      <c r="N145" s="529">
        <v>20</v>
      </c>
      <c r="O145" s="529">
        <v>43411.7</v>
      </c>
      <c r="P145" s="529">
        <v>43411.7</v>
      </c>
      <c r="Q145" s="529">
        <v>0</v>
      </c>
    </row>
    <row r="146" spans="1:17" ht="15.75" customHeight="1" x14ac:dyDescent="0.2">
      <c r="A146" s="529">
        <v>138</v>
      </c>
      <c r="B146" s="529" t="s">
        <v>305</v>
      </c>
      <c r="C146" s="516" t="s">
        <v>62</v>
      </c>
      <c r="D146" s="529" t="s">
        <v>63</v>
      </c>
      <c r="E146" s="529" t="s">
        <v>186</v>
      </c>
      <c r="F146" s="529" t="s">
        <v>513</v>
      </c>
      <c r="G146" s="510" t="s">
        <v>670</v>
      </c>
      <c r="H146" s="529">
        <v>17</v>
      </c>
      <c r="I146" s="529">
        <v>12</v>
      </c>
      <c r="J146" s="529">
        <v>13</v>
      </c>
      <c r="K146" s="529">
        <v>6542.9</v>
      </c>
      <c r="L146" s="529">
        <v>6542.9</v>
      </c>
      <c r="M146" s="529">
        <v>0</v>
      </c>
      <c r="N146" s="529">
        <v>0</v>
      </c>
      <c r="O146" s="529">
        <v>0</v>
      </c>
      <c r="P146" s="529">
        <v>0</v>
      </c>
      <c r="Q146" s="529">
        <v>0</v>
      </c>
    </row>
    <row r="147" spans="1:17" ht="15.75" customHeight="1" x14ac:dyDescent="0.2">
      <c r="A147" s="529">
        <v>139</v>
      </c>
      <c r="B147" s="529" t="s">
        <v>702</v>
      </c>
      <c r="C147" s="516" t="s">
        <v>62</v>
      </c>
      <c r="D147" s="529" t="s">
        <v>63</v>
      </c>
      <c r="E147" s="529" t="s">
        <v>239</v>
      </c>
      <c r="F147" s="529" t="s">
        <v>733</v>
      </c>
      <c r="G147" s="510" t="s">
        <v>670</v>
      </c>
      <c r="H147" s="529">
        <v>7</v>
      </c>
      <c r="I147" s="529">
        <v>1</v>
      </c>
      <c r="J147" s="529">
        <v>1</v>
      </c>
      <c r="K147" s="529">
        <v>649.87</v>
      </c>
      <c r="L147" s="529">
        <v>649.87</v>
      </c>
      <c r="M147" s="529">
        <v>0</v>
      </c>
      <c r="N147" s="529">
        <v>0</v>
      </c>
      <c r="O147" s="529">
        <v>0</v>
      </c>
      <c r="P147" s="529">
        <v>0</v>
      </c>
      <c r="Q147" s="529">
        <v>0</v>
      </c>
    </row>
    <row r="148" spans="1:17" ht="15.75" customHeight="1" x14ac:dyDescent="0.2">
      <c r="A148" s="529">
        <v>140</v>
      </c>
      <c r="B148" s="529" t="s">
        <v>471</v>
      </c>
      <c r="C148" s="516" t="s">
        <v>64</v>
      </c>
      <c r="D148" s="529" t="s">
        <v>65</v>
      </c>
      <c r="E148" s="529" t="s">
        <v>74</v>
      </c>
      <c r="F148" s="529" t="s">
        <v>472</v>
      </c>
      <c r="G148" s="510" t="s">
        <v>670</v>
      </c>
      <c r="H148" s="529">
        <v>0</v>
      </c>
      <c r="I148" s="529">
        <v>0</v>
      </c>
      <c r="J148" s="529">
        <v>0</v>
      </c>
      <c r="K148" s="529">
        <v>0</v>
      </c>
      <c r="L148" s="529">
        <v>0</v>
      </c>
      <c r="M148" s="529">
        <v>0</v>
      </c>
      <c r="N148" s="529">
        <v>1</v>
      </c>
      <c r="O148" s="529">
        <v>0</v>
      </c>
      <c r="P148" s="529">
        <v>0</v>
      </c>
      <c r="Q148" s="529">
        <v>0</v>
      </c>
    </row>
    <row r="149" spans="1:17" ht="15.75" customHeight="1" x14ac:dyDescent="0.2">
      <c r="A149" s="529">
        <v>141</v>
      </c>
      <c r="B149" s="529" t="s">
        <v>57</v>
      </c>
      <c r="C149" s="516" t="s">
        <v>62</v>
      </c>
      <c r="D149" s="529" t="s">
        <v>63</v>
      </c>
      <c r="E149" s="529" t="s">
        <v>244</v>
      </c>
      <c r="F149" s="529" t="s">
        <v>306</v>
      </c>
      <c r="G149" s="510" t="s">
        <v>670</v>
      </c>
      <c r="H149" s="529">
        <v>41</v>
      </c>
      <c r="I149" s="529">
        <v>20</v>
      </c>
      <c r="J149" s="529">
        <v>23</v>
      </c>
      <c r="K149" s="529">
        <v>28660.53</v>
      </c>
      <c r="L149" s="529">
        <v>28660.53</v>
      </c>
      <c r="M149" s="529">
        <v>0</v>
      </c>
      <c r="N149" s="529">
        <v>22</v>
      </c>
      <c r="O149" s="529">
        <v>99963.18</v>
      </c>
      <c r="P149" s="529">
        <v>92362.92</v>
      </c>
      <c r="Q149" s="529">
        <v>7600.26</v>
      </c>
    </row>
    <row r="150" spans="1:17" ht="15.75" customHeight="1" x14ac:dyDescent="0.2">
      <c r="A150" s="529">
        <v>142</v>
      </c>
      <c r="B150" s="529" t="s">
        <v>648</v>
      </c>
      <c r="C150" s="516" t="s">
        <v>62</v>
      </c>
      <c r="D150" s="529" t="s">
        <v>63</v>
      </c>
      <c r="E150" s="529" t="s">
        <v>313</v>
      </c>
      <c r="F150" s="529" t="s">
        <v>650</v>
      </c>
      <c r="G150" s="510" t="s">
        <v>670</v>
      </c>
      <c r="H150" s="529">
        <v>14</v>
      </c>
      <c r="I150" s="529">
        <v>8</v>
      </c>
      <c r="J150" s="529">
        <v>9</v>
      </c>
      <c r="K150" s="529">
        <v>4135.99</v>
      </c>
      <c r="L150" s="529">
        <v>4135.99</v>
      </c>
      <c r="M150" s="529">
        <v>0</v>
      </c>
      <c r="N150" s="529">
        <v>0</v>
      </c>
      <c r="O150" s="529">
        <v>0</v>
      </c>
      <c r="P150" s="529">
        <v>0</v>
      </c>
      <c r="Q150" s="529">
        <v>0</v>
      </c>
    </row>
    <row r="151" spans="1:17" ht="15.75" customHeight="1" x14ac:dyDescent="0.2">
      <c r="A151" s="529">
        <v>143</v>
      </c>
      <c r="B151" s="529" t="s">
        <v>473</v>
      </c>
      <c r="C151" s="516" t="s">
        <v>62</v>
      </c>
      <c r="D151" s="529" t="s">
        <v>63</v>
      </c>
      <c r="E151" s="529" t="s">
        <v>63</v>
      </c>
      <c r="F151" s="529" t="s">
        <v>500</v>
      </c>
      <c r="G151" s="510" t="s">
        <v>670</v>
      </c>
      <c r="H151" s="529">
        <v>21</v>
      </c>
      <c r="I151" s="529">
        <v>12</v>
      </c>
      <c r="J151" s="529">
        <v>14</v>
      </c>
      <c r="K151" s="529">
        <v>9948.68</v>
      </c>
      <c r="L151" s="529">
        <v>9948.68</v>
      </c>
      <c r="M151" s="529">
        <v>0</v>
      </c>
      <c r="N151" s="529">
        <v>4</v>
      </c>
      <c r="O151" s="529">
        <v>22242.99</v>
      </c>
      <c r="P151" s="529">
        <v>22242.99</v>
      </c>
      <c r="Q151" s="529">
        <v>0</v>
      </c>
    </row>
    <row r="152" spans="1:17" ht="15.75" customHeight="1" x14ac:dyDescent="0.2">
      <c r="A152" s="529">
        <v>144</v>
      </c>
      <c r="B152" s="529" t="s">
        <v>129</v>
      </c>
      <c r="C152" s="516" t="s">
        <v>62</v>
      </c>
      <c r="D152" s="529" t="s">
        <v>63</v>
      </c>
      <c r="E152" s="529" t="s">
        <v>74</v>
      </c>
      <c r="F152" s="529" t="s">
        <v>307</v>
      </c>
      <c r="G152" s="510" t="s">
        <v>670</v>
      </c>
      <c r="H152" s="529">
        <v>0</v>
      </c>
      <c r="I152" s="529">
        <v>0</v>
      </c>
      <c r="J152" s="529">
        <v>0</v>
      </c>
      <c r="K152" s="529">
        <v>0</v>
      </c>
      <c r="L152" s="529">
        <v>0</v>
      </c>
      <c r="M152" s="529">
        <v>0</v>
      </c>
      <c r="N152" s="529">
        <v>2</v>
      </c>
      <c r="O152" s="529">
        <v>12997.88</v>
      </c>
      <c r="P152" s="529">
        <v>12997.88</v>
      </c>
      <c r="Q152" s="529">
        <v>0</v>
      </c>
    </row>
    <row r="153" spans="1:17" ht="15.75" customHeight="1" x14ac:dyDescent="0.2">
      <c r="A153" s="529">
        <v>145</v>
      </c>
      <c r="B153" s="529" t="s">
        <v>58</v>
      </c>
      <c r="C153" s="516" t="s">
        <v>62</v>
      </c>
      <c r="D153" s="529" t="s">
        <v>63</v>
      </c>
      <c r="E153" s="529" t="s">
        <v>84</v>
      </c>
      <c r="F153" s="529" t="s">
        <v>308</v>
      </c>
      <c r="G153" s="510" t="s">
        <v>670</v>
      </c>
      <c r="H153" s="529">
        <v>252</v>
      </c>
      <c r="I153" s="529">
        <v>239</v>
      </c>
      <c r="J153" s="529">
        <v>272</v>
      </c>
      <c r="K153" s="529">
        <v>247950.68</v>
      </c>
      <c r="L153" s="529">
        <v>233975.56</v>
      </c>
      <c r="M153" s="529">
        <v>13975.12</v>
      </c>
      <c r="N153" s="529">
        <v>66</v>
      </c>
      <c r="O153" s="529">
        <v>216301.07</v>
      </c>
      <c r="P153" s="529">
        <v>216301.07</v>
      </c>
      <c r="Q153" s="529">
        <v>0</v>
      </c>
    </row>
    <row r="154" spans="1:17" ht="15.75" customHeight="1" x14ac:dyDescent="0.2">
      <c r="A154" s="529">
        <v>146</v>
      </c>
      <c r="B154" s="529" t="s">
        <v>59</v>
      </c>
      <c r="C154" s="516" t="s">
        <v>64</v>
      </c>
      <c r="D154" s="529" t="s">
        <v>66</v>
      </c>
      <c r="E154" s="529" t="s">
        <v>80</v>
      </c>
      <c r="F154" s="529" t="s">
        <v>309</v>
      </c>
      <c r="G154" s="510" t="s">
        <v>670</v>
      </c>
      <c r="H154" s="529">
        <v>44</v>
      </c>
      <c r="I154" s="529">
        <v>35</v>
      </c>
      <c r="J154" s="529">
        <v>55</v>
      </c>
      <c r="K154" s="529">
        <v>109498.5</v>
      </c>
      <c r="L154" s="529">
        <v>100074.76</v>
      </c>
      <c r="M154" s="529">
        <v>9423.74</v>
      </c>
      <c r="N154" s="529">
        <v>33</v>
      </c>
      <c r="O154" s="529">
        <v>108860.27</v>
      </c>
      <c r="P154" s="529">
        <v>108860.27</v>
      </c>
      <c r="Q154" s="529">
        <v>0</v>
      </c>
    </row>
    <row r="155" spans="1:17" ht="15.75" customHeight="1" x14ac:dyDescent="0.2">
      <c r="A155" s="529">
        <v>147</v>
      </c>
      <c r="B155" s="529" t="s">
        <v>130</v>
      </c>
      <c r="C155" s="516" t="s">
        <v>62</v>
      </c>
      <c r="D155" s="529" t="s">
        <v>63</v>
      </c>
      <c r="E155" s="529" t="s">
        <v>74</v>
      </c>
      <c r="F155" s="529" t="s">
        <v>553</v>
      </c>
      <c r="G155" s="510" t="s">
        <v>670</v>
      </c>
      <c r="H155" s="529">
        <v>7</v>
      </c>
      <c r="I155" s="529">
        <v>2</v>
      </c>
      <c r="J155" s="529">
        <v>2</v>
      </c>
      <c r="K155" s="529">
        <v>1772.34</v>
      </c>
      <c r="L155" s="529">
        <v>1772.34</v>
      </c>
      <c r="M155" s="529">
        <v>0</v>
      </c>
      <c r="N155" s="529">
        <v>4</v>
      </c>
      <c r="O155" s="529">
        <v>20018.759999999998</v>
      </c>
      <c r="P155" s="529">
        <v>20018.759999999998</v>
      </c>
      <c r="Q155" s="529">
        <v>0</v>
      </c>
    </row>
    <row r="156" spans="1:17" ht="15.75" customHeight="1" x14ac:dyDescent="0.2">
      <c r="A156" s="529">
        <v>148</v>
      </c>
      <c r="B156" s="529" t="s">
        <v>97</v>
      </c>
      <c r="C156" s="516" t="s">
        <v>62</v>
      </c>
      <c r="D156" s="529" t="s">
        <v>63</v>
      </c>
      <c r="E156" s="529" t="s">
        <v>74</v>
      </c>
      <c r="F156" s="529" t="s">
        <v>310</v>
      </c>
      <c r="G156" s="510" t="s">
        <v>670</v>
      </c>
      <c r="H156" s="529">
        <v>7</v>
      </c>
      <c r="I156" s="529">
        <v>4</v>
      </c>
      <c r="J156" s="529">
        <v>4</v>
      </c>
      <c r="K156" s="529">
        <v>5524.96</v>
      </c>
      <c r="L156" s="529">
        <v>5524.96</v>
      </c>
      <c r="M156" s="529">
        <v>0</v>
      </c>
      <c r="N156" s="529">
        <v>1</v>
      </c>
      <c r="O156" s="529">
        <v>3782.14</v>
      </c>
      <c r="P156" s="529">
        <v>3782.14</v>
      </c>
      <c r="Q156" s="529">
        <v>0</v>
      </c>
    </row>
    <row r="157" spans="1:17" ht="15.75" customHeight="1" x14ac:dyDescent="0.2">
      <c r="A157" s="529">
        <v>149</v>
      </c>
      <c r="B157" s="529" t="s">
        <v>667</v>
      </c>
      <c r="C157" s="516" t="s">
        <v>62</v>
      </c>
      <c r="D157" s="529" t="s">
        <v>63</v>
      </c>
      <c r="E157" s="529" t="s">
        <v>174</v>
      </c>
      <c r="F157" s="529" t="s">
        <v>668</v>
      </c>
      <c r="G157" s="510" t="s">
        <v>670</v>
      </c>
      <c r="H157" s="529">
        <v>8</v>
      </c>
      <c r="I157" s="529">
        <v>4</v>
      </c>
      <c r="J157" s="529">
        <v>4</v>
      </c>
      <c r="K157" s="529">
        <v>0</v>
      </c>
      <c r="L157" s="529">
        <v>0</v>
      </c>
      <c r="M157" s="529">
        <v>0</v>
      </c>
      <c r="N157" s="529">
        <v>0</v>
      </c>
      <c r="O157" s="529">
        <v>0</v>
      </c>
      <c r="P157" s="529">
        <v>0</v>
      </c>
      <c r="Q157" s="529">
        <v>0</v>
      </c>
    </row>
    <row r="158" spans="1:17" ht="15.75" customHeight="1" x14ac:dyDescent="0.2">
      <c r="A158" s="529">
        <v>150</v>
      </c>
      <c r="B158" s="529" t="s">
        <v>514</v>
      </c>
      <c r="C158" s="516" t="s">
        <v>62</v>
      </c>
      <c r="D158" s="529" t="s">
        <v>63</v>
      </c>
      <c r="E158" s="529" t="s">
        <v>223</v>
      </c>
      <c r="F158" s="529" t="s">
        <v>515</v>
      </c>
      <c r="G158" s="510" t="s">
        <v>670</v>
      </c>
      <c r="H158" s="529">
        <v>24</v>
      </c>
      <c r="I158" s="529">
        <v>17</v>
      </c>
      <c r="J158" s="529">
        <v>24</v>
      </c>
      <c r="K158" s="529">
        <v>25840.53</v>
      </c>
      <c r="L158" s="529">
        <v>25840.53</v>
      </c>
      <c r="M158" s="529"/>
      <c r="N158" s="529">
        <v>0</v>
      </c>
      <c r="O158" s="529">
        <v>0</v>
      </c>
      <c r="P158" s="529">
        <v>0</v>
      </c>
      <c r="Q158" s="529">
        <v>0</v>
      </c>
    </row>
    <row r="159" spans="1:17" ht="15.75" customHeight="1" x14ac:dyDescent="0.2">
      <c r="A159" s="529">
        <v>151</v>
      </c>
      <c r="B159" s="529" t="s">
        <v>132</v>
      </c>
      <c r="C159" s="516" t="s">
        <v>62</v>
      </c>
      <c r="D159" s="529" t="s">
        <v>63</v>
      </c>
      <c r="E159" s="529" t="s">
        <v>74</v>
      </c>
      <c r="F159" s="529" t="s">
        <v>311</v>
      </c>
      <c r="G159" s="510" t="s">
        <v>670</v>
      </c>
      <c r="H159" s="529">
        <v>21</v>
      </c>
      <c r="I159" s="529">
        <v>7</v>
      </c>
      <c r="J159" s="529">
        <v>8</v>
      </c>
      <c r="K159" s="529">
        <v>7071.18</v>
      </c>
      <c r="L159" s="529">
        <v>7071.18</v>
      </c>
      <c r="M159" s="529">
        <v>0</v>
      </c>
      <c r="N159" s="529">
        <v>11</v>
      </c>
      <c r="O159" s="529">
        <v>7200.72</v>
      </c>
      <c r="P159" s="529">
        <v>7200.72</v>
      </c>
      <c r="Q159" s="529">
        <v>0</v>
      </c>
    </row>
    <row r="160" spans="1:17" ht="15.75" customHeight="1" x14ac:dyDescent="0.2">
      <c r="A160" s="529">
        <v>152</v>
      </c>
      <c r="B160" s="529" t="s">
        <v>312</v>
      </c>
      <c r="C160" s="516" t="s">
        <v>62</v>
      </c>
      <c r="D160" s="529" t="s">
        <v>63</v>
      </c>
      <c r="E160" s="529" t="s">
        <v>313</v>
      </c>
      <c r="F160" s="529" t="s">
        <v>314</v>
      </c>
      <c r="G160" s="510" t="s">
        <v>670</v>
      </c>
      <c r="H160" s="529">
        <v>67</v>
      </c>
      <c r="I160" s="529">
        <v>1</v>
      </c>
      <c r="J160" s="529">
        <v>1</v>
      </c>
      <c r="K160" s="529">
        <v>0</v>
      </c>
      <c r="L160" s="529">
        <v>0</v>
      </c>
      <c r="M160" s="529">
        <v>0</v>
      </c>
      <c r="N160" s="529">
        <v>0</v>
      </c>
      <c r="O160" s="529">
        <v>0</v>
      </c>
      <c r="P160" s="529">
        <v>0</v>
      </c>
      <c r="Q160" s="529">
        <v>0</v>
      </c>
    </row>
    <row r="161" spans="1:17" ht="15.75" customHeight="1" x14ac:dyDescent="0.2">
      <c r="A161" s="529">
        <v>153</v>
      </c>
      <c r="B161" s="529" t="s">
        <v>505</v>
      </c>
      <c r="C161" s="516" t="s">
        <v>62</v>
      </c>
      <c r="D161" s="529" t="s">
        <v>63</v>
      </c>
      <c r="E161" s="529" t="s">
        <v>759</v>
      </c>
      <c r="F161" s="529" t="s">
        <v>704</v>
      </c>
      <c r="G161" s="510" t="s">
        <v>670</v>
      </c>
      <c r="H161" s="529">
        <v>8</v>
      </c>
      <c r="I161" s="529">
        <v>3</v>
      </c>
      <c r="J161" s="529">
        <v>3</v>
      </c>
      <c r="K161" s="529">
        <v>0</v>
      </c>
      <c r="L161" s="529">
        <v>0</v>
      </c>
      <c r="M161" s="529">
        <v>0</v>
      </c>
      <c r="N161" s="529">
        <v>0</v>
      </c>
      <c r="O161" s="529">
        <v>0</v>
      </c>
      <c r="P161" s="529">
        <v>0</v>
      </c>
      <c r="Q161" s="529">
        <v>0</v>
      </c>
    </row>
    <row r="162" spans="1:17" ht="15.75" customHeight="1" x14ac:dyDescent="0.2">
      <c r="A162" s="529">
        <v>154</v>
      </c>
      <c r="B162" s="529" t="s">
        <v>315</v>
      </c>
      <c r="C162" s="516" t="s">
        <v>62</v>
      </c>
      <c r="D162" s="529" t="s">
        <v>63</v>
      </c>
      <c r="E162" s="529" t="s">
        <v>74</v>
      </c>
      <c r="F162" s="529" t="s">
        <v>316</v>
      </c>
      <c r="G162" s="510" t="s">
        <v>670</v>
      </c>
      <c r="H162" s="529">
        <v>19</v>
      </c>
      <c r="I162" s="529">
        <v>11</v>
      </c>
      <c r="J162" s="529">
        <v>13</v>
      </c>
      <c r="K162" s="529">
        <v>11020.91</v>
      </c>
      <c r="L162" s="529">
        <v>11020.91</v>
      </c>
      <c r="M162" s="529">
        <v>0</v>
      </c>
      <c r="N162" s="529">
        <v>6</v>
      </c>
      <c r="O162" s="529">
        <v>3889.02</v>
      </c>
      <c r="P162" s="529">
        <v>3889.02</v>
      </c>
      <c r="Q162" s="529">
        <v>0</v>
      </c>
    </row>
    <row r="163" spans="1:17" ht="15.75" customHeight="1" x14ac:dyDescent="0.2">
      <c r="A163" s="529">
        <v>155</v>
      </c>
      <c r="B163" s="529" t="s">
        <v>317</v>
      </c>
      <c r="C163" s="516" t="s">
        <v>62</v>
      </c>
      <c r="D163" s="529" t="s">
        <v>63</v>
      </c>
      <c r="E163" s="529" t="s">
        <v>158</v>
      </c>
      <c r="F163" s="529" t="s">
        <v>474</v>
      </c>
      <c r="G163" s="510" t="s">
        <v>670</v>
      </c>
      <c r="H163" s="529">
        <v>13</v>
      </c>
      <c r="I163" s="529">
        <v>11</v>
      </c>
      <c r="J163" s="529">
        <v>12</v>
      </c>
      <c r="K163" s="529">
        <v>4210.97</v>
      </c>
      <c r="L163" s="529">
        <v>4210.97</v>
      </c>
      <c r="M163" s="529">
        <v>0</v>
      </c>
      <c r="N163" s="529">
        <v>0</v>
      </c>
      <c r="O163" s="529">
        <v>0</v>
      </c>
      <c r="P163" s="529">
        <v>0</v>
      </c>
      <c r="Q163" s="529">
        <v>0</v>
      </c>
    </row>
    <row r="164" spans="1:17" ht="15.75" customHeight="1" x14ac:dyDescent="0.2">
      <c r="A164" s="529">
        <v>156</v>
      </c>
      <c r="B164" s="529" t="s">
        <v>318</v>
      </c>
      <c r="C164" s="516" t="s">
        <v>62</v>
      </c>
      <c r="D164" s="529" t="s">
        <v>63</v>
      </c>
      <c r="E164" s="529" t="s">
        <v>174</v>
      </c>
      <c r="F164" s="529" t="s">
        <v>319</v>
      </c>
      <c r="G164" s="510" t="s">
        <v>670</v>
      </c>
      <c r="H164" s="529">
        <v>35</v>
      </c>
      <c r="I164" s="529">
        <v>29</v>
      </c>
      <c r="J164" s="529">
        <v>35</v>
      </c>
      <c r="K164" s="529">
        <v>24890.68</v>
      </c>
      <c r="L164" s="529">
        <v>24890.68</v>
      </c>
      <c r="M164" s="529">
        <v>0</v>
      </c>
      <c r="N164" s="529">
        <v>0</v>
      </c>
      <c r="O164" s="529">
        <v>0</v>
      </c>
      <c r="P164" s="529">
        <v>0</v>
      </c>
      <c r="Q164" s="529">
        <v>0</v>
      </c>
    </row>
    <row r="165" spans="1:17" ht="15.75" customHeight="1" x14ac:dyDescent="0.2">
      <c r="A165" s="529">
        <v>157</v>
      </c>
      <c r="B165" s="529" t="s">
        <v>60</v>
      </c>
      <c r="C165" s="516" t="s">
        <v>67</v>
      </c>
      <c r="D165" s="529" t="s">
        <v>68</v>
      </c>
      <c r="E165" s="529" t="s">
        <v>74</v>
      </c>
      <c r="F165" s="529" t="s">
        <v>320</v>
      </c>
      <c r="G165" s="510" t="s">
        <v>670</v>
      </c>
      <c r="H165" s="529">
        <v>78</v>
      </c>
      <c r="I165" s="529">
        <v>63</v>
      </c>
      <c r="J165" s="529">
        <v>92</v>
      </c>
      <c r="K165" s="529">
        <v>159674.60999999999</v>
      </c>
      <c r="L165" s="529">
        <v>159674.60999999999</v>
      </c>
      <c r="M165" s="529">
        <v>0</v>
      </c>
      <c r="N165" s="529">
        <v>44</v>
      </c>
      <c r="O165" s="529">
        <v>113566.75</v>
      </c>
      <c r="P165" s="529">
        <v>113566.75</v>
      </c>
      <c r="Q165" s="529">
        <v>0</v>
      </c>
    </row>
    <row r="166" spans="1:17" ht="15.75" customHeight="1" x14ac:dyDescent="0.2">
      <c r="A166" s="529">
        <v>158</v>
      </c>
      <c r="B166" s="529" t="s">
        <v>61</v>
      </c>
      <c r="C166" s="516" t="s">
        <v>67</v>
      </c>
      <c r="D166" s="529" t="s">
        <v>69</v>
      </c>
      <c r="E166" s="529" t="s">
        <v>74</v>
      </c>
      <c r="F166" s="529" t="s">
        <v>321</v>
      </c>
      <c r="G166" s="510" t="s">
        <v>670</v>
      </c>
      <c r="H166" s="529">
        <v>11</v>
      </c>
      <c r="I166" s="529">
        <v>5</v>
      </c>
      <c r="J166" s="529">
        <v>6</v>
      </c>
      <c r="K166" s="529">
        <v>12993.1</v>
      </c>
      <c r="L166" s="529">
        <v>12993.1</v>
      </c>
      <c r="M166" s="529">
        <v>0</v>
      </c>
      <c r="N166" s="529">
        <v>7</v>
      </c>
      <c r="O166" s="529">
        <v>7602.26</v>
      </c>
      <c r="P166" s="529">
        <v>7602.26</v>
      </c>
      <c r="Q166" s="529">
        <v>0</v>
      </c>
    </row>
    <row r="167" spans="1:17" ht="15.75" customHeight="1" x14ac:dyDescent="0.2">
      <c r="A167" s="526">
        <v>159</v>
      </c>
      <c r="B167" s="532" t="s">
        <v>21</v>
      </c>
      <c r="C167" s="533" t="s">
        <v>62</v>
      </c>
      <c r="D167" s="534"/>
      <c r="E167" s="532" t="s">
        <v>674</v>
      </c>
      <c r="F167" s="532" t="s">
        <v>734</v>
      </c>
      <c r="G167" s="532" t="s">
        <v>735</v>
      </c>
      <c r="H167" s="610">
        <v>1</v>
      </c>
      <c r="I167" s="610">
        <v>0</v>
      </c>
      <c r="J167" s="610">
        <v>0</v>
      </c>
      <c r="K167" s="611">
        <v>0</v>
      </c>
      <c r="L167" s="611">
        <v>0</v>
      </c>
      <c r="M167" s="611">
        <v>0</v>
      </c>
      <c r="N167" s="610">
        <v>3</v>
      </c>
      <c r="O167" s="611">
        <v>18538.8</v>
      </c>
      <c r="P167" s="611">
        <v>18538.8</v>
      </c>
      <c r="Q167" s="611">
        <v>0</v>
      </c>
    </row>
    <row r="168" spans="1:17" ht="15.75" customHeight="1" x14ac:dyDescent="0.2">
      <c r="A168" s="526">
        <v>160</v>
      </c>
      <c r="B168" s="532" t="s">
        <v>147</v>
      </c>
      <c r="C168" s="533" t="s">
        <v>62</v>
      </c>
      <c r="D168" s="534"/>
      <c r="E168" s="486" t="s">
        <v>158</v>
      </c>
      <c r="F168" s="532" t="s">
        <v>736</v>
      </c>
      <c r="G168" s="532" t="s">
        <v>706</v>
      </c>
      <c r="H168" s="610">
        <v>1</v>
      </c>
      <c r="I168" s="610">
        <v>1</v>
      </c>
      <c r="J168" s="610">
        <v>1</v>
      </c>
      <c r="K168" s="611">
        <v>1762</v>
      </c>
      <c r="L168" s="611">
        <v>1762</v>
      </c>
      <c r="M168" s="611">
        <v>0</v>
      </c>
      <c r="N168" s="610">
        <v>4</v>
      </c>
      <c r="O168" s="611">
        <v>13328.7</v>
      </c>
      <c r="P168" s="611">
        <v>12783.87</v>
      </c>
      <c r="Q168" s="611">
        <v>544.87</v>
      </c>
    </row>
    <row r="169" spans="1:17" ht="15.75" customHeight="1" x14ac:dyDescent="0.2">
      <c r="A169" s="526">
        <v>161</v>
      </c>
      <c r="B169" s="532" t="s">
        <v>526</v>
      </c>
      <c r="C169" s="533" t="s">
        <v>62</v>
      </c>
      <c r="D169" s="534"/>
      <c r="E169" s="532" t="s">
        <v>760</v>
      </c>
      <c r="F169" s="532" t="s">
        <v>738</v>
      </c>
      <c r="G169" s="532" t="s">
        <v>706</v>
      </c>
      <c r="H169" s="610">
        <v>0</v>
      </c>
      <c r="I169" s="610">
        <v>0</v>
      </c>
      <c r="J169" s="610">
        <v>0</v>
      </c>
      <c r="K169" s="611">
        <v>0</v>
      </c>
      <c r="L169" s="611">
        <v>0</v>
      </c>
      <c r="M169" s="611">
        <v>0</v>
      </c>
      <c r="N169" s="610">
        <v>0</v>
      </c>
      <c r="O169" s="612">
        <v>0</v>
      </c>
      <c r="P169" s="611">
        <v>0</v>
      </c>
      <c r="Q169" s="611">
        <v>0</v>
      </c>
    </row>
    <row r="170" spans="1:17" ht="15.75" customHeight="1" x14ac:dyDescent="0.2">
      <c r="A170" s="526">
        <v>162</v>
      </c>
      <c r="B170" s="532" t="s">
        <v>305</v>
      </c>
      <c r="C170" s="533" t="s">
        <v>62</v>
      </c>
      <c r="D170" s="534"/>
      <c r="E170" s="532" t="s">
        <v>674</v>
      </c>
      <c r="F170" s="532" t="s">
        <v>739</v>
      </c>
      <c r="G170" s="532" t="s">
        <v>706</v>
      </c>
      <c r="H170" s="610">
        <v>4</v>
      </c>
      <c r="I170" s="610">
        <v>4</v>
      </c>
      <c r="J170" s="610">
        <v>5</v>
      </c>
      <c r="K170" s="611">
        <v>14963.4</v>
      </c>
      <c r="L170" s="611">
        <v>10545.1</v>
      </c>
      <c r="M170" s="611">
        <v>4418.3</v>
      </c>
      <c r="N170" s="610">
        <v>0</v>
      </c>
      <c r="O170" s="611">
        <v>0</v>
      </c>
      <c r="P170" s="611">
        <v>0</v>
      </c>
      <c r="Q170" s="611">
        <v>0</v>
      </c>
    </row>
    <row r="171" spans="1:17" ht="15.75" customHeight="1" x14ac:dyDescent="0.2">
      <c r="A171" s="526">
        <v>163</v>
      </c>
      <c r="B171" s="532" t="s">
        <v>407</v>
      </c>
      <c r="C171" s="533" t="s">
        <v>62</v>
      </c>
      <c r="D171" s="534"/>
      <c r="E171" s="532" t="s">
        <v>674</v>
      </c>
      <c r="F171" s="532" t="s">
        <v>740</v>
      </c>
      <c r="G171" s="532" t="s">
        <v>706</v>
      </c>
      <c r="H171" s="610">
        <v>5</v>
      </c>
      <c r="I171" s="610">
        <v>1</v>
      </c>
      <c r="J171" s="610">
        <v>1</v>
      </c>
      <c r="K171" s="611">
        <v>3866.1</v>
      </c>
      <c r="L171" s="611">
        <v>3866.1</v>
      </c>
      <c r="M171" s="611">
        <v>0</v>
      </c>
      <c r="N171" s="610">
        <v>0</v>
      </c>
      <c r="O171" s="611">
        <v>0</v>
      </c>
      <c r="P171" s="611">
        <v>0</v>
      </c>
      <c r="Q171" s="611">
        <v>0</v>
      </c>
    </row>
    <row r="172" spans="1:17" ht="15.75" customHeight="1" x14ac:dyDescent="0.2">
      <c r="A172" s="526">
        <v>164</v>
      </c>
      <c r="B172" s="532" t="s">
        <v>185</v>
      </c>
      <c r="C172" s="533" t="s">
        <v>62</v>
      </c>
      <c r="D172" s="534"/>
      <c r="E172" s="532" t="s">
        <v>674</v>
      </c>
      <c r="F172" s="532" t="s">
        <v>741</v>
      </c>
      <c r="G172" s="532" t="s">
        <v>706</v>
      </c>
      <c r="H172" s="610">
        <v>4</v>
      </c>
      <c r="I172" s="610">
        <v>4</v>
      </c>
      <c r="J172" s="610">
        <v>5</v>
      </c>
      <c r="K172" s="611">
        <v>18336.240000000002</v>
      </c>
      <c r="L172" s="611">
        <v>18336.240000000002</v>
      </c>
      <c r="M172" s="611">
        <v>0</v>
      </c>
      <c r="N172" s="610">
        <v>0</v>
      </c>
      <c r="O172" s="611">
        <v>0</v>
      </c>
      <c r="P172" s="611">
        <v>0</v>
      </c>
      <c r="Q172" s="611">
        <v>0</v>
      </c>
    </row>
    <row r="173" spans="1:17" ht="15.75" customHeight="1" x14ac:dyDescent="0.2">
      <c r="A173" s="526">
        <v>165</v>
      </c>
      <c r="B173" s="532" t="s">
        <v>534</v>
      </c>
      <c r="C173" s="533" t="s">
        <v>62</v>
      </c>
      <c r="D173" s="534"/>
      <c r="E173" s="532" t="s">
        <v>674</v>
      </c>
      <c r="F173" s="532" t="s">
        <v>774</v>
      </c>
      <c r="G173" s="532" t="s">
        <v>706</v>
      </c>
      <c r="H173" s="610">
        <v>1</v>
      </c>
      <c r="I173" s="610">
        <v>0</v>
      </c>
      <c r="J173" s="610">
        <v>0</v>
      </c>
      <c r="K173" s="611">
        <v>0</v>
      </c>
      <c r="L173" s="611">
        <v>0</v>
      </c>
      <c r="M173" s="611">
        <v>0</v>
      </c>
      <c r="N173" s="610">
        <v>0</v>
      </c>
      <c r="O173" s="611">
        <v>0</v>
      </c>
      <c r="P173" s="611">
        <v>0</v>
      </c>
      <c r="Q173" s="611">
        <v>0</v>
      </c>
    </row>
    <row r="174" spans="1:17" ht="15.75" customHeight="1" x14ac:dyDescent="0.2">
      <c r="A174" s="526">
        <v>166</v>
      </c>
      <c r="B174" s="532" t="s">
        <v>104</v>
      </c>
      <c r="C174" s="533" t="s">
        <v>62</v>
      </c>
      <c r="D174" s="534"/>
      <c r="E174" s="490" t="s">
        <v>730</v>
      </c>
      <c r="F174" s="532" t="s">
        <v>743</v>
      </c>
      <c r="G174" s="532" t="s">
        <v>706</v>
      </c>
      <c r="H174" s="610">
        <v>0</v>
      </c>
      <c r="I174" s="610">
        <v>0</v>
      </c>
      <c r="J174" s="610">
        <v>0</v>
      </c>
      <c r="K174" s="611">
        <v>0</v>
      </c>
      <c r="L174" s="611">
        <v>0</v>
      </c>
      <c r="M174" s="611">
        <v>0</v>
      </c>
      <c r="N174" s="610">
        <v>1</v>
      </c>
      <c r="O174" s="611">
        <v>3187.89</v>
      </c>
      <c r="P174" s="611">
        <v>3187.89</v>
      </c>
      <c r="Q174" s="611">
        <v>0</v>
      </c>
    </row>
    <row r="175" spans="1:17" ht="15.75" customHeight="1" x14ac:dyDescent="0.2">
      <c r="A175" s="526">
        <v>167</v>
      </c>
      <c r="B175" s="532" t="s">
        <v>621</v>
      </c>
      <c r="C175" s="533" t="s">
        <v>62</v>
      </c>
      <c r="D175" s="534"/>
      <c r="E175" s="486" t="s">
        <v>158</v>
      </c>
      <c r="F175" s="532" t="s">
        <v>744</v>
      </c>
      <c r="G175" s="532" t="s">
        <v>706</v>
      </c>
      <c r="H175" s="610">
        <v>0</v>
      </c>
      <c r="I175" s="610">
        <v>0</v>
      </c>
      <c r="J175" s="610">
        <v>0</v>
      </c>
      <c r="K175" s="611">
        <v>0</v>
      </c>
      <c r="L175" s="611">
        <v>0</v>
      </c>
      <c r="M175" s="611">
        <v>0</v>
      </c>
      <c r="N175" s="610">
        <v>0</v>
      </c>
      <c r="O175" s="611">
        <v>0</v>
      </c>
      <c r="P175" s="611">
        <v>0</v>
      </c>
      <c r="Q175" s="611">
        <v>0</v>
      </c>
    </row>
    <row r="176" spans="1:17" ht="15.75" customHeight="1" x14ac:dyDescent="0.2">
      <c r="A176" s="526">
        <v>168</v>
      </c>
      <c r="B176" s="484" t="s">
        <v>47</v>
      </c>
      <c r="C176" s="516" t="s">
        <v>62</v>
      </c>
      <c r="D176" s="484"/>
      <c r="E176" s="486" t="s">
        <v>761</v>
      </c>
      <c r="F176" s="486" t="s">
        <v>448</v>
      </c>
      <c r="G176" s="510" t="s">
        <v>142</v>
      </c>
      <c r="H176" s="484">
        <v>8</v>
      </c>
      <c r="I176" s="484">
        <v>6</v>
      </c>
      <c r="J176" s="484">
        <v>6</v>
      </c>
      <c r="K176" s="482">
        <v>11911.2</v>
      </c>
      <c r="L176" s="482">
        <v>11911.2</v>
      </c>
      <c r="M176" s="482">
        <v>0</v>
      </c>
      <c r="N176" s="484">
        <v>26</v>
      </c>
      <c r="O176" s="482">
        <v>47624.72</v>
      </c>
      <c r="P176" s="482">
        <v>47624.72</v>
      </c>
      <c r="Q176" s="482">
        <v>0</v>
      </c>
    </row>
    <row r="177" spans="1:17" ht="15.75" customHeight="1" x14ac:dyDescent="0.2">
      <c r="A177" s="526">
        <v>169</v>
      </c>
      <c r="B177" s="484" t="s">
        <v>55</v>
      </c>
      <c r="C177" s="516" t="s">
        <v>62</v>
      </c>
      <c r="D177" s="484"/>
      <c r="E177" s="486" t="s">
        <v>762</v>
      </c>
      <c r="F177" s="486" t="s">
        <v>449</v>
      </c>
      <c r="G177" s="510" t="s">
        <v>142</v>
      </c>
      <c r="H177" s="484">
        <v>9</v>
      </c>
      <c r="I177" s="484">
        <v>4</v>
      </c>
      <c r="J177" s="484">
        <v>4</v>
      </c>
      <c r="K177" s="482">
        <v>4284.1000000000004</v>
      </c>
      <c r="L177" s="482">
        <v>4284.1000000000004</v>
      </c>
      <c r="M177" s="482">
        <v>0</v>
      </c>
      <c r="N177" s="484">
        <v>14</v>
      </c>
      <c r="O177" s="482">
        <v>29300.9</v>
      </c>
      <c r="P177" s="482">
        <v>29300.9</v>
      </c>
      <c r="Q177" s="482">
        <v>0</v>
      </c>
    </row>
    <row r="178" spans="1:17" ht="15.75" customHeight="1" x14ac:dyDescent="0.2">
      <c r="A178" s="526">
        <v>170</v>
      </c>
      <c r="B178" s="484" t="s">
        <v>122</v>
      </c>
      <c r="C178" s="516" t="s">
        <v>62</v>
      </c>
      <c r="D178" s="484"/>
      <c r="E178" s="486" t="s">
        <v>763</v>
      </c>
      <c r="F178" s="486" t="s">
        <v>450</v>
      </c>
      <c r="G178" s="510" t="s">
        <v>142</v>
      </c>
      <c r="H178" s="484">
        <v>5</v>
      </c>
      <c r="I178" s="484">
        <v>2</v>
      </c>
      <c r="J178" s="484">
        <v>2</v>
      </c>
      <c r="K178" s="482">
        <v>2301.25</v>
      </c>
      <c r="L178" s="482">
        <v>2301.25</v>
      </c>
      <c r="M178" s="482">
        <v>0</v>
      </c>
      <c r="N178" s="484">
        <v>9</v>
      </c>
      <c r="O178" s="482">
        <v>17988.490000000002</v>
      </c>
      <c r="P178" s="482">
        <v>17856.7</v>
      </c>
      <c r="Q178" s="482">
        <v>131.79</v>
      </c>
    </row>
    <row r="179" spans="1:17" ht="15.75" customHeight="1" x14ac:dyDescent="0.2">
      <c r="A179" s="526">
        <v>171</v>
      </c>
      <c r="B179" s="484" t="s">
        <v>144</v>
      </c>
      <c r="C179" s="516" t="s">
        <v>62</v>
      </c>
      <c r="D179" s="484"/>
      <c r="E179" s="486" t="s">
        <v>761</v>
      </c>
      <c r="F179" s="486" t="s">
        <v>451</v>
      </c>
      <c r="G179" s="510" t="s">
        <v>142</v>
      </c>
      <c r="H179" s="484">
        <v>8</v>
      </c>
      <c r="I179" s="484">
        <v>7</v>
      </c>
      <c r="J179" s="484">
        <v>7</v>
      </c>
      <c r="K179" s="482">
        <v>8121.62</v>
      </c>
      <c r="L179" s="482">
        <v>8121.62</v>
      </c>
      <c r="M179" s="482">
        <v>0</v>
      </c>
      <c r="N179" s="484">
        <v>3</v>
      </c>
      <c r="O179" s="482">
        <v>3595.1</v>
      </c>
      <c r="P179" s="482">
        <v>3595.1</v>
      </c>
      <c r="Q179" s="482">
        <v>0</v>
      </c>
    </row>
    <row r="180" spans="1:17" ht="15.75" customHeight="1" x14ac:dyDescent="0.2">
      <c r="A180" s="526">
        <v>172</v>
      </c>
      <c r="B180" s="484" t="s">
        <v>46</v>
      </c>
      <c r="C180" s="516" t="s">
        <v>62</v>
      </c>
      <c r="D180" s="484"/>
      <c r="E180" s="486" t="s">
        <v>764</v>
      </c>
      <c r="F180" s="486" t="s">
        <v>453</v>
      </c>
      <c r="G180" s="510" t="s">
        <v>142</v>
      </c>
      <c r="H180" s="484">
        <v>0</v>
      </c>
      <c r="I180" s="484">
        <v>0</v>
      </c>
      <c r="J180" s="484">
        <v>0</v>
      </c>
      <c r="K180" s="482">
        <v>0</v>
      </c>
      <c r="L180" s="482">
        <v>0</v>
      </c>
      <c r="M180" s="482">
        <v>0</v>
      </c>
      <c r="N180" s="484">
        <v>0</v>
      </c>
      <c r="O180" s="482">
        <v>0</v>
      </c>
      <c r="P180" s="482">
        <v>0</v>
      </c>
      <c r="Q180" s="482">
        <v>0</v>
      </c>
    </row>
    <row r="181" spans="1:17" ht="15.75" customHeight="1" x14ac:dyDescent="0.2">
      <c r="A181" s="526">
        <v>173</v>
      </c>
      <c r="B181" s="484" t="s">
        <v>133</v>
      </c>
      <c r="C181" s="516" t="s">
        <v>67</v>
      </c>
      <c r="D181" s="484" t="s">
        <v>397</v>
      </c>
      <c r="E181" s="486" t="s">
        <v>74</v>
      </c>
      <c r="F181" s="486" t="s">
        <v>593</v>
      </c>
      <c r="G181" s="510" t="s">
        <v>142</v>
      </c>
      <c r="H181" s="484">
        <v>0</v>
      </c>
      <c r="I181" s="484">
        <v>0</v>
      </c>
      <c r="J181" s="484">
        <v>0</v>
      </c>
      <c r="K181" s="482">
        <v>0</v>
      </c>
      <c r="L181" s="482">
        <v>0</v>
      </c>
      <c r="M181" s="482">
        <v>0</v>
      </c>
      <c r="N181" s="484">
        <v>0</v>
      </c>
      <c r="O181" s="482">
        <v>0</v>
      </c>
      <c r="P181" s="482">
        <v>0</v>
      </c>
      <c r="Q181" s="482">
        <v>0</v>
      </c>
    </row>
    <row r="182" spans="1:17" ht="15.75" customHeight="1" x14ac:dyDescent="0.2">
      <c r="A182" s="526">
        <v>174</v>
      </c>
      <c r="B182" s="484" t="s">
        <v>176</v>
      </c>
      <c r="C182" s="516" t="s">
        <v>62</v>
      </c>
      <c r="D182" s="484"/>
      <c r="E182" s="486" t="s">
        <v>765</v>
      </c>
      <c r="F182" s="486" t="s">
        <v>455</v>
      </c>
      <c r="G182" s="510" t="s">
        <v>142</v>
      </c>
      <c r="H182" s="484">
        <v>12</v>
      </c>
      <c r="I182" s="484">
        <v>10</v>
      </c>
      <c r="J182" s="484">
        <v>10</v>
      </c>
      <c r="K182" s="482">
        <v>11360.06</v>
      </c>
      <c r="L182" s="482">
        <v>11360.06</v>
      </c>
      <c r="M182" s="482">
        <v>0</v>
      </c>
      <c r="N182" s="484">
        <v>0</v>
      </c>
      <c r="O182" s="482">
        <v>0</v>
      </c>
      <c r="P182" s="482">
        <v>0</v>
      </c>
      <c r="Q182" s="482">
        <v>0</v>
      </c>
    </row>
    <row r="183" spans="1:17" ht="15.75" customHeight="1" x14ac:dyDescent="0.2">
      <c r="A183" s="526">
        <v>175</v>
      </c>
      <c r="B183" s="484" t="s">
        <v>235</v>
      </c>
      <c r="C183" s="516" t="s">
        <v>62</v>
      </c>
      <c r="D183" s="484"/>
      <c r="E183" s="486" t="s">
        <v>766</v>
      </c>
      <c r="F183" s="486" t="s">
        <v>457</v>
      </c>
      <c r="G183" s="510" t="s">
        <v>142</v>
      </c>
      <c r="H183" s="484">
        <v>4</v>
      </c>
      <c r="I183" s="484">
        <v>3</v>
      </c>
      <c r="J183" s="484">
        <v>3</v>
      </c>
      <c r="K183" s="482">
        <v>2269.65</v>
      </c>
      <c r="L183" s="482">
        <v>2269.65</v>
      </c>
      <c r="M183" s="482">
        <v>0</v>
      </c>
      <c r="N183" s="484">
        <v>0</v>
      </c>
      <c r="O183" s="482">
        <v>0</v>
      </c>
      <c r="P183" s="482">
        <v>0</v>
      </c>
      <c r="Q183" s="482">
        <v>0</v>
      </c>
    </row>
    <row r="184" spans="1:17" ht="15.75" customHeight="1" x14ac:dyDescent="0.2">
      <c r="A184" s="526">
        <v>176</v>
      </c>
      <c r="B184" s="484" t="s">
        <v>251</v>
      </c>
      <c r="C184" s="516" t="s">
        <v>62</v>
      </c>
      <c r="D184" s="484"/>
      <c r="E184" s="486" t="s">
        <v>761</v>
      </c>
      <c r="F184" s="486" t="s">
        <v>458</v>
      </c>
      <c r="G184" s="510" t="s">
        <v>142</v>
      </c>
      <c r="H184" s="484">
        <v>6</v>
      </c>
      <c r="I184" s="484">
        <v>3</v>
      </c>
      <c r="J184" s="484">
        <v>3</v>
      </c>
      <c r="K184" s="482">
        <v>3434.7</v>
      </c>
      <c r="L184" s="482">
        <v>3434.7</v>
      </c>
      <c r="M184" s="482">
        <v>0</v>
      </c>
      <c r="N184" s="484">
        <v>0</v>
      </c>
      <c r="O184" s="482">
        <v>0</v>
      </c>
      <c r="P184" s="482">
        <v>0</v>
      </c>
      <c r="Q184" s="482">
        <v>0</v>
      </c>
    </row>
    <row r="185" spans="1:17" ht="15.75" customHeight="1" x14ac:dyDescent="0.2">
      <c r="A185" s="526">
        <v>177</v>
      </c>
      <c r="B185" s="484" t="s">
        <v>30</v>
      </c>
      <c r="C185" s="516" t="s">
        <v>62</v>
      </c>
      <c r="D185" s="484"/>
      <c r="E185" s="486" t="s">
        <v>767</v>
      </c>
      <c r="F185" s="486" t="s">
        <v>460</v>
      </c>
      <c r="G185" s="510" t="s">
        <v>142</v>
      </c>
      <c r="H185" s="484">
        <v>1</v>
      </c>
      <c r="I185" s="484">
        <v>0</v>
      </c>
      <c r="J185" s="484">
        <v>0</v>
      </c>
      <c r="K185" s="482">
        <v>0</v>
      </c>
      <c r="L185" s="482">
        <v>0</v>
      </c>
      <c r="M185" s="482">
        <v>0</v>
      </c>
      <c r="N185" s="484">
        <v>0</v>
      </c>
      <c r="O185" s="482">
        <v>0</v>
      </c>
      <c r="P185" s="482">
        <v>0</v>
      </c>
      <c r="Q185" s="482">
        <v>0</v>
      </c>
    </row>
    <row r="186" spans="1:17" ht="15.75" customHeight="1" x14ac:dyDescent="0.2">
      <c r="A186" s="526">
        <v>178</v>
      </c>
      <c r="B186" s="484" t="s">
        <v>35</v>
      </c>
      <c r="C186" s="516" t="s">
        <v>62</v>
      </c>
      <c r="D186" s="484"/>
      <c r="E186" s="486" t="s">
        <v>768</v>
      </c>
      <c r="F186" s="486" t="s">
        <v>462</v>
      </c>
      <c r="G186" s="510" t="s">
        <v>142</v>
      </c>
      <c r="H186" s="484">
        <v>1</v>
      </c>
      <c r="I186" s="484">
        <v>0</v>
      </c>
      <c r="J186" s="484">
        <v>0</v>
      </c>
      <c r="K186" s="482">
        <v>0</v>
      </c>
      <c r="L186" s="482">
        <v>0</v>
      </c>
      <c r="M186" s="482">
        <v>0</v>
      </c>
      <c r="N186" s="484">
        <v>0</v>
      </c>
      <c r="O186" s="482">
        <v>0</v>
      </c>
      <c r="P186" s="482">
        <v>0</v>
      </c>
      <c r="Q186" s="482">
        <v>0</v>
      </c>
    </row>
    <row r="187" spans="1:17" ht="15.75" customHeight="1" x14ac:dyDescent="0.2">
      <c r="A187" s="526">
        <v>179</v>
      </c>
      <c r="B187" s="484" t="s">
        <v>769</v>
      </c>
      <c r="C187" s="516" t="s">
        <v>62</v>
      </c>
      <c r="D187" s="484"/>
      <c r="E187" s="486" t="s">
        <v>779</v>
      </c>
      <c r="F187" s="486" t="s">
        <v>771</v>
      </c>
      <c r="G187" s="510" t="s">
        <v>142</v>
      </c>
      <c r="H187" s="484">
        <v>1</v>
      </c>
      <c r="I187" s="484">
        <v>0</v>
      </c>
      <c r="J187" s="484">
        <v>0</v>
      </c>
      <c r="K187" s="482">
        <v>0</v>
      </c>
      <c r="L187" s="482">
        <v>0</v>
      </c>
      <c r="M187" s="482">
        <v>0</v>
      </c>
      <c r="N187" s="484">
        <v>0</v>
      </c>
      <c r="O187" s="482">
        <v>0</v>
      </c>
      <c r="P187" s="482">
        <v>0</v>
      </c>
      <c r="Q187" s="482">
        <v>0</v>
      </c>
    </row>
    <row r="188" spans="1:17" ht="15.75" customHeight="1" x14ac:dyDescent="0.2">
      <c r="A188" s="526">
        <v>180</v>
      </c>
      <c r="B188" s="556" t="s">
        <v>134</v>
      </c>
      <c r="C188" s="557" t="s">
        <v>62</v>
      </c>
      <c r="D188" s="558"/>
      <c r="E188" s="486" t="s">
        <v>158</v>
      </c>
      <c r="F188" s="556" t="s">
        <v>408</v>
      </c>
      <c r="G188" s="556" t="s">
        <v>409</v>
      </c>
      <c r="H188" s="550">
        <v>28</v>
      </c>
      <c r="I188" s="550">
        <v>11</v>
      </c>
      <c r="J188" s="550">
        <v>11</v>
      </c>
      <c r="K188" s="551">
        <v>11668.56</v>
      </c>
      <c r="L188" s="551">
        <v>11668.56</v>
      </c>
      <c r="M188" s="482">
        <v>0</v>
      </c>
      <c r="N188" s="550">
        <v>10</v>
      </c>
      <c r="O188" s="551">
        <v>24976.5</v>
      </c>
      <c r="P188" s="551">
        <v>24976.5</v>
      </c>
      <c r="Q188" s="482">
        <v>0</v>
      </c>
    </row>
    <row r="189" spans="1:17" ht="15.75" customHeight="1" x14ac:dyDescent="0.2">
      <c r="A189" s="526">
        <v>181</v>
      </c>
      <c r="B189" s="556" t="s">
        <v>335</v>
      </c>
      <c r="C189" s="557" t="s">
        <v>62</v>
      </c>
      <c r="D189" s="558"/>
      <c r="E189" s="486" t="s">
        <v>158</v>
      </c>
      <c r="F189" s="556" t="s">
        <v>410</v>
      </c>
      <c r="G189" s="556" t="s">
        <v>409</v>
      </c>
      <c r="H189" s="550">
        <v>18</v>
      </c>
      <c r="I189" s="550">
        <v>4</v>
      </c>
      <c r="J189" s="550">
        <v>4</v>
      </c>
      <c r="K189" s="551">
        <v>10075.39</v>
      </c>
      <c r="L189" s="551">
        <v>10075.39</v>
      </c>
      <c r="M189" s="482">
        <v>0</v>
      </c>
      <c r="N189" s="550">
        <v>13</v>
      </c>
      <c r="O189" s="551">
        <v>20140.7</v>
      </c>
      <c r="P189" s="551">
        <v>20140.7</v>
      </c>
      <c r="Q189" s="482">
        <v>0</v>
      </c>
    </row>
    <row r="190" spans="1:17" ht="15.75" customHeight="1" x14ac:dyDescent="0.2">
      <c r="A190" s="526">
        <v>182</v>
      </c>
      <c r="B190" s="556" t="s">
        <v>46</v>
      </c>
      <c r="C190" s="557" t="s">
        <v>62</v>
      </c>
      <c r="D190" s="558"/>
      <c r="E190" s="486" t="s">
        <v>678</v>
      </c>
      <c r="F190" s="556" t="s">
        <v>411</v>
      </c>
      <c r="G190" s="556" t="s">
        <v>409</v>
      </c>
      <c r="H190" s="550">
        <v>41</v>
      </c>
      <c r="I190" s="550">
        <v>25</v>
      </c>
      <c r="J190" s="550">
        <v>25</v>
      </c>
      <c r="K190" s="551">
        <v>43817.5</v>
      </c>
      <c r="L190" s="551">
        <v>43817.5</v>
      </c>
      <c r="M190" s="482">
        <v>0</v>
      </c>
      <c r="N190" s="550">
        <v>22</v>
      </c>
      <c r="O190" s="551">
        <v>36901.160000000003</v>
      </c>
      <c r="P190" s="551">
        <v>36901.160000000003</v>
      </c>
      <c r="Q190" s="482">
        <v>0</v>
      </c>
    </row>
    <row r="191" spans="1:17" ht="15.75" customHeight="1" x14ac:dyDescent="0.2">
      <c r="A191" s="526">
        <v>183</v>
      </c>
      <c r="B191" s="556" t="s">
        <v>36</v>
      </c>
      <c r="C191" s="557" t="s">
        <v>62</v>
      </c>
      <c r="D191" s="558"/>
      <c r="E191" s="486" t="s">
        <v>158</v>
      </c>
      <c r="F191" s="556" t="s">
        <v>412</v>
      </c>
      <c r="G191" s="556" t="s">
        <v>409</v>
      </c>
      <c r="H191" s="550">
        <v>29</v>
      </c>
      <c r="I191" s="550">
        <v>20</v>
      </c>
      <c r="J191" s="550">
        <v>20</v>
      </c>
      <c r="K191" s="551">
        <v>36461.949999999997</v>
      </c>
      <c r="L191" s="551">
        <v>36461.949999999997</v>
      </c>
      <c r="M191" s="482">
        <v>0</v>
      </c>
      <c r="N191" s="550">
        <v>25</v>
      </c>
      <c r="O191" s="551">
        <v>70762.62</v>
      </c>
      <c r="P191" s="551">
        <v>70762.62</v>
      </c>
      <c r="Q191" s="482">
        <v>0</v>
      </c>
    </row>
    <row r="192" spans="1:17" ht="15.75" customHeight="1" x14ac:dyDescent="0.2">
      <c r="A192" s="526">
        <v>184</v>
      </c>
      <c r="B192" s="556" t="s">
        <v>27</v>
      </c>
      <c r="C192" s="557" t="s">
        <v>62</v>
      </c>
      <c r="D192" s="558"/>
      <c r="E192" s="486" t="s">
        <v>158</v>
      </c>
      <c r="F192" s="556" t="s">
        <v>413</v>
      </c>
      <c r="G192" s="556" t="s">
        <v>409</v>
      </c>
      <c r="H192" s="550">
        <v>12</v>
      </c>
      <c r="I192" s="550">
        <v>9</v>
      </c>
      <c r="J192" s="550">
        <v>9</v>
      </c>
      <c r="K192" s="551">
        <v>15819.14</v>
      </c>
      <c r="L192" s="551">
        <v>15169.37</v>
      </c>
      <c r="M192" s="482">
        <v>649.77</v>
      </c>
      <c r="N192" s="550">
        <v>10</v>
      </c>
      <c r="O192" s="551">
        <v>19563.2</v>
      </c>
      <c r="P192" s="551">
        <v>19563.2</v>
      </c>
      <c r="Q192" s="482">
        <v>0</v>
      </c>
    </row>
    <row r="193" spans="1:17" ht="15.75" customHeight="1" x14ac:dyDescent="0.2">
      <c r="A193" s="526">
        <v>185</v>
      </c>
      <c r="B193" s="556" t="s">
        <v>28</v>
      </c>
      <c r="C193" s="557" t="s">
        <v>62</v>
      </c>
      <c r="D193" s="558"/>
      <c r="E193" s="486" t="s">
        <v>158</v>
      </c>
      <c r="F193" s="556" t="s">
        <v>414</v>
      </c>
      <c r="G193" s="556" t="s">
        <v>409</v>
      </c>
      <c r="H193" s="550">
        <v>31</v>
      </c>
      <c r="I193" s="550">
        <v>21</v>
      </c>
      <c r="J193" s="550">
        <v>21</v>
      </c>
      <c r="K193" s="551">
        <v>31030.02</v>
      </c>
      <c r="L193" s="551">
        <v>31030.02</v>
      </c>
      <c r="M193" s="482">
        <v>0</v>
      </c>
      <c r="N193" s="550">
        <v>16</v>
      </c>
      <c r="O193" s="551">
        <v>26212.25</v>
      </c>
      <c r="P193" s="551">
        <v>26212.25</v>
      </c>
      <c r="Q193" s="482">
        <v>0</v>
      </c>
    </row>
    <row r="194" spans="1:17" ht="15.75" customHeight="1" x14ac:dyDescent="0.2">
      <c r="A194" s="526">
        <v>186</v>
      </c>
      <c r="B194" s="532" t="s">
        <v>246</v>
      </c>
      <c r="C194" s="533" t="s">
        <v>62</v>
      </c>
      <c r="D194" s="534"/>
      <c r="E194" s="486" t="s">
        <v>158</v>
      </c>
      <c r="F194" s="532" t="s">
        <v>415</v>
      </c>
      <c r="G194" s="556" t="s">
        <v>409</v>
      </c>
      <c r="H194" s="550">
        <v>27</v>
      </c>
      <c r="I194" s="550">
        <v>7</v>
      </c>
      <c r="J194" s="550">
        <v>7</v>
      </c>
      <c r="K194" s="551">
        <v>7611.84</v>
      </c>
      <c r="L194" s="551">
        <v>7611.84</v>
      </c>
      <c r="M194" s="482">
        <v>0</v>
      </c>
      <c r="N194" s="550">
        <v>0</v>
      </c>
      <c r="O194" s="551">
        <v>0</v>
      </c>
      <c r="P194" s="551">
        <v>0</v>
      </c>
      <c r="Q194" s="482">
        <v>0</v>
      </c>
    </row>
    <row r="195" spans="1:17" ht="15.75" customHeight="1" x14ac:dyDescent="0.2">
      <c r="A195" s="526">
        <v>187</v>
      </c>
      <c r="B195" s="556" t="s">
        <v>330</v>
      </c>
      <c r="C195" s="533" t="s">
        <v>62</v>
      </c>
      <c r="D195" s="534"/>
      <c r="E195" s="486" t="s">
        <v>158</v>
      </c>
      <c r="F195" s="532" t="s">
        <v>416</v>
      </c>
      <c r="G195" s="556" t="s">
        <v>409</v>
      </c>
      <c r="H195" s="550">
        <v>10</v>
      </c>
      <c r="I195" s="550">
        <v>2</v>
      </c>
      <c r="J195" s="550">
        <v>2</v>
      </c>
      <c r="K195" s="551">
        <v>4050.2</v>
      </c>
      <c r="L195" s="551">
        <v>4050.2</v>
      </c>
      <c r="M195" s="482">
        <v>0</v>
      </c>
      <c r="N195" s="550">
        <v>0</v>
      </c>
      <c r="O195" s="551">
        <v>0</v>
      </c>
      <c r="P195" s="551">
        <v>0</v>
      </c>
      <c r="Q195" s="482">
        <v>0</v>
      </c>
    </row>
    <row r="196" spans="1:17" ht="15.75" customHeight="1" x14ac:dyDescent="0.2">
      <c r="A196" s="526">
        <v>188</v>
      </c>
      <c r="B196" s="556" t="s">
        <v>402</v>
      </c>
      <c r="C196" s="533" t="s">
        <v>62</v>
      </c>
      <c r="D196" s="534"/>
      <c r="E196" s="486" t="s">
        <v>158</v>
      </c>
      <c r="F196" s="532" t="s">
        <v>417</v>
      </c>
      <c r="G196" s="556" t="s">
        <v>409</v>
      </c>
      <c r="H196" s="550">
        <v>23</v>
      </c>
      <c r="I196" s="550">
        <v>14</v>
      </c>
      <c r="J196" s="550">
        <v>14</v>
      </c>
      <c r="K196" s="551">
        <v>28917.64</v>
      </c>
      <c r="L196" s="551">
        <v>28917.64</v>
      </c>
      <c r="M196" s="482">
        <v>0</v>
      </c>
      <c r="N196" s="550">
        <v>0</v>
      </c>
      <c r="O196" s="551">
        <v>0</v>
      </c>
      <c r="P196" s="551">
        <v>0</v>
      </c>
      <c r="Q196" s="482">
        <v>0</v>
      </c>
    </row>
    <row r="197" spans="1:17" ht="15.75" customHeight="1" x14ac:dyDescent="0.2">
      <c r="A197" s="526">
        <v>189</v>
      </c>
      <c r="B197" s="556" t="s">
        <v>154</v>
      </c>
      <c r="C197" s="533" t="s">
        <v>62</v>
      </c>
      <c r="D197" s="534"/>
      <c r="E197" s="556" t="s">
        <v>158</v>
      </c>
      <c r="F197" s="532" t="s">
        <v>418</v>
      </c>
      <c r="G197" s="556" t="s">
        <v>409</v>
      </c>
      <c r="H197" s="550">
        <v>11</v>
      </c>
      <c r="I197" s="550">
        <v>3</v>
      </c>
      <c r="J197" s="550">
        <v>3</v>
      </c>
      <c r="K197" s="551">
        <v>4422.95</v>
      </c>
      <c r="L197" s="551">
        <v>4422.95</v>
      </c>
      <c r="M197" s="482">
        <v>0</v>
      </c>
      <c r="N197" s="550">
        <v>9</v>
      </c>
      <c r="O197" s="551">
        <v>14857.9</v>
      </c>
      <c r="P197" s="551">
        <v>14857.9</v>
      </c>
      <c r="Q197" s="482">
        <v>0</v>
      </c>
    </row>
    <row r="198" spans="1:17" ht="15.75" customHeight="1" x14ac:dyDescent="0.2">
      <c r="A198" s="526">
        <v>190</v>
      </c>
      <c r="B198" s="556" t="s">
        <v>153</v>
      </c>
      <c r="C198" s="533" t="s">
        <v>62</v>
      </c>
      <c r="D198" s="534"/>
      <c r="E198" s="486" t="s">
        <v>158</v>
      </c>
      <c r="F198" s="532" t="s">
        <v>419</v>
      </c>
      <c r="G198" s="556" t="s">
        <v>409</v>
      </c>
      <c r="H198" s="550">
        <v>4</v>
      </c>
      <c r="I198" s="550">
        <v>1</v>
      </c>
      <c r="J198" s="550">
        <v>1</v>
      </c>
      <c r="K198" s="551">
        <v>1635.8</v>
      </c>
      <c r="L198" s="551">
        <v>1635.8</v>
      </c>
      <c r="M198" s="482">
        <v>0</v>
      </c>
      <c r="N198" s="550">
        <v>18</v>
      </c>
      <c r="O198" s="551">
        <v>63052.81</v>
      </c>
      <c r="P198" s="551">
        <v>63052.81</v>
      </c>
      <c r="Q198" s="482">
        <v>0</v>
      </c>
    </row>
    <row r="199" spans="1:17" ht="15.75" customHeight="1" x14ac:dyDescent="0.2">
      <c r="A199" s="526">
        <v>191</v>
      </c>
      <c r="B199" s="556" t="s">
        <v>89</v>
      </c>
      <c r="C199" s="533" t="s">
        <v>62</v>
      </c>
      <c r="D199" s="534"/>
      <c r="E199" s="486" t="s">
        <v>158</v>
      </c>
      <c r="F199" s="532" t="s">
        <v>420</v>
      </c>
      <c r="G199" s="556" t="s">
        <v>409</v>
      </c>
      <c r="H199" s="550">
        <v>14</v>
      </c>
      <c r="I199" s="550">
        <v>7</v>
      </c>
      <c r="J199" s="550">
        <v>7</v>
      </c>
      <c r="K199" s="551">
        <v>11093.25</v>
      </c>
      <c r="L199" s="551">
        <v>11093.25</v>
      </c>
      <c r="M199" s="482">
        <v>0</v>
      </c>
      <c r="N199" s="550">
        <v>4</v>
      </c>
      <c r="O199" s="551">
        <v>12828.6</v>
      </c>
      <c r="P199" s="551">
        <v>12828.6</v>
      </c>
      <c r="Q199" s="482">
        <v>0</v>
      </c>
    </row>
    <row r="200" spans="1:17" ht="15.75" customHeight="1" x14ac:dyDescent="0.2">
      <c r="A200" s="526">
        <v>192</v>
      </c>
      <c r="B200" s="556" t="s">
        <v>379</v>
      </c>
      <c r="C200" s="533" t="s">
        <v>62</v>
      </c>
      <c r="D200" s="534"/>
      <c r="E200" s="486" t="s">
        <v>158</v>
      </c>
      <c r="F200" s="532" t="s">
        <v>421</v>
      </c>
      <c r="G200" s="556" t="s">
        <v>409</v>
      </c>
      <c r="H200" s="550">
        <v>10</v>
      </c>
      <c r="I200" s="550">
        <v>6</v>
      </c>
      <c r="J200" s="550">
        <v>6</v>
      </c>
      <c r="K200" s="551">
        <v>7132.7</v>
      </c>
      <c r="L200" s="551">
        <v>7132.7</v>
      </c>
      <c r="M200" s="482">
        <v>0</v>
      </c>
      <c r="N200" s="550">
        <v>0</v>
      </c>
      <c r="O200" s="551">
        <v>0</v>
      </c>
      <c r="P200" s="551">
        <v>0</v>
      </c>
      <c r="Q200" s="482">
        <v>0</v>
      </c>
    </row>
    <row r="201" spans="1:17" ht="15.75" customHeight="1" x14ac:dyDescent="0.2">
      <c r="A201" s="526">
        <v>193</v>
      </c>
      <c r="B201" s="556" t="s">
        <v>264</v>
      </c>
      <c r="C201" s="533" t="s">
        <v>62</v>
      </c>
      <c r="D201" s="534"/>
      <c r="E201" s="486" t="s">
        <v>158</v>
      </c>
      <c r="F201" s="532" t="s">
        <v>422</v>
      </c>
      <c r="G201" s="556" t="s">
        <v>409</v>
      </c>
      <c r="H201" s="550">
        <v>3</v>
      </c>
      <c r="I201" s="550">
        <v>0</v>
      </c>
      <c r="J201" s="550">
        <v>0</v>
      </c>
      <c r="K201" s="551">
        <v>0</v>
      </c>
      <c r="L201" s="551">
        <v>0</v>
      </c>
      <c r="M201" s="482">
        <v>0</v>
      </c>
      <c r="N201" s="550">
        <v>0</v>
      </c>
      <c r="O201" s="551">
        <v>0</v>
      </c>
      <c r="P201" s="551">
        <v>0</v>
      </c>
      <c r="Q201" s="482">
        <v>0</v>
      </c>
    </row>
    <row r="202" spans="1:17" ht="15.75" customHeight="1" x14ac:dyDescent="0.2">
      <c r="A202" s="526">
        <v>194</v>
      </c>
      <c r="B202" s="556" t="s">
        <v>475</v>
      </c>
      <c r="C202" s="533" t="s">
        <v>67</v>
      </c>
      <c r="D202" s="558" t="s">
        <v>123</v>
      </c>
      <c r="E202" s="556" t="s">
        <v>158</v>
      </c>
      <c r="F202" s="532" t="s">
        <v>423</v>
      </c>
      <c r="G202" s="556" t="s">
        <v>409</v>
      </c>
      <c r="H202" s="550">
        <v>3</v>
      </c>
      <c r="I202" s="550">
        <v>0</v>
      </c>
      <c r="J202" s="550">
        <v>0</v>
      </c>
      <c r="K202" s="551">
        <v>0</v>
      </c>
      <c r="L202" s="551">
        <v>0</v>
      </c>
      <c r="M202" s="482">
        <v>0</v>
      </c>
      <c r="N202" s="550">
        <v>0</v>
      </c>
      <c r="O202" s="551">
        <v>0</v>
      </c>
      <c r="P202" s="551">
        <v>0</v>
      </c>
      <c r="Q202" s="482">
        <v>0</v>
      </c>
    </row>
    <row r="203" spans="1:17" ht="15.75" customHeight="1" x14ac:dyDescent="0.2">
      <c r="A203" s="526">
        <v>195</v>
      </c>
      <c r="B203" s="556" t="s">
        <v>137</v>
      </c>
      <c r="C203" s="533" t="s">
        <v>62</v>
      </c>
      <c r="D203" s="534"/>
      <c r="E203" s="556" t="s">
        <v>158</v>
      </c>
      <c r="F203" s="532" t="s">
        <v>424</v>
      </c>
      <c r="G203" s="556" t="s">
        <v>409</v>
      </c>
      <c r="H203" s="550">
        <v>6</v>
      </c>
      <c r="I203" s="550">
        <v>2</v>
      </c>
      <c r="J203" s="550">
        <v>2</v>
      </c>
      <c r="K203" s="551">
        <v>2243.8200000000002</v>
      </c>
      <c r="L203" s="551">
        <v>2243.8200000000002</v>
      </c>
      <c r="M203" s="482">
        <v>0</v>
      </c>
      <c r="N203" s="550">
        <v>1</v>
      </c>
      <c r="O203" s="551">
        <v>2393.3000000000002</v>
      </c>
      <c r="P203" s="551">
        <v>2393.3000000000002</v>
      </c>
      <c r="Q203" s="482">
        <v>0</v>
      </c>
    </row>
    <row r="204" spans="1:17" ht="15.75" customHeight="1" x14ac:dyDescent="0.2">
      <c r="A204" s="526">
        <v>196</v>
      </c>
      <c r="B204" s="556" t="s">
        <v>173</v>
      </c>
      <c r="C204" s="533" t="s">
        <v>67</v>
      </c>
      <c r="D204" s="484" t="s">
        <v>478</v>
      </c>
      <c r="E204" s="486" t="s">
        <v>158</v>
      </c>
      <c r="F204" s="532" t="s">
        <v>426</v>
      </c>
      <c r="G204" s="556" t="s">
        <v>409</v>
      </c>
      <c r="H204" s="550">
        <v>14</v>
      </c>
      <c r="I204" s="550">
        <v>8</v>
      </c>
      <c r="J204" s="550">
        <v>8</v>
      </c>
      <c r="K204" s="551">
        <v>13701.62</v>
      </c>
      <c r="L204" s="551">
        <v>13701.62</v>
      </c>
      <c r="M204" s="482">
        <v>0</v>
      </c>
      <c r="N204" s="550">
        <v>0</v>
      </c>
      <c r="O204" s="551">
        <v>0</v>
      </c>
      <c r="P204" s="551">
        <v>0</v>
      </c>
      <c r="Q204" s="482">
        <v>0</v>
      </c>
    </row>
    <row r="205" spans="1:17" ht="15.75" customHeight="1" x14ac:dyDescent="0.2">
      <c r="A205" s="526">
        <v>197</v>
      </c>
      <c r="B205" s="556" t="s">
        <v>135</v>
      </c>
      <c r="C205" s="533" t="s">
        <v>62</v>
      </c>
      <c r="D205" s="534"/>
      <c r="E205" s="486" t="s">
        <v>158</v>
      </c>
      <c r="F205" s="532" t="s">
        <v>427</v>
      </c>
      <c r="G205" s="556" t="s">
        <v>409</v>
      </c>
      <c r="H205" s="550">
        <v>7</v>
      </c>
      <c r="I205" s="550">
        <v>3</v>
      </c>
      <c r="J205" s="550">
        <v>3</v>
      </c>
      <c r="K205" s="551">
        <v>3524.92</v>
      </c>
      <c r="L205" s="551">
        <v>2396.3200000000002</v>
      </c>
      <c r="M205" s="482">
        <v>1128.5999999999999</v>
      </c>
      <c r="N205" s="550">
        <v>13</v>
      </c>
      <c r="O205" s="551">
        <v>29153.119999999999</v>
      </c>
      <c r="P205" s="551">
        <v>21917.97</v>
      </c>
      <c r="Q205" s="482">
        <v>7235.15</v>
      </c>
    </row>
    <row r="206" spans="1:17" ht="15.75" customHeight="1" x14ac:dyDescent="0.2">
      <c r="A206" s="526">
        <v>198</v>
      </c>
      <c r="B206" s="556" t="s">
        <v>148</v>
      </c>
      <c r="C206" s="533" t="s">
        <v>62</v>
      </c>
      <c r="D206" s="534"/>
      <c r="E206" s="556" t="s">
        <v>719</v>
      </c>
      <c r="F206" s="532" t="s">
        <v>375</v>
      </c>
      <c r="G206" s="556" t="s">
        <v>409</v>
      </c>
      <c r="H206" s="550">
        <v>26</v>
      </c>
      <c r="I206" s="550">
        <v>20</v>
      </c>
      <c r="J206" s="550">
        <v>20</v>
      </c>
      <c r="K206" s="551">
        <v>58526.37</v>
      </c>
      <c r="L206" s="551">
        <v>58526.37</v>
      </c>
      <c r="M206" s="482">
        <v>0</v>
      </c>
      <c r="N206" s="550">
        <v>30</v>
      </c>
      <c r="O206" s="551">
        <v>92970.89</v>
      </c>
      <c r="P206" s="551">
        <v>92970.89</v>
      </c>
      <c r="Q206" s="482">
        <v>0</v>
      </c>
    </row>
    <row r="207" spans="1:17" ht="15.75" customHeight="1" x14ac:dyDescent="0.2">
      <c r="A207" s="526">
        <v>199</v>
      </c>
      <c r="B207" s="556" t="s">
        <v>147</v>
      </c>
      <c r="C207" s="533" t="s">
        <v>62</v>
      </c>
      <c r="D207" s="534"/>
      <c r="E207" s="486" t="s">
        <v>158</v>
      </c>
      <c r="F207" s="532" t="s">
        <v>331</v>
      </c>
      <c r="G207" s="556" t="s">
        <v>409</v>
      </c>
      <c r="H207" s="550">
        <v>10</v>
      </c>
      <c r="I207" s="550">
        <v>3</v>
      </c>
      <c r="J207" s="550">
        <v>3</v>
      </c>
      <c r="K207" s="551">
        <v>6204.1</v>
      </c>
      <c r="L207" s="551">
        <v>4915.3999999999996</v>
      </c>
      <c r="M207" s="482">
        <v>1288.7</v>
      </c>
      <c r="N207" s="550">
        <v>10</v>
      </c>
      <c r="O207" s="551">
        <v>22395.4</v>
      </c>
      <c r="P207" s="551">
        <v>22395.4</v>
      </c>
      <c r="Q207" s="482">
        <v>0</v>
      </c>
    </row>
    <row r="208" spans="1:17" ht="15.75" customHeight="1" x14ac:dyDescent="0.2">
      <c r="A208" s="526">
        <v>200</v>
      </c>
      <c r="B208" s="556" t="s">
        <v>124</v>
      </c>
      <c r="C208" s="533" t="s">
        <v>62</v>
      </c>
      <c r="D208" s="534"/>
      <c r="E208" s="556" t="s">
        <v>720</v>
      </c>
      <c r="F208" s="532" t="s">
        <v>329</v>
      </c>
      <c r="G208" s="556" t="s">
        <v>409</v>
      </c>
      <c r="H208" s="550">
        <v>17</v>
      </c>
      <c r="I208" s="550">
        <v>11</v>
      </c>
      <c r="J208" s="550">
        <v>11</v>
      </c>
      <c r="K208" s="551">
        <v>14887.37</v>
      </c>
      <c r="L208" s="551">
        <v>14887.37</v>
      </c>
      <c r="M208" s="482">
        <v>0</v>
      </c>
      <c r="N208" s="550">
        <v>26</v>
      </c>
      <c r="O208" s="551">
        <v>35829.449999999997</v>
      </c>
      <c r="P208" s="551">
        <v>35829.449999999997</v>
      </c>
      <c r="Q208" s="482">
        <v>0</v>
      </c>
    </row>
    <row r="209" spans="1:17" ht="15.75" customHeight="1" x14ac:dyDescent="0.2">
      <c r="A209" s="526">
        <v>201</v>
      </c>
      <c r="B209" s="556" t="s">
        <v>168</v>
      </c>
      <c r="C209" s="533" t="s">
        <v>62</v>
      </c>
      <c r="D209" s="534"/>
      <c r="E209" s="532" t="s">
        <v>371</v>
      </c>
      <c r="F209" s="532" t="s">
        <v>353</v>
      </c>
      <c r="G209" s="556" t="s">
        <v>409</v>
      </c>
      <c r="H209" s="550">
        <v>11</v>
      </c>
      <c r="I209" s="550">
        <v>1</v>
      </c>
      <c r="J209" s="550">
        <v>1</v>
      </c>
      <c r="K209" s="551">
        <v>1409.6</v>
      </c>
      <c r="L209" s="551">
        <v>1409.6</v>
      </c>
      <c r="M209" s="482">
        <v>0</v>
      </c>
      <c r="N209" s="550">
        <v>0</v>
      </c>
      <c r="O209" s="551">
        <v>0</v>
      </c>
      <c r="P209" s="551">
        <v>0</v>
      </c>
      <c r="Q209" s="482">
        <v>0</v>
      </c>
    </row>
    <row r="210" spans="1:17" ht="15.75" customHeight="1" x14ac:dyDescent="0.2">
      <c r="A210" s="526">
        <v>202</v>
      </c>
      <c r="B210" s="556" t="s">
        <v>429</v>
      </c>
      <c r="C210" s="533" t="s">
        <v>62</v>
      </c>
      <c r="D210" s="534"/>
      <c r="E210" s="486" t="s">
        <v>158</v>
      </c>
      <c r="F210" s="532" t="s">
        <v>430</v>
      </c>
      <c r="G210" s="556" t="s">
        <v>409</v>
      </c>
      <c r="H210" s="550">
        <v>10</v>
      </c>
      <c r="I210" s="550">
        <v>3</v>
      </c>
      <c r="J210" s="550">
        <v>3</v>
      </c>
      <c r="K210" s="551">
        <v>5178.84</v>
      </c>
      <c r="L210" s="551">
        <v>5178.84</v>
      </c>
      <c r="M210" s="482">
        <v>0</v>
      </c>
      <c r="N210" s="550">
        <v>7</v>
      </c>
      <c r="O210" s="551">
        <v>6995.76</v>
      </c>
      <c r="P210" s="551">
        <v>6995.76</v>
      </c>
      <c r="Q210" s="482">
        <v>0</v>
      </c>
    </row>
    <row r="211" spans="1:17" ht="15.75" customHeight="1" x14ac:dyDescent="0.2">
      <c r="A211" s="526">
        <v>203</v>
      </c>
      <c r="B211" s="556" t="s">
        <v>130</v>
      </c>
      <c r="C211" s="533" t="s">
        <v>62</v>
      </c>
      <c r="D211" s="534"/>
      <c r="E211" s="486" t="s">
        <v>158</v>
      </c>
      <c r="F211" s="532" t="s">
        <v>431</v>
      </c>
      <c r="G211" s="556" t="s">
        <v>409</v>
      </c>
      <c r="H211" s="550">
        <v>7</v>
      </c>
      <c r="I211" s="550">
        <v>4</v>
      </c>
      <c r="J211" s="550">
        <v>4</v>
      </c>
      <c r="K211" s="551">
        <v>5204.2</v>
      </c>
      <c r="L211" s="551">
        <v>5204.2</v>
      </c>
      <c r="M211" s="482">
        <v>0</v>
      </c>
      <c r="N211" s="550">
        <v>5</v>
      </c>
      <c r="O211" s="551">
        <v>10391.459999999999</v>
      </c>
      <c r="P211" s="551">
        <v>10391.459999999999</v>
      </c>
      <c r="Q211" s="482">
        <v>0</v>
      </c>
    </row>
    <row r="212" spans="1:17" ht="15.75" customHeight="1" x14ac:dyDescent="0.2">
      <c r="A212" s="526">
        <v>204</v>
      </c>
      <c r="B212" s="556" t="s">
        <v>32</v>
      </c>
      <c r="C212" s="533" t="s">
        <v>62</v>
      </c>
      <c r="D212" s="534"/>
      <c r="E212" s="486" t="s">
        <v>158</v>
      </c>
      <c r="F212" s="532" t="s">
        <v>432</v>
      </c>
      <c r="G212" s="556" t="s">
        <v>409</v>
      </c>
      <c r="H212" s="550">
        <v>15</v>
      </c>
      <c r="I212" s="550">
        <v>10</v>
      </c>
      <c r="J212" s="550">
        <v>10</v>
      </c>
      <c r="K212" s="551">
        <v>16181.42</v>
      </c>
      <c r="L212" s="551">
        <v>16181.42</v>
      </c>
      <c r="M212" s="482">
        <v>0</v>
      </c>
      <c r="N212" s="550">
        <v>9</v>
      </c>
      <c r="O212" s="551">
        <v>18778.12</v>
      </c>
      <c r="P212" s="551">
        <v>18778.12</v>
      </c>
      <c r="Q212" s="482">
        <v>0</v>
      </c>
    </row>
    <row r="213" spans="1:17" ht="15.75" customHeight="1" x14ac:dyDescent="0.2">
      <c r="A213" s="526">
        <v>205</v>
      </c>
      <c r="B213" s="556" t="s">
        <v>343</v>
      </c>
      <c r="C213" s="533" t="s">
        <v>62</v>
      </c>
      <c r="D213" s="534"/>
      <c r="E213" s="486" t="s">
        <v>158</v>
      </c>
      <c r="F213" s="532" t="s">
        <v>433</v>
      </c>
      <c r="G213" s="556" t="s">
        <v>409</v>
      </c>
      <c r="H213" s="550">
        <v>16</v>
      </c>
      <c r="I213" s="550">
        <v>12</v>
      </c>
      <c r="J213" s="550">
        <v>12</v>
      </c>
      <c r="K213" s="551">
        <v>20615</v>
      </c>
      <c r="L213" s="551">
        <v>18037.599999999999</v>
      </c>
      <c r="M213" s="482">
        <v>2577.4</v>
      </c>
      <c r="N213" s="550">
        <v>0</v>
      </c>
      <c r="O213" s="551">
        <v>0</v>
      </c>
      <c r="P213" s="551">
        <v>0</v>
      </c>
      <c r="Q213" s="482">
        <v>0</v>
      </c>
    </row>
    <row r="214" spans="1:17" ht="15.75" customHeight="1" x14ac:dyDescent="0.2">
      <c r="A214" s="526">
        <v>206</v>
      </c>
      <c r="B214" s="556" t="s">
        <v>290</v>
      </c>
      <c r="C214" s="533" t="s">
        <v>62</v>
      </c>
      <c r="D214" s="534"/>
      <c r="E214" s="532" t="s">
        <v>371</v>
      </c>
      <c r="F214" s="532" t="s">
        <v>434</v>
      </c>
      <c r="G214" s="556" t="s">
        <v>409</v>
      </c>
      <c r="H214" s="550">
        <v>6</v>
      </c>
      <c r="I214" s="550">
        <v>1</v>
      </c>
      <c r="J214" s="550">
        <v>1</v>
      </c>
      <c r="K214" s="551">
        <v>1585.8</v>
      </c>
      <c r="L214" s="551">
        <v>1585.8</v>
      </c>
      <c r="M214" s="482">
        <v>0</v>
      </c>
      <c r="N214" s="550">
        <v>0</v>
      </c>
      <c r="O214" s="551">
        <v>0</v>
      </c>
      <c r="P214" s="551">
        <v>0</v>
      </c>
      <c r="Q214" s="482">
        <v>0</v>
      </c>
    </row>
    <row r="215" spans="1:17" ht="15.75" customHeight="1" x14ac:dyDescent="0.2">
      <c r="A215" s="526">
        <v>207</v>
      </c>
      <c r="B215" s="556" t="s">
        <v>315</v>
      </c>
      <c r="C215" s="533" t="s">
        <v>62</v>
      </c>
      <c r="D215" s="534"/>
      <c r="E215" s="486" t="s">
        <v>158</v>
      </c>
      <c r="F215" s="532" t="s">
        <v>435</v>
      </c>
      <c r="G215" s="556" t="s">
        <v>409</v>
      </c>
      <c r="H215" s="550">
        <v>20</v>
      </c>
      <c r="I215" s="550">
        <v>6</v>
      </c>
      <c r="J215" s="550">
        <v>6</v>
      </c>
      <c r="K215" s="551">
        <v>13025.5</v>
      </c>
      <c r="L215" s="551">
        <v>4741</v>
      </c>
      <c r="M215" s="482">
        <v>8284.5</v>
      </c>
      <c r="N215" s="550">
        <v>6</v>
      </c>
      <c r="O215" s="551">
        <v>14019.72</v>
      </c>
      <c r="P215" s="551">
        <v>7208.02</v>
      </c>
      <c r="Q215" s="482">
        <v>6811.7</v>
      </c>
    </row>
    <row r="216" spans="1:17" ht="15.75" customHeight="1" x14ac:dyDescent="0.2">
      <c r="A216" s="526">
        <v>208</v>
      </c>
      <c r="B216" s="556" t="s">
        <v>216</v>
      </c>
      <c r="C216" s="533" t="s">
        <v>67</v>
      </c>
      <c r="D216" s="534" t="s">
        <v>436</v>
      </c>
      <c r="E216" s="486" t="s">
        <v>158</v>
      </c>
      <c r="F216" s="532" t="s">
        <v>437</v>
      </c>
      <c r="G216" s="556" t="s">
        <v>409</v>
      </c>
      <c r="H216" s="550">
        <v>20</v>
      </c>
      <c r="I216" s="550">
        <v>7</v>
      </c>
      <c r="J216" s="550">
        <v>7</v>
      </c>
      <c r="K216" s="551">
        <v>13299.66</v>
      </c>
      <c r="L216" s="551">
        <v>13299.66</v>
      </c>
      <c r="M216" s="482">
        <v>0</v>
      </c>
      <c r="N216" s="550">
        <v>0</v>
      </c>
      <c r="O216" s="551">
        <v>0</v>
      </c>
      <c r="P216" s="551">
        <v>0</v>
      </c>
      <c r="Q216" s="482">
        <v>0</v>
      </c>
    </row>
    <row r="217" spans="1:17" ht="15.75" customHeight="1" x14ac:dyDescent="0.2">
      <c r="A217" s="526">
        <v>209</v>
      </c>
      <c r="B217" s="556" t="s">
        <v>438</v>
      </c>
      <c r="C217" s="533" t="s">
        <v>62</v>
      </c>
      <c r="D217" s="534"/>
      <c r="E217" s="486" t="s">
        <v>158</v>
      </c>
      <c r="F217" s="532" t="s">
        <v>439</v>
      </c>
      <c r="G217" s="556" t="s">
        <v>409</v>
      </c>
      <c r="H217" s="550">
        <v>9</v>
      </c>
      <c r="I217" s="550">
        <v>1</v>
      </c>
      <c r="J217" s="550">
        <v>1</v>
      </c>
      <c r="K217" s="551">
        <v>3497.9</v>
      </c>
      <c r="L217" s="551">
        <v>3497.9</v>
      </c>
      <c r="M217" s="482">
        <v>0</v>
      </c>
      <c r="N217" s="550">
        <v>0</v>
      </c>
      <c r="O217" s="551">
        <v>0</v>
      </c>
      <c r="P217" s="551">
        <v>0</v>
      </c>
      <c r="Q217" s="482">
        <v>0</v>
      </c>
    </row>
    <row r="218" spans="1:17" ht="15.75" customHeight="1" x14ac:dyDescent="0.2">
      <c r="A218" s="526">
        <v>210</v>
      </c>
      <c r="B218" s="556" t="s">
        <v>440</v>
      </c>
      <c r="C218" s="533" t="s">
        <v>62</v>
      </c>
      <c r="D218" s="534"/>
      <c r="E218" s="486" t="s">
        <v>158</v>
      </c>
      <c r="F218" s="532" t="s">
        <v>441</v>
      </c>
      <c r="G218" s="556" t="s">
        <v>409</v>
      </c>
      <c r="H218" s="550">
        <v>7</v>
      </c>
      <c r="I218" s="550">
        <v>3</v>
      </c>
      <c r="J218" s="550">
        <v>3</v>
      </c>
      <c r="K218" s="551">
        <v>3171.6</v>
      </c>
      <c r="L218" s="551">
        <v>3171.6</v>
      </c>
      <c r="M218" s="482">
        <v>0</v>
      </c>
      <c r="N218" s="550">
        <v>0</v>
      </c>
      <c r="O218" s="551">
        <v>0</v>
      </c>
      <c r="P218" s="551">
        <v>0</v>
      </c>
      <c r="Q218" s="482">
        <v>0</v>
      </c>
    </row>
    <row r="219" spans="1:17" ht="15.75" customHeight="1" x14ac:dyDescent="0.2">
      <c r="A219" s="526">
        <v>211</v>
      </c>
      <c r="B219" s="556" t="s">
        <v>222</v>
      </c>
      <c r="C219" s="533" t="s">
        <v>64</v>
      </c>
      <c r="D219" s="484" t="s">
        <v>486</v>
      </c>
      <c r="E219" s="486" t="s">
        <v>158</v>
      </c>
      <c r="F219" s="532" t="s">
        <v>443</v>
      </c>
      <c r="G219" s="556" t="s">
        <v>409</v>
      </c>
      <c r="H219" s="550">
        <v>1</v>
      </c>
      <c r="I219" s="550">
        <v>0</v>
      </c>
      <c r="J219" s="550">
        <v>0</v>
      </c>
      <c r="K219" s="551">
        <v>0</v>
      </c>
      <c r="L219" s="551">
        <v>0</v>
      </c>
      <c r="M219" s="482">
        <v>0</v>
      </c>
      <c r="N219" s="550">
        <v>0</v>
      </c>
      <c r="O219" s="551">
        <v>0</v>
      </c>
      <c r="P219" s="551">
        <v>0</v>
      </c>
      <c r="Q219" s="482">
        <v>0</v>
      </c>
    </row>
    <row r="220" spans="1:17" ht="15.75" customHeight="1" x14ac:dyDescent="0.2">
      <c r="A220" s="526">
        <v>212</v>
      </c>
      <c r="B220" s="556" t="s">
        <v>444</v>
      </c>
      <c r="C220" s="533" t="s">
        <v>62</v>
      </c>
      <c r="D220" s="534"/>
      <c r="E220" s="486" t="s">
        <v>158</v>
      </c>
      <c r="F220" s="532" t="s">
        <v>445</v>
      </c>
      <c r="G220" s="556" t="s">
        <v>409</v>
      </c>
      <c r="H220" s="550">
        <v>5</v>
      </c>
      <c r="I220" s="550">
        <v>5</v>
      </c>
      <c r="J220" s="550">
        <v>5</v>
      </c>
      <c r="K220" s="551">
        <v>3802.9</v>
      </c>
      <c r="L220" s="551">
        <v>3802.9</v>
      </c>
      <c r="M220" s="482">
        <v>0</v>
      </c>
      <c r="N220" s="550">
        <v>0</v>
      </c>
      <c r="O220" s="551">
        <v>0</v>
      </c>
      <c r="P220" s="551">
        <v>0</v>
      </c>
      <c r="Q220" s="482">
        <v>0</v>
      </c>
    </row>
    <row r="221" spans="1:17" ht="15.75" customHeight="1" x14ac:dyDescent="0.2">
      <c r="A221" s="526">
        <v>213</v>
      </c>
      <c r="B221" s="556" t="s">
        <v>129</v>
      </c>
      <c r="C221" s="533" t="s">
        <v>62</v>
      </c>
      <c r="D221" s="534"/>
      <c r="E221" s="486" t="s">
        <v>158</v>
      </c>
      <c r="F221" s="532" t="s">
        <v>446</v>
      </c>
      <c r="G221" s="556" t="s">
        <v>409</v>
      </c>
      <c r="H221" s="550">
        <v>12</v>
      </c>
      <c r="I221" s="550">
        <v>6</v>
      </c>
      <c r="J221" s="550">
        <v>6</v>
      </c>
      <c r="K221" s="551">
        <v>8100.41</v>
      </c>
      <c r="L221" s="551">
        <v>6080.63</v>
      </c>
      <c r="M221" s="482">
        <v>2019.78</v>
      </c>
      <c r="N221" s="550">
        <v>12</v>
      </c>
      <c r="O221" s="551">
        <v>25243.58</v>
      </c>
      <c r="P221" s="551">
        <v>25243.58</v>
      </c>
      <c r="Q221" s="482">
        <v>0</v>
      </c>
    </row>
    <row r="222" spans="1:17" ht="15.75" customHeight="1" x14ac:dyDescent="0.2">
      <c r="A222" s="526">
        <v>214</v>
      </c>
      <c r="B222" s="532" t="s">
        <v>104</v>
      </c>
      <c r="C222" s="533" t="s">
        <v>62</v>
      </c>
      <c r="D222" s="534"/>
      <c r="E222" s="490" t="s">
        <v>730</v>
      </c>
      <c r="F222" s="532" t="s">
        <v>447</v>
      </c>
      <c r="G222" s="556" t="s">
        <v>409</v>
      </c>
      <c r="H222" s="550">
        <v>0</v>
      </c>
      <c r="I222" s="550">
        <v>0</v>
      </c>
      <c r="J222" s="550">
        <v>0</v>
      </c>
      <c r="K222" s="551">
        <v>0</v>
      </c>
      <c r="L222" s="551">
        <v>0</v>
      </c>
      <c r="M222" s="482">
        <v>0</v>
      </c>
      <c r="N222" s="550">
        <v>7</v>
      </c>
      <c r="O222" s="551">
        <v>5726.5</v>
      </c>
      <c r="P222" s="551">
        <v>5726.5</v>
      </c>
      <c r="Q222" s="482">
        <v>0</v>
      </c>
    </row>
    <row r="223" spans="1:17" ht="15.75" customHeight="1" x14ac:dyDescent="0.2">
      <c r="A223" s="526">
        <v>215</v>
      </c>
      <c r="B223" s="532" t="s">
        <v>156</v>
      </c>
      <c r="C223" s="533" t="s">
        <v>67</v>
      </c>
      <c r="D223" s="534" t="s">
        <v>745</v>
      </c>
      <c r="E223" s="486" t="s">
        <v>158</v>
      </c>
      <c r="F223" s="532" t="s">
        <v>502</v>
      </c>
      <c r="G223" s="556" t="s">
        <v>409</v>
      </c>
      <c r="H223" s="550">
        <v>4</v>
      </c>
      <c r="I223" s="550">
        <v>0</v>
      </c>
      <c r="J223" s="550">
        <v>0</v>
      </c>
      <c r="K223" s="551">
        <v>0</v>
      </c>
      <c r="L223" s="551">
        <v>0</v>
      </c>
      <c r="M223" s="482">
        <v>0</v>
      </c>
      <c r="N223" s="550">
        <v>5</v>
      </c>
      <c r="O223" s="551">
        <v>8865.2999999999993</v>
      </c>
      <c r="P223" s="551">
        <v>8865.2999999999993</v>
      </c>
      <c r="Q223" s="482">
        <v>0</v>
      </c>
    </row>
    <row r="224" spans="1:17" ht="15.75" customHeight="1" x14ac:dyDescent="0.2">
      <c r="A224" s="526">
        <v>216</v>
      </c>
      <c r="B224" s="532" t="s">
        <v>133</v>
      </c>
      <c r="C224" s="533" t="s">
        <v>67</v>
      </c>
      <c r="D224" s="484" t="s">
        <v>494</v>
      </c>
      <c r="E224" s="486" t="s">
        <v>158</v>
      </c>
      <c r="F224" s="532" t="s">
        <v>503</v>
      </c>
      <c r="G224" s="556" t="s">
        <v>409</v>
      </c>
      <c r="H224" s="550">
        <v>12</v>
      </c>
      <c r="I224" s="550">
        <v>5</v>
      </c>
      <c r="J224" s="550">
        <v>5</v>
      </c>
      <c r="K224" s="551">
        <v>13731.4</v>
      </c>
      <c r="L224" s="551">
        <v>13731.4</v>
      </c>
      <c r="M224" s="482">
        <v>0</v>
      </c>
      <c r="N224" s="550">
        <v>18</v>
      </c>
      <c r="O224" s="551">
        <v>45265.08</v>
      </c>
      <c r="P224" s="551">
        <v>45265.08</v>
      </c>
      <c r="Q224" s="482">
        <v>0</v>
      </c>
    </row>
    <row r="225" spans="1:17" ht="15.75" customHeight="1" x14ac:dyDescent="0.2">
      <c r="A225" s="526">
        <v>217</v>
      </c>
      <c r="B225" s="532" t="s">
        <v>114</v>
      </c>
      <c r="C225" s="533" t="s">
        <v>62</v>
      </c>
      <c r="D225" s="534"/>
      <c r="E225" s="486" t="s">
        <v>691</v>
      </c>
      <c r="F225" s="532" t="s">
        <v>504</v>
      </c>
      <c r="G225" s="556" t="s">
        <v>409</v>
      </c>
      <c r="H225" s="550">
        <v>4</v>
      </c>
      <c r="I225" s="550">
        <v>0</v>
      </c>
      <c r="J225" s="550">
        <v>0</v>
      </c>
      <c r="K225" s="551">
        <v>0</v>
      </c>
      <c r="L225" s="551">
        <v>0</v>
      </c>
      <c r="M225" s="482">
        <v>0</v>
      </c>
      <c r="N225" s="550">
        <v>4</v>
      </c>
      <c r="O225" s="551">
        <v>3524</v>
      </c>
      <c r="P225" s="551">
        <v>3524</v>
      </c>
      <c r="Q225" s="482">
        <v>0</v>
      </c>
    </row>
    <row r="226" spans="1:17" ht="15.75" customHeight="1" x14ac:dyDescent="0.2">
      <c r="A226" s="526">
        <v>218</v>
      </c>
      <c r="B226" s="532" t="s">
        <v>505</v>
      </c>
      <c r="C226" s="533" t="s">
        <v>62</v>
      </c>
      <c r="D226" s="534"/>
      <c r="E226" s="486" t="s">
        <v>158</v>
      </c>
      <c r="F226" s="532" t="s">
        <v>506</v>
      </c>
      <c r="G226" s="556" t="s">
        <v>409</v>
      </c>
      <c r="H226" s="550">
        <v>5</v>
      </c>
      <c r="I226" s="550">
        <v>2</v>
      </c>
      <c r="J226" s="550">
        <v>2</v>
      </c>
      <c r="K226" s="551">
        <v>2025.1</v>
      </c>
      <c r="L226" s="551">
        <v>0</v>
      </c>
      <c r="M226" s="482">
        <v>2025.1</v>
      </c>
      <c r="N226" s="550">
        <v>0</v>
      </c>
      <c r="O226" s="551">
        <v>0</v>
      </c>
      <c r="P226" s="551">
        <v>0</v>
      </c>
      <c r="Q226" s="482">
        <v>0</v>
      </c>
    </row>
    <row r="227" spans="1:17" ht="15.75" customHeight="1" x14ac:dyDescent="0.2">
      <c r="A227" s="526">
        <v>219</v>
      </c>
      <c r="B227" s="532" t="s">
        <v>473</v>
      </c>
      <c r="C227" s="533" t="s">
        <v>62</v>
      </c>
      <c r="D227" s="534"/>
      <c r="E227" s="486" t="s">
        <v>158</v>
      </c>
      <c r="F227" s="532" t="s">
        <v>558</v>
      </c>
      <c r="G227" s="556" t="s">
        <v>409</v>
      </c>
      <c r="H227" s="550">
        <v>4</v>
      </c>
      <c r="I227" s="550">
        <v>0</v>
      </c>
      <c r="J227" s="550">
        <v>0</v>
      </c>
      <c r="K227" s="551">
        <v>0</v>
      </c>
      <c r="L227" s="551">
        <v>0</v>
      </c>
      <c r="M227" s="482">
        <v>0</v>
      </c>
      <c r="N227" s="550">
        <v>0</v>
      </c>
      <c r="O227" s="551">
        <v>0</v>
      </c>
      <c r="P227" s="551">
        <v>0</v>
      </c>
      <c r="Q227" s="482">
        <v>0</v>
      </c>
    </row>
    <row r="228" spans="1:17" ht="15.75" customHeight="1" x14ac:dyDescent="0.2">
      <c r="A228" s="526">
        <v>220</v>
      </c>
      <c r="B228" s="532" t="s">
        <v>376</v>
      </c>
      <c r="C228" s="533" t="s">
        <v>62</v>
      </c>
      <c r="D228" s="534"/>
      <c r="E228" s="486" t="s">
        <v>158</v>
      </c>
      <c r="F228" s="532" t="s">
        <v>559</v>
      </c>
      <c r="G228" s="556" t="s">
        <v>409</v>
      </c>
      <c r="H228" s="550">
        <v>3</v>
      </c>
      <c r="I228" s="550">
        <v>0</v>
      </c>
      <c r="J228" s="550">
        <v>0</v>
      </c>
      <c r="K228" s="551">
        <v>0</v>
      </c>
      <c r="L228" s="551">
        <v>0</v>
      </c>
      <c r="M228" s="482">
        <v>0</v>
      </c>
      <c r="N228" s="550">
        <v>0</v>
      </c>
      <c r="O228" s="551">
        <v>0</v>
      </c>
      <c r="P228" s="551">
        <v>0</v>
      </c>
      <c r="Q228" s="482">
        <v>0</v>
      </c>
    </row>
    <row r="229" spans="1:17" ht="15.75" customHeight="1" x14ac:dyDescent="0.2">
      <c r="A229" s="526">
        <v>221</v>
      </c>
      <c r="B229" s="532" t="s">
        <v>119</v>
      </c>
      <c r="C229" s="533" t="s">
        <v>62</v>
      </c>
      <c r="D229" s="534"/>
      <c r="E229" s="486" t="s">
        <v>158</v>
      </c>
      <c r="F229" s="532" t="s">
        <v>560</v>
      </c>
      <c r="G229" s="556" t="s">
        <v>409</v>
      </c>
      <c r="H229" s="550">
        <v>10</v>
      </c>
      <c r="I229" s="550">
        <v>1</v>
      </c>
      <c r="J229" s="550">
        <v>1</v>
      </c>
      <c r="K229" s="551">
        <v>1691.52</v>
      </c>
      <c r="L229" s="551">
        <v>1691.52</v>
      </c>
      <c r="M229" s="482">
        <v>0</v>
      </c>
      <c r="N229" s="550">
        <v>14</v>
      </c>
      <c r="O229" s="551">
        <v>20900.5</v>
      </c>
      <c r="P229" s="551">
        <v>20900.5</v>
      </c>
      <c r="Q229" s="482">
        <v>0</v>
      </c>
    </row>
    <row r="230" spans="1:17" ht="15.75" customHeight="1" x14ac:dyDescent="0.2">
      <c r="A230" s="526">
        <v>222</v>
      </c>
      <c r="B230" s="532" t="s">
        <v>47</v>
      </c>
      <c r="C230" s="533" t="s">
        <v>62</v>
      </c>
      <c r="D230" s="534"/>
      <c r="E230" s="486" t="s">
        <v>677</v>
      </c>
      <c r="F230" s="532" t="s">
        <v>589</v>
      </c>
      <c r="G230" s="556" t="s">
        <v>409</v>
      </c>
      <c r="H230" s="550">
        <v>0</v>
      </c>
      <c r="I230" s="550">
        <v>0</v>
      </c>
      <c r="J230" s="550">
        <v>0</v>
      </c>
      <c r="K230" s="551">
        <v>0</v>
      </c>
      <c r="L230" s="551">
        <v>0</v>
      </c>
      <c r="M230" s="482">
        <v>0</v>
      </c>
      <c r="N230" s="550">
        <v>1</v>
      </c>
      <c r="O230" s="551">
        <v>6554.64</v>
      </c>
      <c r="P230" s="551">
        <v>6554.64</v>
      </c>
      <c r="Q230" s="482">
        <v>0</v>
      </c>
    </row>
    <row r="231" spans="1:17" ht="15.75" customHeight="1" x14ac:dyDescent="0.2">
      <c r="A231" s="526">
        <v>223</v>
      </c>
      <c r="B231" s="532" t="s">
        <v>37</v>
      </c>
      <c r="C231" s="533" t="s">
        <v>62</v>
      </c>
      <c r="D231" s="534"/>
      <c r="E231" s="486" t="s">
        <v>158</v>
      </c>
      <c r="F231" s="532" t="s">
        <v>590</v>
      </c>
      <c r="G231" s="556" t="s">
        <v>409</v>
      </c>
      <c r="H231" s="550">
        <v>6</v>
      </c>
      <c r="I231" s="550">
        <v>0</v>
      </c>
      <c r="J231" s="550">
        <v>0</v>
      </c>
      <c r="K231" s="551">
        <v>0</v>
      </c>
      <c r="L231" s="551">
        <v>0</v>
      </c>
      <c r="M231" s="482">
        <v>0</v>
      </c>
      <c r="N231" s="550">
        <v>0</v>
      </c>
      <c r="O231" s="551">
        <v>0</v>
      </c>
      <c r="P231" s="551">
        <v>0</v>
      </c>
      <c r="Q231" s="482">
        <v>0</v>
      </c>
    </row>
    <row r="232" spans="1:17" ht="15.75" customHeight="1" x14ac:dyDescent="0.2">
      <c r="A232" s="526">
        <v>224</v>
      </c>
      <c r="B232" s="532" t="s">
        <v>97</v>
      </c>
      <c r="C232" s="533" t="s">
        <v>62</v>
      </c>
      <c r="D232" s="534"/>
      <c r="E232" s="486" t="s">
        <v>158</v>
      </c>
      <c r="F232" s="532" t="s">
        <v>591</v>
      </c>
      <c r="G232" s="556" t="s">
        <v>409</v>
      </c>
      <c r="H232" s="550">
        <v>4</v>
      </c>
      <c r="I232" s="550">
        <v>2</v>
      </c>
      <c r="J232" s="550">
        <v>2</v>
      </c>
      <c r="K232" s="551">
        <v>3626.7</v>
      </c>
      <c r="L232" s="551">
        <v>3626.7</v>
      </c>
      <c r="M232" s="482">
        <v>0</v>
      </c>
      <c r="N232" s="550">
        <v>3</v>
      </c>
      <c r="O232" s="551">
        <v>4570.8999999999996</v>
      </c>
      <c r="P232" s="551">
        <v>4570.8999999999996</v>
      </c>
      <c r="Q232" s="482">
        <v>0</v>
      </c>
    </row>
    <row r="233" spans="1:17" ht="15.75" customHeight="1" x14ac:dyDescent="0.2">
      <c r="A233" s="526">
        <v>225</v>
      </c>
      <c r="B233" s="532" t="s">
        <v>613</v>
      </c>
      <c r="C233" s="533" t="s">
        <v>62</v>
      </c>
      <c r="D233" s="534"/>
      <c r="E233" s="486" t="s">
        <v>158</v>
      </c>
      <c r="F233" s="532" t="s">
        <v>614</v>
      </c>
      <c r="G233" s="556" t="s">
        <v>409</v>
      </c>
      <c r="H233" s="550">
        <v>8</v>
      </c>
      <c r="I233" s="550">
        <v>2</v>
      </c>
      <c r="J233" s="550">
        <v>2</v>
      </c>
      <c r="K233" s="551">
        <v>1585.8</v>
      </c>
      <c r="L233" s="551">
        <v>1585.8</v>
      </c>
      <c r="M233" s="482">
        <v>0</v>
      </c>
      <c r="N233" s="550">
        <v>3</v>
      </c>
      <c r="O233" s="551">
        <v>616.70000000000005</v>
      </c>
      <c r="P233" s="551">
        <v>616.70000000000005</v>
      </c>
      <c r="Q233" s="482">
        <v>0</v>
      </c>
    </row>
    <row r="234" spans="1:17" ht="15.75" customHeight="1" x14ac:dyDescent="0.2">
      <c r="A234" s="526">
        <v>226</v>
      </c>
      <c r="B234" s="532" t="s">
        <v>615</v>
      </c>
      <c r="C234" s="533" t="s">
        <v>62</v>
      </c>
      <c r="D234" s="534"/>
      <c r="E234" s="486" t="s">
        <v>158</v>
      </c>
      <c r="F234" s="532" t="s">
        <v>616</v>
      </c>
      <c r="G234" s="556" t="s">
        <v>409</v>
      </c>
      <c r="H234" s="550">
        <v>6</v>
      </c>
      <c r="I234" s="550">
        <v>0</v>
      </c>
      <c r="J234" s="550">
        <v>0</v>
      </c>
      <c r="K234" s="551">
        <v>0</v>
      </c>
      <c r="L234" s="551">
        <v>0</v>
      </c>
      <c r="M234" s="482">
        <v>0</v>
      </c>
      <c r="N234" s="550">
        <v>0</v>
      </c>
      <c r="O234" s="551">
        <v>0</v>
      </c>
      <c r="P234" s="551">
        <v>0</v>
      </c>
      <c r="Q234" s="482">
        <v>0</v>
      </c>
    </row>
    <row r="235" spans="1:17" ht="15.75" customHeight="1" x14ac:dyDescent="0.2">
      <c r="A235" s="526">
        <v>227</v>
      </c>
      <c r="B235" s="532" t="s">
        <v>357</v>
      </c>
      <c r="C235" s="516" t="s">
        <v>64</v>
      </c>
      <c r="D235" s="534" t="s">
        <v>585</v>
      </c>
      <c r="E235" s="486" t="s">
        <v>158</v>
      </c>
      <c r="F235" s="532" t="s">
        <v>618</v>
      </c>
      <c r="G235" s="556" t="s">
        <v>409</v>
      </c>
      <c r="H235" s="550">
        <v>7</v>
      </c>
      <c r="I235" s="550">
        <v>1</v>
      </c>
      <c r="J235" s="550">
        <v>1</v>
      </c>
      <c r="K235" s="551">
        <v>1057.2</v>
      </c>
      <c r="L235" s="551">
        <v>1057.2</v>
      </c>
      <c r="M235" s="482">
        <v>0</v>
      </c>
      <c r="N235" s="550">
        <v>3</v>
      </c>
      <c r="O235" s="551">
        <v>5236.2</v>
      </c>
      <c r="P235" s="551">
        <v>5236.2</v>
      </c>
      <c r="Q235" s="482">
        <v>0</v>
      </c>
    </row>
    <row r="236" spans="1:17" ht="15.75" customHeight="1" x14ac:dyDescent="0.2">
      <c r="A236" s="526">
        <v>228</v>
      </c>
      <c r="B236" s="532" t="s">
        <v>621</v>
      </c>
      <c r="C236" s="533" t="s">
        <v>62</v>
      </c>
      <c r="D236" s="534"/>
      <c r="E236" s="486" t="s">
        <v>158</v>
      </c>
      <c r="F236" s="532" t="s">
        <v>625</v>
      </c>
      <c r="G236" s="556" t="s">
        <v>409</v>
      </c>
      <c r="H236" s="550">
        <v>13</v>
      </c>
      <c r="I236" s="550">
        <v>5</v>
      </c>
      <c r="J236" s="550">
        <v>5</v>
      </c>
      <c r="K236" s="551">
        <v>4878.6499999999996</v>
      </c>
      <c r="L236" s="551">
        <v>4878.6499999999996</v>
      </c>
      <c r="M236" s="482">
        <v>0</v>
      </c>
      <c r="N236" s="550">
        <v>0</v>
      </c>
      <c r="O236" s="551">
        <v>0</v>
      </c>
      <c r="P236" s="551">
        <v>0</v>
      </c>
      <c r="Q236" s="482">
        <v>0</v>
      </c>
    </row>
    <row r="237" spans="1:17" ht="15.75" customHeight="1" x14ac:dyDescent="0.2">
      <c r="A237" s="526">
        <v>229</v>
      </c>
      <c r="B237" s="484" t="s">
        <v>146</v>
      </c>
      <c r="C237" s="516" t="s">
        <v>62</v>
      </c>
      <c r="D237" s="484"/>
      <c r="E237" s="486" t="s">
        <v>74</v>
      </c>
      <c r="F237" s="486" t="s">
        <v>325</v>
      </c>
      <c r="G237" s="510" t="s">
        <v>326</v>
      </c>
      <c r="H237" s="484">
        <v>15</v>
      </c>
      <c r="I237" s="484">
        <v>7</v>
      </c>
      <c r="J237" s="484">
        <v>7</v>
      </c>
      <c r="K237" s="482">
        <v>8953.4</v>
      </c>
      <c r="L237" s="482">
        <v>8953.4</v>
      </c>
      <c r="M237" s="482">
        <v>0</v>
      </c>
      <c r="N237" s="484">
        <v>6</v>
      </c>
      <c r="O237" s="482">
        <v>5374.1</v>
      </c>
      <c r="P237" s="482">
        <v>5374.1</v>
      </c>
      <c r="Q237" s="482">
        <v>0</v>
      </c>
    </row>
    <row r="238" spans="1:17" ht="15.75" customHeight="1" x14ac:dyDescent="0.2">
      <c r="A238" s="526">
        <v>230</v>
      </c>
      <c r="B238" s="484" t="s">
        <v>166</v>
      </c>
      <c r="C238" s="516" t="s">
        <v>62</v>
      </c>
      <c r="D238" s="484"/>
      <c r="E238" s="486" t="s">
        <v>158</v>
      </c>
      <c r="F238" s="486" t="s">
        <v>327</v>
      </c>
      <c r="G238" s="510" t="s">
        <v>326</v>
      </c>
      <c r="H238" s="484">
        <v>5</v>
      </c>
      <c r="I238" s="484">
        <v>4</v>
      </c>
      <c r="J238" s="484">
        <v>4</v>
      </c>
      <c r="K238" s="482">
        <v>7763.45</v>
      </c>
      <c r="L238" s="482">
        <v>7763.45</v>
      </c>
      <c r="M238" s="482">
        <v>0</v>
      </c>
      <c r="N238" s="484">
        <v>0</v>
      </c>
      <c r="O238" s="482">
        <v>0</v>
      </c>
      <c r="P238" s="482">
        <v>0</v>
      </c>
      <c r="Q238" s="482">
        <v>0</v>
      </c>
    </row>
    <row r="239" spans="1:17" ht="15.75" customHeight="1" x14ac:dyDescent="0.2">
      <c r="A239" s="526">
        <v>231</v>
      </c>
      <c r="B239" s="484" t="s">
        <v>173</v>
      </c>
      <c r="C239" s="516" t="s">
        <v>67</v>
      </c>
      <c r="D239" s="484" t="s">
        <v>328</v>
      </c>
      <c r="E239" s="486" t="s">
        <v>158</v>
      </c>
      <c r="F239" s="486" t="s">
        <v>329</v>
      </c>
      <c r="G239" s="510" t="s">
        <v>326</v>
      </c>
      <c r="H239" s="484">
        <v>9</v>
      </c>
      <c r="I239" s="484">
        <v>5</v>
      </c>
      <c r="J239" s="484">
        <v>5</v>
      </c>
      <c r="K239" s="482">
        <v>10645.26</v>
      </c>
      <c r="L239" s="482">
        <v>10645.26</v>
      </c>
      <c r="M239" s="482">
        <v>0</v>
      </c>
      <c r="N239" s="484">
        <v>0</v>
      </c>
      <c r="O239" s="482">
        <v>0</v>
      </c>
      <c r="P239" s="482">
        <v>0</v>
      </c>
      <c r="Q239" s="482">
        <v>0</v>
      </c>
    </row>
    <row r="240" spans="1:17" ht="15.75" customHeight="1" x14ac:dyDescent="0.2">
      <c r="A240" s="526">
        <v>232</v>
      </c>
      <c r="B240" s="484" t="s">
        <v>330</v>
      </c>
      <c r="C240" s="516" t="s">
        <v>62</v>
      </c>
      <c r="D240" s="484"/>
      <c r="E240" s="486" t="s">
        <v>158</v>
      </c>
      <c r="F240" s="486" t="s">
        <v>331</v>
      </c>
      <c r="G240" s="510" t="s">
        <v>326</v>
      </c>
      <c r="H240" s="484">
        <v>16</v>
      </c>
      <c r="I240" s="484">
        <v>10</v>
      </c>
      <c r="J240" s="484">
        <v>10</v>
      </c>
      <c r="K240" s="482">
        <v>12533.9</v>
      </c>
      <c r="L240" s="482">
        <v>12533.9</v>
      </c>
      <c r="M240" s="482">
        <v>0</v>
      </c>
      <c r="N240" s="484">
        <v>0</v>
      </c>
      <c r="O240" s="482">
        <v>0</v>
      </c>
      <c r="P240" s="482">
        <v>0</v>
      </c>
      <c r="Q240" s="482">
        <v>0</v>
      </c>
    </row>
    <row r="241" spans="1:17" ht="15.75" customHeight="1" x14ac:dyDescent="0.2">
      <c r="A241" s="526">
        <v>233</v>
      </c>
      <c r="B241" s="484" t="s">
        <v>147</v>
      </c>
      <c r="C241" s="516" t="s">
        <v>62</v>
      </c>
      <c r="D241" s="484"/>
      <c r="E241" s="486" t="s">
        <v>74</v>
      </c>
      <c r="F241" s="486" t="s">
        <v>332</v>
      </c>
      <c r="G241" s="510" t="s">
        <v>326</v>
      </c>
      <c r="H241" s="484">
        <v>15</v>
      </c>
      <c r="I241" s="484">
        <v>9</v>
      </c>
      <c r="J241" s="484">
        <v>9</v>
      </c>
      <c r="K241" s="482">
        <v>17473.349999999999</v>
      </c>
      <c r="L241" s="482">
        <v>17473.349999999999</v>
      </c>
      <c r="M241" s="482">
        <v>0</v>
      </c>
      <c r="N241" s="484">
        <v>6</v>
      </c>
      <c r="O241" s="482">
        <v>15803.4</v>
      </c>
      <c r="P241" s="482">
        <v>13962.4</v>
      </c>
      <c r="Q241" s="482">
        <v>1841</v>
      </c>
    </row>
    <row r="242" spans="1:17" ht="15.75" customHeight="1" x14ac:dyDescent="0.2">
      <c r="A242" s="526">
        <v>234</v>
      </c>
      <c r="B242" s="484" t="s">
        <v>554</v>
      </c>
      <c r="C242" s="516" t="s">
        <v>67</v>
      </c>
      <c r="D242" s="484" t="s">
        <v>555</v>
      </c>
      <c r="E242" s="486" t="s">
        <v>74</v>
      </c>
      <c r="F242" s="486" t="s">
        <v>556</v>
      </c>
      <c r="G242" s="510" t="s">
        <v>326</v>
      </c>
      <c r="H242" s="484">
        <v>2</v>
      </c>
      <c r="I242" s="484">
        <v>0</v>
      </c>
      <c r="J242" s="484">
        <v>0</v>
      </c>
      <c r="K242" s="482">
        <v>0</v>
      </c>
      <c r="L242" s="482">
        <v>0</v>
      </c>
      <c r="M242" s="482">
        <v>0</v>
      </c>
      <c r="N242" s="484">
        <v>0</v>
      </c>
      <c r="O242" s="482">
        <v>0</v>
      </c>
      <c r="P242" s="482">
        <v>0</v>
      </c>
      <c r="Q242" s="482">
        <v>0</v>
      </c>
    </row>
    <row r="243" spans="1:17" ht="15.75" customHeight="1" x14ac:dyDescent="0.2">
      <c r="A243" s="526">
        <v>235</v>
      </c>
      <c r="B243" s="484" t="s">
        <v>88</v>
      </c>
      <c r="C243" s="516" t="s">
        <v>62</v>
      </c>
      <c r="D243" s="484"/>
      <c r="E243" s="486" t="s">
        <v>74</v>
      </c>
      <c r="F243" s="486" t="s">
        <v>333</v>
      </c>
      <c r="G243" s="510" t="s">
        <v>326</v>
      </c>
      <c r="H243" s="484">
        <v>2</v>
      </c>
      <c r="I243" s="484">
        <v>2</v>
      </c>
      <c r="J243" s="484">
        <v>2</v>
      </c>
      <c r="K243" s="482">
        <v>2290.6</v>
      </c>
      <c r="L243" s="482">
        <v>2290.6</v>
      </c>
      <c r="M243" s="482">
        <v>0</v>
      </c>
      <c r="N243" s="484">
        <v>1</v>
      </c>
      <c r="O243" s="482">
        <v>1145.3</v>
      </c>
      <c r="P243" s="482">
        <v>1145.3</v>
      </c>
      <c r="Q243" s="482">
        <v>0</v>
      </c>
    </row>
    <row r="244" spans="1:17" ht="15.75" customHeight="1" x14ac:dyDescent="0.2">
      <c r="A244" s="526">
        <v>236</v>
      </c>
      <c r="B244" s="484" t="s">
        <v>182</v>
      </c>
      <c r="C244" s="516" t="s">
        <v>62</v>
      </c>
      <c r="D244" s="484"/>
      <c r="E244" s="486" t="s">
        <v>158</v>
      </c>
      <c r="F244" s="486" t="s">
        <v>334</v>
      </c>
      <c r="G244" s="510" t="s">
        <v>326</v>
      </c>
      <c r="H244" s="484">
        <v>5</v>
      </c>
      <c r="I244" s="484">
        <v>1</v>
      </c>
      <c r="J244" s="484">
        <v>1</v>
      </c>
      <c r="K244" s="482">
        <v>1233.4000000000001</v>
      </c>
      <c r="L244" s="482">
        <v>1233.4000000000001</v>
      </c>
      <c r="M244" s="482">
        <v>0</v>
      </c>
      <c r="N244" s="484">
        <v>0</v>
      </c>
      <c r="O244" s="482">
        <v>0</v>
      </c>
      <c r="P244" s="482">
        <v>0</v>
      </c>
      <c r="Q244" s="482">
        <v>0</v>
      </c>
    </row>
    <row r="245" spans="1:17" ht="15.75" customHeight="1" x14ac:dyDescent="0.2">
      <c r="A245" s="526">
        <v>237</v>
      </c>
      <c r="B245" s="484" t="s">
        <v>335</v>
      </c>
      <c r="C245" s="516" t="s">
        <v>62</v>
      </c>
      <c r="D245" s="484"/>
      <c r="E245" s="486" t="s">
        <v>74</v>
      </c>
      <c r="F245" s="486" t="s">
        <v>336</v>
      </c>
      <c r="G245" s="510" t="s">
        <v>326</v>
      </c>
      <c r="H245" s="484">
        <v>15</v>
      </c>
      <c r="I245" s="484">
        <v>8</v>
      </c>
      <c r="J245" s="484">
        <v>8</v>
      </c>
      <c r="K245" s="482">
        <v>12008.05</v>
      </c>
      <c r="L245" s="482">
        <v>12008.05</v>
      </c>
      <c r="M245" s="482">
        <v>0</v>
      </c>
      <c r="N245" s="484">
        <v>9</v>
      </c>
      <c r="O245" s="482">
        <v>10605.75</v>
      </c>
      <c r="P245" s="482">
        <v>10605.75</v>
      </c>
      <c r="Q245" s="482">
        <v>0</v>
      </c>
    </row>
    <row r="246" spans="1:17" ht="15.75" customHeight="1" x14ac:dyDescent="0.2">
      <c r="A246" s="526">
        <v>238</v>
      </c>
      <c r="B246" s="484" t="s">
        <v>27</v>
      </c>
      <c r="C246" s="516" t="s">
        <v>62</v>
      </c>
      <c r="D246" s="484"/>
      <c r="E246" s="486" t="s">
        <v>158</v>
      </c>
      <c r="F246" s="486" t="s">
        <v>337</v>
      </c>
      <c r="G246" s="510" t="s">
        <v>326</v>
      </c>
      <c r="H246" s="484">
        <v>13</v>
      </c>
      <c r="I246" s="484">
        <v>12</v>
      </c>
      <c r="J246" s="484">
        <v>12</v>
      </c>
      <c r="K246" s="482">
        <v>12823.4</v>
      </c>
      <c r="L246" s="482">
        <v>12823.4</v>
      </c>
      <c r="M246" s="482">
        <v>0</v>
      </c>
      <c r="N246" s="484">
        <v>0</v>
      </c>
      <c r="O246" s="482">
        <v>0</v>
      </c>
      <c r="P246" s="482">
        <v>0</v>
      </c>
      <c r="Q246" s="482">
        <v>0</v>
      </c>
    </row>
    <row r="247" spans="1:17" ht="15.75" customHeight="1" x14ac:dyDescent="0.2">
      <c r="A247" s="526">
        <v>239</v>
      </c>
      <c r="B247" s="484" t="s">
        <v>190</v>
      </c>
      <c r="C247" s="516" t="s">
        <v>62</v>
      </c>
      <c r="D247" s="484"/>
      <c r="E247" s="486" t="s">
        <v>675</v>
      </c>
      <c r="F247" s="486" t="s">
        <v>339</v>
      </c>
      <c r="G247" s="510" t="s">
        <v>326</v>
      </c>
      <c r="H247" s="484">
        <v>24</v>
      </c>
      <c r="I247" s="484">
        <v>14</v>
      </c>
      <c r="J247" s="484">
        <v>14</v>
      </c>
      <c r="K247" s="482">
        <v>29770.6</v>
      </c>
      <c r="L247" s="482">
        <v>20433.8</v>
      </c>
      <c r="M247" s="482">
        <v>9336.7999999999993</v>
      </c>
      <c r="N247" s="484">
        <v>0</v>
      </c>
      <c r="O247" s="482">
        <v>0</v>
      </c>
      <c r="P247" s="482">
        <v>0</v>
      </c>
      <c r="Q247" s="482">
        <v>0</v>
      </c>
    </row>
    <row r="248" spans="1:17" ht="15.75" customHeight="1" x14ac:dyDescent="0.2">
      <c r="A248" s="526">
        <v>240</v>
      </c>
      <c r="B248" s="484" t="s">
        <v>89</v>
      </c>
      <c r="C248" s="516" t="s">
        <v>62</v>
      </c>
      <c r="D248" s="484"/>
      <c r="E248" s="486" t="s">
        <v>74</v>
      </c>
      <c r="F248" s="486" t="s">
        <v>340</v>
      </c>
      <c r="G248" s="510" t="s">
        <v>326</v>
      </c>
      <c r="H248" s="484">
        <v>7</v>
      </c>
      <c r="I248" s="484">
        <v>6</v>
      </c>
      <c r="J248" s="484">
        <v>6</v>
      </c>
      <c r="K248" s="482">
        <v>8633.7999999999993</v>
      </c>
      <c r="L248" s="482">
        <v>8633.7999999999993</v>
      </c>
      <c r="M248" s="482">
        <v>0</v>
      </c>
      <c r="N248" s="484">
        <v>4</v>
      </c>
      <c r="O248" s="482">
        <v>9250.5</v>
      </c>
      <c r="P248" s="482">
        <v>9250.5</v>
      </c>
      <c r="Q248" s="482">
        <v>0</v>
      </c>
    </row>
    <row r="249" spans="1:17" ht="15.75" customHeight="1" x14ac:dyDescent="0.2">
      <c r="A249" s="526">
        <v>241</v>
      </c>
      <c r="B249" s="484" t="s">
        <v>196</v>
      </c>
      <c r="C249" s="516" t="s">
        <v>62</v>
      </c>
      <c r="D249" s="484"/>
      <c r="E249" s="486" t="s">
        <v>683</v>
      </c>
      <c r="F249" s="486" t="s">
        <v>342</v>
      </c>
      <c r="G249" s="510" t="s">
        <v>326</v>
      </c>
      <c r="H249" s="484">
        <v>7</v>
      </c>
      <c r="I249" s="484">
        <v>5</v>
      </c>
      <c r="J249" s="484">
        <v>5</v>
      </c>
      <c r="K249" s="482">
        <v>4933.6000000000004</v>
      </c>
      <c r="L249" s="482">
        <v>4933.6000000000004</v>
      </c>
      <c r="M249" s="482">
        <v>0</v>
      </c>
      <c r="N249" s="484">
        <v>0</v>
      </c>
      <c r="O249" s="482">
        <v>0</v>
      </c>
      <c r="P249" s="482">
        <v>0</v>
      </c>
      <c r="Q249" s="482">
        <v>0</v>
      </c>
    </row>
    <row r="250" spans="1:17" ht="15.75" customHeight="1" x14ac:dyDescent="0.2">
      <c r="A250" s="526">
        <v>242</v>
      </c>
      <c r="B250" s="484" t="s">
        <v>631</v>
      </c>
      <c r="C250" s="516" t="s">
        <v>62</v>
      </c>
      <c r="D250" s="484"/>
      <c r="E250" s="486" t="s">
        <v>74</v>
      </c>
      <c r="F250" s="486" t="s">
        <v>642</v>
      </c>
      <c r="G250" s="510" t="s">
        <v>326</v>
      </c>
      <c r="H250" s="484">
        <v>3</v>
      </c>
      <c r="I250" s="484">
        <v>0</v>
      </c>
      <c r="J250" s="484">
        <v>0</v>
      </c>
      <c r="K250" s="482">
        <v>0</v>
      </c>
      <c r="L250" s="482">
        <v>0</v>
      </c>
      <c r="M250" s="482">
        <v>0</v>
      </c>
      <c r="N250" s="484">
        <v>0</v>
      </c>
      <c r="O250" s="482">
        <v>0</v>
      </c>
      <c r="P250" s="482">
        <v>0</v>
      </c>
      <c r="Q250" s="482">
        <v>0</v>
      </c>
    </row>
    <row r="251" spans="1:17" ht="15.75" customHeight="1" x14ac:dyDescent="0.2">
      <c r="A251" s="526">
        <v>243</v>
      </c>
      <c r="B251" s="484" t="s">
        <v>343</v>
      </c>
      <c r="C251" s="516" t="s">
        <v>62</v>
      </c>
      <c r="D251" s="484"/>
      <c r="E251" s="486" t="s">
        <v>74</v>
      </c>
      <c r="F251" s="486" t="s">
        <v>344</v>
      </c>
      <c r="G251" s="510" t="s">
        <v>326</v>
      </c>
      <c r="H251" s="484">
        <v>11</v>
      </c>
      <c r="I251" s="484">
        <v>3</v>
      </c>
      <c r="J251" s="484">
        <v>3</v>
      </c>
      <c r="K251" s="482">
        <v>3019.1</v>
      </c>
      <c r="L251" s="482">
        <v>3019.1</v>
      </c>
      <c r="M251" s="482">
        <v>0</v>
      </c>
      <c r="N251" s="484">
        <v>0</v>
      </c>
      <c r="O251" s="482">
        <v>0</v>
      </c>
      <c r="P251" s="482">
        <v>0</v>
      </c>
      <c r="Q251" s="482">
        <v>0</v>
      </c>
    </row>
    <row r="252" spans="1:17" ht="15.75" customHeight="1" x14ac:dyDescent="0.2">
      <c r="A252" s="526">
        <v>244</v>
      </c>
      <c r="B252" s="484" t="s">
        <v>154</v>
      </c>
      <c r="C252" s="516" t="s">
        <v>62</v>
      </c>
      <c r="D252" s="484"/>
      <c r="E252" s="486" t="s">
        <v>74</v>
      </c>
      <c r="F252" s="486" t="s">
        <v>345</v>
      </c>
      <c r="G252" s="510" t="s">
        <v>326</v>
      </c>
      <c r="H252" s="484">
        <v>7</v>
      </c>
      <c r="I252" s="484">
        <v>7</v>
      </c>
      <c r="J252" s="484">
        <v>7</v>
      </c>
      <c r="K252" s="482">
        <v>9690.15</v>
      </c>
      <c r="L252" s="482">
        <v>9690.15</v>
      </c>
      <c r="M252" s="482">
        <v>0</v>
      </c>
      <c r="N252" s="484">
        <v>7</v>
      </c>
      <c r="O252" s="482">
        <v>9770</v>
      </c>
      <c r="P252" s="482">
        <v>9770</v>
      </c>
      <c r="Q252" s="482">
        <v>0</v>
      </c>
    </row>
    <row r="253" spans="1:17" ht="15.75" customHeight="1" x14ac:dyDescent="0.2">
      <c r="A253" s="526">
        <v>245</v>
      </c>
      <c r="B253" s="484" t="s">
        <v>346</v>
      </c>
      <c r="C253" s="516" t="s">
        <v>62</v>
      </c>
      <c r="D253" s="484"/>
      <c r="E253" s="486" t="s">
        <v>158</v>
      </c>
      <c r="F253" s="486" t="s">
        <v>347</v>
      </c>
      <c r="G253" s="510" t="s">
        <v>326</v>
      </c>
      <c r="H253" s="484">
        <v>4</v>
      </c>
      <c r="I253" s="484">
        <v>0</v>
      </c>
      <c r="J253" s="484">
        <v>0</v>
      </c>
      <c r="K253" s="482">
        <v>0</v>
      </c>
      <c r="L253" s="482">
        <v>0</v>
      </c>
      <c r="M253" s="482">
        <v>0</v>
      </c>
      <c r="N253" s="484">
        <v>0</v>
      </c>
      <c r="O253" s="482">
        <v>0</v>
      </c>
      <c r="P253" s="482">
        <v>0</v>
      </c>
      <c r="Q253" s="482">
        <v>0</v>
      </c>
    </row>
    <row r="254" spans="1:17" ht="15.75" customHeight="1" x14ac:dyDescent="0.2">
      <c r="A254" s="526">
        <v>246</v>
      </c>
      <c r="B254" s="484" t="s">
        <v>348</v>
      </c>
      <c r="C254" s="516" t="s">
        <v>62</v>
      </c>
      <c r="D254" s="484"/>
      <c r="E254" s="486" t="s">
        <v>158</v>
      </c>
      <c r="F254" s="486" t="s">
        <v>349</v>
      </c>
      <c r="G254" s="510" t="s">
        <v>326</v>
      </c>
      <c r="H254" s="484">
        <v>6</v>
      </c>
      <c r="I254" s="484">
        <v>0</v>
      </c>
      <c r="J254" s="484">
        <v>0</v>
      </c>
      <c r="K254" s="482">
        <v>0</v>
      </c>
      <c r="L254" s="482">
        <v>0</v>
      </c>
      <c r="M254" s="482">
        <v>0</v>
      </c>
      <c r="N254" s="484">
        <v>0</v>
      </c>
      <c r="O254" s="482">
        <v>0</v>
      </c>
      <c r="P254" s="482">
        <v>0</v>
      </c>
      <c r="Q254" s="482">
        <v>0</v>
      </c>
    </row>
    <row r="255" spans="1:17" ht="15.75" customHeight="1" x14ac:dyDescent="0.2">
      <c r="A255" s="526">
        <v>247</v>
      </c>
      <c r="B255" s="484" t="s">
        <v>350</v>
      </c>
      <c r="C255" s="516" t="s">
        <v>62</v>
      </c>
      <c r="D255" s="484"/>
      <c r="E255" s="486" t="s">
        <v>74</v>
      </c>
      <c r="F255" s="486" t="s">
        <v>351</v>
      </c>
      <c r="G255" s="510" t="s">
        <v>326</v>
      </c>
      <c r="H255" s="484">
        <v>1</v>
      </c>
      <c r="I255" s="484">
        <v>1</v>
      </c>
      <c r="J255" s="484">
        <v>1</v>
      </c>
      <c r="K255" s="482">
        <v>528.6</v>
      </c>
      <c r="L255" s="482">
        <v>528.6</v>
      </c>
      <c r="M255" s="482">
        <v>0</v>
      </c>
      <c r="N255" s="484">
        <v>4</v>
      </c>
      <c r="O255" s="482">
        <v>5065.75</v>
      </c>
      <c r="P255" s="482">
        <v>5065.75</v>
      </c>
      <c r="Q255" s="482">
        <v>0</v>
      </c>
    </row>
    <row r="256" spans="1:17" ht="15.75" customHeight="1" x14ac:dyDescent="0.2">
      <c r="A256" s="526">
        <v>248</v>
      </c>
      <c r="B256" s="484" t="s">
        <v>222</v>
      </c>
      <c r="C256" s="516" t="s">
        <v>64</v>
      </c>
      <c r="D256" s="484" t="s">
        <v>352</v>
      </c>
      <c r="E256" s="486" t="s">
        <v>158</v>
      </c>
      <c r="F256" s="486" t="s">
        <v>353</v>
      </c>
      <c r="G256" s="510" t="s">
        <v>326</v>
      </c>
      <c r="H256" s="484">
        <v>6</v>
      </c>
      <c r="I256" s="484">
        <v>2</v>
      </c>
      <c r="J256" s="484">
        <v>2</v>
      </c>
      <c r="K256" s="482">
        <v>3524</v>
      </c>
      <c r="L256" s="482">
        <v>3524</v>
      </c>
      <c r="M256" s="482">
        <v>0</v>
      </c>
      <c r="N256" s="484">
        <v>0</v>
      </c>
      <c r="O256" s="482">
        <v>0</v>
      </c>
      <c r="P256" s="482">
        <v>0</v>
      </c>
      <c r="Q256" s="482">
        <v>0</v>
      </c>
    </row>
    <row r="257" spans="1:17" ht="15.75" customHeight="1" x14ac:dyDescent="0.2">
      <c r="A257" s="526">
        <v>249</v>
      </c>
      <c r="B257" s="484" t="s">
        <v>232</v>
      </c>
      <c r="C257" s="516" t="s">
        <v>62</v>
      </c>
      <c r="D257" s="484"/>
      <c r="E257" s="486" t="s">
        <v>74</v>
      </c>
      <c r="F257" s="486" t="s">
        <v>722</v>
      </c>
      <c r="G257" s="510" t="s">
        <v>326</v>
      </c>
      <c r="H257" s="484">
        <v>2</v>
      </c>
      <c r="I257" s="484">
        <v>1</v>
      </c>
      <c r="J257" s="484">
        <v>1</v>
      </c>
      <c r="K257" s="482">
        <v>1012.55</v>
      </c>
      <c r="L257" s="482">
        <v>1012.55</v>
      </c>
      <c r="M257" s="482">
        <v>0</v>
      </c>
      <c r="N257" s="484">
        <v>0</v>
      </c>
      <c r="O257" s="482">
        <v>0</v>
      </c>
      <c r="P257" s="482">
        <v>0</v>
      </c>
      <c r="Q257" s="482">
        <v>0</v>
      </c>
    </row>
    <row r="258" spans="1:17" ht="15.75" customHeight="1" x14ac:dyDescent="0.2">
      <c r="A258" s="526">
        <v>250</v>
      </c>
      <c r="B258" s="484" t="s">
        <v>238</v>
      </c>
      <c r="C258" s="516" t="s">
        <v>62</v>
      </c>
      <c r="D258" s="484"/>
      <c r="E258" s="486" t="s">
        <v>158</v>
      </c>
      <c r="F258" s="486" t="s">
        <v>354</v>
      </c>
      <c r="G258" s="510" t="s">
        <v>326</v>
      </c>
      <c r="H258" s="484">
        <v>9</v>
      </c>
      <c r="I258" s="484">
        <v>7</v>
      </c>
      <c r="J258" s="484">
        <v>7</v>
      </c>
      <c r="K258" s="482">
        <v>9349.25</v>
      </c>
      <c r="L258" s="482">
        <v>8060.55</v>
      </c>
      <c r="M258" s="482">
        <v>1288.7</v>
      </c>
      <c r="N258" s="484">
        <v>0</v>
      </c>
      <c r="O258" s="482">
        <v>0</v>
      </c>
      <c r="P258" s="482">
        <v>0</v>
      </c>
      <c r="Q258" s="482">
        <v>0</v>
      </c>
    </row>
    <row r="259" spans="1:17" ht="15.75" customHeight="1" x14ac:dyDescent="0.2">
      <c r="A259" s="526">
        <v>251</v>
      </c>
      <c r="B259" s="484" t="s">
        <v>355</v>
      </c>
      <c r="C259" s="516" t="s">
        <v>62</v>
      </c>
      <c r="D259" s="484"/>
      <c r="E259" s="486" t="s">
        <v>158</v>
      </c>
      <c r="F259" s="486" t="s">
        <v>356</v>
      </c>
      <c r="G259" s="510" t="s">
        <v>326</v>
      </c>
      <c r="H259" s="484">
        <v>7</v>
      </c>
      <c r="I259" s="484">
        <v>4</v>
      </c>
      <c r="J259" s="484">
        <v>4</v>
      </c>
      <c r="K259" s="482">
        <v>6276.4</v>
      </c>
      <c r="L259" s="482">
        <v>3971.2</v>
      </c>
      <c r="M259" s="482">
        <v>2305.1999999999998</v>
      </c>
      <c r="N259" s="484">
        <v>0</v>
      </c>
      <c r="O259" s="482">
        <v>0</v>
      </c>
      <c r="P259" s="482">
        <v>0</v>
      </c>
      <c r="Q259" s="482">
        <v>0</v>
      </c>
    </row>
    <row r="260" spans="1:17" ht="15.75" customHeight="1" x14ac:dyDescent="0.2">
      <c r="A260" s="526">
        <v>252</v>
      </c>
      <c r="B260" s="484" t="s">
        <v>357</v>
      </c>
      <c r="C260" s="516" t="s">
        <v>64</v>
      </c>
      <c r="D260" s="534" t="s">
        <v>358</v>
      </c>
      <c r="E260" s="486" t="s">
        <v>158</v>
      </c>
      <c r="F260" s="486" t="s">
        <v>507</v>
      </c>
      <c r="G260" s="510" t="s">
        <v>326</v>
      </c>
      <c r="H260" s="484">
        <v>3</v>
      </c>
      <c r="I260" s="484">
        <v>2</v>
      </c>
      <c r="J260" s="484">
        <v>2</v>
      </c>
      <c r="K260" s="482">
        <v>3129.7</v>
      </c>
      <c r="L260" s="482">
        <v>3129.7</v>
      </c>
      <c r="M260" s="482">
        <v>0</v>
      </c>
      <c r="N260" s="484">
        <v>0</v>
      </c>
      <c r="O260" s="482">
        <v>0</v>
      </c>
      <c r="P260" s="482">
        <v>0</v>
      </c>
      <c r="Q260" s="482">
        <v>0</v>
      </c>
    </row>
    <row r="261" spans="1:17" ht="15.75" customHeight="1" x14ac:dyDescent="0.2">
      <c r="A261" s="526">
        <v>253</v>
      </c>
      <c r="B261" s="484" t="s">
        <v>36</v>
      </c>
      <c r="C261" s="516" t="s">
        <v>62</v>
      </c>
      <c r="D261" s="484"/>
      <c r="E261" s="486" t="s">
        <v>74</v>
      </c>
      <c r="F261" s="486" t="s">
        <v>630</v>
      </c>
      <c r="G261" s="510" t="s">
        <v>326</v>
      </c>
      <c r="H261" s="484">
        <v>2</v>
      </c>
      <c r="I261" s="484">
        <v>1</v>
      </c>
      <c r="J261" s="484">
        <v>1</v>
      </c>
      <c r="K261" s="482">
        <v>552.29999999999995</v>
      </c>
      <c r="L261" s="482">
        <v>552.29999999999995</v>
      </c>
      <c r="M261" s="482">
        <v>0</v>
      </c>
      <c r="N261" s="484">
        <v>0</v>
      </c>
      <c r="O261" s="482">
        <v>0</v>
      </c>
      <c r="P261" s="482">
        <v>0</v>
      </c>
      <c r="Q261" s="482">
        <v>0</v>
      </c>
    </row>
    <row r="262" spans="1:17" ht="15.75" customHeight="1" x14ac:dyDescent="0.2">
      <c r="A262" s="526">
        <v>254</v>
      </c>
      <c r="B262" s="484" t="s">
        <v>359</v>
      </c>
      <c r="C262" s="516" t="s">
        <v>62</v>
      </c>
      <c r="D262" s="484"/>
      <c r="E262" s="486" t="s">
        <v>158</v>
      </c>
      <c r="F262" s="486" t="s">
        <v>360</v>
      </c>
      <c r="G262" s="510" t="s">
        <v>326</v>
      </c>
      <c r="H262" s="484">
        <v>5</v>
      </c>
      <c r="I262" s="484">
        <v>5</v>
      </c>
      <c r="J262" s="484">
        <v>5</v>
      </c>
      <c r="K262" s="482">
        <v>4933.6000000000004</v>
      </c>
      <c r="L262" s="482">
        <v>4933.6000000000004</v>
      </c>
      <c r="M262" s="482">
        <v>0</v>
      </c>
      <c r="N262" s="484">
        <v>0</v>
      </c>
      <c r="O262" s="482">
        <v>0</v>
      </c>
      <c r="P262" s="482">
        <v>0</v>
      </c>
      <c r="Q262" s="482">
        <v>0</v>
      </c>
    </row>
    <row r="263" spans="1:17" ht="15.75" customHeight="1" x14ac:dyDescent="0.2">
      <c r="A263" s="526">
        <v>255</v>
      </c>
      <c r="B263" s="484" t="s">
        <v>118</v>
      </c>
      <c r="C263" s="516" t="s">
        <v>62</v>
      </c>
      <c r="D263" s="484"/>
      <c r="E263" s="486" t="s">
        <v>675</v>
      </c>
      <c r="F263" s="486" t="s">
        <v>361</v>
      </c>
      <c r="G263" s="510" t="s">
        <v>326</v>
      </c>
      <c r="H263" s="484">
        <v>1</v>
      </c>
      <c r="I263" s="484">
        <v>1</v>
      </c>
      <c r="J263" s="484">
        <v>1</v>
      </c>
      <c r="K263" s="482">
        <v>1012.55</v>
      </c>
      <c r="L263" s="482">
        <v>1012.55</v>
      </c>
      <c r="M263" s="482">
        <v>0</v>
      </c>
      <c r="N263" s="484">
        <v>0</v>
      </c>
      <c r="O263" s="482">
        <v>0</v>
      </c>
      <c r="P263" s="482">
        <v>0</v>
      </c>
      <c r="Q263" s="482">
        <v>0</v>
      </c>
    </row>
    <row r="264" spans="1:17" ht="15.75" customHeight="1" x14ac:dyDescent="0.2">
      <c r="A264" s="526">
        <v>256</v>
      </c>
      <c r="B264" s="484" t="s">
        <v>246</v>
      </c>
      <c r="C264" s="516" t="s">
        <v>62</v>
      </c>
      <c r="D264" s="484"/>
      <c r="E264" s="486" t="s">
        <v>158</v>
      </c>
      <c r="F264" s="486" t="s">
        <v>362</v>
      </c>
      <c r="G264" s="510" t="s">
        <v>326</v>
      </c>
      <c r="H264" s="484">
        <v>5</v>
      </c>
      <c r="I264" s="484">
        <v>3</v>
      </c>
      <c r="J264" s="484">
        <v>3</v>
      </c>
      <c r="K264" s="482">
        <v>4271.05</v>
      </c>
      <c r="L264" s="482">
        <v>4271.05</v>
      </c>
      <c r="M264" s="482">
        <v>0</v>
      </c>
      <c r="N264" s="484">
        <v>0</v>
      </c>
      <c r="O264" s="482">
        <v>0</v>
      </c>
      <c r="P264" s="482">
        <v>0</v>
      </c>
      <c r="Q264" s="482">
        <v>0</v>
      </c>
    </row>
    <row r="265" spans="1:17" ht="15.75" customHeight="1" x14ac:dyDescent="0.2">
      <c r="A265" s="526">
        <v>257</v>
      </c>
      <c r="B265" s="484" t="s">
        <v>643</v>
      </c>
      <c r="C265" s="516" t="s">
        <v>62</v>
      </c>
      <c r="D265" s="484"/>
      <c r="E265" s="486" t="s">
        <v>74</v>
      </c>
      <c r="F265" s="486" t="s">
        <v>644</v>
      </c>
      <c r="G265" s="510" t="s">
        <v>326</v>
      </c>
      <c r="H265" s="484">
        <v>2</v>
      </c>
      <c r="I265" s="484">
        <v>0</v>
      </c>
      <c r="J265" s="484">
        <v>0</v>
      </c>
      <c r="K265" s="482">
        <v>0</v>
      </c>
      <c r="L265" s="482">
        <v>0</v>
      </c>
      <c r="M265" s="482">
        <v>0</v>
      </c>
      <c r="N265" s="484">
        <v>0</v>
      </c>
      <c r="O265" s="482">
        <v>0</v>
      </c>
      <c r="P265" s="482">
        <v>0</v>
      </c>
      <c r="Q265" s="482">
        <v>0</v>
      </c>
    </row>
    <row r="266" spans="1:17" ht="15.75" customHeight="1" x14ac:dyDescent="0.2">
      <c r="A266" s="526">
        <v>258</v>
      </c>
      <c r="B266" s="484" t="s">
        <v>43</v>
      </c>
      <c r="C266" s="516" t="s">
        <v>62</v>
      </c>
      <c r="D266" s="484"/>
      <c r="E266" s="486" t="s">
        <v>74</v>
      </c>
      <c r="F266" s="486" t="s">
        <v>363</v>
      </c>
      <c r="G266" s="510" t="s">
        <v>326</v>
      </c>
      <c r="H266" s="484">
        <v>4</v>
      </c>
      <c r="I266" s="484">
        <v>3</v>
      </c>
      <c r="J266" s="484">
        <v>3</v>
      </c>
      <c r="K266" s="482">
        <v>4771.74</v>
      </c>
      <c r="L266" s="482">
        <v>660.75</v>
      </c>
      <c r="M266" s="482">
        <v>4110.99</v>
      </c>
      <c r="N266" s="484">
        <v>2</v>
      </c>
      <c r="O266" s="482">
        <v>0</v>
      </c>
      <c r="P266" s="482">
        <v>0</v>
      </c>
      <c r="Q266" s="482">
        <v>0</v>
      </c>
    </row>
    <row r="267" spans="1:17" ht="15.75" customHeight="1" x14ac:dyDescent="0.2">
      <c r="A267" s="526">
        <v>259</v>
      </c>
      <c r="B267" s="484" t="s">
        <v>364</v>
      </c>
      <c r="C267" s="516" t="s">
        <v>62</v>
      </c>
      <c r="D267" s="484"/>
      <c r="E267" s="486" t="s">
        <v>74</v>
      </c>
      <c r="F267" s="486" t="s">
        <v>365</v>
      </c>
      <c r="G267" s="510" t="s">
        <v>326</v>
      </c>
      <c r="H267" s="484">
        <v>8</v>
      </c>
      <c r="I267" s="484">
        <v>3</v>
      </c>
      <c r="J267" s="484">
        <v>3</v>
      </c>
      <c r="K267" s="482">
        <v>7069.3</v>
      </c>
      <c r="L267" s="482">
        <v>7069.3</v>
      </c>
      <c r="M267" s="482">
        <v>0</v>
      </c>
      <c r="N267" s="484">
        <v>3</v>
      </c>
      <c r="O267" s="482">
        <v>9692.9599999999991</v>
      </c>
      <c r="P267" s="482">
        <v>9692.9599999999991</v>
      </c>
      <c r="Q267" s="482">
        <v>0</v>
      </c>
    </row>
    <row r="268" spans="1:17" ht="15.75" customHeight="1" x14ac:dyDescent="0.2">
      <c r="A268" s="526">
        <v>260</v>
      </c>
      <c r="B268" s="484" t="s">
        <v>46</v>
      </c>
      <c r="C268" s="516" t="s">
        <v>62</v>
      </c>
      <c r="D268" s="484"/>
      <c r="E268" s="486" t="s">
        <v>678</v>
      </c>
      <c r="F268" s="486" t="s">
        <v>367</v>
      </c>
      <c r="G268" s="510" t="s">
        <v>326</v>
      </c>
      <c r="H268" s="484">
        <v>0</v>
      </c>
      <c r="I268" s="484">
        <v>0</v>
      </c>
      <c r="J268" s="484">
        <v>0</v>
      </c>
      <c r="K268" s="482">
        <v>0</v>
      </c>
      <c r="L268" s="482">
        <v>0</v>
      </c>
      <c r="M268" s="482">
        <v>0</v>
      </c>
      <c r="N268" s="484">
        <v>2</v>
      </c>
      <c r="O268" s="482">
        <v>4669.3</v>
      </c>
      <c r="P268" s="482">
        <v>4669.3</v>
      </c>
      <c r="Q268" s="482">
        <v>0</v>
      </c>
    </row>
    <row r="269" spans="1:17" ht="15.75" customHeight="1" x14ac:dyDescent="0.2">
      <c r="A269" s="526">
        <v>261</v>
      </c>
      <c r="B269" s="484" t="s">
        <v>270</v>
      </c>
      <c r="C269" s="516" t="s">
        <v>62</v>
      </c>
      <c r="D269" s="484"/>
      <c r="E269" s="486" t="s">
        <v>74</v>
      </c>
      <c r="F269" s="486" t="s">
        <v>539</v>
      </c>
      <c r="G269" s="510" t="s">
        <v>326</v>
      </c>
      <c r="H269" s="484">
        <v>3</v>
      </c>
      <c r="I269" s="484">
        <v>2</v>
      </c>
      <c r="J269" s="484">
        <v>2</v>
      </c>
      <c r="K269" s="482">
        <v>2117.15</v>
      </c>
      <c r="L269" s="482">
        <v>1012.55</v>
      </c>
      <c r="M269" s="482">
        <v>1104.5999999999999</v>
      </c>
      <c r="N269" s="484">
        <v>0</v>
      </c>
      <c r="O269" s="482">
        <v>0</v>
      </c>
      <c r="P269" s="482">
        <v>0</v>
      </c>
      <c r="Q269" s="482">
        <v>0</v>
      </c>
    </row>
    <row r="270" spans="1:17" ht="15.75" customHeight="1" x14ac:dyDescent="0.2">
      <c r="A270" s="526">
        <v>262</v>
      </c>
      <c r="B270" s="484" t="s">
        <v>621</v>
      </c>
      <c r="C270" s="516" t="s">
        <v>62</v>
      </c>
      <c r="D270" s="484"/>
      <c r="E270" s="486" t="s">
        <v>74</v>
      </c>
      <c r="F270" s="486" t="s">
        <v>622</v>
      </c>
      <c r="G270" s="510" t="s">
        <v>326</v>
      </c>
      <c r="H270" s="484">
        <v>5</v>
      </c>
      <c r="I270" s="484">
        <v>3</v>
      </c>
      <c r="J270" s="484">
        <v>3</v>
      </c>
      <c r="K270" s="482">
        <v>3317.75</v>
      </c>
      <c r="L270" s="482">
        <v>1012.55</v>
      </c>
      <c r="M270" s="482">
        <v>2305.1999999999998</v>
      </c>
      <c r="N270" s="484">
        <v>0</v>
      </c>
      <c r="O270" s="482">
        <v>0</v>
      </c>
      <c r="P270" s="482">
        <v>0</v>
      </c>
      <c r="Q270" s="482">
        <v>0</v>
      </c>
    </row>
    <row r="271" spans="1:17" ht="15.75" customHeight="1" x14ac:dyDescent="0.2">
      <c r="A271" s="526">
        <v>263</v>
      </c>
      <c r="B271" s="484" t="s">
        <v>723</v>
      </c>
      <c r="C271" s="516" t="s">
        <v>62</v>
      </c>
      <c r="D271" s="484"/>
      <c r="E271" s="486" t="s">
        <v>74</v>
      </c>
      <c r="F271" s="486" t="s">
        <v>724</v>
      </c>
      <c r="G271" s="510" t="s">
        <v>326</v>
      </c>
      <c r="H271" s="484">
        <v>2</v>
      </c>
      <c r="I271" s="484">
        <v>0</v>
      </c>
      <c r="J271" s="484">
        <v>0</v>
      </c>
      <c r="K271" s="482">
        <v>0</v>
      </c>
      <c r="L271" s="482">
        <v>0</v>
      </c>
      <c r="M271" s="482">
        <v>0</v>
      </c>
      <c r="N271" s="484">
        <v>0</v>
      </c>
      <c r="O271" s="482">
        <v>0</v>
      </c>
      <c r="P271" s="482">
        <v>0</v>
      </c>
      <c r="Q271" s="482">
        <v>0</v>
      </c>
    </row>
    <row r="272" spans="1:17" ht="15.75" customHeight="1" x14ac:dyDescent="0.2">
      <c r="A272" s="526">
        <v>264</v>
      </c>
      <c r="B272" s="484" t="s">
        <v>96</v>
      </c>
      <c r="C272" s="516" t="s">
        <v>62</v>
      </c>
      <c r="D272" s="484"/>
      <c r="E272" s="486" t="s">
        <v>772</v>
      </c>
      <c r="F272" s="486" t="s">
        <v>540</v>
      </c>
      <c r="G272" s="510" t="s">
        <v>326</v>
      </c>
      <c r="H272" s="484">
        <v>1</v>
      </c>
      <c r="I272" s="484">
        <v>0</v>
      </c>
      <c r="J272" s="484">
        <v>0</v>
      </c>
      <c r="K272" s="482">
        <v>0</v>
      </c>
      <c r="L272" s="482">
        <v>0</v>
      </c>
      <c r="M272" s="482">
        <v>0</v>
      </c>
      <c r="N272" s="484">
        <v>1</v>
      </c>
      <c r="O272" s="482">
        <v>0</v>
      </c>
      <c r="P272" s="482">
        <v>0</v>
      </c>
      <c r="Q272" s="482">
        <v>0</v>
      </c>
    </row>
    <row r="273" spans="1:17" ht="15.75" customHeight="1" x14ac:dyDescent="0.2">
      <c r="A273" s="526">
        <v>265</v>
      </c>
      <c r="B273" s="484" t="s">
        <v>124</v>
      </c>
      <c r="C273" s="516" t="s">
        <v>62</v>
      </c>
      <c r="D273" s="484"/>
      <c r="E273" s="486" t="s">
        <v>773</v>
      </c>
      <c r="F273" s="486" t="s">
        <v>368</v>
      </c>
      <c r="G273" s="510" t="s">
        <v>326</v>
      </c>
      <c r="H273" s="484">
        <v>27</v>
      </c>
      <c r="I273" s="484">
        <v>20</v>
      </c>
      <c r="J273" s="484">
        <v>20</v>
      </c>
      <c r="K273" s="482">
        <v>28575.31</v>
      </c>
      <c r="L273" s="482">
        <v>23114.5</v>
      </c>
      <c r="M273" s="482">
        <v>5460.81</v>
      </c>
      <c r="N273" s="484">
        <v>8</v>
      </c>
      <c r="O273" s="482">
        <v>4753.3999999999996</v>
      </c>
      <c r="P273" s="482">
        <v>4753.3999999999996</v>
      </c>
      <c r="Q273" s="482">
        <v>0</v>
      </c>
    </row>
    <row r="274" spans="1:17" ht="15.75" customHeight="1" x14ac:dyDescent="0.2">
      <c r="A274" s="526">
        <v>266</v>
      </c>
      <c r="B274" s="484" t="s">
        <v>51</v>
      </c>
      <c r="C274" s="516" t="s">
        <v>62</v>
      </c>
      <c r="D274" s="484"/>
      <c r="E274" s="486" t="s">
        <v>74</v>
      </c>
      <c r="F274" s="486" t="s">
        <v>369</v>
      </c>
      <c r="G274" s="510" t="s">
        <v>326</v>
      </c>
      <c r="H274" s="484">
        <v>0</v>
      </c>
      <c r="I274" s="484">
        <v>0</v>
      </c>
      <c r="J274" s="484">
        <v>0</v>
      </c>
      <c r="K274" s="482">
        <v>0</v>
      </c>
      <c r="L274" s="482">
        <v>0</v>
      </c>
      <c r="M274" s="482">
        <v>0</v>
      </c>
      <c r="N274" s="484">
        <v>1</v>
      </c>
      <c r="O274" s="482">
        <v>2290.6</v>
      </c>
      <c r="P274" s="482">
        <v>2290.6</v>
      </c>
      <c r="Q274" s="482">
        <v>0</v>
      </c>
    </row>
    <row r="275" spans="1:17" ht="15.75" customHeight="1" x14ac:dyDescent="0.2">
      <c r="A275" s="526">
        <v>267</v>
      </c>
      <c r="B275" s="484" t="s">
        <v>286</v>
      </c>
      <c r="C275" s="516" t="s">
        <v>62</v>
      </c>
      <c r="D275" s="484"/>
      <c r="E275" s="486" t="s">
        <v>74</v>
      </c>
      <c r="F275" s="486" t="s">
        <v>476</v>
      </c>
      <c r="G275" s="510" t="s">
        <v>326</v>
      </c>
      <c r="H275" s="484">
        <v>8</v>
      </c>
      <c r="I275" s="484">
        <v>4</v>
      </c>
      <c r="J275" s="484">
        <v>4</v>
      </c>
      <c r="K275" s="482">
        <v>3195.3</v>
      </c>
      <c r="L275" s="482">
        <v>3195.3</v>
      </c>
      <c r="M275" s="482">
        <v>0</v>
      </c>
      <c r="N275" s="484">
        <v>0</v>
      </c>
      <c r="O275" s="482">
        <v>0</v>
      </c>
      <c r="P275" s="482">
        <v>0</v>
      </c>
      <c r="Q275" s="482">
        <v>0</v>
      </c>
    </row>
    <row r="276" spans="1:17" ht="15.75" customHeight="1" x14ac:dyDescent="0.2">
      <c r="A276" s="526">
        <v>268</v>
      </c>
      <c r="B276" s="484" t="s">
        <v>290</v>
      </c>
      <c r="C276" s="516" t="s">
        <v>62</v>
      </c>
      <c r="D276" s="484"/>
      <c r="E276" s="486" t="s">
        <v>74</v>
      </c>
      <c r="F276" s="486" t="s">
        <v>372</v>
      </c>
      <c r="G276" s="510" t="s">
        <v>326</v>
      </c>
      <c r="H276" s="484">
        <v>9</v>
      </c>
      <c r="I276" s="484">
        <v>8</v>
      </c>
      <c r="J276" s="484">
        <v>8</v>
      </c>
      <c r="K276" s="482">
        <v>6532.8</v>
      </c>
      <c r="L276" s="482">
        <v>6532.8</v>
      </c>
      <c r="M276" s="482">
        <v>0</v>
      </c>
      <c r="N276" s="484">
        <v>0</v>
      </c>
      <c r="O276" s="482">
        <v>0</v>
      </c>
      <c r="P276" s="482">
        <v>0</v>
      </c>
      <c r="Q276" s="482">
        <v>0</v>
      </c>
    </row>
    <row r="277" spans="1:17" ht="15.75" customHeight="1" x14ac:dyDescent="0.2">
      <c r="A277" s="526">
        <v>269</v>
      </c>
      <c r="B277" s="484" t="s">
        <v>134</v>
      </c>
      <c r="C277" s="516" t="s">
        <v>62</v>
      </c>
      <c r="D277" s="484"/>
      <c r="E277" s="486" t="s">
        <v>74</v>
      </c>
      <c r="F277" s="486" t="s">
        <v>373</v>
      </c>
      <c r="G277" s="510" t="s">
        <v>326</v>
      </c>
      <c r="H277" s="484">
        <v>3</v>
      </c>
      <c r="I277" s="484">
        <v>1</v>
      </c>
      <c r="J277" s="484">
        <v>1</v>
      </c>
      <c r="K277" s="482">
        <v>1938.2</v>
      </c>
      <c r="L277" s="482">
        <v>1938.2</v>
      </c>
      <c r="M277" s="482">
        <v>0</v>
      </c>
      <c r="N277" s="484">
        <v>3</v>
      </c>
      <c r="O277" s="482">
        <v>6693.2</v>
      </c>
      <c r="P277" s="482">
        <v>6693.2</v>
      </c>
      <c r="Q277" s="482">
        <v>0</v>
      </c>
    </row>
    <row r="278" spans="1:17" ht="15.75" customHeight="1" x14ac:dyDescent="0.2">
      <c r="A278" s="526">
        <v>270</v>
      </c>
      <c r="B278" s="484" t="s">
        <v>135</v>
      </c>
      <c r="C278" s="516" t="s">
        <v>62</v>
      </c>
      <c r="D278" s="484"/>
      <c r="E278" s="486" t="s">
        <v>74</v>
      </c>
      <c r="F278" s="486" t="s">
        <v>374</v>
      </c>
      <c r="G278" s="510" t="s">
        <v>326</v>
      </c>
      <c r="H278" s="484">
        <v>21</v>
      </c>
      <c r="I278" s="484">
        <v>7</v>
      </c>
      <c r="J278" s="484">
        <v>7</v>
      </c>
      <c r="K278" s="482">
        <v>13053.6</v>
      </c>
      <c r="L278" s="482">
        <v>13053.6</v>
      </c>
      <c r="M278" s="482">
        <v>0</v>
      </c>
      <c r="N278" s="484">
        <v>94</v>
      </c>
      <c r="O278" s="482">
        <v>48904.95</v>
      </c>
      <c r="P278" s="482">
        <v>48904.95</v>
      </c>
      <c r="Q278" s="482">
        <v>0</v>
      </c>
    </row>
    <row r="279" spans="1:17" ht="15.75" customHeight="1" x14ac:dyDescent="0.2">
      <c r="A279" s="526">
        <v>271</v>
      </c>
      <c r="B279" s="484" t="s">
        <v>508</v>
      </c>
      <c r="C279" s="516" t="s">
        <v>64</v>
      </c>
      <c r="D279" s="484" t="s">
        <v>509</v>
      </c>
      <c r="E279" s="486" t="s">
        <v>74</v>
      </c>
      <c r="F279" s="486" t="s">
        <v>510</v>
      </c>
      <c r="G279" s="510" t="s">
        <v>326</v>
      </c>
      <c r="H279" s="484">
        <v>3</v>
      </c>
      <c r="I279" s="484">
        <v>2</v>
      </c>
      <c r="J279" s="484">
        <v>2</v>
      </c>
      <c r="K279" s="482">
        <v>4418.3999999999996</v>
      </c>
      <c r="L279" s="482">
        <v>4418.3999999999996</v>
      </c>
      <c r="M279" s="482">
        <v>0</v>
      </c>
      <c r="N279" s="484">
        <v>0</v>
      </c>
      <c r="O279" s="482">
        <v>0</v>
      </c>
      <c r="P279" s="482">
        <v>0</v>
      </c>
      <c r="Q279" s="482">
        <v>0</v>
      </c>
    </row>
    <row r="280" spans="1:17" ht="15.75" customHeight="1" x14ac:dyDescent="0.2">
      <c r="A280" s="526">
        <v>272</v>
      </c>
      <c r="B280" s="484" t="s">
        <v>299</v>
      </c>
      <c r="C280" s="516" t="s">
        <v>62</v>
      </c>
      <c r="D280" s="484"/>
      <c r="E280" s="486" t="s">
        <v>158</v>
      </c>
      <c r="F280" s="486" t="s">
        <v>375</v>
      </c>
      <c r="G280" s="510" t="s">
        <v>326</v>
      </c>
      <c r="H280" s="484">
        <v>3</v>
      </c>
      <c r="I280" s="484">
        <v>1</v>
      </c>
      <c r="J280" s="484">
        <v>1</v>
      </c>
      <c r="K280" s="482">
        <v>704.8</v>
      </c>
      <c r="L280" s="482">
        <v>704.8</v>
      </c>
      <c r="M280" s="482">
        <v>0</v>
      </c>
      <c r="N280" s="484">
        <v>0</v>
      </c>
      <c r="O280" s="482">
        <v>0</v>
      </c>
      <c r="P280" s="482">
        <v>0</v>
      </c>
      <c r="Q280" s="482">
        <v>0</v>
      </c>
    </row>
    <row r="281" spans="1:17" ht="15.75" customHeight="1" x14ac:dyDescent="0.2">
      <c r="A281" s="526">
        <v>273</v>
      </c>
      <c r="B281" s="484" t="s">
        <v>302</v>
      </c>
      <c r="C281" s="516" t="s">
        <v>62</v>
      </c>
      <c r="D281" s="484"/>
      <c r="E281" s="486" t="s">
        <v>74</v>
      </c>
      <c r="F281" s="486" t="s">
        <v>725</v>
      </c>
      <c r="G281" s="510" t="s">
        <v>326</v>
      </c>
      <c r="H281" s="484">
        <v>1</v>
      </c>
      <c r="I281" s="484">
        <v>0</v>
      </c>
      <c r="J281" s="484">
        <v>0</v>
      </c>
      <c r="K281" s="482">
        <v>0</v>
      </c>
      <c r="L281" s="482">
        <v>0</v>
      </c>
      <c r="M281" s="482">
        <v>0</v>
      </c>
      <c r="N281" s="484">
        <v>0</v>
      </c>
      <c r="O281" s="482">
        <v>0</v>
      </c>
      <c r="P281" s="482">
        <v>0</v>
      </c>
      <c r="Q281" s="482">
        <v>0</v>
      </c>
    </row>
    <row r="282" spans="1:17" ht="15.75" customHeight="1" x14ac:dyDescent="0.2">
      <c r="A282" s="526">
        <v>274</v>
      </c>
      <c r="B282" s="484" t="s">
        <v>702</v>
      </c>
      <c r="C282" s="516" t="s">
        <v>62</v>
      </c>
      <c r="D282" s="484"/>
      <c r="E282" s="486" t="s">
        <v>74</v>
      </c>
      <c r="F282" s="486" t="s">
        <v>726</v>
      </c>
      <c r="G282" s="510" t="s">
        <v>326</v>
      </c>
      <c r="H282" s="484">
        <v>1</v>
      </c>
      <c r="I282" s="484">
        <v>1</v>
      </c>
      <c r="J282" s="484">
        <v>1</v>
      </c>
      <c r="K282" s="482">
        <v>552.29999999999995</v>
      </c>
      <c r="L282" s="482">
        <v>552.29999999999995</v>
      </c>
      <c r="M282" s="482">
        <v>0</v>
      </c>
      <c r="N282" s="484">
        <v>0</v>
      </c>
      <c r="O282" s="482">
        <v>0</v>
      </c>
      <c r="P282" s="482">
        <v>0</v>
      </c>
      <c r="Q282" s="482">
        <v>0</v>
      </c>
    </row>
    <row r="283" spans="1:17" ht="15.75" customHeight="1" x14ac:dyDescent="0.2">
      <c r="A283" s="526">
        <v>275</v>
      </c>
      <c r="B283" s="484" t="s">
        <v>376</v>
      </c>
      <c r="C283" s="516" t="s">
        <v>62</v>
      </c>
      <c r="D283" s="484"/>
      <c r="E283" s="486" t="s">
        <v>74</v>
      </c>
      <c r="F283" s="486" t="s">
        <v>377</v>
      </c>
      <c r="G283" s="510" t="s">
        <v>326</v>
      </c>
      <c r="H283" s="484">
        <v>10</v>
      </c>
      <c r="I283" s="484">
        <v>6</v>
      </c>
      <c r="J283" s="484">
        <v>6</v>
      </c>
      <c r="K283" s="482">
        <v>6722.05</v>
      </c>
      <c r="L283" s="482">
        <v>6722.05</v>
      </c>
      <c r="M283" s="482">
        <v>0</v>
      </c>
      <c r="N283" s="484">
        <v>0</v>
      </c>
      <c r="O283" s="482">
        <v>0</v>
      </c>
      <c r="P283" s="482">
        <v>0</v>
      </c>
      <c r="Q283" s="482">
        <v>0</v>
      </c>
    </row>
    <row r="284" spans="1:17" ht="15.75" customHeight="1" x14ac:dyDescent="0.2">
      <c r="A284" s="526">
        <v>276</v>
      </c>
      <c r="B284" s="484" t="s">
        <v>129</v>
      </c>
      <c r="C284" s="516" t="s">
        <v>62</v>
      </c>
      <c r="D284" s="484"/>
      <c r="E284" s="486" t="s">
        <v>74</v>
      </c>
      <c r="F284" s="486" t="s">
        <v>378</v>
      </c>
      <c r="G284" s="510" t="s">
        <v>326</v>
      </c>
      <c r="H284" s="484">
        <v>55</v>
      </c>
      <c r="I284" s="484">
        <v>45</v>
      </c>
      <c r="J284" s="484">
        <v>45</v>
      </c>
      <c r="K284" s="482">
        <v>75711.259999999995</v>
      </c>
      <c r="L284" s="482">
        <v>68698.320000000007</v>
      </c>
      <c r="M284" s="482">
        <v>7012.94</v>
      </c>
      <c r="N284" s="484">
        <v>41</v>
      </c>
      <c r="O284" s="482">
        <v>75401.06</v>
      </c>
      <c r="P284" s="482">
        <v>75401.06</v>
      </c>
      <c r="Q284" s="482">
        <v>0</v>
      </c>
    </row>
    <row r="285" spans="1:17" ht="15.75" customHeight="1" x14ac:dyDescent="0.2">
      <c r="A285" s="526">
        <v>277</v>
      </c>
      <c r="B285" s="484" t="s">
        <v>379</v>
      </c>
      <c r="C285" s="516" t="s">
        <v>62</v>
      </c>
      <c r="D285" s="484"/>
      <c r="E285" s="486" t="s">
        <v>158</v>
      </c>
      <c r="F285" s="486" t="s">
        <v>380</v>
      </c>
      <c r="G285" s="510" t="s">
        <v>326</v>
      </c>
      <c r="H285" s="484">
        <v>6</v>
      </c>
      <c r="I285" s="484">
        <v>4</v>
      </c>
      <c r="J285" s="484">
        <v>4</v>
      </c>
      <c r="K285" s="482">
        <v>4131.6499999999996</v>
      </c>
      <c r="L285" s="482">
        <v>4131.6499999999996</v>
      </c>
      <c r="M285" s="482">
        <v>0</v>
      </c>
      <c r="N285" s="484">
        <v>0</v>
      </c>
      <c r="O285" s="482">
        <v>0</v>
      </c>
      <c r="P285" s="482">
        <v>0</v>
      </c>
      <c r="Q285" s="482">
        <v>0</v>
      </c>
    </row>
    <row r="286" spans="1:17" ht="15.75" customHeight="1" x14ac:dyDescent="0.2">
      <c r="A286" s="526">
        <v>278</v>
      </c>
      <c r="B286" s="484" t="s">
        <v>130</v>
      </c>
      <c r="C286" s="516" t="s">
        <v>62</v>
      </c>
      <c r="D286" s="484"/>
      <c r="E286" s="486" t="s">
        <v>74</v>
      </c>
      <c r="F286" s="486" t="s">
        <v>557</v>
      </c>
      <c r="G286" s="510" t="s">
        <v>326</v>
      </c>
      <c r="H286" s="484">
        <v>2</v>
      </c>
      <c r="I286" s="484">
        <v>1</v>
      </c>
      <c r="J286" s="484">
        <v>1</v>
      </c>
      <c r="K286" s="482">
        <v>1104.5999999999999</v>
      </c>
      <c r="L286" s="482">
        <v>1104.5999999999999</v>
      </c>
      <c r="M286" s="482">
        <v>0</v>
      </c>
      <c r="N286" s="484">
        <v>7</v>
      </c>
      <c r="O286" s="482">
        <v>11044.15</v>
      </c>
      <c r="P286" s="482">
        <v>9315.25</v>
      </c>
      <c r="Q286" s="482">
        <v>1728.9</v>
      </c>
    </row>
    <row r="287" spans="1:17" ht="15.75" customHeight="1" x14ac:dyDescent="0.2">
      <c r="A287" s="526">
        <v>279</v>
      </c>
      <c r="B287" s="484" t="s">
        <v>382</v>
      </c>
      <c r="C287" s="516" t="s">
        <v>62</v>
      </c>
      <c r="D287" s="484"/>
      <c r="E287" s="486" t="s">
        <v>703</v>
      </c>
      <c r="F287" s="486" t="s">
        <v>384</v>
      </c>
      <c r="G287" s="510" t="s">
        <v>326</v>
      </c>
      <c r="H287" s="484">
        <v>1</v>
      </c>
      <c r="I287" s="484">
        <v>1</v>
      </c>
      <c r="J287" s="484">
        <v>1</v>
      </c>
      <c r="K287" s="482">
        <v>704.8</v>
      </c>
      <c r="L287" s="482">
        <v>704.8</v>
      </c>
      <c r="M287" s="482">
        <v>0</v>
      </c>
      <c r="N287" s="484">
        <v>0</v>
      </c>
      <c r="O287" s="482">
        <v>0</v>
      </c>
      <c r="P287" s="482">
        <v>0</v>
      </c>
      <c r="Q287" s="482">
        <v>0</v>
      </c>
    </row>
    <row r="288" spans="1:17" ht="15.75" customHeight="1" x14ac:dyDescent="0.2">
      <c r="A288" s="526">
        <v>280</v>
      </c>
      <c r="B288" s="484" t="s">
        <v>385</v>
      </c>
      <c r="C288" s="516" t="s">
        <v>62</v>
      </c>
      <c r="D288" s="484"/>
      <c r="E288" s="486" t="s">
        <v>675</v>
      </c>
      <c r="F288" s="486" t="s">
        <v>386</v>
      </c>
      <c r="G288" s="510" t="s">
        <v>326</v>
      </c>
      <c r="H288" s="484">
        <v>15</v>
      </c>
      <c r="I288" s="484">
        <v>10</v>
      </c>
      <c r="J288" s="484">
        <v>10</v>
      </c>
      <c r="K288" s="482">
        <v>9903.75</v>
      </c>
      <c r="L288" s="482">
        <v>4184.75</v>
      </c>
      <c r="M288" s="482">
        <v>5719</v>
      </c>
      <c r="N288" s="484">
        <v>18</v>
      </c>
      <c r="O288" s="482">
        <v>9602.9</v>
      </c>
      <c r="P288" s="482">
        <v>9602.9</v>
      </c>
      <c r="Q288" s="482">
        <v>0</v>
      </c>
    </row>
    <row r="289" spans="1:17" ht="15.75" customHeight="1" x14ac:dyDescent="0.2">
      <c r="A289" s="526">
        <v>281</v>
      </c>
      <c r="B289" s="613" t="s">
        <v>19</v>
      </c>
      <c r="C289" s="614" t="s">
        <v>62</v>
      </c>
      <c r="D289" s="289"/>
      <c r="E289" s="490" t="s">
        <v>671</v>
      </c>
      <c r="F289" s="615" t="s">
        <v>394</v>
      </c>
      <c r="G289" s="289" t="s">
        <v>395</v>
      </c>
      <c r="H289" s="289">
        <v>1</v>
      </c>
      <c r="I289" s="289">
        <v>0</v>
      </c>
      <c r="J289" s="491">
        <v>0</v>
      </c>
      <c r="K289" s="616">
        <v>0</v>
      </c>
      <c r="L289" s="616">
        <v>0</v>
      </c>
      <c r="M289" s="482">
        <v>0</v>
      </c>
      <c r="N289" s="371">
        <v>0</v>
      </c>
      <c r="O289" s="492">
        <v>0</v>
      </c>
      <c r="P289" s="492">
        <v>0</v>
      </c>
      <c r="Q289" s="482">
        <v>0</v>
      </c>
    </row>
    <row r="290" spans="1:17" ht="15.75" customHeight="1" x14ac:dyDescent="0.2">
      <c r="A290" s="526">
        <v>282</v>
      </c>
      <c r="B290" s="613" t="s">
        <v>90</v>
      </c>
      <c r="C290" s="614" t="s">
        <v>62</v>
      </c>
      <c r="D290" s="613"/>
      <c r="E290" s="490" t="s">
        <v>689</v>
      </c>
      <c r="F290" s="615" t="s">
        <v>396</v>
      </c>
      <c r="G290" s="289" t="s">
        <v>395</v>
      </c>
      <c r="H290" s="613">
        <v>9</v>
      </c>
      <c r="I290" s="613">
        <v>9</v>
      </c>
      <c r="J290" s="613">
        <v>9</v>
      </c>
      <c r="K290" s="616">
        <v>11276.8</v>
      </c>
      <c r="L290" s="616">
        <v>11276.8</v>
      </c>
      <c r="M290" s="482">
        <v>0</v>
      </c>
      <c r="N290" s="613">
        <v>20</v>
      </c>
      <c r="O290" s="616">
        <v>28791.88</v>
      </c>
      <c r="P290" s="616">
        <v>28791.88</v>
      </c>
      <c r="Q290" s="482">
        <v>0</v>
      </c>
    </row>
    <row r="291" spans="1:17" ht="15.75" customHeight="1" x14ac:dyDescent="0.2">
      <c r="A291" s="526">
        <v>283</v>
      </c>
      <c r="B291" s="289" t="s">
        <v>133</v>
      </c>
      <c r="C291" s="493" t="s">
        <v>67</v>
      </c>
      <c r="D291" s="484" t="s">
        <v>494</v>
      </c>
      <c r="E291" s="486" t="s">
        <v>158</v>
      </c>
      <c r="F291" s="615" t="s">
        <v>398</v>
      </c>
      <c r="G291" s="289" t="s">
        <v>395</v>
      </c>
      <c r="H291" s="613">
        <v>12</v>
      </c>
      <c r="I291" s="613">
        <v>5</v>
      </c>
      <c r="J291" s="613">
        <v>5</v>
      </c>
      <c r="K291" s="616">
        <v>7688.8</v>
      </c>
      <c r="L291" s="616">
        <v>7688.8</v>
      </c>
      <c r="M291" s="482">
        <v>0</v>
      </c>
      <c r="N291" s="613">
        <v>9</v>
      </c>
      <c r="O291" s="616">
        <v>12473.03</v>
      </c>
      <c r="P291" s="616">
        <v>12473.03</v>
      </c>
      <c r="Q291" s="482">
        <v>0</v>
      </c>
    </row>
    <row r="292" spans="1:17" ht="15.75" customHeight="1" x14ac:dyDescent="0.2">
      <c r="A292" s="526">
        <v>284</v>
      </c>
      <c r="B292" s="613" t="s">
        <v>399</v>
      </c>
      <c r="C292" s="614" t="s">
        <v>62</v>
      </c>
      <c r="D292" s="613"/>
      <c r="E292" s="490" t="s">
        <v>694</v>
      </c>
      <c r="F292" s="615" t="s">
        <v>401</v>
      </c>
      <c r="G292" s="289" t="s">
        <v>395</v>
      </c>
      <c r="H292" s="613">
        <v>31</v>
      </c>
      <c r="I292" s="613">
        <v>12</v>
      </c>
      <c r="J292" s="613">
        <v>12</v>
      </c>
      <c r="K292" s="616">
        <v>15516.6</v>
      </c>
      <c r="L292" s="616">
        <v>15514.22</v>
      </c>
      <c r="M292" s="482">
        <v>2.38</v>
      </c>
      <c r="N292" s="613">
        <v>0</v>
      </c>
      <c r="O292" s="616">
        <v>0</v>
      </c>
      <c r="P292" s="616">
        <v>0</v>
      </c>
      <c r="Q292" s="482">
        <v>0</v>
      </c>
    </row>
    <row r="293" spans="1:17" ht="15.75" customHeight="1" x14ac:dyDescent="0.2">
      <c r="A293" s="526">
        <v>285</v>
      </c>
      <c r="B293" s="613" t="s">
        <v>402</v>
      </c>
      <c r="C293" s="614" t="s">
        <v>62</v>
      </c>
      <c r="D293" s="613"/>
      <c r="E293" s="486" t="s">
        <v>158</v>
      </c>
      <c r="F293" s="615" t="s">
        <v>403</v>
      </c>
      <c r="G293" s="289" t="s">
        <v>395</v>
      </c>
      <c r="H293" s="613">
        <v>2</v>
      </c>
      <c r="I293" s="613">
        <v>2</v>
      </c>
      <c r="J293" s="613">
        <v>2</v>
      </c>
      <c r="K293" s="616">
        <v>3815.95</v>
      </c>
      <c r="L293" s="616">
        <v>3815.95</v>
      </c>
      <c r="M293" s="482">
        <v>0</v>
      </c>
      <c r="N293" s="613">
        <v>0</v>
      </c>
      <c r="O293" s="616">
        <v>0</v>
      </c>
      <c r="P293" s="616">
        <v>0</v>
      </c>
      <c r="Q293" s="482">
        <v>0</v>
      </c>
    </row>
    <row r="294" spans="1:17" ht="15.75" customHeight="1" x14ac:dyDescent="0.2">
      <c r="A294" s="526">
        <v>286</v>
      </c>
      <c r="B294" s="613" t="s">
        <v>48</v>
      </c>
      <c r="C294" s="614" t="s">
        <v>62</v>
      </c>
      <c r="D294" s="613"/>
      <c r="E294" s="490" t="s">
        <v>671</v>
      </c>
      <c r="F294" s="615" t="s">
        <v>404</v>
      </c>
      <c r="G294" s="289" t="s">
        <v>395</v>
      </c>
      <c r="H294" s="613">
        <v>48</v>
      </c>
      <c r="I294" s="613">
        <v>13</v>
      </c>
      <c r="J294" s="613">
        <v>13</v>
      </c>
      <c r="K294" s="616">
        <v>19861.5</v>
      </c>
      <c r="L294" s="616">
        <v>19861.5</v>
      </c>
      <c r="M294" s="482">
        <v>0</v>
      </c>
      <c r="N294" s="613">
        <v>22</v>
      </c>
      <c r="O294" s="616">
        <v>58443.62</v>
      </c>
      <c r="P294" s="616">
        <v>58443.62</v>
      </c>
      <c r="Q294" s="482">
        <v>0</v>
      </c>
    </row>
    <row r="295" spans="1:17" ht="15.75" customHeight="1" x14ac:dyDescent="0.2">
      <c r="A295" s="526">
        <v>287</v>
      </c>
      <c r="B295" s="613" t="s">
        <v>39</v>
      </c>
      <c r="C295" s="614" t="s">
        <v>62</v>
      </c>
      <c r="D295" s="613"/>
      <c r="E295" s="490" t="s">
        <v>694</v>
      </c>
      <c r="F295" s="615" t="s">
        <v>405</v>
      </c>
      <c r="G295" s="289" t="s">
        <v>395</v>
      </c>
      <c r="H295" s="613">
        <v>33</v>
      </c>
      <c r="I295" s="613">
        <v>3</v>
      </c>
      <c r="J295" s="613">
        <v>3</v>
      </c>
      <c r="K295" s="616">
        <v>3866.1</v>
      </c>
      <c r="L295" s="616">
        <v>3866.1</v>
      </c>
      <c r="M295" s="482">
        <v>0</v>
      </c>
      <c r="N295" s="613">
        <v>13</v>
      </c>
      <c r="O295" s="616">
        <v>23040.3</v>
      </c>
      <c r="P295" s="616">
        <v>23040.3</v>
      </c>
      <c r="Q295" s="482">
        <v>0</v>
      </c>
    </row>
    <row r="296" spans="1:17" ht="15.75" customHeight="1" x14ac:dyDescent="0.2">
      <c r="A296" s="526">
        <v>288</v>
      </c>
      <c r="B296" s="613" t="s">
        <v>127</v>
      </c>
      <c r="C296" s="614" t="s">
        <v>62</v>
      </c>
      <c r="D296" s="613"/>
      <c r="E296" s="486" t="s">
        <v>158</v>
      </c>
      <c r="F296" s="615" t="s">
        <v>406</v>
      </c>
      <c r="G296" s="289" t="s">
        <v>395</v>
      </c>
      <c r="H296" s="613">
        <v>0</v>
      </c>
      <c r="I296" s="613">
        <v>0</v>
      </c>
      <c r="J296" s="613">
        <v>0</v>
      </c>
      <c r="K296" s="616">
        <v>0</v>
      </c>
      <c r="L296" s="616">
        <v>0</v>
      </c>
      <c r="M296" s="482">
        <v>0</v>
      </c>
      <c r="N296" s="613">
        <v>1</v>
      </c>
      <c r="O296" s="616">
        <v>264.3</v>
      </c>
      <c r="P296" s="616">
        <v>264.3</v>
      </c>
      <c r="Q296" s="482">
        <v>0</v>
      </c>
    </row>
    <row r="297" spans="1:17" ht="15.75" customHeight="1" x14ac:dyDescent="0.2">
      <c r="A297" s="526">
        <v>289</v>
      </c>
      <c r="B297" s="613" t="s">
        <v>561</v>
      </c>
      <c r="C297" s="614" t="s">
        <v>62</v>
      </c>
      <c r="D297" s="613"/>
      <c r="E297" s="490" t="s">
        <v>671</v>
      </c>
      <c r="F297" s="615" t="s">
        <v>562</v>
      </c>
      <c r="G297" s="289" t="s">
        <v>395</v>
      </c>
      <c r="H297" s="613">
        <v>31</v>
      </c>
      <c r="I297" s="613">
        <v>0</v>
      </c>
      <c r="J297" s="613">
        <v>0</v>
      </c>
      <c r="K297" s="616">
        <v>0</v>
      </c>
      <c r="L297" s="616">
        <v>0</v>
      </c>
      <c r="M297" s="482">
        <v>0</v>
      </c>
      <c r="N297" s="613">
        <v>0</v>
      </c>
      <c r="O297" s="616">
        <v>0</v>
      </c>
      <c r="P297" s="616">
        <v>0</v>
      </c>
      <c r="Q297" s="482">
        <v>0</v>
      </c>
    </row>
    <row r="298" spans="1:17" ht="15.75" customHeight="1" x14ac:dyDescent="0.2">
      <c r="A298" s="526">
        <v>290</v>
      </c>
      <c r="B298" s="613" t="s">
        <v>563</v>
      </c>
      <c r="C298" s="614" t="s">
        <v>62</v>
      </c>
      <c r="D298" s="613"/>
      <c r="E298" s="490" t="s">
        <v>671</v>
      </c>
      <c r="F298" s="615" t="s">
        <v>564</v>
      </c>
      <c r="G298" s="289" t="s">
        <v>395</v>
      </c>
      <c r="H298" s="613">
        <v>36</v>
      </c>
      <c r="I298" s="613">
        <v>0</v>
      </c>
      <c r="J298" s="613">
        <v>1</v>
      </c>
      <c r="K298" s="616">
        <v>2643</v>
      </c>
      <c r="L298" s="616">
        <v>2643</v>
      </c>
      <c r="M298" s="482">
        <v>0</v>
      </c>
      <c r="N298" s="613">
        <v>0</v>
      </c>
      <c r="O298" s="616">
        <v>0</v>
      </c>
      <c r="P298" s="616">
        <v>0</v>
      </c>
      <c r="Q298" s="482">
        <v>0</v>
      </c>
    </row>
    <row r="299" spans="1:17" ht="15.75" customHeight="1" x14ac:dyDescent="0.2">
      <c r="A299" s="526">
        <v>291</v>
      </c>
      <c r="B299" s="613" t="s">
        <v>53</v>
      </c>
      <c r="C299" s="614" t="s">
        <v>62</v>
      </c>
      <c r="D299" s="613"/>
      <c r="E299" s="486" t="s">
        <v>158</v>
      </c>
      <c r="F299" s="615" t="s">
        <v>634</v>
      </c>
      <c r="G299" s="289" t="s">
        <v>395</v>
      </c>
      <c r="H299" s="613">
        <v>17</v>
      </c>
      <c r="I299" s="613">
        <v>1</v>
      </c>
      <c r="J299" s="613">
        <v>1</v>
      </c>
      <c r="K299" s="616">
        <v>920.5</v>
      </c>
      <c r="L299" s="616">
        <v>920.5</v>
      </c>
      <c r="M299" s="482">
        <v>0</v>
      </c>
      <c r="N299" s="371">
        <v>0</v>
      </c>
      <c r="O299" s="492">
        <v>0</v>
      </c>
      <c r="P299" s="492">
        <v>0</v>
      </c>
      <c r="Q299" s="482">
        <v>0</v>
      </c>
    </row>
  </sheetData>
  <autoFilter ref="A8:IV299"/>
  <pageMargins left="0.75" right="0.75" top="1" bottom="1" header="0.5" footer="0.5"/>
  <pageSetup paperSize="9" orientation="portrait" verticalDpi="300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R299"/>
  <sheetViews>
    <sheetView workbookViewId="0">
      <selection activeCell="B8" sqref="B8"/>
    </sheetView>
  </sheetViews>
  <sheetFormatPr defaultRowHeight="12.75" x14ac:dyDescent="0.2"/>
  <cols>
    <col min="1" max="1" width="5" style="459" customWidth="1"/>
    <col min="2" max="2" width="43" style="459" customWidth="1"/>
    <col min="3" max="3" width="10.140625" style="459" customWidth="1"/>
    <col min="4" max="4" width="45" style="459" customWidth="1"/>
    <col min="5" max="5" width="34.5703125" style="459" customWidth="1"/>
    <col min="6" max="6" width="20.42578125" style="459" customWidth="1"/>
    <col min="7" max="7" width="36" style="459" customWidth="1"/>
    <col min="8" max="10" width="9.140625" style="459"/>
    <col min="11" max="12" width="9.5703125" style="459" customWidth="1"/>
    <col min="13" max="13" width="9.42578125" style="459" customWidth="1"/>
    <col min="14" max="14" width="9.140625" style="459"/>
    <col min="15" max="16" width="10.5703125" style="459" customWidth="1"/>
    <col min="17" max="17" width="9.42578125" style="459" customWidth="1"/>
    <col min="18" max="256" width="9.140625" style="459"/>
    <col min="257" max="257" width="5" style="459" customWidth="1"/>
    <col min="258" max="258" width="43" style="459" customWidth="1"/>
    <col min="259" max="259" width="10.140625" style="459" customWidth="1"/>
    <col min="260" max="260" width="45" style="459" customWidth="1"/>
    <col min="261" max="261" width="34.5703125" style="459" customWidth="1"/>
    <col min="262" max="262" width="20.42578125" style="459" customWidth="1"/>
    <col min="263" max="263" width="36" style="459" customWidth="1"/>
    <col min="264" max="266" width="9.140625" style="459"/>
    <col min="267" max="268" width="9.5703125" style="459" customWidth="1"/>
    <col min="269" max="269" width="9.42578125" style="459" customWidth="1"/>
    <col min="270" max="270" width="9.140625" style="459"/>
    <col min="271" max="272" width="10.5703125" style="459" customWidth="1"/>
    <col min="273" max="273" width="9.42578125" style="459" customWidth="1"/>
    <col min="274" max="512" width="9.140625" style="459"/>
    <col min="513" max="513" width="5" style="459" customWidth="1"/>
    <col min="514" max="514" width="43" style="459" customWidth="1"/>
    <col min="515" max="515" width="10.140625" style="459" customWidth="1"/>
    <col min="516" max="516" width="45" style="459" customWidth="1"/>
    <col min="517" max="517" width="34.5703125" style="459" customWidth="1"/>
    <col min="518" max="518" width="20.42578125" style="459" customWidth="1"/>
    <col min="519" max="519" width="36" style="459" customWidth="1"/>
    <col min="520" max="522" width="9.140625" style="459"/>
    <col min="523" max="524" width="9.5703125" style="459" customWidth="1"/>
    <col min="525" max="525" width="9.42578125" style="459" customWidth="1"/>
    <col min="526" max="526" width="9.140625" style="459"/>
    <col min="527" max="528" width="10.5703125" style="459" customWidth="1"/>
    <col min="529" max="529" width="9.42578125" style="459" customWidth="1"/>
    <col min="530" max="768" width="9.140625" style="459"/>
    <col min="769" max="769" width="5" style="459" customWidth="1"/>
    <col min="770" max="770" width="43" style="459" customWidth="1"/>
    <col min="771" max="771" width="10.140625" style="459" customWidth="1"/>
    <col min="772" max="772" width="45" style="459" customWidth="1"/>
    <col min="773" max="773" width="34.5703125" style="459" customWidth="1"/>
    <col min="774" max="774" width="20.42578125" style="459" customWidth="1"/>
    <col min="775" max="775" width="36" style="459" customWidth="1"/>
    <col min="776" max="778" width="9.140625" style="459"/>
    <col min="779" max="780" width="9.5703125" style="459" customWidth="1"/>
    <col min="781" max="781" width="9.42578125" style="459" customWidth="1"/>
    <col min="782" max="782" width="9.140625" style="459"/>
    <col min="783" max="784" width="10.5703125" style="459" customWidth="1"/>
    <col min="785" max="785" width="9.42578125" style="459" customWidth="1"/>
    <col min="786" max="1024" width="9.140625" style="459"/>
    <col min="1025" max="1025" width="5" style="459" customWidth="1"/>
    <col min="1026" max="1026" width="43" style="459" customWidth="1"/>
    <col min="1027" max="1027" width="10.140625" style="459" customWidth="1"/>
    <col min="1028" max="1028" width="45" style="459" customWidth="1"/>
    <col min="1029" max="1029" width="34.5703125" style="459" customWidth="1"/>
    <col min="1030" max="1030" width="20.42578125" style="459" customWidth="1"/>
    <col min="1031" max="1031" width="36" style="459" customWidth="1"/>
    <col min="1032" max="1034" width="9.140625" style="459"/>
    <col min="1035" max="1036" width="9.5703125" style="459" customWidth="1"/>
    <col min="1037" max="1037" width="9.42578125" style="459" customWidth="1"/>
    <col min="1038" max="1038" width="9.140625" style="459"/>
    <col min="1039" max="1040" width="10.5703125" style="459" customWidth="1"/>
    <col min="1041" max="1041" width="9.42578125" style="459" customWidth="1"/>
    <col min="1042" max="1280" width="9.140625" style="459"/>
    <col min="1281" max="1281" width="5" style="459" customWidth="1"/>
    <col min="1282" max="1282" width="43" style="459" customWidth="1"/>
    <col min="1283" max="1283" width="10.140625" style="459" customWidth="1"/>
    <col min="1284" max="1284" width="45" style="459" customWidth="1"/>
    <col min="1285" max="1285" width="34.5703125" style="459" customWidth="1"/>
    <col min="1286" max="1286" width="20.42578125" style="459" customWidth="1"/>
    <col min="1287" max="1287" width="36" style="459" customWidth="1"/>
    <col min="1288" max="1290" width="9.140625" style="459"/>
    <col min="1291" max="1292" width="9.5703125" style="459" customWidth="1"/>
    <col min="1293" max="1293" width="9.42578125" style="459" customWidth="1"/>
    <col min="1294" max="1294" width="9.140625" style="459"/>
    <col min="1295" max="1296" width="10.5703125" style="459" customWidth="1"/>
    <col min="1297" max="1297" width="9.42578125" style="459" customWidth="1"/>
    <col min="1298" max="1536" width="9.140625" style="459"/>
    <col min="1537" max="1537" width="5" style="459" customWidth="1"/>
    <col min="1538" max="1538" width="43" style="459" customWidth="1"/>
    <col min="1539" max="1539" width="10.140625" style="459" customWidth="1"/>
    <col min="1540" max="1540" width="45" style="459" customWidth="1"/>
    <col min="1541" max="1541" width="34.5703125" style="459" customWidth="1"/>
    <col min="1542" max="1542" width="20.42578125" style="459" customWidth="1"/>
    <col min="1543" max="1543" width="36" style="459" customWidth="1"/>
    <col min="1544" max="1546" width="9.140625" style="459"/>
    <col min="1547" max="1548" width="9.5703125" style="459" customWidth="1"/>
    <col min="1549" max="1549" width="9.42578125" style="459" customWidth="1"/>
    <col min="1550" max="1550" width="9.140625" style="459"/>
    <col min="1551" max="1552" width="10.5703125" style="459" customWidth="1"/>
    <col min="1553" max="1553" width="9.42578125" style="459" customWidth="1"/>
    <col min="1554" max="1792" width="9.140625" style="459"/>
    <col min="1793" max="1793" width="5" style="459" customWidth="1"/>
    <col min="1794" max="1794" width="43" style="459" customWidth="1"/>
    <col min="1795" max="1795" width="10.140625" style="459" customWidth="1"/>
    <col min="1796" max="1796" width="45" style="459" customWidth="1"/>
    <col min="1797" max="1797" width="34.5703125" style="459" customWidth="1"/>
    <col min="1798" max="1798" width="20.42578125" style="459" customWidth="1"/>
    <col min="1799" max="1799" width="36" style="459" customWidth="1"/>
    <col min="1800" max="1802" width="9.140625" style="459"/>
    <col min="1803" max="1804" width="9.5703125" style="459" customWidth="1"/>
    <col min="1805" max="1805" width="9.42578125" style="459" customWidth="1"/>
    <col min="1806" max="1806" width="9.140625" style="459"/>
    <col min="1807" max="1808" width="10.5703125" style="459" customWidth="1"/>
    <col min="1809" max="1809" width="9.42578125" style="459" customWidth="1"/>
    <col min="1810" max="2048" width="9.140625" style="459"/>
    <col min="2049" max="2049" width="5" style="459" customWidth="1"/>
    <col min="2050" max="2050" width="43" style="459" customWidth="1"/>
    <col min="2051" max="2051" width="10.140625" style="459" customWidth="1"/>
    <col min="2052" max="2052" width="45" style="459" customWidth="1"/>
    <col min="2053" max="2053" width="34.5703125" style="459" customWidth="1"/>
    <col min="2054" max="2054" width="20.42578125" style="459" customWidth="1"/>
    <col min="2055" max="2055" width="36" style="459" customWidth="1"/>
    <col min="2056" max="2058" width="9.140625" style="459"/>
    <col min="2059" max="2060" width="9.5703125" style="459" customWidth="1"/>
    <col min="2061" max="2061" width="9.42578125" style="459" customWidth="1"/>
    <col min="2062" max="2062" width="9.140625" style="459"/>
    <col min="2063" max="2064" width="10.5703125" style="459" customWidth="1"/>
    <col min="2065" max="2065" width="9.42578125" style="459" customWidth="1"/>
    <col min="2066" max="2304" width="9.140625" style="459"/>
    <col min="2305" max="2305" width="5" style="459" customWidth="1"/>
    <col min="2306" max="2306" width="43" style="459" customWidth="1"/>
    <col min="2307" max="2307" width="10.140625" style="459" customWidth="1"/>
    <col min="2308" max="2308" width="45" style="459" customWidth="1"/>
    <col min="2309" max="2309" width="34.5703125" style="459" customWidth="1"/>
    <col min="2310" max="2310" width="20.42578125" style="459" customWidth="1"/>
    <col min="2311" max="2311" width="36" style="459" customWidth="1"/>
    <col min="2312" max="2314" width="9.140625" style="459"/>
    <col min="2315" max="2316" width="9.5703125" style="459" customWidth="1"/>
    <col min="2317" max="2317" width="9.42578125" style="459" customWidth="1"/>
    <col min="2318" max="2318" width="9.140625" style="459"/>
    <col min="2319" max="2320" width="10.5703125" style="459" customWidth="1"/>
    <col min="2321" max="2321" width="9.42578125" style="459" customWidth="1"/>
    <col min="2322" max="2560" width="9.140625" style="459"/>
    <col min="2561" max="2561" width="5" style="459" customWidth="1"/>
    <col min="2562" max="2562" width="43" style="459" customWidth="1"/>
    <col min="2563" max="2563" width="10.140625" style="459" customWidth="1"/>
    <col min="2564" max="2564" width="45" style="459" customWidth="1"/>
    <col min="2565" max="2565" width="34.5703125" style="459" customWidth="1"/>
    <col min="2566" max="2566" width="20.42578125" style="459" customWidth="1"/>
    <col min="2567" max="2567" width="36" style="459" customWidth="1"/>
    <col min="2568" max="2570" width="9.140625" style="459"/>
    <col min="2571" max="2572" width="9.5703125" style="459" customWidth="1"/>
    <col min="2573" max="2573" width="9.42578125" style="459" customWidth="1"/>
    <col min="2574" max="2574" width="9.140625" style="459"/>
    <col min="2575" max="2576" width="10.5703125" style="459" customWidth="1"/>
    <col min="2577" max="2577" width="9.42578125" style="459" customWidth="1"/>
    <col min="2578" max="2816" width="9.140625" style="459"/>
    <col min="2817" max="2817" width="5" style="459" customWidth="1"/>
    <col min="2818" max="2818" width="43" style="459" customWidth="1"/>
    <col min="2819" max="2819" width="10.140625" style="459" customWidth="1"/>
    <col min="2820" max="2820" width="45" style="459" customWidth="1"/>
    <col min="2821" max="2821" width="34.5703125" style="459" customWidth="1"/>
    <col min="2822" max="2822" width="20.42578125" style="459" customWidth="1"/>
    <col min="2823" max="2823" width="36" style="459" customWidth="1"/>
    <col min="2824" max="2826" width="9.140625" style="459"/>
    <col min="2827" max="2828" width="9.5703125" style="459" customWidth="1"/>
    <col min="2829" max="2829" width="9.42578125" style="459" customWidth="1"/>
    <col min="2830" max="2830" width="9.140625" style="459"/>
    <col min="2831" max="2832" width="10.5703125" style="459" customWidth="1"/>
    <col min="2833" max="2833" width="9.42578125" style="459" customWidth="1"/>
    <col min="2834" max="3072" width="9.140625" style="459"/>
    <col min="3073" max="3073" width="5" style="459" customWidth="1"/>
    <col min="3074" max="3074" width="43" style="459" customWidth="1"/>
    <col min="3075" max="3075" width="10.140625" style="459" customWidth="1"/>
    <col min="3076" max="3076" width="45" style="459" customWidth="1"/>
    <col min="3077" max="3077" width="34.5703125" style="459" customWidth="1"/>
    <col min="3078" max="3078" width="20.42578125" style="459" customWidth="1"/>
    <col min="3079" max="3079" width="36" style="459" customWidth="1"/>
    <col min="3080" max="3082" width="9.140625" style="459"/>
    <col min="3083" max="3084" width="9.5703125" style="459" customWidth="1"/>
    <col min="3085" max="3085" width="9.42578125" style="459" customWidth="1"/>
    <col min="3086" max="3086" width="9.140625" style="459"/>
    <col min="3087" max="3088" width="10.5703125" style="459" customWidth="1"/>
    <col min="3089" max="3089" width="9.42578125" style="459" customWidth="1"/>
    <col min="3090" max="3328" width="9.140625" style="459"/>
    <col min="3329" max="3329" width="5" style="459" customWidth="1"/>
    <col min="3330" max="3330" width="43" style="459" customWidth="1"/>
    <col min="3331" max="3331" width="10.140625" style="459" customWidth="1"/>
    <col min="3332" max="3332" width="45" style="459" customWidth="1"/>
    <col min="3333" max="3333" width="34.5703125" style="459" customWidth="1"/>
    <col min="3334" max="3334" width="20.42578125" style="459" customWidth="1"/>
    <col min="3335" max="3335" width="36" style="459" customWidth="1"/>
    <col min="3336" max="3338" width="9.140625" style="459"/>
    <col min="3339" max="3340" width="9.5703125" style="459" customWidth="1"/>
    <col min="3341" max="3341" width="9.42578125" style="459" customWidth="1"/>
    <col min="3342" max="3342" width="9.140625" style="459"/>
    <col min="3343" max="3344" width="10.5703125" style="459" customWidth="1"/>
    <col min="3345" max="3345" width="9.42578125" style="459" customWidth="1"/>
    <col min="3346" max="3584" width="9.140625" style="459"/>
    <col min="3585" max="3585" width="5" style="459" customWidth="1"/>
    <col min="3586" max="3586" width="43" style="459" customWidth="1"/>
    <col min="3587" max="3587" width="10.140625" style="459" customWidth="1"/>
    <col min="3588" max="3588" width="45" style="459" customWidth="1"/>
    <col min="3589" max="3589" width="34.5703125" style="459" customWidth="1"/>
    <col min="3590" max="3590" width="20.42578125" style="459" customWidth="1"/>
    <col min="3591" max="3591" width="36" style="459" customWidth="1"/>
    <col min="3592" max="3594" width="9.140625" style="459"/>
    <col min="3595" max="3596" width="9.5703125" style="459" customWidth="1"/>
    <col min="3597" max="3597" width="9.42578125" style="459" customWidth="1"/>
    <col min="3598" max="3598" width="9.140625" style="459"/>
    <col min="3599" max="3600" width="10.5703125" style="459" customWidth="1"/>
    <col min="3601" max="3601" width="9.42578125" style="459" customWidth="1"/>
    <col min="3602" max="3840" width="9.140625" style="459"/>
    <col min="3841" max="3841" width="5" style="459" customWidth="1"/>
    <col min="3842" max="3842" width="43" style="459" customWidth="1"/>
    <col min="3843" max="3843" width="10.140625" style="459" customWidth="1"/>
    <col min="3844" max="3844" width="45" style="459" customWidth="1"/>
    <col min="3845" max="3845" width="34.5703125" style="459" customWidth="1"/>
    <col min="3846" max="3846" width="20.42578125" style="459" customWidth="1"/>
    <col min="3847" max="3847" width="36" style="459" customWidth="1"/>
    <col min="3848" max="3850" width="9.140625" style="459"/>
    <col min="3851" max="3852" width="9.5703125" style="459" customWidth="1"/>
    <col min="3853" max="3853" width="9.42578125" style="459" customWidth="1"/>
    <col min="3854" max="3854" width="9.140625" style="459"/>
    <col min="3855" max="3856" width="10.5703125" style="459" customWidth="1"/>
    <col min="3857" max="3857" width="9.42578125" style="459" customWidth="1"/>
    <col min="3858" max="4096" width="9.140625" style="459"/>
    <col min="4097" max="4097" width="5" style="459" customWidth="1"/>
    <col min="4098" max="4098" width="43" style="459" customWidth="1"/>
    <col min="4099" max="4099" width="10.140625" style="459" customWidth="1"/>
    <col min="4100" max="4100" width="45" style="459" customWidth="1"/>
    <col min="4101" max="4101" width="34.5703125" style="459" customWidth="1"/>
    <col min="4102" max="4102" width="20.42578125" style="459" customWidth="1"/>
    <col min="4103" max="4103" width="36" style="459" customWidth="1"/>
    <col min="4104" max="4106" width="9.140625" style="459"/>
    <col min="4107" max="4108" width="9.5703125" style="459" customWidth="1"/>
    <col min="4109" max="4109" width="9.42578125" style="459" customWidth="1"/>
    <col min="4110" max="4110" width="9.140625" style="459"/>
    <col min="4111" max="4112" width="10.5703125" style="459" customWidth="1"/>
    <col min="4113" max="4113" width="9.42578125" style="459" customWidth="1"/>
    <col min="4114" max="4352" width="9.140625" style="459"/>
    <col min="4353" max="4353" width="5" style="459" customWidth="1"/>
    <col min="4354" max="4354" width="43" style="459" customWidth="1"/>
    <col min="4355" max="4355" width="10.140625" style="459" customWidth="1"/>
    <col min="4356" max="4356" width="45" style="459" customWidth="1"/>
    <col min="4357" max="4357" width="34.5703125" style="459" customWidth="1"/>
    <col min="4358" max="4358" width="20.42578125" style="459" customWidth="1"/>
    <col min="4359" max="4359" width="36" style="459" customWidth="1"/>
    <col min="4360" max="4362" width="9.140625" style="459"/>
    <col min="4363" max="4364" width="9.5703125" style="459" customWidth="1"/>
    <col min="4365" max="4365" width="9.42578125" style="459" customWidth="1"/>
    <col min="4366" max="4366" width="9.140625" style="459"/>
    <col min="4367" max="4368" width="10.5703125" style="459" customWidth="1"/>
    <col min="4369" max="4369" width="9.42578125" style="459" customWidth="1"/>
    <col min="4370" max="4608" width="9.140625" style="459"/>
    <col min="4609" max="4609" width="5" style="459" customWidth="1"/>
    <col min="4610" max="4610" width="43" style="459" customWidth="1"/>
    <col min="4611" max="4611" width="10.140625" style="459" customWidth="1"/>
    <col min="4612" max="4612" width="45" style="459" customWidth="1"/>
    <col min="4613" max="4613" width="34.5703125" style="459" customWidth="1"/>
    <col min="4614" max="4614" width="20.42578125" style="459" customWidth="1"/>
    <col min="4615" max="4615" width="36" style="459" customWidth="1"/>
    <col min="4616" max="4618" width="9.140625" style="459"/>
    <col min="4619" max="4620" width="9.5703125" style="459" customWidth="1"/>
    <col min="4621" max="4621" width="9.42578125" style="459" customWidth="1"/>
    <col min="4622" max="4622" width="9.140625" style="459"/>
    <col min="4623" max="4624" width="10.5703125" style="459" customWidth="1"/>
    <col min="4625" max="4625" width="9.42578125" style="459" customWidth="1"/>
    <col min="4626" max="4864" width="9.140625" style="459"/>
    <col min="4865" max="4865" width="5" style="459" customWidth="1"/>
    <col min="4866" max="4866" width="43" style="459" customWidth="1"/>
    <col min="4867" max="4867" width="10.140625" style="459" customWidth="1"/>
    <col min="4868" max="4868" width="45" style="459" customWidth="1"/>
    <col min="4869" max="4869" width="34.5703125" style="459" customWidth="1"/>
    <col min="4870" max="4870" width="20.42578125" style="459" customWidth="1"/>
    <col min="4871" max="4871" width="36" style="459" customWidth="1"/>
    <col min="4872" max="4874" width="9.140625" style="459"/>
    <col min="4875" max="4876" width="9.5703125" style="459" customWidth="1"/>
    <col min="4877" max="4877" width="9.42578125" style="459" customWidth="1"/>
    <col min="4878" max="4878" width="9.140625" style="459"/>
    <col min="4879" max="4880" width="10.5703125" style="459" customWidth="1"/>
    <col min="4881" max="4881" width="9.42578125" style="459" customWidth="1"/>
    <col min="4882" max="5120" width="9.140625" style="459"/>
    <col min="5121" max="5121" width="5" style="459" customWidth="1"/>
    <col min="5122" max="5122" width="43" style="459" customWidth="1"/>
    <col min="5123" max="5123" width="10.140625" style="459" customWidth="1"/>
    <col min="5124" max="5124" width="45" style="459" customWidth="1"/>
    <col min="5125" max="5125" width="34.5703125" style="459" customWidth="1"/>
    <col min="5126" max="5126" width="20.42578125" style="459" customWidth="1"/>
    <col min="5127" max="5127" width="36" style="459" customWidth="1"/>
    <col min="5128" max="5130" width="9.140625" style="459"/>
    <col min="5131" max="5132" width="9.5703125" style="459" customWidth="1"/>
    <col min="5133" max="5133" width="9.42578125" style="459" customWidth="1"/>
    <col min="5134" max="5134" width="9.140625" style="459"/>
    <col min="5135" max="5136" width="10.5703125" style="459" customWidth="1"/>
    <col min="5137" max="5137" width="9.42578125" style="459" customWidth="1"/>
    <col min="5138" max="5376" width="9.140625" style="459"/>
    <col min="5377" max="5377" width="5" style="459" customWidth="1"/>
    <col min="5378" max="5378" width="43" style="459" customWidth="1"/>
    <col min="5379" max="5379" width="10.140625" style="459" customWidth="1"/>
    <col min="5380" max="5380" width="45" style="459" customWidth="1"/>
    <col min="5381" max="5381" width="34.5703125" style="459" customWidth="1"/>
    <col min="5382" max="5382" width="20.42578125" style="459" customWidth="1"/>
    <col min="5383" max="5383" width="36" style="459" customWidth="1"/>
    <col min="5384" max="5386" width="9.140625" style="459"/>
    <col min="5387" max="5388" width="9.5703125" style="459" customWidth="1"/>
    <col min="5389" max="5389" width="9.42578125" style="459" customWidth="1"/>
    <col min="5390" max="5390" width="9.140625" style="459"/>
    <col min="5391" max="5392" width="10.5703125" style="459" customWidth="1"/>
    <col min="5393" max="5393" width="9.42578125" style="459" customWidth="1"/>
    <col min="5394" max="5632" width="9.140625" style="459"/>
    <col min="5633" max="5633" width="5" style="459" customWidth="1"/>
    <col min="5634" max="5634" width="43" style="459" customWidth="1"/>
    <col min="5635" max="5635" width="10.140625" style="459" customWidth="1"/>
    <col min="5636" max="5636" width="45" style="459" customWidth="1"/>
    <col min="5637" max="5637" width="34.5703125" style="459" customWidth="1"/>
    <col min="5638" max="5638" width="20.42578125" style="459" customWidth="1"/>
    <col min="5639" max="5639" width="36" style="459" customWidth="1"/>
    <col min="5640" max="5642" width="9.140625" style="459"/>
    <col min="5643" max="5644" width="9.5703125" style="459" customWidth="1"/>
    <col min="5645" max="5645" width="9.42578125" style="459" customWidth="1"/>
    <col min="5646" max="5646" width="9.140625" style="459"/>
    <col min="5647" max="5648" width="10.5703125" style="459" customWidth="1"/>
    <col min="5649" max="5649" width="9.42578125" style="459" customWidth="1"/>
    <col min="5650" max="5888" width="9.140625" style="459"/>
    <col min="5889" max="5889" width="5" style="459" customWidth="1"/>
    <col min="5890" max="5890" width="43" style="459" customWidth="1"/>
    <col min="5891" max="5891" width="10.140625" style="459" customWidth="1"/>
    <col min="5892" max="5892" width="45" style="459" customWidth="1"/>
    <col min="5893" max="5893" width="34.5703125" style="459" customWidth="1"/>
    <col min="5894" max="5894" width="20.42578125" style="459" customWidth="1"/>
    <col min="5895" max="5895" width="36" style="459" customWidth="1"/>
    <col min="5896" max="5898" width="9.140625" style="459"/>
    <col min="5899" max="5900" width="9.5703125" style="459" customWidth="1"/>
    <col min="5901" max="5901" width="9.42578125" style="459" customWidth="1"/>
    <col min="5902" max="5902" width="9.140625" style="459"/>
    <col min="5903" max="5904" width="10.5703125" style="459" customWidth="1"/>
    <col min="5905" max="5905" width="9.42578125" style="459" customWidth="1"/>
    <col min="5906" max="6144" width="9.140625" style="459"/>
    <col min="6145" max="6145" width="5" style="459" customWidth="1"/>
    <col min="6146" max="6146" width="43" style="459" customWidth="1"/>
    <col min="6147" max="6147" width="10.140625" style="459" customWidth="1"/>
    <col min="6148" max="6148" width="45" style="459" customWidth="1"/>
    <col min="6149" max="6149" width="34.5703125" style="459" customWidth="1"/>
    <col min="6150" max="6150" width="20.42578125" style="459" customWidth="1"/>
    <col min="6151" max="6151" width="36" style="459" customWidth="1"/>
    <col min="6152" max="6154" width="9.140625" style="459"/>
    <col min="6155" max="6156" width="9.5703125" style="459" customWidth="1"/>
    <col min="6157" max="6157" width="9.42578125" style="459" customWidth="1"/>
    <col min="6158" max="6158" width="9.140625" style="459"/>
    <col min="6159" max="6160" width="10.5703125" style="459" customWidth="1"/>
    <col min="6161" max="6161" width="9.42578125" style="459" customWidth="1"/>
    <col min="6162" max="6400" width="9.140625" style="459"/>
    <col min="6401" max="6401" width="5" style="459" customWidth="1"/>
    <col min="6402" max="6402" width="43" style="459" customWidth="1"/>
    <col min="6403" max="6403" width="10.140625" style="459" customWidth="1"/>
    <col min="6404" max="6404" width="45" style="459" customWidth="1"/>
    <col min="6405" max="6405" width="34.5703125" style="459" customWidth="1"/>
    <col min="6406" max="6406" width="20.42578125" style="459" customWidth="1"/>
    <col min="6407" max="6407" width="36" style="459" customWidth="1"/>
    <col min="6408" max="6410" width="9.140625" style="459"/>
    <col min="6411" max="6412" width="9.5703125" style="459" customWidth="1"/>
    <col min="6413" max="6413" width="9.42578125" style="459" customWidth="1"/>
    <col min="6414" max="6414" width="9.140625" style="459"/>
    <col min="6415" max="6416" width="10.5703125" style="459" customWidth="1"/>
    <col min="6417" max="6417" width="9.42578125" style="459" customWidth="1"/>
    <col min="6418" max="6656" width="9.140625" style="459"/>
    <col min="6657" max="6657" width="5" style="459" customWidth="1"/>
    <col min="6658" max="6658" width="43" style="459" customWidth="1"/>
    <col min="6659" max="6659" width="10.140625" style="459" customWidth="1"/>
    <col min="6660" max="6660" width="45" style="459" customWidth="1"/>
    <col min="6661" max="6661" width="34.5703125" style="459" customWidth="1"/>
    <col min="6662" max="6662" width="20.42578125" style="459" customWidth="1"/>
    <col min="6663" max="6663" width="36" style="459" customWidth="1"/>
    <col min="6664" max="6666" width="9.140625" style="459"/>
    <col min="6667" max="6668" width="9.5703125" style="459" customWidth="1"/>
    <col min="6669" max="6669" width="9.42578125" style="459" customWidth="1"/>
    <col min="6670" max="6670" width="9.140625" style="459"/>
    <col min="6671" max="6672" width="10.5703125" style="459" customWidth="1"/>
    <col min="6673" max="6673" width="9.42578125" style="459" customWidth="1"/>
    <col min="6674" max="6912" width="9.140625" style="459"/>
    <col min="6913" max="6913" width="5" style="459" customWidth="1"/>
    <col min="6914" max="6914" width="43" style="459" customWidth="1"/>
    <col min="6915" max="6915" width="10.140625" style="459" customWidth="1"/>
    <col min="6916" max="6916" width="45" style="459" customWidth="1"/>
    <col min="6917" max="6917" width="34.5703125" style="459" customWidth="1"/>
    <col min="6918" max="6918" width="20.42578125" style="459" customWidth="1"/>
    <col min="6919" max="6919" width="36" style="459" customWidth="1"/>
    <col min="6920" max="6922" width="9.140625" style="459"/>
    <col min="6923" max="6924" width="9.5703125" style="459" customWidth="1"/>
    <col min="6925" max="6925" width="9.42578125" style="459" customWidth="1"/>
    <col min="6926" max="6926" width="9.140625" style="459"/>
    <col min="6927" max="6928" width="10.5703125" style="459" customWidth="1"/>
    <col min="6929" max="6929" width="9.42578125" style="459" customWidth="1"/>
    <col min="6930" max="7168" width="9.140625" style="459"/>
    <col min="7169" max="7169" width="5" style="459" customWidth="1"/>
    <col min="7170" max="7170" width="43" style="459" customWidth="1"/>
    <col min="7171" max="7171" width="10.140625" style="459" customWidth="1"/>
    <col min="7172" max="7172" width="45" style="459" customWidth="1"/>
    <col min="7173" max="7173" width="34.5703125" style="459" customWidth="1"/>
    <col min="7174" max="7174" width="20.42578125" style="459" customWidth="1"/>
    <col min="7175" max="7175" width="36" style="459" customWidth="1"/>
    <col min="7176" max="7178" width="9.140625" style="459"/>
    <col min="7179" max="7180" width="9.5703125" style="459" customWidth="1"/>
    <col min="7181" max="7181" width="9.42578125" style="459" customWidth="1"/>
    <col min="7182" max="7182" width="9.140625" style="459"/>
    <col min="7183" max="7184" width="10.5703125" style="459" customWidth="1"/>
    <col min="7185" max="7185" width="9.42578125" style="459" customWidth="1"/>
    <col min="7186" max="7424" width="9.140625" style="459"/>
    <col min="7425" max="7425" width="5" style="459" customWidth="1"/>
    <col min="7426" max="7426" width="43" style="459" customWidth="1"/>
    <col min="7427" max="7427" width="10.140625" style="459" customWidth="1"/>
    <col min="7428" max="7428" width="45" style="459" customWidth="1"/>
    <col min="7429" max="7429" width="34.5703125" style="459" customWidth="1"/>
    <col min="7430" max="7430" width="20.42578125" style="459" customWidth="1"/>
    <col min="7431" max="7431" width="36" style="459" customWidth="1"/>
    <col min="7432" max="7434" width="9.140625" style="459"/>
    <col min="7435" max="7436" width="9.5703125" style="459" customWidth="1"/>
    <col min="7437" max="7437" width="9.42578125" style="459" customWidth="1"/>
    <col min="7438" max="7438" width="9.140625" style="459"/>
    <col min="7439" max="7440" width="10.5703125" style="459" customWidth="1"/>
    <col min="7441" max="7441" width="9.42578125" style="459" customWidth="1"/>
    <col min="7442" max="7680" width="9.140625" style="459"/>
    <col min="7681" max="7681" width="5" style="459" customWidth="1"/>
    <col min="7682" max="7682" width="43" style="459" customWidth="1"/>
    <col min="7683" max="7683" width="10.140625" style="459" customWidth="1"/>
    <col min="7684" max="7684" width="45" style="459" customWidth="1"/>
    <col min="7685" max="7685" width="34.5703125" style="459" customWidth="1"/>
    <col min="7686" max="7686" width="20.42578125" style="459" customWidth="1"/>
    <col min="7687" max="7687" width="36" style="459" customWidth="1"/>
    <col min="7688" max="7690" width="9.140625" style="459"/>
    <col min="7691" max="7692" width="9.5703125" style="459" customWidth="1"/>
    <col min="7693" max="7693" width="9.42578125" style="459" customWidth="1"/>
    <col min="7694" max="7694" width="9.140625" style="459"/>
    <col min="7695" max="7696" width="10.5703125" style="459" customWidth="1"/>
    <col min="7697" max="7697" width="9.42578125" style="459" customWidth="1"/>
    <col min="7698" max="7936" width="9.140625" style="459"/>
    <col min="7937" max="7937" width="5" style="459" customWidth="1"/>
    <col min="7938" max="7938" width="43" style="459" customWidth="1"/>
    <col min="7939" max="7939" width="10.140625" style="459" customWidth="1"/>
    <col min="7940" max="7940" width="45" style="459" customWidth="1"/>
    <col min="7941" max="7941" width="34.5703125" style="459" customWidth="1"/>
    <col min="7942" max="7942" width="20.42578125" style="459" customWidth="1"/>
    <col min="7943" max="7943" width="36" style="459" customWidth="1"/>
    <col min="7944" max="7946" width="9.140625" style="459"/>
    <col min="7947" max="7948" width="9.5703125" style="459" customWidth="1"/>
    <col min="7949" max="7949" width="9.42578125" style="459" customWidth="1"/>
    <col min="7950" max="7950" width="9.140625" style="459"/>
    <col min="7951" max="7952" width="10.5703125" style="459" customWidth="1"/>
    <col min="7953" max="7953" width="9.42578125" style="459" customWidth="1"/>
    <col min="7954" max="8192" width="9.140625" style="459"/>
    <col min="8193" max="8193" width="5" style="459" customWidth="1"/>
    <col min="8194" max="8194" width="43" style="459" customWidth="1"/>
    <col min="8195" max="8195" width="10.140625" style="459" customWidth="1"/>
    <col min="8196" max="8196" width="45" style="459" customWidth="1"/>
    <col min="8197" max="8197" width="34.5703125" style="459" customWidth="1"/>
    <col min="8198" max="8198" width="20.42578125" style="459" customWidth="1"/>
    <col min="8199" max="8199" width="36" style="459" customWidth="1"/>
    <col min="8200" max="8202" width="9.140625" style="459"/>
    <col min="8203" max="8204" width="9.5703125" style="459" customWidth="1"/>
    <col min="8205" max="8205" width="9.42578125" style="459" customWidth="1"/>
    <col min="8206" max="8206" width="9.140625" style="459"/>
    <col min="8207" max="8208" width="10.5703125" style="459" customWidth="1"/>
    <col min="8209" max="8209" width="9.42578125" style="459" customWidth="1"/>
    <col min="8210" max="8448" width="9.140625" style="459"/>
    <col min="8449" max="8449" width="5" style="459" customWidth="1"/>
    <col min="8450" max="8450" width="43" style="459" customWidth="1"/>
    <col min="8451" max="8451" width="10.140625" style="459" customWidth="1"/>
    <col min="8452" max="8452" width="45" style="459" customWidth="1"/>
    <col min="8453" max="8453" width="34.5703125" style="459" customWidth="1"/>
    <col min="8454" max="8454" width="20.42578125" style="459" customWidth="1"/>
    <col min="8455" max="8455" width="36" style="459" customWidth="1"/>
    <col min="8456" max="8458" width="9.140625" style="459"/>
    <col min="8459" max="8460" width="9.5703125" style="459" customWidth="1"/>
    <col min="8461" max="8461" width="9.42578125" style="459" customWidth="1"/>
    <col min="8462" max="8462" width="9.140625" style="459"/>
    <col min="8463" max="8464" width="10.5703125" style="459" customWidth="1"/>
    <col min="8465" max="8465" width="9.42578125" style="459" customWidth="1"/>
    <col min="8466" max="8704" width="9.140625" style="459"/>
    <col min="8705" max="8705" width="5" style="459" customWidth="1"/>
    <col min="8706" max="8706" width="43" style="459" customWidth="1"/>
    <col min="8707" max="8707" width="10.140625" style="459" customWidth="1"/>
    <col min="8708" max="8708" width="45" style="459" customWidth="1"/>
    <col min="8709" max="8709" width="34.5703125" style="459" customWidth="1"/>
    <col min="8710" max="8710" width="20.42578125" style="459" customWidth="1"/>
    <col min="8711" max="8711" width="36" style="459" customWidth="1"/>
    <col min="8712" max="8714" width="9.140625" style="459"/>
    <col min="8715" max="8716" width="9.5703125" style="459" customWidth="1"/>
    <col min="8717" max="8717" width="9.42578125" style="459" customWidth="1"/>
    <col min="8718" max="8718" width="9.140625" style="459"/>
    <col min="8719" max="8720" width="10.5703125" style="459" customWidth="1"/>
    <col min="8721" max="8721" width="9.42578125" style="459" customWidth="1"/>
    <col min="8722" max="8960" width="9.140625" style="459"/>
    <col min="8961" max="8961" width="5" style="459" customWidth="1"/>
    <col min="8962" max="8962" width="43" style="459" customWidth="1"/>
    <col min="8963" max="8963" width="10.140625" style="459" customWidth="1"/>
    <col min="8964" max="8964" width="45" style="459" customWidth="1"/>
    <col min="8965" max="8965" width="34.5703125" style="459" customWidth="1"/>
    <col min="8966" max="8966" width="20.42578125" style="459" customWidth="1"/>
    <col min="8967" max="8967" width="36" style="459" customWidth="1"/>
    <col min="8968" max="8970" width="9.140625" style="459"/>
    <col min="8971" max="8972" width="9.5703125" style="459" customWidth="1"/>
    <col min="8973" max="8973" width="9.42578125" style="459" customWidth="1"/>
    <col min="8974" max="8974" width="9.140625" style="459"/>
    <col min="8975" max="8976" width="10.5703125" style="459" customWidth="1"/>
    <col min="8977" max="8977" width="9.42578125" style="459" customWidth="1"/>
    <col min="8978" max="9216" width="9.140625" style="459"/>
    <col min="9217" max="9217" width="5" style="459" customWidth="1"/>
    <col min="9218" max="9218" width="43" style="459" customWidth="1"/>
    <col min="9219" max="9219" width="10.140625" style="459" customWidth="1"/>
    <col min="9220" max="9220" width="45" style="459" customWidth="1"/>
    <col min="9221" max="9221" width="34.5703125" style="459" customWidth="1"/>
    <col min="9222" max="9222" width="20.42578125" style="459" customWidth="1"/>
    <col min="9223" max="9223" width="36" style="459" customWidth="1"/>
    <col min="9224" max="9226" width="9.140625" style="459"/>
    <col min="9227" max="9228" width="9.5703125" style="459" customWidth="1"/>
    <col min="9229" max="9229" width="9.42578125" style="459" customWidth="1"/>
    <col min="9230" max="9230" width="9.140625" style="459"/>
    <col min="9231" max="9232" width="10.5703125" style="459" customWidth="1"/>
    <col min="9233" max="9233" width="9.42578125" style="459" customWidth="1"/>
    <col min="9234" max="9472" width="9.140625" style="459"/>
    <col min="9473" max="9473" width="5" style="459" customWidth="1"/>
    <col min="9474" max="9474" width="43" style="459" customWidth="1"/>
    <col min="9475" max="9475" width="10.140625" style="459" customWidth="1"/>
    <col min="9476" max="9476" width="45" style="459" customWidth="1"/>
    <col min="9477" max="9477" width="34.5703125" style="459" customWidth="1"/>
    <col min="9478" max="9478" width="20.42578125" style="459" customWidth="1"/>
    <col min="9479" max="9479" width="36" style="459" customWidth="1"/>
    <col min="9480" max="9482" width="9.140625" style="459"/>
    <col min="9483" max="9484" width="9.5703125" style="459" customWidth="1"/>
    <col min="9485" max="9485" width="9.42578125" style="459" customWidth="1"/>
    <col min="9486" max="9486" width="9.140625" style="459"/>
    <col min="9487" max="9488" width="10.5703125" style="459" customWidth="1"/>
    <col min="9489" max="9489" width="9.42578125" style="459" customWidth="1"/>
    <col min="9490" max="9728" width="9.140625" style="459"/>
    <col min="9729" max="9729" width="5" style="459" customWidth="1"/>
    <col min="9730" max="9730" width="43" style="459" customWidth="1"/>
    <col min="9731" max="9731" width="10.140625" style="459" customWidth="1"/>
    <col min="9732" max="9732" width="45" style="459" customWidth="1"/>
    <col min="9733" max="9733" width="34.5703125" style="459" customWidth="1"/>
    <col min="9734" max="9734" width="20.42578125" style="459" customWidth="1"/>
    <col min="9735" max="9735" width="36" style="459" customWidth="1"/>
    <col min="9736" max="9738" width="9.140625" style="459"/>
    <col min="9739" max="9740" width="9.5703125" style="459" customWidth="1"/>
    <col min="9741" max="9741" width="9.42578125" style="459" customWidth="1"/>
    <col min="9742" max="9742" width="9.140625" style="459"/>
    <col min="9743" max="9744" width="10.5703125" style="459" customWidth="1"/>
    <col min="9745" max="9745" width="9.42578125" style="459" customWidth="1"/>
    <col min="9746" max="9984" width="9.140625" style="459"/>
    <col min="9985" max="9985" width="5" style="459" customWidth="1"/>
    <col min="9986" max="9986" width="43" style="459" customWidth="1"/>
    <col min="9987" max="9987" width="10.140625" style="459" customWidth="1"/>
    <col min="9988" max="9988" width="45" style="459" customWidth="1"/>
    <col min="9989" max="9989" width="34.5703125" style="459" customWidth="1"/>
    <col min="9990" max="9990" width="20.42578125" style="459" customWidth="1"/>
    <col min="9991" max="9991" width="36" style="459" customWidth="1"/>
    <col min="9992" max="9994" width="9.140625" style="459"/>
    <col min="9995" max="9996" width="9.5703125" style="459" customWidth="1"/>
    <col min="9997" max="9997" width="9.42578125" style="459" customWidth="1"/>
    <col min="9998" max="9998" width="9.140625" style="459"/>
    <col min="9999" max="10000" width="10.5703125" style="459" customWidth="1"/>
    <col min="10001" max="10001" width="9.42578125" style="459" customWidth="1"/>
    <col min="10002" max="10240" width="9.140625" style="459"/>
    <col min="10241" max="10241" width="5" style="459" customWidth="1"/>
    <col min="10242" max="10242" width="43" style="459" customWidth="1"/>
    <col min="10243" max="10243" width="10.140625" style="459" customWidth="1"/>
    <col min="10244" max="10244" width="45" style="459" customWidth="1"/>
    <col min="10245" max="10245" width="34.5703125" style="459" customWidth="1"/>
    <col min="10246" max="10246" width="20.42578125" style="459" customWidth="1"/>
    <col min="10247" max="10247" width="36" style="459" customWidth="1"/>
    <col min="10248" max="10250" width="9.140625" style="459"/>
    <col min="10251" max="10252" width="9.5703125" style="459" customWidth="1"/>
    <col min="10253" max="10253" width="9.42578125" style="459" customWidth="1"/>
    <col min="10254" max="10254" width="9.140625" style="459"/>
    <col min="10255" max="10256" width="10.5703125" style="459" customWidth="1"/>
    <col min="10257" max="10257" width="9.42578125" style="459" customWidth="1"/>
    <col min="10258" max="10496" width="9.140625" style="459"/>
    <col min="10497" max="10497" width="5" style="459" customWidth="1"/>
    <col min="10498" max="10498" width="43" style="459" customWidth="1"/>
    <col min="10499" max="10499" width="10.140625" style="459" customWidth="1"/>
    <col min="10500" max="10500" width="45" style="459" customWidth="1"/>
    <col min="10501" max="10501" width="34.5703125" style="459" customWidth="1"/>
    <col min="10502" max="10502" width="20.42578125" style="459" customWidth="1"/>
    <col min="10503" max="10503" width="36" style="459" customWidth="1"/>
    <col min="10504" max="10506" width="9.140625" style="459"/>
    <col min="10507" max="10508" width="9.5703125" style="459" customWidth="1"/>
    <col min="10509" max="10509" width="9.42578125" style="459" customWidth="1"/>
    <col min="10510" max="10510" width="9.140625" style="459"/>
    <col min="10511" max="10512" width="10.5703125" style="459" customWidth="1"/>
    <col min="10513" max="10513" width="9.42578125" style="459" customWidth="1"/>
    <col min="10514" max="10752" width="9.140625" style="459"/>
    <col min="10753" max="10753" width="5" style="459" customWidth="1"/>
    <col min="10754" max="10754" width="43" style="459" customWidth="1"/>
    <col min="10755" max="10755" width="10.140625" style="459" customWidth="1"/>
    <col min="10756" max="10756" width="45" style="459" customWidth="1"/>
    <col min="10757" max="10757" width="34.5703125" style="459" customWidth="1"/>
    <col min="10758" max="10758" width="20.42578125" style="459" customWidth="1"/>
    <col min="10759" max="10759" width="36" style="459" customWidth="1"/>
    <col min="10760" max="10762" width="9.140625" style="459"/>
    <col min="10763" max="10764" width="9.5703125" style="459" customWidth="1"/>
    <col min="10765" max="10765" width="9.42578125" style="459" customWidth="1"/>
    <col min="10766" max="10766" width="9.140625" style="459"/>
    <col min="10767" max="10768" width="10.5703125" style="459" customWidth="1"/>
    <col min="10769" max="10769" width="9.42578125" style="459" customWidth="1"/>
    <col min="10770" max="11008" width="9.140625" style="459"/>
    <col min="11009" max="11009" width="5" style="459" customWidth="1"/>
    <col min="11010" max="11010" width="43" style="459" customWidth="1"/>
    <col min="11011" max="11011" width="10.140625" style="459" customWidth="1"/>
    <col min="11012" max="11012" width="45" style="459" customWidth="1"/>
    <col min="11013" max="11013" width="34.5703125" style="459" customWidth="1"/>
    <col min="11014" max="11014" width="20.42578125" style="459" customWidth="1"/>
    <col min="11015" max="11015" width="36" style="459" customWidth="1"/>
    <col min="11016" max="11018" width="9.140625" style="459"/>
    <col min="11019" max="11020" width="9.5703125" style="459" customWidth="1"/>
    <col min="11021" max="11021" width="9.42578125" style="459" customWidth="1"/>
    <col min="11022" max="11022" width="9.140625" style="459"/>
    <col min="11023" max="11024" width="10.5703125" style="459" customWidth="1"/>
    <col min="11025" max="11025" width="9.42578125" style="459" customWidth="1"/>
    <col min="11026" max="11264" width="9.140625" style="459"/>
    <col min="11265" max="11265" width="5" style="459" customWidth="1"/>
    <col min="11266" max="11266" width="43" style="459" customWidth="1"/>
    <col min="11267" max="11267" width="10.140625" style="459" customWidth="1"/>
    <col min="11268" max="11268" width="45" style="459" customWidth="1"/>
    <col min="11269" max="11269" width="34.5703125" style="459" customWidth="1"/>
    <col min="11270" max="11270" width="20.42578125" style="459" customWidth="1"/>
    <col min="11271" max="11271" width="36" style="459" customWidth="1"/>
    <col min="11272" max="11274" width="9.140625" style="459"/>
    <col min="11275" max="11276" width="9.5703125" style="459" customWidth="1"/>
    <col min="11277" max="11277" width="9.42578125" style="459" customWidth="1"/>
    <col min="11278" max="11278" width="9.140625" style="459"/>
    <col min="11279" max="11280" width="10.5703125" style="459" customWidth="1"/>
    <col min="11281" max="11281" width="9.42578125" style="459" customWidth="1"/>
    <col min="11282" max="11520" width="9.140625" style="459"/>
    <col min="11521" max="11521" width="5" style="459" customWidth="1"/>
    <col min="11522" max="11522" width="43" style="459" customWidth="1"/>
    <col min="11523" max="11523" width="10.140625" style="459" customWidth="1"/>
    <col min="11524" max="11524" width="45" style="459" customWidth="1"/>
    <col min="11525" max="11525" width="34.5703125" style="459" customWidth="1"/>
    <col min="11526" max="11526" width="20.42578125" style="459" customWidth="1"/>
    <col min="11527" max="11527" width="36" style="459" customWidth="1"/>
    <col min="11528" max="11530" width="9.140625" style="459"/>
    <col min="11531" max="11532" width="9.5703125" style="459" customWidth="1"/>
    <col min="11533" max="11533" width="9.42578125" style="459" customWidth="1"/>
    <col min="11534" max="11534" width="9.140625" style="459"/>
    <col min="11535" max="11536" width="10.5703125" style="459" customWidth="1"/>
    <col min="11537" max="11537" width="9.42578125" style="459" customWidth="1"/>
    <col min="11538" max="11776" width="9.140625" style="459"/>
    <col min="11777" max="11777" width="5" style="459" customWidth="1"/>
    <col min="11778" max="11778" width="43" style="459" customWidth="1"/>
    <col min="11779" max="11779" width="10.140625" style="459" customWidth="1"/>
    <col min="11780" max="11780" width="45" style="459" customWidth="1"/>
    <col min="11781" max="11781" width="34.5703125" style="459" customWidth="1"/>
    <col min="11782" max="11782" width="20.42578125" style="459" customWidth="1"/>
    <col min="11783" max="11783" width="36" style="459" customWidth="1"/>
    <col min="11784" max="11786" width="9.140625" style="459"/>
    <col min="11787" max="11788" width="9.5703125" style="459" customWidth="1"/>
    <col min="11789" max="11789" width="9.42578125" style="459" customWidth="1"/>
    <col min="11790" max="11790" width="9.140625" style="459"/>
    <col min="11791" max="11792" width="10.5703125" style="459" customWidth="1"/>
    <col min="11793" max="11793" width="9.42578125" style="459" customWidth="1"/>
    <col min="11794" max="12032" width="9.140625" style="459"/>
    <col min="12033" max="12033" width="5" style="459" customWidth="1"/>
    <col min="12034" max="12034" width="43" style="459" customWidth="1"/>
    <col min="12035" max="12035" width="10.140625" style="459" customWidth="1"/>
    <col min="12036" max="12036" width="45" style="459" customWidth="1"/>
    <col min="12037" max="12037" width="34.5703125" style="459" customWidth="1"/>
    <col min="12038" max="12038" width="20.42578125" style="459" customWidth="1"/>
    <col min="12039" max="12039" width="36" style="459" customWidth="1"/>
    <col min="12040" max="12042" width="9.140625" style="459"/>
    <col min="12043" max="12044" width="9.5703125" style="459" customWidth="1"/>
    <col min="12045" max="12045" width="9.42578125" style="459" customWidth="1"/>
    <col min="12046" max="12046" width="9.140625" style="459"/>
    <col min="12047" max="12048" width="10.5703125" style="459" customWidth="1"/>
    <col min="12049" max="12049" width="9.42578125" style="459" customWidth="1"/>
    <col min="12050" max="12288" width="9.140625" style="459"/>
    <col min="12289" max="12289" width="5" style="459" customWidth="1"/>
    <col min="12290" max="12290" width="43" style="459" customWidth="1"/>
    <col min="12291" max="12291" width="10.140625" style="459" customWidth="1"/>
    <col min="12292" max="12292" width="45" style="459" customWidth="1"/>
    <col min="12293" max="12293" width="34.5703125" style="459" customWidth="1"/>
    <col min="12294" max="12294" width="20.42578125" style="459" customWidth="1"/>
    <col min="12295" max="12295" width="36" style="459" customWidth="1"/>
    <col min="12296" max="12298" width="9.140625" style="459"/>
    <col min="12299" max="12300" width="9.5703125" style="459" customWidth="1"/>
    <col min="12301" max="12301" width="9.42578125" style="459" customWidth="1"/>
    <col min="12302" max="12302" width="9.140625" style="459"/>
    <col min="12303" max="12304" width="10.5703125" style="459" customWidth="1"/>
    <col min="12305" max="12305" width="9.42578125" style="459" customWidth="1"/>
    <col min="12306" max="12544" width="9.140625" style="459"/>
    <col min="12545" max="12545" width="5" style="459" customWidth="1"/>
    <col min="12546" max="12546" width="43" style="459" customWidth="1"/>
    <col min="12547" max="12547" width="10.140625" style="459" customWidth="1"/>
    <col min="12548" max="12548" width="45" style="459" customWidth="1"/>
    <col min="12549" max="12549" width="34.5703125" style="459" customWidth="1"/>
    <col min="12550" max="12550" width="20.42578125" style="459" customWidth="1"/>
    <col min="12551" max="12551" width="36" style="459" customWidth="1"/>
    <col min="12552" max="12554" width="9.140625" style="459"/>
    <col min="12555" max="12556" width="9.5703125" style="459" customWidth="1"/>
    <col min="12557" max="12557" width="9.42578125" style="459" customWidth="1"/>
    <col min="12558" max="12558" width="9.140625" style="459"/>
    <col min="12559" max="12560" width="10.5703125" style="459" customWidth="1"/>
    <col min="12561" max="12561" width="9.42578125" style="459" customWidth="1"/>
    <col min="12562" max="12800" width="9.140625" style="459"/>
    <col min="12801" max="12801" width="5" style="459" customWidth="1"/>
    <col min="12802" max="12802" width="43" style="459" customWidth="1"/>
    <col min="12803" max="12803" width="10.140625" style="459" customWidth="1"/>
    <col min="12804" max="12804" width="45" style="459" customWidth="1"/>
    <col min="12805" max="12805" width="34.5703125" style="459" customWidth="1"/>
    <col min="12806" max="12806" width="20.42578125" style="459" customWidth="1"/>
    <col min="12807" max="12807" width="36" style="459" customWidth="1"/>
    <col min="12808" max="12810" width="9.140625" style="459"/>
    <col min="12811" max="12812" width="9.5703125" style="459" customWidth="1"/>
    <col min="12813" max="12813" width="9.42578125" style="459" customWidth="1"/>
    <col min="12814" max="12814" width="9.140625" style="459"/>
    <col min="12815" max="12816" width="10.5703125" style="459" customWidth="1"/>
    <col min="12817" max="12817" width="9.42578125" style="459" customWidth="1"/>
    <col min="12818" max="13056" width="9.140625" style="459"/>
    <col min="13057" max="13057" width="5" style="459" customWidth="1"/>
    <col min="13058" max="13058" width="43" style="459" customWidth="1"/>
    <col min="13059" max="13059" width="10.140625" style="459" customWidth="1"/>
    <col min="13060" max="13060" width="45" style="459" customWidth="1"/>
    <col min="13061" max="13061" width="34.5703125" style="459" customWidth="1"/>
    <col min="13062" max="13062" width="20.42578125" style="459" customWidth="1"/>
    <col min="13063" max="13063" width="36" style="459" customWidth="1"/>
    <col min="13064" max="13066" width="9.140625" style="459"/>
    <col min="13067" max="13068" width="9.5703125" style="459" customWidth="1"/>
    <col min="13069" max="13069" width="9.42578125" style="459" customWidth="1"/>
    <col min="13070" max="13070" width="9.140625" style="459"/>
    <col min="13071" max="13072" width="10.5703125" style="459" customWidth="1"/>
    <col min="13073" max="13073" width="9.42578125" style="459" customWidth="1"/>
    <col min="13074" max="13312" width="9.140625" style="459"/>
    <col min="13313" max="13313" width="5" style="459" customWidth="1"/>
    <col min="13314" max="13314" width="43" style="459" customWidth="1"/>
    <col min="13315" max="13315" width="10.140625" style="459" customWidth="1"/>
    <col min="13316" max="13316" width="45" style="459" customWidth="1"/>
    <col min="13317" max="13317" width="34.5703125" style="459" customWidth="1"/>
    <col min="13318" max="13318" width="20.42578125" style="459" customWidth="1"/>
    <col min="13319" max="13319" width="36" style="459" customWidth="1"/>
    <col min="13320" max="13322" width="9.140625" style="459"/>
    <col min="13323" max="13324" width="9.5703125" style="459" customWidth="1"/>
    <col min="13325" max="13325" width="9.42578125" style="459" customWidth="1"/>
    <col min="13326" max="13326" width="9.140625" style="459"/>
    <col min="13327" max="13328" width="10.5703125" style="459" customWidth="1"/>
    <col min="13329" max="13329" width="9.42578125" style="459" customWidth="1"/>
    <col min="13330" max="13568" width="9.140625" style="459"/>
    <col min="13569" max="13569" width="5" style="459" customWidth="1"/>
    <col min="13570" max="13570" width="43" style="459" customWidth="1"/>
    <col min="13571" max="13571" width="10.140625" style="459" customWidth="1"/>
    <col min="13572" max="13572" width="45" style="459" customWidth="1"/>
    <col min="13573" max="13573" width="34.5703125" style="459" customWidth="1"/>
    <col min="13574" max="13574" width="20.42578125" style="459" customWidth="1"/>
    <col min="13575" max="13575" width="36" style="459" customWidth="1"/>
    <col min="13576" max="13578" width="9.140625" style="459"/>
    <col min="13579" max="13580" width="9.5703125" style="459" customWidth="1"/>
    <col min="13581" max="13581" width="9.42578125" style="459" customWidth="1"/>
    <col min="13582" max="13582" width="9.140625" style="459"/>
    <col min="13583" max="13584" width="10.5703125" style="459" customWidth="1"/>
    <col min="13585" max="13585" width="9.42578125" style="459" customWidth="1"/>
    <col min="13586" max="13824" width="9.140625" style="459"/>
    <col min="13825" max="13825" width="5" style="459" customWidth="1"/>
    <col min="13826" max="13826" width="43" style="459" customWidth="1"/>
    <col min="13827" max="13827" width="10.140625" style="459" customWidth="1"/>
    <col min="13828" max="13828" width="45" style="459" customWidth="1"/>
    <col min="13829" max="13829" width="34.5703125" style="459" customWidth="1"/>
    <col min="13830" max="13830" width="20.42578125" style="459" customWidth="1"/>
    <col min="13831" max="13831" width="36" style="459" customWidth="1"/>
    <col min="13832" max="13834" width="9.140625" style="459"/>
    <col min="13835" max="13836" width="9.5703125" style="459" customWidth="1"/>
    <col min="13837" max="13837" width="9.42578125" style="459" customWidth="1"/>
    <col min="13838" max="13838" width="9.140625" style="459"/>
    <col min="13839" max="13840" width="10.5703125" style="459" customWidth="1"/>
    <col min="13841" max="13841" width="9.42578125" style="459" customWidth="1"/>
    <col min="13842" max="14080" width="9.140625" style="459"/>
    <col min="14081" max="14081" width="5" style="459" customWidth="1"/>
    <col min="14082" max="14082" width="43" style="459" customWidth="1"/>
    <col min="14083" max="14083" width="10.140625" style="459" customWidth="1"/>
    <col min="14084" max="14084" width="45" style="459" customWidth="1"/>
    <col min="14085" max="14085" width="34.5703125" style="459" customWidth="1"/>
    <col min="14086" max="14086" width="20.42578125" style="459" customWidth="1"/>
    <col min="14087" max="14087" width="36" style="459" customWidth="1"/>
    <col min="14088" max="14090" width="9.140625" style="459"/>
    <col min="14091" max="14092" width="9.5703125" style="459" customWidth="1"/>
    <col min="14093" max="14093" width="9.42578125" style="459" customWidth="1"/>
    <col min="14094" max="14094" width="9.140625" style="459"/>
    <col min="14095" max="14096" width="10.5703125" style="459" customWidth="1"/>
    <col min="14097" max="14097" width="9.42578125" style="459" customWidth="1"/>
    <col min="14098" max="14336" width="9.140625" style="459"/>
    <col min="14337" max="14337" width="5" style="459" customWidth="1"/>
    <col min="14338" max="14338" width="43" style="459" customWidth="1"/>
    <col min="14339" max="14339" width="10.140625" style="459" customWidth="1"/>
    <col min="14340" max="14340" width="45" style="459" customWidth="1"/>
    <col min="14341" max="14341" width="34.5703125" style="459" customWidth="1"/>
    <col min="14342" max="14342" width="20.42578125" style="459" customWidth="1"/>
    <col min="14343" max="14343" width="36" style="459" customWidth="1"/>
    <col min="14344" max="14346" width="9.140625" style="459"/>
    <col min="14347" max="14348" width="9.5703125" style="459" customWidth="1"/>
    <col min="14349" max="14349" width="9.42578125" style="459" customWidth="1"/>
    <col min="14350" max="14350" width="9.140625" style="459"/>
    <col min="14351" max="14352" width="10.5703125" style="459" customWidth="1"/>
    <col min="14353" max="14353" width="9.42578125" style="459" customWidth="1"/>
    <col min="14354" max="14592" width="9.140625" style="459"/>
    <col min="14593" max="14593" width="5" style="459" customWidth="1"/>
    <col min="14594" max="14594" width="43" style="459" customWidth="1"/>
    <col min="14595" max="14595" width="10.140625" style="459" customWidth="1"/>
    <col min="14596" max="14596" width="45" style="459" customWidth="1"/>
    <col min="14597" max="14597" width="34.5703125" style="459" customWidth="1"/>
    <col min="14598" max="14598" width="20.42578125" style="459" customWidth="1"/>
    <col min="14599" max="14599" width="36" style="459" customWidth="1"/>
    <col min="14600" max="14602" width="9.140625" style="459"/>
    <col min="14603" max="14604" width="9.5703125" style="459" customWidth="1"/>
    <col min="14605" max="14605" width="9.42578125" style="459" customWidth="1"/>
    <col min="14606" max="14606" width="9.140625" style="459"/>
    <col min="14607" max="14608" width="10.5703125" style="459" customWidth="1"/>
    <col min="14609" max="14609" width="9.42578125" style="459" customWidth="1"/>
    <col min="14610" max="14848" width="9.140625" style="459"/>
    <col min="14849" max="14849" width="5" style="459" customWidth="1"/>
    <col min="14850" max="14850" width="43" style="459" customWidth="1"/>
    <col min="14851" max="14851" width="10.140625" style="459" customWidth="1"/>
    <col min="14852" max="14852" width="45" style="459" customWidth="1"/>
    <col min="14853" max="14853" width="34.5703125" style="459" customWidth="1"/>
    <col min="14854" max="14854" width="20.42578125" style="459" customWidth="1"/>
    <col min="14855" max="14855" width="36" style="459" customWidth="1"/>
    <col min="14856" max="14858" width="9.140625" style="459"/>
    <col min="14859" max="14860" width="9.5703125" style="459" customWidth="1"/>
    <col min="14861" max="14861" width="9.42578125" style="459" customWidth="1"/>
    <col min="14862" max="14862" width="9.140625" style="459"/>
    <col min="14863" max="14864" width="10.5703125" style="459" customWidth="1"/>
    <col min="14865" max="14865" width="9.42578125" style="459" customWidth="1"/>
    <col min="14866" max="15104" width="9.140625" style="459"/>
    <col min="15105" max="15105" width="5" style="459" customWidth="1"/>
    <col min="15106" max="15106" width="43" style="459" customWidth="1"/>
    <col min="15107" max="15107" width="10.140625" style="459" customWidth="1"/>
    <col min="15108" max="15108" width="45" style="459" customWidth="1"/>
    <col min="15109" max="15109" width="34.5703125" style="459" customWidth="1"/>
    <col min="15110" max="15110" width="20.42578125" style="459" customWidth="1"/>
    <col min="15111" max="15111" width="36" style="459" customWidth="1"/>
    <col min="15112" max="15114" width="9.140625" style="459"/>
    <col min="15115" max="15116" width="9.5703125" style="459" customWidth="1"/>
    <col min="15117" max="15117" width="9.42578125" style="459" customWidth="1"/>
    <col min="15118" max="15118" width="9.140625" style="459"/>
    <col min="15119" max="15120" width="10.5703125" style="459" customWidth="1"/>
    <col min="15121" max="15121" width="9.42578125" style="459" customWidth="1"/>
    <col min="15122" max="15360" width="9.140625" style="459"/>
    <col min="15361" max="15361" width="5" style="459" customWidth="1"/>
    <col min="15362" max="15362" width="43" style="459" customWidth="1"/>
    <col min="15363" max="15363" width="10.140625" style="459" customWidth="1"/>
    <col min="15364" max="15364" width="45" style="459" customWidth="1"/>
    <col min="15365" max="15365" width="34.5703125" style="459" customWidth="1"/>
    <col min="15366" max="15366" width="20.42578125" style="459" customWidth="1"/>
    <col min="15367" max="15367" width="36" style="459" customWidth="1"/>
    <col min="15368" max="15370" width="9.140625" style="459"/>
    <col min="15371" max="15372" width="9.5703125" style="459" customWidth="1"/>
    <col min="15373" max="15373" width="9.42578125" style="459" customWidth="1"/>
    <col min="15374" max="15374" width="9.140625" style="459"/>
    <col min="15375" max="15376" width="10.5703125" style="459" customWidth="1"/>
    <col min="15377" max="15377" width="9.42578125" style="459" customWidth="1"/>
    <col min="15378" max="15616" width="9.140625" style="459"/>
    <col min="15617" max="15617" width="5" style="459" customWidth="1"/>
    <col min="15618" max="15618" width="43" style="459" customWidth="1"/>
    <col min="15619" max="15619" width="10.140625" style="459" customWidth="1"/>
    <col min="15620" max="15620" width="45" style="459" customWidth="1"/>
    <col min="15621" max="15621" width="34.5703125" style="459" customWidth="1"/>
    <col min="15622" max="15622" width="20.42578125" style="459" customWidth="1"/>
    <col min="15623" max="15623" width="36" style="459" customWidth="1"/>
    <col min="15624" max="15626" width="9.140625" style="459"/>
    <col min="15627" max="15628" width="9.5703125" style="459" customWidth="1"/>
    <col min="15629" max="15629" width="9.42578125" style="459" customWidth="1"/>
    <col min="15630" max="15630" width="9.140625" style="459"/>
    <col min="15631" max="15632" width="10.5703125" style="459" customWidth="1"/>
    <col min="15633" max="15633" width="9.42578125" style="459" customWidth="1"/>
    <col min="15634" max="15872" width="9.140625" style="459"/>
    <col min="15873" max="15873" width="5" style="459" customWidth="1"/>
    <col min="15874" max="15874" width="43" style="459" customWidth="1"/>
    <col min="15875" max="15875" width="10.140625" style="459" customWidth="1"/>
    <col min="15876" max="15876" width="45" style="459" customWidth="1"/>
    <col min="15877" max="15877" width="34.5703125" style="459" customWidth="1"/>
    <col min="15878" max="15878" width="20.42578125" style="459" customWidth="1"/>
    <col min="15879" max="15879" width="36" style="459" customWidth="1"/>
    <col min="15880" max="15882" width="9.140625" style="459"/>
    <col min="15883" max="15884" width="9.5703125" style="459" customWidth="1"/>
    <col min="15885" max="15885" width="9.42578125" style="459" customWidth="1"/>
    <col min="15886" max="15886" width="9.140625" style="459"/>
    <col min="15887" max="15888" width="10.5703125" style="459" customWidth="1"/>
    <col min="15889" max="15889" width="9.42578125" style="459" customWidth="1"/>
    <col min="15890" max="16128" width="9.140625" style="459"/>
    <col min="16129" max="16129" width="5" style="459" customWidth="1"/>
    <col min="16130" max="16130" width="43" style="459" customWidth="1"/>
    <col min="16131" max="16131" width="10.140625" style="459" customWidth="1"/>
    <col min="16132" max="16132" width="45" style="459" customWidth="1"/>
    <col min="16133" max="16133" width="34.5703125" style="459" customWidth="1"/>
    <col min="16134" max="16134" width="20.42578125" style="459" customWidth="1"/>
    <col min="16135" max="16135" width="36" style="459" customWidth="1"/>
    <col min="16136" max="16138" width="9.140625" style="459"/>
    <col min="16139" max="16140" width="9.5703125" style="459" customWidth="1"/>
    <col min="16141" max="16141" width="9.42578125" style="459" customWidth="1"/>
    <col min="16142" max="16142" width="9.140625" style="459"/>
    <col min="16143" max="16144" width="10.5703125" style="459" customWidth="1"/>
    <col min="16145" max="16145" width="9.42578125" style="459" customWidth="1"/>
    <col min="16146" max="16384" width="9.140625" style="459"/>
  </cols>
  <sheetData>
    <row r="1" spans="1:252" ht="127.5" x14ac:dyDescent="0.2">
      <c r="A1" s="494"/>
      <c r="B1" s="495"/>
      <c r="C1" s="495"/>
      <c r="D1" s="495"/>
      <c r="E1" s="495"/>
      <c r="F1" s="495"/>
      <c r="G1" s="495"/>
      <c r="H1" s="495"/>
      <c r="I1" s="495"/>
      <c r="J1" s="495"/>
      <c r="K1" s="496"/>
      <c r="L1" s="496"/>
      <c r="M1" s="496"/>
      <c r="N1" s="495"/>
      <c r="O1" s="523" t="s">
        <v>15</v>
      </c>
      <c r="P1" s="523"/>
      <c r="Q1" s="523"/>
      <c r="R1" s="524"/>
      <c r="S1" s="524"/>
      <c r="T1" s="524"/>
      <c r="U1" s="524"/>
      <c r="V1" s="524"/>
      <c r="W1" s="524"/>
      <c r="X1" s="524"/>
      <c r="Y1" s="524"/>
      <c r="Z1" s="524"/>
      <c r="AA1" s="524"/>
      <c r="AB1" s="524"/>
      <c r="AC1" s="524"/>
      <c r="AD1" s="524"/>
      <c r="AE1" s="524"/>
      <c r="AF1" s="524"/>
      <c r="AG1" s="524"/>
      <c r="AH1" s="524"/>
      <c r="AI1" s="524"/>
      <c r="AJ1" s="524"/>
      <c r="AK1" s="524"/>
      <c r="AL1" s="524"/>
      <c r="AM1" s="524"/>
      <c r="AN1" s="524"/>
      <c r="AO1" s="524"/>
      <c r="AP1" s="524"/>
      <c r="AQ1" s="524"/>
      <c r="AR1" s="524"/>
      <c r="AS1" s="524"/>
      <c r="AT1" s="524"/>
      <c r="AU1" s="524"/>
      <c r="AV1" s="524"/>
      <c r="AW1" s="524"/>
      <c r="AX1" s="524"/>
      <c r="AY1" s="524"/>
      <c r="AZ1" s="524"/>
      <c r="BA1" s="524"/>
      <c r="BB1" s="524"/>
      <c r="BC1" s="524"/>
      <c r="BD1" s="524"/>
      <c r="BE1" s="524"/>
      <c r="BF1" s="524"/>
      <c r="BG1" s="524"/>
      <c r="BH1" s="524"/>
      <c r="BI1" s="524"/>
      <c r="BJ1" s="524"/>
      <c r="BK1" s="524"/>
      <c r="BL1" s="524"/>
      <c r="BM1" s="524"/>
      <c r="BN1" s="524"/>
      <c r="BO1" s="524"/>
      <c r="BP1" s="524"/>
      <c r="BQ1" s="524"/>
      <c r="BR1" s="524"/>
      <c r="BS1" s="524"/>
      <c r="BT1" s="524"/>
      <c r="BU1" s="524"/>
      <c r="BV1" s="524"/>
      <c r="BW1" s="524"/>
      <c r="BX1" s="524"/>
      <c r="BY1" s="524"/>
      <c r="BZ1" s="524"/>
      <c r="CA1" s="524"/>
      <c r="CB1" s="524"/>
      <c r="CC1" s="524"/>
      <c r="CD1" s="524"/>
      <c r="CE1" s="524"/>
      <c r="CF1" s="524"/>
      <c r="CG1" s="524"/>
      <c r="CH1" s="524"/>
      <c r="CI1" s="524"/>
      <c r="CJ1" s="524"/>
      <c r="CK1" s="524"/>
      <c r="CL1" s="524"/>
      <c r="CM1" s="524"/>
      <c r="CN1" s="524"/>
      <c r="CO1" s="524"/>
      <c r="CP1" s="524"/>
      <c r="CQ1" s="524"/>
      <c r="CR1" s="524"/>
      <c r="CS1" s="524"/>
      <c r="CT1" s="524"/>
      <c r="CU1" s="524"/>
      <c r="CV1" s="524"/>
      <c r="CW1" s="524"/>
      <c r="CX1" s="524"/>
      <c r="CY1" s="524"/>
      <c r="CZ1" s="524"/>
      <c r="DA1" s="524"/>
      <c r="DB1" s="524"/>
      <c r="DC1" s="524"/>
      <c r="DD1" s="524"/>
      <c r="DE1" s="524"/>
      <c r="DF1" s="524"/>
      <c r="DG1" s="524"/>
      <c r="DH1" s="524"/>
      <c r="DI1" s="524"/>
      <c r="DJ1" s="524"/>
      <c r="DK1" s="524"/>
      <c r="DL1" s="524"/>
      <c r="DM1" s="524"/>
      <c r="DN1" s="524"/>
      <c r="DO1" s="524"/>
      <c r="DP1" s="524"/>
      <c r="DQ1" s="524"/>
      <c r="DR1" s="524"/>
      <c r="DS1" s="524"/>
      <c r="DT1" s="524"/>
      <c r="DU1" s="524"/>
      <c r="DV1" s="524"/>
      <c r="DW1" s="524"/>
      <c r="DX1" s="524"/>
      <c r="DY1" s="524"/>
      <c r="DZ1" s="524"/>
      <c r="EA1" s="524"/>
      <c r="EB1" s="524"/>
      <c r="EC1" s="524"/>
      <c r="ED1" s="524"/>
      <c r="EE1" s="524"/>
      <c r="EF1" s="524"/>
      <c r="EG1" s="524"/>
      <c r="EH1" s="524"/>
      <c r="EI1" s="524"/>
      <c r="EJ1" s="524"/>
      <c r="EK1" s="524"/>
      <c r="EL1" s="524"/>
      <c r="EM1" s="524"/>
      <c r="EN1" s="524"/>
      <c r="EO1" s="524"/>
      <c r="EP1" s="524"/>
      <c r="EQ1" s="524"/>
      <c r="ER1" s="524"/>
      <c r="ES1" s="524"/>
      <c r="ET1" s="524"/>
      <c r="EU1" s="524"/>
      <c r="EV1" s="524"/>
      <c r="EW1" s="524"/>
      <c r="EX1" s="524"/>
      <c r="EY1" s="524"/>
      <c r="EZ1" s="524"/>
      <c r="FA1" s="524"/>
      <c r="FB1" s="524"/>
      <c r="FC1" s="524"/>
      <c r="FD1" s="524"/>
      <c r="FE1" s="524"/>
      <c r="FF1" s="524"/>
      <c r="FG1" s="524"/>
      <c r="FH1" s="524"/>
      <c r="FI1" s="524"/>
      <c r="FJ1" s="524"/>
      <c r="FK1" s="524"/>
      <c r="FL1" s="524"/>
      <c r="FM1" s="524"/>
      <c r="FN1" s="524"/>
      <c r="FO1" s="524"/>
      <c r="FP1" s="524"/>
      <c r="FQ1" s="524"/>
      <c r="FR1" s="524"/>
      <c r="FS1" s="524"/>
      <c r="FT1" s="524"/>
      <c r="FU1" s="524"/>
      <c r="FV1" s="524"/>
      <c r="FW1" s="524"/>
      <c r="FX1" s="524"/>
      <c r="FY1" s="524"/>
      <c r="FZ1" s="524"/>
      <c r="GA1" s="524"/>
      <c r="GB1" s="524"/>
      <c r="GC1" s="524"/>
      <c r="GD1" s="524"/>
      <c r="GE1" s="524"/>
      <c r="GF1" s="524"/>
      <c r="GG1" s="524"/>
      <c r="GH1" s="524"/>
      <c r="GI1" s="524"/>
      <c r="GJ1" s="524"/>
      <c r="GK1" s="524"/>
      <c r="GL1" s="524"/>
      <c r="GM1" s="524"/>
      <c r="GN1" s="524"/>
      <c r="GO1" s="524"/>
      <c r="GP1" s="524"/>
      <c r="GQ1" s="524"/>
      <c r="GR1" s="524"/>
      <c r="GS1" s="524"/>
      <c r="GT1" s="524"/>
      <c r="GU1" s="524"/>
      <c r="GV1" s="524"/>
      <c r="GW1" s="524"/>
      <c r="GX1" s="524"/>
      <c r="GY1" s="524"/>
      <c r="GZ1" s="524"/>
      <c r="HA1" s="524"/>
      <c r="HB1" s="524"/>
      <c r="HC1" s="524"/>
      <c r="HD1" s="524"/>
      <c r="HE1" s="524"/>
      <c r="HF1" s="524"/>
      <c r="HG1" s="524"/>
      <c r="HH1" s="524"/>
      <c r="HI1" s="524"/>
      <c r="HJ1" s="524"/>
      <c r="HK1" s="524"/>
      <c r="HL1" s="524"/>
      <c r="HM1" s="524"/>
      <c r="HN1" s="524"/>
      <c r="HO1" s="524"/>
      <c r="HP1" s="524"/>
      <c r="HQ1" s="524"/>
      <c r="HR1" s="524"/>
      <c r="HS1" s="524"/>
      <c r="HT1" s="524"/>
      <c r="HU1" s="524"/>
      <c r="HV1" s="524"/>
      <c r="HW1" s="524"/>
      <c r="HX1" s="524"/>
      <c r="HY1" s="524"/>
      <c r="HZ1" s="524"/>
      <c r="IA1" s="524"/>
      <c r="IB1" s="524"/>
      <c r="IC1" s="524"/>
      <c r="ID1" s="524"/>
      <c r="IE1" s="524"/>
      <c r="IF1" s="524"/>
      <c r="IG1" s="524"/>
      <c r="IH1" s="524"/>
      <c r="II1" s="524"/>
      <c r="IJ1" s="524"/>
      <c r="IK1" s="524"/>
      <c r="IL1" s="524"/>
      <c r="IM1" s="524"/>
      <c r="IN1" s="524"/>
      <c r="IO1" s="524"/>
      <c r="IP1" s="524"/>
      <c r="IQ1" s="524"/>
      <c r="IR1" s="524"/>
    </row>
    <row r="2" spans="1:252" x14ac:dyDescent="0.2">
      <c r="A2" s="494"/>
      <c r="B2" s="495"/>
      <c r="C2" s="495"/>
      <c r="D2" s="495"/>
      <c r="E2" s="495"/>
      <c r="F2" s="495"/>
      <c r="G2" s="495"/>
      <c r="H2" s="495"/>
      <c r="I2" s="495"/>
      <c r="J2" s="495"/>
      <c r="K2" s="496"/>
      <c r="L2" s="496"/>
      <c r="M2" s="496"/>
      <c r="N2" s="495"/>
      <c r="O2" s="496"/>
      <c r="P2" s="496"/>
      <c r="Q2" s="496"/>
      <c r="R2" s="524"/>
      <c r="S2" s="524"/>
      <c r="T2" s="524"/>
      <c r="U2" s="524"/>
      <c r="V2" s="524"/>
      <c r="W2" s="524"/>
      <c r="X2" s="524"/>
      <c r="Y2" s="524"/>
      <c r="Z2" s="524"/>
      <c r="AA2" s="524"/>
      <c r="AB2" s="524"/>
      <c r="AC2" s="524"/>
      <c r="AD2" s="524"/>
      <c r="AE2" s="524"/>
      <c r="AF2" s="524"/>
      <c r="AG2" s="524"/>
      <c r="AH2" s="524"/>
      <c r="AI2" s="524"/>
      <c r="AJ2" s="524"/>
      <c r="AK2" s="524"/>
      <c r="AL2" s="524"/>
      <c r="AM2" s="524"/>
      <c r="AN2" s="524"/>
      <c r="AO2" s="524"/>
      <c r="AP2" s="524"/>
      <c r="AQ2" s="524"/>
      <c r="AR2" s="524"/>
      <c r="AS2" s="524"/>
      <c r="AT2" s="524"/>
      <c r="AU2" s="524"/>
      <c r="AV2" s="524"/>
      <c r="AW2" s="524"/>
      <c r="AX2" s="524"/>
      <c r="AY2" s="524"/>
      <c r="AZ2" s="524"/>
      <c r="BA2" s="524"/>
      <c r="BB2" s="524"/>
      <c r="BC2" s="524"/>
      <c r="BD2" s="524"/>
      <c r="BE2" s="524"/>
      <c r="BF2" s="524"/>
      <c r="BG2" s="524"/>
      <c r="BH2" s="524"/>
      <c r="BI2" s="524"/>
      <c r="BJ2" s="524"/>
      <c r="BK2" s="524"/>
      <c r="BL2" s="524"/>
      <c r="BM2" s="524"/>
      <c r="BN2" s="524"/>
      <c r="BO2" s="524"/>
      <c r="BP2" s="524"/>
      <c r="BQ2" s="524"/>
      <c r="BR2" s="524"/>
      <c r="BS2" s="524"/>
      <c r="BT2" s="524"/>
      <c r="BU2" s="524"/>
      <c r="BV2" s="524"/>
      <c r="BW2" s="524"/>
      <c r="BX2" s="524"/>
      <c r="BY2" s="524"/>
      <c r="BZ2" s="524"/>
      <c r="CA2" s="524"/>
      <c r="CB2" s="524"/>
      <c r="CC2" s="524"/>
      <c r="CD2" s="524"/>
      <c r="CE2" s="524"/>
      <c r="CF2" s="524"/>
      <c r="CG2" s="524"/>
      <c r="CH2" s="524"/>
      <c r="CI2" s="524"/>
      <c r="CJ2" s="524"/>
      <c r="CK2" s="524"/>
      <c r="CL2" s="524"/>
      <c r="CM2" s="524"/>
      <c r="CN2" s="524"/>
      <c r="CO2" s="524"/>
      <c r="CP2" s="524"/>
      <c r="CQ2" s="524"/>
      <c r="CR2" s="524"/>
      <c r="CS2" s="524"/>
      <c r="CT2" s="524"/>
      <c r="CU2" s="524"/>
      <c r="CV2" s="524"/>
      <c r="CW2" s="524"/>
      <c r="CX2" s="524"/>
      <c r="CY2" s="524"/>
      <c r="CZ2" s="524"/>
      <c r="DA2" s="524"/>
      <c r="DB2" s="524"/>
      <c r="DC2" s="524"/>
      <c r="DD2" s="524"/>
      <c r="DE2" s="524"/>
      <c r="DF2" s="524"/>
      <c r="DG2" s="524"/>
      <c r="DH2" s="524"/>
      <c r="DI2" s="524"/>
      <c r="DJ2" s="524"/>
      <c r="DK2" s="524"/>
      <c r="DL2" s="524"/>
      <c r="DM2" s="524"/>
      <c r="DN2" s="524"/>
      <c r="DO2" s="524"/>
      <c r="DP2" s="524"/>
      <c r="DQ2" s="524"/>
      <c r="DR2" s="524"/>
      <c r="DS2" s="524"/>
      <c r="DT2" s="524"/>
      <c r="DU2" s="524"/>
      <c r="DV2" s="524"/>
      <c r="DW2" s="524"/>
      <c r="DX2" s="524"/>
      <c r="DY2" s="524"/>
      <c r="DZ2" s="524"/>
      <c r="EA2" s="524"/>
      <c r="EB2" s="524"/>
      <c r="EC2" s="524"/>
      <c r="ED2" s="524"/>
      <c r="EE2" s="524"/>
      <c r="EF2" s="524"/>
      <c r="EG2" s="524"/>
      <c r="EH2" s="524"/>
      <c r="EI2" s="524"/>
      <c r="EJ2" s="524"/>
      <c r="EK2" s="524"/>
      <c r="EL2" s="524"/>
      <c r="EM2" s="524"/>
      <c r="EN2" s="524"/>
      <c r="EO2" s="524"/>
      <c r="EP2" s="524"/>
      <c r="EQ2" s="524"/>
      <c r="ER2" s="524"/>
      <c r="ES2" s="524"/>
      <c r="ET2" s="524"/>
      <c r="EU2" s="524"/>
      <c r="EV2" s="524"/>
      <c r="EW2" s="524"/>
      <c r="EX2" s="524"/>
      <c r="EY2" s="524"/>
      <c r="EZ2" s="524"/>
      <c r="FA2" s="524"/>
      <c r="FB2" s="524"/>
      <c r="FC2" s="524"/>
      <c r="FD2" s="524"/>
      <c r="FE2" s="524"/>
      <c r="FF2" s="524"/>
      <c r="FG2" s="524"/>
      <c r="FH2" s="524"/>
      <c r="FI2" s="524"/>
      <c r="FJ2" s="524"/>
      <c r="FK2" s="524"/>
      <c r="FL2" s="524"/>
      <c r="FM2" s="524"/>
      <c r="FN2" s="524"/>
      <c r="FO2" s="524"/>
      <c r="FP2" s="524"/>
      <c r="FQ2" s="524"/>
      <c r="FR2" s="524"/>
      <c r="FS2" s="524"/>
      <c r="FT2" s="524"/>
      <c r="FU2" s="524"/>
      <c r="FV2" s="524"/>
      <c r="FW2" s="524"/>
      <c r="FX2" s="524"/>
      <c r="FY2" s="524"/>
      <c r="FZ2" s="524"/>
      <c r="GA2" s="524"/>
      <c r="GB2" s="524"/>
      <c r="GC2" s="524"/>
      <c r="GD2" s="524"/>
      <c r="GE2" s="524"/>
      <c r="GF2" s="524"/>
      <c r="GG2" s="524"/>
      <c r="GH2" s="524"/>
      <c r="GI2" s="524"/>
      <c r="GJ2" s="524"/>
      <c r="GK2" s="524"/>
      <c r="GL2" s="524"/>
      <c r="GM2" s="524"/>
      <c r="GN2" s="524"/>
      <c r="GO2" s="524"/>
      <c r="GP2" s="524"/>
      <c r="GQ2" s="524"/>
      <c r="GR2" s="524"/>
      <c r="GS2" s="524"/>
      <c r="GT2" s="524"/>
      <c r="GU2" s="524"/>
      <c r="GV2" s="524"/>
      <c r="GW2" s="524"/>
      <c r="GX2" s="524"/>
      <c r="GY2" s="524"/>
      <c r="GZ2" s="524"/>
      <c r="HA2" s="524"/>
      <c r="HB2" s="524"/>
      <c r="HC2" s="524"/>
      <c r="HD2" s="524"/>
      <c r="HE2" s="524"/>
      <c r="HF2" s="524"/>
      <c r="HG2" s="524"/>
      <c r="HH2" s="524"/>
      <c r="HI2" s="524"/>
      <c r="HJ2" s="524"/>
      <c r="HK2" s="524"/>
      <c r="HL2" s="524"/>
      <c r="HM2" s="524"/>
      <c r="HN2" s="524"/>
      <c r="HO2" s="524"/>
      <c r="HP2" s="524"/>
      <c r="HQ2" s="524"/>
      <c r="HR2" s="524"/>
      <c r="HS2" s="524"/>
      <c r="HT2" s="524"/>
      <c r="HU2" s="524"/>
      <c r="HV2" s="524"/>
      <c r="HW2" s="524"/>
      <c r="HX2" s="524"/>
      <c r="HY2" s="524"/>
      <c r="HZ2" s="524"/>
      <c r="IA2" s="524"/>
      <c r="IB2" s="524"/>
      <c r="IC2" s="524"/>
      <c r="ID2" s="524"/>
      <c r="IE2" s="524"/>
      <c r="IF2" s="524"/>
      <c r="IG2" s="524"/>
      <c r="IH2" s="524"/>
      <c r="II2" s="524"/>
      <c r="IJ2" s="524"/>
      <c r="IK2" s="524"/>
      <c r="IL2" s="524"/>
      <c r="IM2" s="524"/>
      <c r="IN2" s="524"/>
      <c r="IO2" s="524"/>
      <c r="IP2" s="524"/>
      <c r="IQ2" s="524"/>
      <c r="IR2" s="524"/>
    </row>
    <row r="3" spans="1:252" ht="15" x14ac:dyDescent="0.2">
      <c r="A3" s="497" t="s">
        <v>669</v>
      </c>
      <c r="B3" s="497"/>
      <c r="C3" s="497"/>
      <c r="D3" s="497"/>
      <c r="E3" s="497"/>
      <c r="F3" s="497"/>
      <c r="G3" s="497"/>
      <c r="H3" s="497"/>
      <c r="I3" s="497"/>
      <c r="J3" s="497"/>
      <c r="K3" s="497"/>
      <c r="L3" s="497"/>
      <c r="M3" s="497"/>
      <c r="N3" s="497"/>
      <c r="O3" s="497"/>
      <c r="P3" s="497"/>
      <c r="Q3" s="497"/>
      <c r="R3" s="524"/>
      <c r="S3" s="524"/>
      <c r="T3" s="524"/>
      <c r="U3" s="524"/>
      <c r="V3" s="524"/>
      <c r="W3" s="524"/>
      <c r="X3" s="524"/>
      <c r="Y3" s="524"/>
      <c r="Z3" s="524"/>
      <c r="AA3" s="524"/>
      <c r="AB3" s="524"/>
      <c r="AC3" s="524"/>
      <c r="AD3" s="524"/>
      <c r="AE3" s="524"/>
      <c r="AF3" s="524"/>
      <c r="AG3" s="524"/>
      <c r="AH3" s="524"/>
      <c r="AI3" s="524"/>
      <c r="AJ3" s="524"/>
      <c r="AK3" s="524"/>
      <c r="AL3" s="524"/>
      <c r="AM3" s="524"/>
      <c r="AN3" s="524"/>
      <c r="AO3" s="524"/>
      <c r="AP3" s="524"/>
      <c r="AQ3" s="524"/>
      <c r="AR3" s="524"/>
      <c r="AS3" s="524"/>
      <c r="AT3" s="524"/>
      <c r="AU3" s="524"/>
      <c r="AV3" s="524"/>
      <c r="AW3" s="524"/>
      <c r="AX3" s="524"/>
      <c r="AY3" s="524"/>
      <c r="AZ3" s="524"/>
      <c r="BA3" s="524"/>
      <c r="BB3" s="524"/>
      <c r="BC3" s="524"/>
      <c r="BD3" s="524"/>
      <c r="BE3" s="524"/>
      <c r="BF3" s="524"/>
      <c r="BG3" s="524"/>
      <c r="BH3" s="524"/>
      <c r="BI3" s="524"/>
      <c r="BJ3" s="524"/>
      <c r="BK3" s="524"/>
      <c r="BL3" s="524"/>
      <c r="BM3" s="524"/>
      <c r="BN3" s="524"/>
      <c r="BO3" s="524"/>
      <c r="BP3" s="524"/>
      <c r="BQ3" s="524"/>
      <c r="BR3" s="524"/>
      <c r="BS3" s="524"/>
      <c r="BT3" s="524"/>
      <c r="BU3" s="524"/>
      <c r="BV3" s="524"/>
      <c r="BW3" s="524"/>
      <c r="BX3" s="524"/>
      <c r="BY3" s="524"/>
      <c r="BZ3" s="524"/>
      <c r="CA3" s="524"/>
      <c r="CB3" s="524"/>
      <c r="CC3" s="524"/>
      <c r="CD3" s="524"/>
      <c r="CE3" s="524"/>
      <c r="CF3" s="524"/>
      <c r="CG3" s="524"/>
      <c r="CH3" s="524"/>
      <c r="CI3" s="524"/>
      <c r="CJ3" s="524"/>
      <c r="CK3" s="524"/>
      <c r="CL3" s="524"/>
      <c r="CM3" s="524"/>
      <c r="CN3" s="524"/>
      <c r="CO3" s="524"/>
      <c r="CP3" s="524"/>
      <c r="CQ3" s="524"/>
      <c r="CR3" s="524"/>
      <c r="CS3" s="524"/>
      <c r="CT3" s="524"/>
      <c r="CU3" s="524"/>
      <c r="CV3" s="524"/>
      <c r="CW3" s="524"/>
      <c r="CX3" s="524"/>
      <c r="CY3" s="524"/>
      <c r="CZ3" s="524"/>
      <c r="DA3" s="524"/>
      <c r="DB3" s="524"/>
      <c r="DC3" s="524"/>
      <c r="DD3" s="524"/>
      <c r="DE3" s="524"/>
      <c r="DF3" s="524"/>
      <c r="DG3" s="524"/>
      <c r="DH3" s="524"/>
      <c r="DI3" s="524"/>
      <c r="DJ3" s="524"/>
      <c r="DK3" s="524"/>
      <c r="DL3" s="524"/>
      <c r="DM3" s="524"/>
      <c r="DN3" s="524"/>
      <c r="DO3" s="524"/>
      <c r="DP3" s="524"/>
      <c r="DQ3" s="524"/>
      <c r="DR3" s="524"/>
      <c r="DS3" s="524"/>
      <c r="DT3" s="524"/>
      <c r="DU3" s="524"/>
      <c r="DV3" s="524"/>
      <c r="DW3" s="524"/>
      <c r="DX3" s="524"/>
      <c r="DY3" s="524"/>
      <c r="DZ3" s="524"/>
      <c r="EA3" s="524"/>
      <c r="EB3" s="524"/>
      <c r="EC3" s="524"/>
      <c r="ED3" s="524"/>
      <c r="EE3" s="524"/>
      <c r="EF3" s="524"/>
      <c r="EG3" s="524"/>
      <c r="EH3" s="524"/>
      <c r="EI3" s="524"/>
      <c r="EJ3" s="524"/>
      <c r="EK3" s="524"/>
      <c r="EL3" s="524"/>
      <c r="EM3" s="524"/>
      <c r="EN3" s="524"/>
      <c r="EO3" s="524"/>
      <c r="EP3" s="524"/>
      <c r="EQ3" s="524"/>
      <c r="ER3" s="524"/>
      <c r="ES3" s="524"/>
      <c r="ET3" s="524"/>
      <c r="EU3" s="524"/>
      <c r="EV3" s="524"/>
      <c r="EW3" s="524"/>
      <c r="EX3" s="524"/>
      <c r="EY3" s="524"/>
      <c r="EZ3" s="524"/>
      <c r="FA3" s="524"/>
      <c r="FB3" s="524"/>
      <c r="FC3" s="524"/>
      <c r="FD3" s="524"/>
      <c r="FE3" s="524"/>
      <c r="FF3" s="524"/>
      <c r="FG3" s="524"/>
      <c r="FH3" s="524"/>
      <c r="FI3" s="524"/>
      <c r="FJ3" s="524"/>
      <c r="FK3" s="524"/>
      <c r="FL3" s="524"/>
      <c r="FM3" s="524"/>
      <c r="FN3" s="524"/>
      <c r="FO3" s="524"/>
      <c r="FP3" s="524"/>
      <c r="FQ3" s="524"/>
      <c r="FR3" s="524"/>
      <c r="FS3" s="524"/>
      <c r="FT3" s="524"/>
      <c r="FU3" s="524"/>
      <c r="FV3" s="524"/>
      <c r="FW3" s="524"/>
      <c r="FX3" s="524"/>
      <c r="FY3" s="524"/>
      <c r="FZ3" s="524"/>
      <c r="GA3" s="524"/>
      <c r="GB3" s="524"/>
      <c r="GC3" s="524"/>
      <c r="GD3" s="524"/>
      <c r="GE3" s="524"/>
      <c r="GF3" s="524"/>
      <c r="GG3" s="524"/>
      <c r="GH3" s="524"/>
      <c r="GI3" s="524"/>
      <c r="GJ3" s="524"/>
      <c r="GK3" s="524"/>
      <c r="GL3" s="524"/>
      <c r="GM3" s="524"/>
      <c r="GN3" s="524"/>
      <c r="GO3" s="524"/>
      <c r="GP3" s="524"/>
      <c r="GQ3" s="524"/>
      <c r="GR3" s="524"/>
      <c r="GS3" s="524"/>
      <c r="GT3" s="524"/>
      <c r="GU3" s="524"/>
      <c r="GV3" s="524"/>
      <c r="GW3" s="524"/>
      <c r="GX3" s="524"/>
      <c r="GY3" s="524"/>
      <c r="GZ3" s="524"/>
      <c r="HA3" s="524"/>
      <c r="HB3" s="524"/>
      <c r="HC3" s="524"/>
      <c r="HD3" s="524"/>
      <c r="HE3" s="524"/>
      <c r="HF3" s="524"/>
      <c r="HG3" s="524"/>
      <c r="HH3" s="524"/>
      <c r="HI3" s="524"/>
      <c r="HJ3" s="524"/>
      <c r="HK3" s="524"/>
      <c r="HL3" s="524"/>
      <c r="HM3" s="524"/>
      <c r="HN3" s="524"/>
      <c r="HO3" s="524"/>
      <c r="HP3" s="524"/>
      <c r="HQ3" s="524"/>
      <c r="HR3" s="524"/>
      <c r="HS3" s="524"/>
      <c r="HT3" s="524"/>
      <c r="HU3" s="524"/>
      <c r="HV3" s="524"/>
      <c r="HW3" s="524"/>
      <c r="HX3" s="524"/>
      <c r="HY3" s="524"/>
      <c r="HZ3" s="524"/>
      <c r="IA3" s="524"/>
      <c r="IB3" s="524"/>
      <c r="IC3" s="524"/>
      <c r="ID3" s="524"/>
      <c r="IE3" s="524"/>
      <c r="IF3" s="524"/>
      <c r="IG3" s="524"/>
      <c r="IH3" s="524"/>
      <c r="II3" s="524"/>
      <c r="IJ3" s="524"/>
      <c r="IK3" s="524"/>
      <c r="IL3" s="524"/>
      <c r="IM3" s="524"/>
      <c r="IN3" s="524"/>
      <c r="IO3" s="524"/>
      <c r="IP3" s="524"/>
      <c r="IQ3" s="524"/>
      <c r="IR3" s="524"/>
    </row>
    <row r="4" spans="1:252" ht="18.75" x14ac:dyDescent="0.2">
      <c r="A4" s="498" t="s">
        <v>16</v>
      </c>
      <c r="B4" s="498"/>
      <c r="C4" s="498"/>
      <c r="D4" s="498"/>
      <c r="E4" s="498"/>
      <c r="F4" s="498"/>
      <c r="G4" s="498"/>
      <c r="H4" s="498"/>
      <c r="I4" s="498"/>
      <c r="J4" s="498"/>
      <c r="K4" s="498"/>
      <c r="L4" s="498"/>
      <c r="M4" s="498"/>
      <c r="N4" s="498"/>
      <c r="O4" s="498"/>
      <c r="P4" s="498"/>
      <c r="Q4" s="498"/>
      <c r="R4" s="524"/>
      <c r="S4" s="524"/>
      <c r="T4" s="524"/>
      <c r="U4" s="524"/>
      <c r="V4" s="524"/>
      <c r="W4" s="524"/>
      <c r="X4" s="524"/>
      <c r="Y4" s="524"/>
      <c r="Z4" s="524"/>
      <c r="AA4" s="524"/>
      <c r="AB4" s="524"/>
      <c r="AC4" s="524"/>
      <c r="AD4" s="524"/>
      <c r="AE4" s="524"/>
      <c r="AF4" s="524"/>
      <c r="AG4" s="524"/>
      <c r="AH4" s="524"/>
      <c r="AI4" s="524"/>
      <c r="AJ4" s="524"/>
      <c r="AK4" s="524"/>
      <c r="AL4" s="524"/>
      <c r="AM4" s="524"/>
      <c r="AN4" s="524"/>
      <c r="AO4" s="524"/>
      <c r="AP4" s="524"/>
      <c r="AQ4" s="524"/>
      <c r="AR4" s="524"/>
      <c r="AS4" s="524"/>
      <c r="AT4" s="524"/>
      <c r="AU4" s="524"/>
      <c r="AV4" s="524"/>
      <c r="AW4" s="524"/>
      <c r="AX4" s="524"/>
      <c r="AY4" s="524"/>
      <c r="AZ4" s="524"/>
      <c r="BA4" s="524"/>
      <c r="BB4" s="524"/>
      <c r="BC4" s="524"/>
      <c r="BD4" s="524"/>
      <c r="BE4" s="524"/>
      <c r="BF4" s="524"/>
      <c r="BG4" s="524"/>
      <c r="BH4" s="524"/>
      <c r="BI4" s="524"/>
      <c r="BJ4" s="524"/>
      <c r="BK4" s="524"/>
      <c r="BL4" s="524"/>
      <c r="BM4" s="524"/>
      <c r="BN4" s="524"/>
      <c r="BO4" s="524"/>
      <c r="BP4" s="524"/>
      <c r="BQ4" s="524"/>
      <c r="BR4" s="524"/>
      <c r="BS4" s="524"/>
      <c r="BT4" s="524"/>
      <c r="BU4" s="524"/>
      <c r="BV4" s="524"/>
      <c r="BW4" s="524"/>
      <c r="BX4" s="524"/>
      <c r="BY4" s="524"/>
      <c r="BZ4" s="524"/>
      <c r="CA4" s="524"/>
      <c r="CB4" s="524"/>
      <c r="CC4" s="524"/>
      <c r="CD4" s="524"/>
      <c r="CE4" s="524"/>
      <c r="CF4" s="524"/>
      <c r="CG4" s="524"/>
      <c r="CH4" s="524"/>
      <c r="CI4" s="524"/>
      <c r="CJ4" s="524"/>
      <c r="CK4" s="524"/>
      <c r="CL4" s="524"/>
      <c r="CM4" s="524"/>
      <c r="CN4" s="524"/>
      <c r="CO4" s="524"/>
      <c r="CP4" s="524"/>
      <c r="CQ4" s="524"/>
      <c r="CR4" s="524"/>
      <c r="CS4" s="524"/>
      <c r="CT4" s="524"/>
      <c r="CU4" s="524"/>
      <c r="CV4" s="524"/>
      <c r="CW4" s="524"/>
      <c r="CX4" s="524"/>
      <c r="CY4" s="524"/>
      <c r="CZ4" s="524"/>
      <c r="DA4" s="524"/>
      <c r="DB4" s="524"/>
      <c r="DC4" s="524"/>
      <c r="DD4" s="524"/>
      <c r="DE4" s="524"/>
      <c r="DF4" s="524"/>
      <c r="DG4" s="524"/>
      <c r="DH4" s="524"/>
      <c r="DI4" s="524"/>
      <c r="DJ4" s="524"/>
      <c r="DK4" s="524"/>
      <c r="DL4" s="524"/>
      <c r="DM4" s="524"/>
      <c r="DN4" s="524"/>
      <c r="DO4" s="524"/>
      <c r="DP4" s="524"/>
      <c r="DQ4" s="524"/>
      <c r="DR4" s="524"/>
      <c r="DS4" s="524"/>
      <c r="DT4" s="524"/>
      <c r="DU4" s="524"/>
      <c r="DV4" s="524"/>
      <c r="DW4" s="524"/>
      <c r="DX4" s="524"/>
      <c r="DY4" s="524"/>
      <c r="DZ4" s="524"/>
      <c r="EA4" s="524"/>
      <c r="EB4" s="524"/>
      <c r="EC4" s="524"/>
      <c r="ED4" s="524"/>
      <c r="EE4" s="524"/>
      <c r="EF4" s="524"/>
      <c r="EG4" s="524"/>
      <c r="EH4" s="524"/>
      <c r="EI4" s="524"/>
      <c r="EJ4" s="524"/>
      <c r="EK4" s="524"/>
      <c r="EL4" s="524"/>
      <c r="EM4" s="524"/>
      <c r="EN4" s="524"/>
      <c r="EO4" s="524"/>
      <c r="EP4" s="524"/>
      <c r="EQ4" s="524"/>
      <c r="ER4" s="524"/>
      <c r="ES4" s="524"/>
      <c r="ET4" s="524"/>
      <c r="EU4" s="524"/>
      <c r="EV4" s="524"/>
      <c r="EW4" s="524"/>
      <c r="EX4" s="524"/>
      <c r="EY4" s="524"/>
      <c r="EZ4" s="524"/>
      <c r="FA4" s="524"/>
      <c r="FB4" s="524"/>
      <c r="FC4" s="524"/>
      <c r="FD4" s="524"/>
      <c r="FE4" s="524"/>
      <c r="FF4" s="524"/>
      <c r="FG4" s="524"/>
      <c r="FH4" s="524"/>
      <c r="FI4" s="524"/>
      <c r="FJ4" s="524"/>
      <c r="FK4" s="524"/>
      <c r="FL4" s="524"/>
      <c r="FM4" s="524"/>
      <c r="FN4" s="524"/>
      <c r="FO4" s="524"/>
      <c r="FP4" s="524"/>
      <c r="FQ4" s="524"/>
      <c r="FR4" s="524"/>
      <c r="FS4" s="524"/>
      <c r="FT4" s="524"/>
      <c r="FU4" s="524"/>
      <c r="FV4" s="524"/>
      <c r="FW4" s="524"/>
      <c r="FX4" s="524"/>
      <c r="FY4" s="524"/>
      <c r="FZ4" s="524"/>
      <c r="GA4" s="524"/>
      <c r="GB4" s="524"/>
      <c r="GC4" s="524"/>
      <c r="GD4" s="524"/>
      <c r="GE4" s="524"/>
      <c r="GF4" s="524"/>
      <c r="GG4" s="524"/>
      <c r="GH4" s="524"/>
      <c r="GI4" s="524"/>
      <c r="GJ4" s="524"/>
      <c r="GK4" s="524"/>
      <c r="GL4" s="524"/>
      <c r="GM4" s="524"/>
      <c r="GN4" s="524"/>
      <c r="GO4" s="524"/>
      <c r="GP4" s="524"/>
      <c r="GQ4" s="524"/>
      <c r="GR4" s="524"/>
      <c r="GS4" s="524"/>
      <c r="GT4" s="524"/>
      <c r="GU4" s="524"/>
      <c r="GV4" s="524"/>
      <c r="GW4" s="524"/>
      <c r="GX4" s="524"/>
      <c r="GY4" s="524"/>
      <c r="GZ4" s="524"/>
      <c r="HA4" s="524"/>
      <c r="HB4" s="524"/>
      <c r="HC4" s="524"/>
      <c r="HD4" s="524"/>
      <c r="HE4" s="524"/>
      <c r="HF4" s="524"/>
      <c r="HG4" s="524"/>
      <c r="HH4" s="524"/>
      <c r="HI4" s="524"/>
      <c r="HJ4" s="524"/>
      <c r="HK4" s="524"/>
      <c r="HL4" s="524"/>
      <c r="HM4" s="524"/>
      <c r="HN4" s="524"/>
      <c r="HO4" s="524"/>
      <c r="HP4" s="524"/>
      <c r="HQ4" s="524"/>
      <c r="HR4" s="524"/>
      <c r="HS4" s="524"/>
      <c r="HT4" s="524"/>
      <c r="HU4" s="524"/>
      <c r="HV4" s="524"/>
      <c r="HW4" s="524"/>
      <c r="HX4" s="524"/>
      <c r="HY4" s="524"/>
      <c r="HZ4" s="524"/>
      <c r="IA4" s="524"/>
      <c r="IB4" s="524"/>
      <c r="IC4" s="524"/>
      <c r="ID4" s="524"/>
      <c r="IE4" s="524"/>
      <c r="IF4" s="524"/>
      <c r="IG4" s="524"/>
      <c r="IH4" s="524"/>
      <c r="II4" s="524"/>
      <c r="IJ4" s="524"/>
      <c r="IK4" s="524"/>
      <c r="IL4" s="524"/>
      <c r="IM4" s="524"/>
      <c r="IN4" s="524"/>
      <c r="IO4" s="524"/>
      <c r="IP4" s="524"/>
      <c r="IQ4" s="524"/>
      <c r="IR4" s="524"/>
    </row>
    <row r="5" spans="1:252" x14ac:dyDescent="0.2">
      <c r="A5" s="499" t="s">
        <v>14</v>
      </c>
      <c r="B5" s="499"/>
      <c r="C5" s="499"/>
      <c r="D5" s="499"/>
      <c r="E5" s="499"/>
      <c r="F5" s="499"/>
      <c r="G5" s="499"/>
      <c r="H5" s="499"/>
      <c r="I5" s="499"/>
      <c r="J5" s="499"/>
      <c r="K5" s="499"/>
      <c r="L5" s="499"/>
      <c r="M5" s="499"/>
      <c r="N5" s="499"/>
      <c r="O5" s="499"/>
      <c r="P5" s="499"/>
      <c r="Q5" s="499"/>
      <c r="R5" s="524"/>
      <c r="S5" s="524"/>
      <c r="T5" s="524"/>
      <c r="U5" s="524"/>
      <c r="V5" s="524"/>
      <c r="W5" s="524"/>
      <c r="X5" s="524"/>
      <c r="Y5" s="524"/>
      <c r="Z5" s="524"/>
      <c r="AA5" s="524"/>
      <c r="AB5" s="524"/>
      <c r="AC5" s="524"/>
      <c r="AD5" s="524"/>
      <c r="AE5" s="524"/>
      <c r="AF5" s="524"/>
      <c r="AG5" s="524"/>
      <c r="AH5" s="524"/>
      <c r="AI5" s="524"/>
      <c r="AJ5" s="524"/>
      <c r="AK5" s="524"/>
      <c r="AL5" s="524"/>
      <c r="AM5" s="524"/>
      <c r="AN5" s="524"/>
      <c r="AO5" s="524"/>
      <c r="AP5" s="524"/>
      <c r="AQ5" s="524"/>
      <c r="AR5" s="524"/>
      <c r="AS5" s="524"/>
      <c r="AT5" s="524"/>
      <c r="AU5" s="524"/>
      <c r="AV5" s="524"/>
      <c r="AW5" s="524"/>
      <c r="AX5" s="524"/>
      <c r="AY5" s="524"/>
      <c r="AZ5" s="524"/>
      <c r="BA5" s="524"/>
      <c r="BB5" s="524"/>
      <c r="BC5" s="524"/>
      <c r="BD5" s="524"/>
      <c r="BE5" s="524"/>
      <c r="BF5" s="524"/>
      <c r="BG5" s="524"/>
      <c r="BH5" s="524"/>
      <c r="BI5" s="524"/>
      <c r="BJ5" s="524"/>
      <c r="BK5" s="524"/>
      <c r="BL5" s="524"/>
      <c r="BM5" s="524"/>
      <c r="BN5" s="524"/>
      <c r="BO5" s="524"/>
      <c r="BP5" s="524"/>
      <c r="BQ5" s="524"/>
      <c r="BR5" s="524"/>
      <c r="BS5" s="524"/>
      <c r="BT5" s="524"/>
      <c r="BU5" s="524"/>
      <c r="BV5" s="524"/>
      <c r="BW5" s="524"/>
      <c r="BX5" s="524"/>
      <c r="BY5" s="524"/>
      <c r="BZ5" s="524"/>
      <c r="CA5" s="524"/>
      <c r="CB5" s="524"/>
      <c r="CC5" s="524"/>
      <c r="CD5" s="524"/>
      <c r="CE5" s="524"/>
      <c r="CF5" s="524"/>
      <c r="CG5" s="524"/>
      <c r="CH5" s="524"/>
      <c r="CI5" s="524"/>
      <c r="CJ5" s="524"/>
      <c r="CK5" s="524"/>
      <c r="CL5" s="524"/>
      <c r="CM5" s="524"/>
      <c r="CN5" s="524"/>
      <c r="CO5" s="524"/>
      <c r="CP5" s="524"/>
      <c r="CQ5" s="524"/>
      <c r="CR5" s="524"/>
      <c r="CS5" s="524"/>
      <c r="CT5" s="524"/>
      <c r="CU5" s="524"/>
      <c r="CV5" s="524"/>
      <c r="CW5" s="524"/>
      <c r="CX5" s="524"/>
      <c r="CY5" s="524"/>
      <c r="CZ5" s="524"/>
      <c r="DA5" s="524"/>
      <c r="DB5" s="524"/>
      <c r="DC5" s="524"/>
      <c r="DD5" s="524"/>
      <c r="DE5" s="524"/>
      <c r="DF5" s="524"/>
      <c r="DG5" s="524"/>
      <c r="DH5" s="524"/>
      <c r="DI5" s="524"/>
      <c r="DJ5" s="524"/>
      <c r="DK5" s="524"/>
      <c r="DL5" s="524"/>
      <c r="DM5" s="524"/>
      <c r="DN5" s="524"/>
      <c r="DO5" s="524"/>
      <c r="DP5" s="524"/>
      <c r="DQ5" s="524"/>
      <c r="DR5" s="524"/>
      <c r="DS5" s="524"/>
      <c r="DT5" s="524"/>
      <c r="DU5" s="524"/>
      <c r="DV5" s="524"/>
      <c r="DW5" s="524"/>
      <c r="DX5" s="524"/>
      <c r="DY5" s="524"/>
      <c r="DZ5" s="524"/>
      <c r="EA5" s="524"/>
      <c r="EB5" s="524"/>
      <c r="EC5" s="524"/>
      <c r="ED5" s="524"/>
      <c r="EE5" s="524"/>
      <c r="EF5" s="524"/>
      <c r="EG5" s="524"/>
      <c r="EH5" s="524"/>
      <c r="EI5" s="524"/>
      <c r="EJ5" s="524"/>
      <c r="EK5" s="524"/>
      <c r="EL5" s="524"/>
      <c r="EM5" s="524"/>
      <c r="EN5" s="524"/>
      <c r="EO5" s="524"/>
      <c r="EP5" s="524"/>
      <c r="EQ5" s="524"/>
      <c r="ER5" s="524"/>
      <c r="ES5" s="524"/>
      <c r="ET5" s="524"/>
      <c r="EU5" s="524"/>
      <c r="EV5" s="524"/>
      <c r="EW5" s="524"/>
      <c r="EX5" s="524"/>
      <c r="EY5" s="524"/>
      <c r="EZ5" s="524"/>
      <c r="FA5" s="524"/>
      <c r="FB5" s="524"/>
      <c r="FC5" s="524"/>
      <c r="FD5" s="524"/>
      <c r="FE5" s="524"/>
      <c r="FF5" s="524"/>
      <c r="FG5" s="524"/>
      <c r="FH5" s="524"/>
      <c r="FI5" s="524"/>
      <c r="FJ5" s="524"/>
      <c r="FK5" s="524"/>
      <c r="FL5" s="524"/>
      <c r="FM5" s="524"/>
      <c r="FN5" s="524"/>
      <c r="FO5" s="524"/>
      <c r="FP5" s="524"/>
      <c r="FQ5" s="524"/>
      <c r="FR5" s="524"/>
      <c r="FS5" s="524"/>
      <c r="FT5" s="524"/>
      <c r="FU5" s="524"/>
      <c r="FV5" s="524"/>
      <c r="FW5" s="524"/>
      <c r="FX5" s="524"/>
      <c r="FY5" s="524"/>
      <c r="FZ5" s="524"/>
      <c r="GA5" s="524"/>
      <c r="GB5" s="524"/>
      <c r="GC5" s="524"/>
      <c r="GD5" s="524"/>
      <c r="GE5" s="524"/>
      <c r="GF5" s="524"/>
      <c r="GG5" s="524"/>
      <c r="GH5" s="524"/>
      <c r="GI5" s="524"/>
      <c r="GJ5" s="524"/>
      <c r="GK5" s="524"/>
      <c r="GL5" s="524"/>
      <c r="GM5" s="524"/>
      <c r="GN5" s="524"/>
      <c r="GO5" s="524"/>
      <c r="GP5" s="524"/>
      <c r="GQ5" s="524"/>
      <c r="GR5" s="524"/>
      <c r="GS5" s="524"/>
      <c r="GT5" s="524"/>
      <c r="GU5" s="524"/>
      <c r="GV5" s="524"/>
      <c r="GW5" s="524"/>
      <c r="GX5" s="524"/>
      <c r="GY5" s="524"/>
      <c r="GZ5" s="524"/>
      <c r="HA5" s="524"/>
      <c r="HB5" s="524"/>
      <c r="HC5" s="524"/>
      <c r="HD5" s="524"/>
      <c r="HE5" s="524"/>
      <c r="HF5" s="524"/>
      <c r="HG5" s="524"/>
      <c r="HH5" s="524"/>
      <c r="HI5" s="524"/>
      <c r="HJ5" s="524"/>
      <c r="HK5" s="524"/>
      <c r="HL5" s="524"/>
      <c r="HM5" s="524"/>
      <c r="HN5" s="524"/>
      <c r="HO5" s="524"/>
      <c r="HP5" s="524"/>
      <c r="HQ5" s="524"/>
      <c r="HR5" s="524"/>
      <c r="HS5" s="524"/>
      <c r="HT5" s="524"/>
      <c r="HU5" s="524"/>
      <c r="HV5" s="524"/>
      <c r="HW5" s="524"/>
      <c r="HX5" s="524"/>
      <c r="HY5" s="524"/>
      <c r="HZ5" s="524"/>
      <c r="IA5" s="524"/>
      <c r="IB5" s="524"/>
      <c r="IC5" s="524"/>
      <c r="ID5" s="524"/>
      <c r="IE5" s="524"/>
      <c r="IF5" s="524"/>
      <c r="IG5" s="524"/>
      <c r="IH5" s="524"/>
      <c r="II5" s="524"/>
      <c r="IJ5" s="524"/>
      <c r="IK5" s="524"/>
      <c r="IL5" s="524"/>
      <c r="IM5" s="524"/>
      <c r="IN5" s="524"/>
      <c r="IO5" s="524"/>
      <c r="IP5" s="524"/>
      <c r="IQ5" s="524"/>
      <c r="IR5" s="524"/>
    </row>
    <row r="6" spans="1:252" ht="21" x14ac:dyDescent="0.2">
      <c r="A6" s="525" t="s">
        <v>17</v>
      </c>
      <c r="B6" s="525"/>
      <c r="C6" s="525"/>
      <c r="D6" s="525"/>
      <c r="E6" s="525"/>
      <c r="F6" s="525"/>
      <c r="G6" s="525"/>
      <c r="H6" s="525"/>
      <c r="I6" s="525"/>
      <c r="J6" s="525"/>
      <c r="K6" s="525"/>
      <c r="L6" s="525"/>
      <c r="M6" s="525"/>
      <c r="N6" s="525"/>
      <c r="O6" s="525"/>
      <c r="P6" s="525"/>
      <c r="Q6" s="525"/>
      <c r="R6" s="524"/>
      <c r="S6" s="524"/>
      <c r="T6" s="524"/>
      <c r="U6" s="524"/>
      <c r="V6" s="524"/>
      <c r="W6" s="524"/>
      <c r="X6" s="524"/>
      <c r="Y6" s="524"/>
      <c r="Z6" s="524"/>
      <c r="AA6" s="524"/>
      <c r="AB6" s="524"/>
      <c r="AC6" s="524"/>
      <c r="AD6" s="524"/>
      <c r="AE6" s="524"/>
      <c r="AF6" s="524"/>
      <c r="AG6" s="524"/>
      <c r="AH6" s="524"/>
      <c r="AI6" s="524"/>
      <c r="AJ6" s="524"/>
      <c r="AK6" s="524"/>
      <c r="AL6" s="524"/>
      <c r="AM6" s="524"/>
      <c r="AN6" s="524"/>
      <c r="AO6" s="524"/>
      <c r="AP6" s="524"/>
      <c r="AQ6" s="524"/>
      <c r="AR6" s="524"/>
      <c r="AS6" s="524"/>
      <c r="AT6" s="524"/>
      <c r="AU6" s="524"/>
      <c r="AV6" s="524"/>
      <c r="AW6" s="524"/>
      <c r="AX6" s="524"/>
      <c r="AY6" s="524"/>
      <c r="AZ6" s="524"/>
      <c r="BA6" s="524"/>
      <c r="BB6" s="524"/>
      <c r="BC6" s="524"/>
      <c r="BD6" s="524"/>
      <c r="BE6" s="524"/>
      <c r="BF6" s="524"/>
      <c r="BG6" s="524"/>
      <c r="BH6" s="524"/>
      <c r="BI6" s="524"/>
      <c r="BJ6" s="524"/>
      <c r="BK6" s="524"/>
      <c r="BL6" s="524"/>
      <c r="BM6" s="524"/>
      <c r="BN6" s="524"/>
      <c r="BO6" s="524"/>
      <c r="BP6" s="524"/>
      <c r="BQ6" s="524"/>
      <c r="BR6" s="524"/>
      <c r="BS6" s="524"/>
      <c r="BT6" s="524"/>
      <c r="BU6" s="524"/>
      <c r="BV6" s="524"/>
      <c r="BW6" s="524"/>
      <c r="BX6" s="524"/>
      <c r="BY6" s="524"/>
      <c r="BZ6" s="524"/>
      <c r="CA6" s="524"/>
      <c r="CB6" s="524"/>
      <c r="CC6" s="524"/>
      <c r="CD6" s="524"/>
      <c r="CE6" s="524"/>
      <c r="CF6" s="524"/>
      <c r="CG6" s="524"/>
      <c r="CH6" s="524"/>
      <c r="CI6" s="524"/>
      <c r="CJ6" s="524"/>
      <c r="CK6" s="524"/>
      <c r="CL6" s="524"/>
      <c r="CM6" s="524"/>
      <c r="CN6" s="524"/>
      <c r="CO6" s="524"/>
      <c r="CP6" s="524"/>
      <c r="CQ6" s="524"/>
      <c r="CR6" s="524"/>
      <c r="CS6" s="524"/>
      <c r="CT6" s="524"/>
      <c r="CU6" s="524"/>
      <c r="CV6" s="524"/>
      <c r="CW6" s="524"/>
      <c r="CX6" s="524"/>
      <c r="CY6" s="524"/>
      <c r="CZ6" s="524"/>
      <c r="DA6" s="524"/>
      <c r="DB6" s="524"/>
      <c r="DC6" s="524"/>
      <c r="DD6" s="524"/>
      <c r="DE6" s="524"/>
      <c r="DF6" s="524"/>
      <c r="DG6" s="524"/>
      <c r="DH6" s="524"/>
      <c r="DI6" s="524"/>
      <c r="DJ6" s="524"/>
      <c r="DK6" s="524"/>
      <c r="DL6" s="524"/>
      <c r="DM6" s="524"/>
      <c r="DN6" s="524"/>
      <c r="DO6" s="524"/>
      <c r="DP6" s="524"/>
      <c r="DQ6" s="524"/>
      <c r="DR6" s="524"/>
      <c r="DS6" s="524"/>
      <c r="DT6" s="524"/>
      <c r="DU6" s="524"/>
      <c r="DV6" s="524"/>
      <c r="DW6" s="524"/>
      <c r="DX6" s="524"/>
      <c r="DY6" s="524"/>
      <c r="DZ6" s="524"/>
      <c r="EA6" s="524"/>
      <c r="EB6" s="524"/>
      <c r="EC6" s="524"/>
      <c r="ED6" s="524"/>
      <c r="EE6" s="524"/>
      <c r="EF6" s="524"/>
      <c r="EG6" s="524"/>
      <c r="EH6" s="524"/>
      <c r="EI6" s="524"/>
      <c r="EJ6" s="524"/>
      <c r="EK6" s="524"/>
      <c r="EL6" s="524"/>
      <c r="EM6" s="524"/>
      <c r="EN6" s="524"/>
      <c r="EO6" s="524"/>
      <c r="EP6" s="524"/>
      <c r="EQ6" s="524"/>
      <c r="ER6" s="524"/>
      <c r="ES6" s="524"/>
      <c r="ET6" s="524"/>
      <c r="EU6" s="524"/>
      <c r="EV6" s="524"/>
      <c r="EW6" s="524"/>
      <c r="EX6" s="524"/>
      <c r="EY6" s="524"/>
      <c r="EZ6" s="524"/>
      <c r="FA6" s="524"/>
      <c r="FB6" s="524"/>
      <c r="FC6" s="524"/>
      <c r="FD6" s="524"/>
      <c r="FE6" s="524"/>
      <c r="FF6" s="524"/>
      <c r="FG6" s="524"/>
      <c r="FH6" s="524"/>
      <c r="FI6" s="524"/>
      <c r="FJ6" s="524"/>
      <c r="FK6" s="524"/>
      <c r="FL6" s="524"/>
      <c r="FM6" s="524"/>
      <c r="FN6" s="524"/>
      <c r="FO6" s="524"/>
      <c r="FP6" s="524"/>
      <c r="FQ6" s="524"/>
      <c r="FR6" s="524"/>
      <c r="FS6" s="524"/>
      <c r="FT6" s="524"/>
      <c r="FU6" s="524"/>
      <c r="FV6" s="524"/>
      <c r="FW6" s="524"/>
      <c r="FX6" s="524"/>
      <c r="FY6" s="524"/>
      <c r="FZ6" s="524"/>
      <c r="GA6" s="524"/>
      <c r="GB6" s="524"/>
      <c r="GC6" s="524"/>
      <c r="GD6" s="524"/>
      <c r="GE6" s="524"/>
      <c r="GF6" s="524"/>
      <c r="GG6" s="524"/>
      <c r="GH6" s="524"/>
      <c r="GI6" s="524"/>
      <c r="GJ6" s="524"/>
      <c r="GK6" s="524"/>
      <c r="GL6" s="524"/>
      <c r="GM6" s="524"/>
      <c r="GN6" s="524"/>
      <c r="GO6" s="524"/>
      <c r="GP6" s="524"/>
      <c r="GQ6" s="524"/>
      <c r="GR6" s="524"/>
      <c r="GS6" s="524"/>
      <c r="GT6" s="524"/>
      <c r="GU6" s="524"/>
      <c r="GV6" s="524"/>
      <c r="GW6" s="524"/>
      <c r="GX6" s="524"/>
      <c r="GY6" s="524"/>
      <c r="GZ6" s="524"/>
      <c r="HA6" s="524"/>
      <c r="HB6" s="524"/>
      <c r="HC6" s="524"/>
      <c r="HD6" s="524"/>
      <c r="HE6" s="524"/>
      <c r="HF6" s="524"/>
      <c r="HG6" s="524"/>
      <c r="HH6" s="524"/>
      <c r="HI6" s="524"/>
      <c r="HJ6" s="524"/>
      <c r="HK6" s="524"/>
      <c r="HL6" s="524"/>
      <c r="HM6" s="524"/>
      <c r="HN6" s="524"/>
      <c r="HO6" s="524"/>
      <c r="HP6" s="524"/>
      <c r="HQ6" s="524"/>
      <c r="HR6" s="524"/>
      <c r="HS6" s="524"/>
      <c r="HT6" s="524"/>
      <c r="HU6" s="524"/>
      <c r="HV6" s="524"/>
      <c r="HW6" s="524"/>
      <c r="HX6" s="524"/>
      <c r="HY6" s="524"/>
      <c r="HZ6" s="524"/>
      <c r="IA6" s="524"/>
      <c r="IB6" s="524"/>
      <c r="IC6" s="524"/>
      <c r="ID6" s="524"/>
      <c r="IE6" s="524"/>
      <c r="IF6" s="524"/>
      <c r="IG6" s="524"/>
      <c r="IH6" s="524"/>
      <c r="II6" s="524"/>
      <c r="IJ6" s="524"/>
      <c r="IK6" s="524"/>
      <c r="IL6" s="524"/>
      <c r="IM6" s="524"/>
      <c r="IN6" s="524"/>
      <c r="IO6" s="524"/>
      <c r="IP6" s="524"/>
      <c r="IQ6" s="524"/>
      <c r="IR6" s="524"/>
    </row>
    <row r="7" spans="1:252" ht="51" x14ac:dyDescent="0.2">
      <c r="A7" s="501" t="s">
        <v>0</v>
      </c>
      <c r="B7" s="502" t="s">
        <v>10</v>
      </c>
      <c r="C7" s="595"/>
      <c r="D7" s="503"/>
      <c r="E7" s="503"/>
      <c r="F7" s="503"/>
      <c r="G7" s="504"/>
      <c r="H7" s="502" t="s">
        <v>322</v>
      </c>
      <c r="I7" s="503"/>
      <c r="J7" s="503"/>
      <c r="K7" s="503"/>
      <c r="L7" s="503"/>
      <c r="M7" s="503"/>
      <c r="N7" s="502" t="s">
        <v>324</v>
      </c>
      <c r="O7" s="503"/>
      <c r="P7" s="503"/>
      <c r="Q7" s="504"/>
      <c r="R7" s="524"/>
      <c r="S7" s="524"/>
      <c r="T7" s="524"/>
      <c r="U7" s="524"/>
      <c r="V7" s="524"/>
      <c r="W7" s="524"/>
      <c r="X7" s="524"/>
      <c r="Y7" s="524"/>
      <c r="Z7" s="524"/>
      <c r="AA7" s="524"/>
      <c r="AB7" s="524"/>
      <c r="AC7" s="524"/>
      <c r="AD7" s="524"/>
      <c r="AE7" s="524"/>
      <c r="AF7" s="524"/>
      <c r="AG7" s="524"/>
      <c r="AH7" s="524"/>
      <c r="AI7" s="524"/>
      <c r="AJ7" s="524"/>
      <c r="AK7" s="524"/>
      <c r="AL7" s="524"/>
      <c r="AM7" s="524"/>
      <c r="AN7" s="524"/>
      <c r="AO7" s="524"/>
      <c r="AP7" s="524"/>
      <c r="AQ7" s="524"/>
      <c r="AR7" s="524"/>
      <c r="AS7" s="524"/>
      <c r="AT7" s="524"/>
      <c r="AU7" s="524"/>
      <c r="AV7" s="524"/>
      <c r="AW7" s="524"/>
      <c r="AX7" s="524"/>
      <c r="AY7" s="524"/>
      <c r="AZ7" s="524"/>
      <c r="BA7" s="524"/>
      <c r="BB7" s="524"/>
      <c r="BC7" s="524"/>
      <c r="BD7" s="524"/>
      <c r="BE7" s="524"/>
      <c r="BF7" s="524"/>
      <c r="BG7" s="524"/>
      <c r="BH7" s="524"/>
      <c r="BI7" s="524"/>
      <c r="BJ7" s="524"/>
      <c r="BK7" s="524"/>
      <c r="BL7" s="524"/>
      <c r="BM7" s="524"/>
      <c r="BN7" s="524"/>
      <c r="BO7" s="524"/>
      <c r="BP7" s="524"/>
      <c r="BQ7" s="524"/>
      <c r="BR7" s="524"/>
      <c r="BS7" s="524"/>
      <c r="BT7" s="524"/>
      <c r="BU7" s="524"/>
      <c r="BV7" s="524"/>
      <c r="BW7" s="524"/>
      <c r="BX7" s="524"/>
      <c r="BY7" s="524"/>
      <c r="BZ7" s="524"/>
      <c r="CA7" s="524"/>
      <c r="CB7" s="524"/>
      <c r="CC7" s="524"/>
      <c r="CD7" s="524"/>
      <c r="CE7" s="524"/>
      <c r="CF7" s="524"/>
      <c r="CG7" s="524"/>
      <c r="CH7" s="524"/>
      <c r="CI7" s="524"/>
      <c r="CJ7" s="524"/>
      <c r="CK7" s="524"/>
      <c r="CL7" s="524"/>
      <c r="CM7" s="524"/>
      <c r="CN7" s="524"/>
      <c r="CO7" s="524"/>
      <c r="CP7" s="524"/>
      <c r="CQ7" s="524"/>
      <c r="CR7" s="524"/>
      <c r="CS7" s="524"/>
      <c r="CT7" s="524"/>
      <c r="CU7" s="524"/>
      <c r="CV7" s="524"/>
      <c r="CW7" s="524"/>
      <c r="CX7" s="524"/>
      <c r="CY7" s="524"/>
      <c r="CZ7" s="524"/>
      <c r="DA7" s="524"/>
      <c r="DB7" s="524"/>
      <c r="DC7" s="524"/>
      <c r="DD7" s="524"/>
      <c r="DE7" s="524"/>
      <c r="DF7" s="524"/>
      <c r="DG7" s="524"/>
      <c r="DH7" s="524"/>
      <c r="DI7" s="524"/>
      <c r="DJ7" s="524"/>
      <c r="DK7" s="524"/>
      <c r="DL7" s="524"/>
      <c r="DM7" s="524"/>
      <c r="DN7" s="524"/>
      <c r="DO7" s="524"/>
      <c r="DP7" s="524"/>
      <c r="DQ7" s="524"/>
      <c r="DR7" s="524"/>
      <c r="DS7" s="524"/>
      <c r="DT7" s="524"/>
      <c r="DU7" s="524"/>
      <c r="DV7" s="524"/>
      <c r="DW7" s="524"/>
      <c r="DX7" s="524"/>
      <c r="DY7" s="524"/>
      <c r="DZ7" s="524"/>
      <c r="EA7" s="524"/>
      <c r="EB7" s="524"/>
      <c r="EC7" s="524"/>
      <c r="ED7" s="524"/>
      <c r="EE7" s="524"/>
      <c r="EF7" s="524"/>
      <c r="EG7" s="524"/>
      <c r="EH7" s="524"/>
      <c r="EI7" s="524"/>
      <c r="EJ7" s="524"/>
      <c r="EK7" s="524"/>
      <c r="EL7" s="524"/>
      <c r="EM7" s="524"/>
      <c r="EN7" s="524"/>
      <c r="EO7" s="524"/>
      <c r="EP7" s="524"/>
      <c r="EQ7" s="524"/>
      <c r="ER7" s="524"/>
      <c r="ES7" s="524"/>
      <c r="ET7" s="524"/>
      <c r="EU7" s="524"/>
      <c r="EV7" s="524"/>
      <c r="EW7" s="524"/>
      <c r="EX7" s="524"/>
      <c r="EY7" s="524"/>
      <c r="EZ7" s="524"/>
      <c r="FA7" s="524"/>
      <c r="FB7" s="524"/>
      <c r="FC7" s="524"/>
      <c r="FD7" s="524"/>
      <c r="FE7" s="524"/>
      <c r="FF7" s="524"/>
      <c r="FG7" s="524"/>
      <c r="FH7" s="524"/>
      <c r="FI7" s="524"/>
      <c r="FJ7" s="524"/>
      <c r="FK7" s="524"/>
      <c r="FL7" s="524"/>
      <c r="FM7" s="524"/>
      <c r="FN7" s="524"/>
      <c r="FO7" s="524"/>
      <c r="FP7" s="524"/>
      <c r="FQ7" s="524"/>
      <c r="FR7" s="524"/>
      <c r="FS7" s="524"/>
      <c r="FT7" s="524"/>
      <c r="FU7" s="524"/>
      <c r="FV7" s="524"/>
      <c r="FW7" s="524"/>
      <c r="FX7" s="524"/>
      <c r="FY7" s="524"/>
      <c r="FZ7" s="524"/>
      <c r="GA7" s="524"/>
      <c r="GB7" s="524"/>
      <c r="GC7" s="524"/>
      <c r="GD7" s="524"/>
      <c r="GE7" s="524"/>
      <c r="GF7" s="524"/>
      <c r="GG7" s="524"/>
      <c r="GH7" s="524"/>
      <c r="GI7" s="524"/>
      <c r="GJ7" s="524"/>
      <c r="GK7" s="524"/>
      <c r="GL7" s="524"/>
      <c r="GM7" s="524"/>
      <c r="GN7" s="524"/>
      <c r="GO7" s="524"/>
      <c r="GP7" s="524"/>
      <c r="GQ7" s="524"/>
      <c r="GR7" s="524"/>
      <c r="GS7" s="524"/>
      <c r="GT7" s="524"/>
      <c r="GU7" s="524"/>
      <c r="GV7" s="524"/>
      <c r="GW7" s="524"/>
      <c r="GX7" s="524"/>
      <c r="GY7" s="524"/>
      <c r="GZ7" s="524"/>
      <c r="HA7" s="524"/>
      <c r="HB7" s="524"/>
      <c r="HC7" s="524"/>
      <c r="HD7" s="524"/>
      <c r="HE7" s="524"/>
      <c r="HF7" s="524"/>
      <c r="HG7" s="524"/>
      <c r="HH7" s="524"/>
      <c r="HI7" s="524"/>
      <c r="HJ7" s="524"/>
      <c r="HK7" s="524"/>
      <c r="HL7" s="524"/>
      <c r="HM7" s="524"/>
      <c r="HN7" s="524"/>
      <c r="HO7" s="524"/>
      <c r="HP7" s="524"/>
      <c r="HQ7" s="524"/>
      <c r="HR7" s="524"/>
      <c r="HS7" s="524"/>
      <c r="HT7" s="524"/>
      <c r="HU7" s="524"/>
      <c r="HV7" s="524"/>
      <c r="HW7" s="524"/>
      <c r="HX7" s="524"/>
      <c r="HY7" s="524"/>
      <c r="HZ7" s="524"/>
      <c r="IA7" s="524"/>
      <c r="IB7" s="524"/>
      <c r="IC7" s="524"/>
      <c r="ID7" s="524"/>
      <c r="IE7" s="524"/>
      <c r="IF7" s="524"/>
      <c r="IG7" s="524"/>
      <c r="IH7" s="524"/>
      <c r="II7" s="524"/>
      <c r="IJ7" s="524"/>
      <c r="IK7" s="524"/>
      <c r="IL7" s="524"/>
      <c r="IM7" s="524"/>
      <c r="IN7" s="524"/>
      <c r="IO7" s="524"/>
      <c r="IP7" s="524"/>
      <c r="IQ7" s="524"/>
      <c r="IR7" s="524"/>
    </row>
    <row r="8" spans="1:252" ht="204" x14ac:dyDescent="0.2">
      <c r="A8" s="505"/>
      <c r="B8" s="506" t="s">
        <v>4</v>
      </c>
      <c r="C8" s="506" t="s">
        <v>1</v>
      </c>
      <c r="D8" s="506" t="s">
        <v>3</v>
      </c>
      <c r="E8" s="506" t="s">
        <v>2</v>
      </c>
      <c r="F8" s="506" t="s">
        <v>6</v>
      </c>
      <c r="G8" s="506" t="s">
        <v>5</v>
      </c>
      <c r="H8" s="506" t="s">
        <v>7</v>
      </c>
      <c r="I8" s="507" t="s">
        <v>8</v>
      </c>
      <c r="J8" s="507" t="s">
        <v>9</v>
      </c>
      <c r="K8" s="508" t="s">
        <v>11</v>
      </c>
      <c r="L8" s="508" t="s">
        <v>12</v>
      </c>
      <c r="M8" s="508" t="s">
        <v>13</v>
      </c>
      <c r="N8" s="507" t="s">
        <v>9</v>
      </c>
      <c r="O8" s="508" t="s">
        <v>11</v>
      </c>
      <c r="P8" s="508" t="s">
        <v>12</v>
      </c>
      <c r="Q8" s="509" t="s">
        <v>13</v>
      </c>
      <c r="R8" s="524"/>
      <c r="S8" s="524"/>
      <c r="T8" s="524"/>
      <c r="U8" s="524"/>
      <c r="V8" s="524"/>
      <c r="W8" s="524"/>
      <c r="X8" s="524"/>
      <c r="Y8" s="524"/>
      <c r="Z8" s="524"/>
      <c r="AA8" s="524"/>
      <c r="AB8" s="524"/>
      <c r="AC8" s="524"/>
      <c r="AD8" s="524"/>
      <c r="AE8" s="524"/>
      <c r="AF8" s="524"/>
      <c r="AG8" s="524"/>
      <c r="AH8" s="524"/>
      <c r="AI8" s="524"/>
      <c r="AJ8" s="524"/>
      <c r="AK8" s="524"/>
      <c r="AL8" s="524"/>
      <c r="AM8" s="524"/>
      <c r="AN8" s="524"/>
      <c r="AO8" s="524"/>
      <c r="AP8" s="524"/>
      <c r="AQ8" s="524"/>
      <c r="AR8" s="524"/>
      <c r="AS8" s="524"/>
      <c r="AT8" s="524"/>
      <c r="AU8" s="524"/>
      <c r="AV8" s="524"/>
      <c r="AW8" s="524"/>
      <c r="AX8" s="524"/>
      <c r="AY8" s="524"/>
      <c r="AZ8" s="524"/>
      <c r="BA8" s="524"/>
      <c r="BB8" s="524"/>
      <c r="BC8" s="524"/>
      <c r="BD8" s="524"/>
      <c r="BE8" s="524"/>
      <c r="BF8" s="524"/>
      <c r="BG8" s="524"/>
      <c r="BH8" s="524"/>
      <c r="BI8" s="524"/>
      <c r="BJ8" s="524"/>
      <c r="BK8" s="524"/>
      <c r="BL8" s="524"/>
      <c r="BM8" s="524"/>
      <c r="BN8" s="524"/>
      <c r="BO8" s="524"/>
      <c r="BP8" s="524"/>
      <c r="BQ8" s="524"/>
      <c r="BR8" s="524"/>
      <c r="BS8" s="524"/>
      <c r="BT8" s="524"/>
      <c r="BU8" s="524"/>
      <c r="BV8" s="524"/>
      <c r="BW8" s="524"/>
      <c r="BX8" s="524"/>
      <c r="BY8" s="524"/>
      <c r="BZ8" s="524"/>
      <c r="CA8" s="524"/>
      <c r="CB8" s="524"/>
      <c r="CC8" s="524"/>
      <c r="CD8" s="524"/>
      <c r="CE8" s="524"/>
      <c r="CF8" s="524"/>
      <c r="CG8" s="524"/>
      <c r="CH8" s="524"/>
      <c r="CI8" s="524"/>
      <c r="CJ8" s="524"/>
      <c r="CK8" s="524"/>
      <c r="CL8" s="524"/>
      <c r="CM8" s="524"/>
      <c r="CN8" s="524"/>
      <c r="CO8" s="524"/>
      <c r="CP8" s="524"/>
      <c r="CQ8" s="524"/>
      <c r="CR8" s="524"/>
      <c r="CS8" s="524"/>
      <c r="CT8" s="524"/>
      <c r="CU8" s="524"/>
      <c r="CV8" s="524"/>
      <c r="CW8" s="524"/>
      <c r="CX8" s="524"/>
      <c r="CY8" s="524"/>
      <c r="CZ8" s="524"/>
      <c r="DA8" s="524"/>
      <c r="DB8" s="524"/>
      <c r="DC8" s="524"/>
      <c r="DD8" s="524"/>
      <c r="DE8" s="524"/>
      <c r="DF8" s="524"/>
      <c r="DG8" s="524"/>
      <c r="DH8" s="524"/>
      <c r="DI8" s="524"/>
      <c r="DJ8" s="524"/>
      <c r="DK8" s="524"/>
      <c r="DL8" s="524"/>
      <c r="DM8" s="524"/>
      <c r="DN8" s="524"/>
      <c r="DO8" s="524"/>
      <c r="DP8" s="524"/>
      <c r="DQ8" s="524"/>
      <c r="DR8" s="524"/>
      <c r="DS8" s="524"/>
      <c r="DT8" s="524"/>
      <c r="DU8" s="524"/>
      <c r="DV8" s="524"/>
      <c r="DW8" s="524"/>
      <c r="DX8" s="524"/>
      <c r="DY8" s="524"/>
      <c r="DZ8" s="524"/>
      <c r="EA8" s="524"/>
      <c r="EB8" s="524"/>
      <c r="EC8" s="524"/>
      <c r="ED8" s="524"/>
      <c r="EE8" s="524"/>
      <c r="EF8" s="524"/>
      <c r="EG8" s="524"/>
      <c r="EH8" s="524"/>
      <c r="EI8" s="524"/>
      <c r="EJ8" s="524"/>
      <c r="EK8" s="524"/>
      <c r="EL8" s="524"/>
      <c r="EM8" s="524"/>
      <c r="EN8" s="524"/>
      <c r="EO8" s="524"/>
      <c r="EP8" s="524"/>
      <c r="EQ8" s="524"/>
      <c r="ER8" s="524"/>
      <c r="ES8" s="524"/>
      <c r="ET8" s="524"/>
      <c r="EU8" s="524"/>
      <c r="EV8" s="524"/>
      <c r="EW8" s="524"/>
      <c r="EX8" s="524"/>
      <c r="EY8" s="524"/>
      <c r="EZ8" s="524"/>
      <c r="FA8" s="524"/>
      <c r="FB8" s="524"/>
      <c r="FC8" s="524"/>
      <c r="FD8" s="524"/>
      <c r="FE8" s="524"/>
      <c r="FF8" s="524"/>
      <c r="FG8" s="524"/>
      <c r="FH8" s="524"/>
      <c r="FI8" s="524"/>
      <c r="FJ8" s="524"/>
      <c r="FK8" s="524"/>
      <c r="FL8" s="524"/>
      <c r="FM8" s="524"/>
      <c r="FN8" s="524"/>
      <c r="FO8" s="524"/>
      <c r="FP8" s="524"/>
      <c r="FQ8" s="524"/>
      <c r="FR8" s="524"/>
      <c r="FS8" s="524"/>
      <c r="FT8" s="524"/>
      <c r="FU8" s="524"/>
      <c r="FV8" s="524"/>
      <c r="FW8" s="524"/>
      <c r="FX8" s="524"/>
      <c r="FY8" s="524"/>
      <c r="FZ8" s="524"/>
      <c r="GA8" s="524"/>
      <c r="GB8" s="524"/>
      <c r="GC8" s="524"/>
      <c r="GD8" s="524"/>
      <c r="GE8" s="524"/>
      <c r="GF8" s="524"/>
      <c r="GG8" s="524"/>
      <c r="GH8" s="524"/>
      <c r="GI8" s="524"/>
      <c r="GJ8" s="524"/>
      <c r="GK8" s="524"/>
      <c r="GL8" s="524"/>
      <c r="GM8" s="524"/>
      <c r="GN8" s="524"/>
      <c r="GO8" s="524"/>
      <c r="GP8" s="524"/>
      <c r="GQ8" s="524"/>
      <c r="GR8" s="524"/>
      <c r="GS8" s="524"/>
      <c r="GT8" s="524"/>
      <c r="GU8" s="524"/>
      <c r="GV8" s="524"/>
      <c r="GW8" s="524"/>
      <c r="GX8" s="524"/>
      <c r="GY8" s="524"/>
      <c r="GZ8" s="524"/>
      <c r="HA8" s="524"/>
      <c r="HB8" s="524"/>
      <c r="HC8" s="524"/>
      <c r="HD8" s="524"/>
      <c r="HE8" s="524"/>
      <c r="HF8" s="524"/>
      <c r="HG8" s="524"/>
      <c r="HH8" s="524"/>
      <c r="HI8" s="524"/>
      <c r="HJ8" s="524"/>
      <c r="HK8" s="524"/>
      <c r="HL8" s="524"/>
      <c r="HM8" s="524"/>
      <c r="HN8" s="524"/>
      <c r="HO8" s="524"/>
      <c r="HP8" s="524"/>
      <c r="HQ8" s="524"/>
      <c r="HR8" s="524"/>
      <c r="HS8" s="524"/>
      <c r="HT8" s="524"/>
      <c r="HU8" s="524"/>
      <c r="HV8" s="524"/>
      <c r="HW8" s="524"/>
      <c r="HX8" s="524"/>
      <c r="HY8" s="524"/>
      <c r="HZ8" s="524"/>
      <c r="IA8" s="524"/>
      <c r="IB8" s="524"/>
      <c r="IC8" s="524"/>
      <c r="ID8" s="524"/>
      <c r="IE8" s="524"/>
      <c r="IF8" s="524"/>
      <c r="IG8" s="524"/>
      <c r="IH8" s="524"/>
      <c r="II8" s="524"/>
      <c r="IJ8" s="524"/>
      <c r="IK8" s="524"/>
      <c r="IL8" s="524"/>
      <c r="IM8" s="524"/>
      <c r="IN8" s="524"/>
      <c r="IO8" s="524"/>
      <c r="IP8" s="524"/>
      <c r="IQ8" s="524"/>
      <c r="IR8" s="524"/>
    </row>
    <row r="9" spans="1:252" ht="15.75" customHeight="1" x14ac:dyDescent="0.2">
      <c r="A9" s="529">
        <v>1</v>
      </c>
      <c r="B9" s="529" t="s">
        <v>159</v>
      </c>
      <c r="C9" s="516" t="s">
        <v>62</v>
      </c>
      <c r="D9" s="529" t="s">
        <v>63</v>
      </c>
      <c r="E9" s="529" t="s">
        <v>121</v>
      </c>
      <c r="F9" s="529" t="s">
        <v>160</v>
      </c>
      <c r="G9" s="510" t="s">
        <v>670</v>
      </c>
      <c r="H9" s="529">
        <v>3</v>
      </c>
      <c r="I9" s="529">
        <v>3</v>
      </c>
      <c r="J9" s="529">
        <v>3</v>
      </c>
      <c r="K9" s="529">
        <v>1493.3</v>
      </c>
      <c r="L9" s="529">
        <v>1493.3</v>
      </c>
      <c r="M9" s="529">
        <v>0</v>
      </c>
      <c r="N9" s="529">
        <v>9</v>
      </c>
      <c r="O9" s="529">
        <v>26421.62</v>
      </c>
      <c r="P9" s="529">
        <v>26421.62</v>
      </c>
      <c r="Q9" s="529">
        <v>0</v>
      </c>
    </row>
    <row r="10" spans="1:252" ht="15.75" customHeight="1" x14ac:dyDescent="0.2">
      <c r="A10" s="529">
        <v>2</v>
      </c>
      <c r="B10" s="529" t="s">
        <v>95</v>
      </c>
      <c r="C10" s="516" t="s">
        <v>62</v>
      </c>
      <c r="D10" s="529" t="s">
        <v>63</v>
      </c>
      <c r="E10" s="529" t="s">
        <v>74</v>
      </c>
      <c r="F10" s="529" t="s">
        <v>161</v>
      </c>
      <c r="G10" s="510" t="s">
        <v>670</v>
      </c>
      <c r="H10" s="529">
        <v>54</v>
      </c>
      <c r="I10" s="529">
        <v>49</v>
      </c>
      <c r="J10" s="529">
        <v>66</v>
      </c>
      <c r="K10" s="529">
        <v>77731.58</v>
      </c>
      <c r="L10" s="529">
        <v>75145.89</v>
      </c>
      <c r="M10" s="529">
        <v>2585.69</v>
      </c>
      <c r="N10" s="529">
        <v>31</v>
      </c>
      <c r="O10" s="529">
        <v>98356.77</v>
      </c>
      <c r="P10" s="529">
        <v>93401.69</v>
      </c>
      <c r="Q10" s="529">
        <v>4955.08</v>
      </c>
    </row>
    <row r="11" spans="1:252" ht="15.75" customHeight="1" x14ac:dyDescent="0.2">
      <c r="A11" s="529">
        <v>3</v>
      </c>
      <c r="B11" s="529" t="s">
        <v>684</v>
      </c>
      <c r="C11" s="516" t="s">
        <v>64</v>
      </c>
      <c r="D11" s="529" t="s">
        <v>486</v>
      </c>
      <c r="E11" s="529" t="s">
        <v>174</v>
      </c>
      <c r="F11" s="529" t="s">
        <v>685</v>
      </c>
      <c r="G11" s="510" t="s">
        <v>670</v>
      </c>
      <c r="H11" s="529">
        <v>9</v>
      </c>
      <c r="I11" s="529">
        <v>4</v>
      </c>
      <c r="J11" s="529">
        <v>4</v>
      </c>
      <c r="K11" s="529">
        <v>0</v>
      </c>
      <c r="L11" s="529">
        <v>0</v>
      </c>
      <c r="M11" s="529">
        <v>0</v>
      </c>
      <c r="N11" s="529">
        <v>0</v>
      </c>
      <c r="O11" s="529">
        <v>0</v>
      </c>
      <c r="P11" s="529">
        <v>0</v>
      </c>
      <c r="Q11" s="529">
        <v>0</v>
      </c>
    </row>
    <row r="12" spans="1:252" ht="15.75" customHeight="1" x14ac:dyDescent="0.2">
      <c r="A12" s="529">
        <v>4</v>
      </c>
      <c r="B12" s="529" t="s">
        <v>541</v>
      </c>
      <c r="C12" s="516" t="s">
        <v>62</v>
      </c>
      <c r="D12" s="529"/>
      <c r="E12" s="529" t="s">
        <v>177</v>
      </c>
      <c r="F12" s="529" t="s">
        <v>542</v>
      </c>
      <c r="G12" s="510" t="s">
        <v>670</v>
      </c>
      <c r="H12" s="529">
        <v>30</v>
      </c>
      <c r="I12" s="529">
        <v>24</v>
      </c>
      <c r="J12" s="529">
        <v>34</v>
      </c>
      <c r="K12" s="529">
        <v>16190.58</v>
      </c>
      <c r="L12" s="529">
        <v>16190.58</v>
      </c>
      <c r="M12" s="529">
        <v>0</v>
      </c>
      <c r="N12" s="529">
        <v>0</v>
      </c>
      <c r="O12" s="529">
        <v>0</v>
      </c>
      <c r="P12" s="529">
        <v>0</v>
      </c>
      <c r="Q12" s="529">
        <v>0</v>
      </c>
    </row>
    <row r="13" spans="1:252" ht="15.75" customHeight="1" x14ac:dyDescent="0.2">
      <c r="A13" s="529">
        <v>5</v>
      </c>
      <c r="B13" s="529" t="s">
        <v>628</v>
      </c>
      <c r="C13" s="516" t="s">
        <v>62</v>
      </c>
      <c r="D13" s="529"/>
      <c r="E13" s="529" t="s">
        <v>174</v>
      </c>
      <c r="F13" s="529" t="s">
        <v>653</v>
      </c>
      <c r="G13" s="510" t="s">
        <v>670</v>
      </c>
      <c r="H13" s="529">
        <v>10</v>
      </c>
      <c r="I13" s="529">
        <v>9</v>
      </c>
      <c r="J13" s="529">
        <v>10</v>
      </c>
      <c r="K13" s="529">
        <v>0</v>
      </c>
      <c r="L13" s="529">
        <v>0</v>
      </c>
      <c r="M13" s="529">
        <v>0</v>
      </c>
      <c r="N13" s="529">
        <v>0</v>
      </c>
      <c r="O13" s="529">
        <v>0</v>
      </c>
      <c r="P13" s="529">
        <v>0</v>
      </c>
      <c r="Q13" s="529">
        <v>0</v>
      </c>
    </row>
    <row r="14" spans="1:252" ht="15.75" customHeight="1" x14ac:dyDescent="0.2">
      <c r="A14" s="529">
        <v>6</v>
      </c>
      <c r="B14" s="529" t="s">
        <v>18</v>
      </c>
      <c r="C14" s="516" t="s">
        <v>62</v>
      </c>
      <c r="D14" s="529" t="s">
        <v>63</v>
      </c>
      <c r="E14" s="529" t="s">
        <v>70</v>
      </c>
      <c r="F14" s="529" t="s">
        <v>565</v>
      </c>
      <c r="G14" s="510" t="s">
        <v>670</v>
      </c>
      <c r="H14" s="529">
        <v>6</v>
      </c>
      <c r="I14" s="529">
        <v>1</v>
      </c>
      <c r="J14" s="529">
        <v>1</v>
      </c>
      <c r="K14" s="529">
        <v>3936.79</v>
      </c>
      <c r="L14" s="529">
        <v>3936.79</v>
      </c>
      <c r="M14" s="529">
        <v>0</v>
      </c>
      <c r="N14" s="529">
        <v>2</v>
      </c>
      <c r="O14" s="529">
        <v>3205.88</v>
      </c>
      <c r="P14" s="529">
        <v>3205.88</v>
      </c>
      <c r="Q14" s="529">
        <v>0</v>
      </c>
    </row>
    <row r="15" spans="1:252" ht="15.75" customHeight="1" x14ac:dyDescent="0.2">
      <c r="A15" s="529">
        <v>7</v>
      </c>
      <c r="B15" s="529" t="s">
        <v>19</v>
      </c>
      <c r="C15" s="516" t="s">
        <v>62</v>
      </c>
      <c r="D15" s="529" t="s">
        <v>63</v>
      </c>
      <c r="E15" s="529" t="s">
        <v>71</v>
      </c>
      <c r="F15" s="529" t="s">
        <v>162</v>
      </c>
      <c r="G15" s="510" t="s">
        <v>670</v>
      </c>
      <c r="H15" s="529">
        <v>123</v>
      </c>
      <c r="I15" s="529">
        <v>107</v>
      </c>
      <c r="J15" s="529">
        <v>141</v>
      </c>
      <c r="K15" s="529">
        <v>139338.70000000001</v>
      </c>
      <c r="L15" s="529">
        <v>127395.25</v>
      </c>
      <c r="M15" s="529">
        <v>11943.45</v>
      </c>
      <c r="N15" s="529">
        <v>32</v>
      </c>
      <c r="O15" s="529">
        <v>69551</v>
      </c>
      <c r="P15" s="529">
        <v>63610.01</v>
      </c>
      <c r="Q15" s="529">
        <v>5940.99</v>
      </c>
    </row>
    <row r="16" spans="1:252" ht="15.75" customHeight="1" x14ac:dyDescent="0.2">
      <c r="A16" s="529">
        <v>8</v>
      </c>
      <c r="B16" s="529" t="s">
        <v>672</v>
      </c>
      <c r="C16" s="516" t="s">
        <v>62</v>
      </c>
      <c r="D16" s="529"/>
      <c r="E16" s="529" t="s">
        <v>158</v>
      </c>
      <c r="F16" s="529" t="s">
        <v>673</v>
      </c>
      <c r="G16" s="510" t="s">
        <v>670</v>
      </c>
      <c r="H16" s="529">
        <v>0</v>
      </c>
      <c r="I16" s="529">
        <v>0</v>
      </c>
      <c r="J16" s="529">
        <v>0</v>
      </c>
      <c r="K16" s="529">
        <v>0</v>
      </c>
      <c r="L16" s="529">
        <v>0</v>
      </c>
      <c r="M16" s="529">
        <v>0</v>
      </c>
      <c r="N16" s="529">
        <v>1</v>
      </c>
      <c r="O16" s="529">
        <v>5462.2</v>
      </c>
      <c r="P16" s="529">
        <v>5462.2</v>
      </c>
      <c r="Q16" s="529">
        <v>0</v>
      </c>
    </row>
    <row r="17" spans="1:17" ht="15.75" customHeight="1" x14ac:dyDescent="0.2">
      <c r="A17" s="529">
        <v>9</v>
      </c>
      <c r="B17" s="529" t="s">
        <v>20</v>
      </c>
      <c r="C17" s="516" t="s">
        <v>62</v>
      </c>
      <c r="D17" s="529" t="s">
        <v>63</v>
      </c>
      <c r="E17" s="529" t="s">
        <v>72</v>
      </c>
      <c r="F17" s="529" t="s">
        <v>163</v>
      </c>
      <c r="G17" s="510" t="s">
        <v>670</v>
      </c>
      <c r="H17" s="529">
        <v>0</v>
      </c>
      <c r="I17" s="529">
        <v>0</v>
      </c>
      <c r="J17" s="529">
        <v>0</v>
      </c>
      <c r="K17" s="529">
        <v>0</v>
      </c>
      <c r="L17" s="529">
        <v>0</v>
      </c>
      <c r="M17" s="529">
        <v>0</v>
      </c>
      <c r="N17" s="529">
        <v>0</v>
      </c>
      <c r="O17" s="529">
        <v>6138.73</v>
      </c>
      <c r="P17" s="529">
        <v>6138.73</v>
      </c>
      <c r="Q17" s="529">
        <v>0</v>
      </c>
    </row>
    <row r="18" spans="1:17" ht="15.75" customHeight="1" x14ac:dyDescent="0.2">
      <c r="A18" s="529">
        <v>10</v>
      </c>
      <c r="B18" s="529" t="s">
        <v>100</v>
      </c>
      <c r="C18" s="516" t="s">
        <v>62</v>
      </c>
      <c r="D18" s="529" t="s">
        <v>63</v>
      </c>
      <c r="E18" s="529" t="s">
        <v>101</v>
      </c>
      <c r="F18" s="529" t="s">
        <v>164</v>
      </c>
      <c r="G18" s="510" t="s">
        <v>670</v>
      </c>
      <c r="H18" s="529">
        <v>18</v>
      </c>
      <c r="I18" s="529">
        <v>14</v>
      </c>
      <c r="J18" s="529">
        <v>20</v>
      </c>
      <c r="K18" s="529">
        <v>28244.77</v>
      </c>
      <c r="L18" s="529">
        <v>28244.77</v>
      </c>
      <c r="M18" s="529">
        <v>0</v>
      </c>
      <c r="N18" s="529">
        <v>13</v>
      </c>
      <c r="O18" s="529">
        <v>40292.959999999999</v>
      </c>
      <c r="P18" s="529">
        <v>40292.959999999999</v>
      </c>
      <c r="Q18" s="529">
        <v>0</v>
      </c>
    </row>
    <row r="19" spans="1:17" ht="15.75" customHeight="1" x14ac:dyDescent="0.2">
      <c r="A19" s="529">
        <v>11</v>
      </c>
      <c r="B19" s="529" t="s">
        <v>86</v>
      </c>
      <c r="C19" s="516" t="s">
        <v>62</v>
      </c>
      <c r="D19" s="529" t="s">
        <v>63</v>
      </c>
      <c r="E19" s="529" t="s">
        <v>74</v>
      </c>
      <c r="F19" s="529" t="s">
        <v>165</v>
      </c>
      <c r="G19" s="510" t="s">
        <v>670</v>
      </c>
      <c r="H19" s="529">
        <v>53</v>
      </c>
      <c r="I19" s="529">
        <v>33</v>
      </c>
      <c r="J19" s="529">
        <v>36</v>
      </c>
      <c r="K19" s="529">
        <v>26897.93</v>
      </c>
      <c r="L19" s="529">
        <v>26897.93</v>
      </c>
      <c r="M19" s="529">
        <v>0</v>
      </c>
      <c r="N19" s="529">
        <v>23</v>
      </c>
      <c r="O19" s="529">
        <v>58714.67</v>
      </c>
      <c r="P19" s="529">
        <v>58714.67</v>
      </c>
      <c r="Q19" s="529">
        <v>0</v>
      </c>
    </row>
    <row r="20" spans="1:17" ht="15.75" customHeight="1" x14ac:dyDescent="0.2">
      <c r="A20" s="529">
        <v>12</v>
      </c>
      <c r="B20" s="529" t="s">
        <v>166</v>
      </c>
      <c r="C20" s="516" t="s">
        <v>62</v>
      </c>
      <c r="D20" s="529"/>
      <c r="E20" s="529" t="s">
        <v>63</v>
      </c>
      <c r="F20" s="529" t="s">
        <v>167</v>
      </c>
      <c r="G20" s="510" t="s">
        <v>670</v>
      </c>
      <c r="H20" s="529">
        <v>21</v>
      </c>
      <c r="I20" s="529">
        <v>16</v>
      </c>
      <c r="J20" s="529">
        <v>17</v>
      </c>
      <c r="K20" s="529">
        <v>12377.17</v>
      </c>
      <c r="L20" s="529">
        <v>12377.17</v>
      </c>
      <c r="M20" s="529">
        <v>0</v>
      </c>
      <c r="N20" s="529">
        <v>0</v>
      </c>
      <c r="O20" s="529">
        <v>0</v>
      </c>
      <c r="P20" s="529">
        <v>0</v>
      </c>
      <c r="Q20" s="529">
        <v>0</v>
      </c>
    </row>
    <row r="21" spans="1:17" ht="15.75" customHeight="1" x14ac:dyDescent="0.2">
      <c r="A21" s="529">
        <v>13</v>
      </c>
      <c r="B21" s="529" t="s">
        <v>168</v>
      </c>
      <c r="C21" s="516" t="s">
        <v>62</v>
      </c>
      <c r="D21" s="529"/>
      <c r="E21" s="529" t="s">
        <v>63</v>
      </c>
      <c r="F21" s="529" t="s">
        <v>169</v>
      </c>
      <c r="G21" s="510" t="s">
        <v>670</v>
      </c>
      <c r="H21" s="529">
        <v>49</v>
      </c>
      <c r="I21" s="529">
        <v>44</v>
      </c>
      <c r="J21" s="529">
        <v>54</v>
      </c>
      <c r="K21" s="529">
        <v>35849.160000000003</v>
      </c>
      <c r="L21" s="529">
        <v>35849.160000000003</v>
      </c>
      <c r="M21" s="529">
        <v>0</v>
      </c>
      <c r="N21" s="529">
        <v>0</v>
      </c>
      <c r="O21" s="529">
        <v>0</v>
      </c>
      <c r="P21" s="529">
        <v>0</v>
      </c>
      <c r="Q21" s="529">
        <v>0</v>
      </c>
    </row>
    <row r="22" spans="1:17" ht="15.75" customHeight="1" x14ac:dyDescent="0.2">
      <c r="A22" s="529">
        <v>14</v>
      </c>
      <c r="B22" s="529" t="s">
        <v>21</v>
      </c>
      <c r="C22" s="516" t="s">
        <v>62</v>
      </c>
      <c r="D22" s="529" t="s">
        <v>63</v>
      </c>
      <c r="E22" s="529" t="s">
        <v>73</v>
      </c>
      <c r="F22" s="529" t="s">
        <v>170</v>
      </c>
      <c r="G22" s="510" t="s">
        <v>670</v>
      </c>
      <c r="H22" s="529">
        <v>56</v>
      </c>
      <c r="I22" s="529">
        <v>51</v>
      </c>
      <c r="J22" s="529">
        <v>60</v>
      </c>
      <c r="K22" s="529">
        <v>63779.16</v>
      </c>
      <c r="L22" s="529">
        <v>63779.16</v>
      </c>
      <c r="M22" s="529">
        <v>0</v>
      </c>
      <c r="N22" s="529">
        <v>42</v>
      </c>
      <c r="O22" s="529">
        <v>148889.4</v>
      </c>
      <c r="P22" s="529">
        <v>148889.4</v>
      </c>
      <c r="Q22" s="529">
        <v>0</v>
      </c>
    </row>
    <row r="23" spans="1:17" ht="15.75" customHeight="1" x14ac:dyDescent="0.2">
      <c r="A23" s="529">
        <v>15</v>
      </c>
      <c r="B23" s="529" t="s">
        <v>22</v>
      </c>
      <c r="C23" s="516" t="s">
        <v>62</v>
      </c>
      <c r="D23" s="529" t="s">
        <v>63</v>
      </c>
      <c r="E23" s="529" t="s">
        <v>74</v>
      </c>
      <c r="F23" s="529" t="s">
        <v>171</v>
      </c>
      <c r="G23" s="510" t="s">
        <v>670</v>
      </c>
      <c r="H23" s="529">
        <v>47</v>
      </c>
      <c r="I23" s="529">
        <v>39</v>
      </c>
      <c r="J23" s="529">
        <v>54</v>
      </c>
      <c r="K23" s="529">
        <v>53100.33</v>
      </c>
      <c r="L23" s="529">
        <v>53100.33</v>
      </c>
      <c r="M23" s="529">
        <v>0</v>
      </c>
      <c r="N23" s="529">
        <v>45</v>
      </c>
      <c r="O23" s="529">
        <v>101080.14</v>
      </c>
      <c r="P23" s="529">
        <v>101080.14</v>
      </c>
      <c r="Q23" s="529">
        <v>0</v>
      </c>
    </row>
    <row r="24" spans="1:17" ht="15.75" customHeight="1" x14ac:dyDescent="0.2">
      <c r="A24" s="529">
        <v>16</v>
      </c>
      <c r="B24" s="529" t="s">
        <v>24</v>
      </c>
      <c r="C24" s="516" t="s">
        <v>62</v>
      </c>
      <c r="D24" s="529" t="s">
        <v>63</v>
      </c>
      <c r="E24" s="529" t="s">
        <v>74</v>
      </c>
      <c r="F24" s="529" t="s">
        <v>172</v>
      </c>
      <c r="G24" s="510" t="s">
        <v>670</v>
      </c>
      <c r="H24" s="529">
        <v>63</v>
      </c>
      <c r="I24" s="529">
        <v>55</v>
      </c>
      <c r="J24" s="529">
        <v>70</v>
      </c>
      <c r="K24" s="529">
        <v>43142.82</v>
      </c>
      <c r="L24" s="529">
        <v>43142.82</v>
      </c>
      <c r="M24" s="529">
        <v>0</v>
      </c>
      <c r="N24" s="529">
        <v>32</v>
      </c>
      <c r="O24" s="529">
        <v>91426.1</v>
      </c>
      <c r="P24" s="529">
        <v>91426.1</v>
      </c>
      <c r="Q24" s="529">
        <v>0</v>
      </c>
    </row>
    <row r="25" spans="1:17" ht="15.75" customHeight="1" x14ac:dyDescent="0.2">
      <c r="A25" s="529">
        <v>17</v>
      </c>
      <c r="B25" s="529" t="s">
        <v>102</v>
      </c>
      <c r="C25" s="516" t="s">
        <v>67</v>
      </c>
      <c r="D25" s="529" t="s">
        <v>594</v>
      </c>
      <c r="E25" s="529" t="s">
        <v>74</v>
      </c>
      <c r="F25" s="529" t="s">
        <v>477</v>
      </c>
      <c r="G25" s="510" t="s">
        <v>670</v>
      </c>
      <c r="H25" s="529">
        <v>5</v>
      </c>
      <c r="I25" s="529">
        <v>1</v>
      </c>
      <c r="J25" s="529">
        <v>1</v>
      </c>
      <c r="K25" s="529">
        <v>528.6</v>
      </c>
      <c r="L25" s="529">
        <v>528.6</v>
      </c>
      <c r="M25" s="529">
        <v>0</v>
      </c>
      <c r="N25" s="529">
        <v>4</v>
      </c>
      <c r="O25" s="529">
        <v>9770.18</v>
      </c>
      <c r="P25" s="529">
        <v>9770.18</v>
      </c>
      <c r="Q25" s="529">
        <v>0</v>
      </c>
    </row>
    <row r="26" spans="1:17" ht="15.75" customHeight="1" x14ac:dyDescent="0.2">
      <c r="A26" s="529">
        <v>18</v>
      </c>
      <c r="B26" s="529" t="s">
        <v>173</v>
      </c>
      <c r="C26" s="516" t="s">
        <v>67</v>
      </c>
      <c r="D26" s="529" t="s">
        <v>478</v>
      </c>
      <c r="E26" s="529" t="s">
        <v>174</v>
      </c>
      <c r="F26" s="529" t="s">
        <v>175</v>
      </c>
      <c r="G26" s="510" t="s">
        <v>670</v>
      </c>
      <c r="H26" s="529">
        <v>32</v>
      </c>
      <c r="I26" s="529">
        <v>24</v>
      </c>
      <c r="J26" s="529">
        <v>28</v>
      </c>
      <c r="K26" s="529">
        <v>19933.77</v>
      </c>
      <c r="L26" s="529">
        <v>19933.77</v>
      </c>
      <c r="M26" s="529">
        <v>0</v>
      </c>
      <c r="N26" s="529">
        <v>0</v>
      </c>
      <c r="O26" s="529">
        <v>0</v>
      </c>
      <c r="P26" s="529">
        <v>0</v>
      </c>
      <c r="Q26" s="529">
        <v>0</v>
      </c>
    </row>
    <row r="27" spans="1:17" ht="15.75" customHeight="1" x14ac:dyDescent="0.2">
      <c r="A27" s="529">
        <v>19</v>
      </c>
      <c r="B27" s="529" t="s">
        <v>25</v>
      </c>
      <c r="C27" s="516" t="s">
        <v>62</v>
      </c>
      <c r="D27" s="529" t="s">
        <v>63</v>
      </c>
      <c r="E27" s="529" t="s">
        <v>76</v>
      </c>
      <c r="F27" s="529" t="s">
        <v>584</v>
      </c>
      <c r="G27" s="510" t="s">
        <v>670</v>
      </c>
      <c r="H27" s="529">
        <v>65</v>
      </c>
      <c r="I27" s="529">
        <v>0</v>
      </c>
      <c r="J27" s="529">
        <v>0</v>
      </c>
      <c r="K27" s="529">
        <v>0</v>
      </c>
      <c r="L27" s="529">
        <v>0</v>
      </c>
      <c r="M27" s="529">
        <v>0</v>
      </c>
      <c r="N27" s="529">
        <v>0</v>
      </c>
      <c r="O27" s="529">
        <v>0</v>
      </c>
      <c r="P27" s="529">
        <v>0</v>
      </c>
      <c r="Q27" s="529">
        <v>0</v>
      </c>
    </row>
    <row r="28" spans="1:17" ht="15.75" customHeight="1" x14ac:dyDescent="0.2">
      <c r="A28" s="529">
        <v>20</v>
      </c>
      <c r="B28" s="529" t="s">
        <v>600</v>
      </c>
      <c r="C28" s="516" t="s">
        <v>62</v>
      </c>
      <c r="D28" s="529" t="s">
        <v>63</v>
      </c>
      <c r="E28" s="529" t="s">
        <v>75</v>
      </c>
      <c r="F28" s="529" t="s">
        <v>103</v>
      </c>
      <c r="G28" s="510" t="s">
        <v>670</v>
      </c>
      <c r="H28" s="529">
        <v>0</v>
      </c>
      <c r="I28" s="529">
        <v>0</v>
      </c>
      <c r="J28" s="529">
        <v>0</v>
      </c>
      <c r="K28" s="529">
        <v>0</v>
      </c>
      <c r="L28" s="529">
        <v>0</v>
      </c>
      <c r="M28" s="529">
        <v>0</v>
      </c>
      <c r="N28" s="529">
        <v>19</v>
      </c>
      <c r="O28" s="529">
        <v>62481.86</v>
      </c>
      <c r="P28" s="529">
        <v>62481.86</v>
      </c>
      <c r="Q28" s="529">
        <v>0</v>
      </c>
    </row>
    <row r="29" spans="1:17" ht="15.75" customHeight="1" x14ac:dyDescent="0.2">
      <c r="A29" s="529">
        <v>21</v>
      </c>
      <c r="B29" s="529" t="s">
        <v>479</v>
      </c>
      <c r="C29" s="516" t="s">
        <v>67</v>
      </c>
      <c r="D29" s="529" t="s">
        <v>480</v>
      </c>
      <c r="E29" s="529" t="s">
        <v>271</v>
      </c>
      <c r="F29" s="529" t="s">
        <v>481</v>
      </c>
      <c r="G29" s="510" t="s">
        <v>670</v>
      </c>
      <c r="H29" s="529">
        <v>16</v>
      </c>
      <c r="I29" s="529">
        <v>12</v>
      </c>
      <c r="J29" s="529">
        <v>12</v>
      </c>
      <c r="K29" s="529">
        <v>3449.4</v>
      </c>
      <c r="L29" s="529">
        <v>3449.4</v>
      </c>
      <c r="M29" s="529">
        <v>0</v>
      </c>
      <c r="N29" s="529">
        <v>0</v>
      </c>
      <c r="O29" s="529">
        <v>0</v>
      </c>
      <c r="P29" s="529">
        <v>0</v>
      </c>
      <c r="Q29" s="529">
        <v>0</v>
      </c>
    </row>
    <row r="30" spans="1:17" ht="15.75" customHeight="1" x14ac:dyDescent="0.2">
      <c r="A30" s="529">
        <v>22</v>
      </c>
      <c r="B30" s="529" t="s">
        <v>176</v>
      </c>
      <c r="C30" s="516" t="s">
        <v>62</v>
      </c>
      <c r="D30" s="529"/>
      <c r="E30" s="529" t="s">
        <v>177</v>
      </c>
      <c r="F30" s="529" t="s">
        <v>178</v>
      </c>
      <c r="G30" s="510" t="s">
        <v>670</v>
      </c>
      <c r="H30" s="529">
        <v>21</v>
      </c>
      <c r="I30" s="529">
        <v>15</v>
      </c>
      <c r="J30" s="529">
        <v>16</v>
      </c>
      <c r="K30" s="529">
        <v>14354.65</v>
      </c>
      <c r="L30" s="529">
        <v>14354.65</v>
      </c>
      <c r="M30" s="529">
        <v>0</v>
      </c>
      <c r="N30" s="529">
        <v>0</v>
      </c>
      <c r="O30" s="529">
        <v>0</v>
      </c>
      <c r="P30" s="529">
        <v>0</v>
      </c>
      <c r="Q30" s="529">
        <v>0</v>
      </c>
    </row>
    <row r="31" spans="1:17" ht="15.75" customHeight="1" x14ac:dyDescent="0.2">
      <c r="A31" s="529">
        <v>23</v>
      </c>
      <c r="B31" s="529" t="s">
        <v>152</v>
      </c>
      <c r="C31" s="516" t="s">
        <v>62</v>
      </c>
      <c r="D31" s="529" t="s">
        <v>63</v>
      </c>
      <c r="E31" s="529" t="s">
        <v>63</v>
      </c>
      <c r="F31" s="529" t="s">
        <v>179</v>
      </c>
      <c r="G31" s="510" t="s">
        <v>670</v>
      </c>
      <c r="H31" s="529">
        <v>31</v>
      </c>
      <c r="I31" s="529">
        <v>19</v>
      </c>
      <c r="J31" s="529">
        <v>22</v>
      </c>
      <c r="K31" s="529">
        <v>38119.06</v>
      </c>
      <c r="L31" s="529">
        <v>38119.06</v>
      </c>
      <c r="M31" s="529">
        <v>0</v>
      </c>
      <c r="N31" s="529">
        <v>17</v>
      </c>
      <c r="O31" s="529">
        <v>10875.99</v>
      </c>
      <c r="P31" s="529">
        <v>10875.99</v>
      </c>
      <c r="Q31" s="529">
        <v>0</v>
      </c>
    </row>
    <row r="32" spans="1:17" ht="15.75" customHeight="1" x14ac:dyDescent="0.2">
      <c r="A32" s="529">
        <v>24</v>
      </c>
      <c r="B32" s="529" t="s">
        <v>88</v>
      </c>
      <c r="C32" s="516" t="s">
        <v>62</v>
      </c>
      <c r="D32" s="529" t="s">
        <v>63</v>
      </c>
      <c r="E32" s="529" t="s">
        <v>74</v>
      </c>
      <c r="F32" s="529" t="s">
        <v>180</v>
      </c>
      <c r="G32" s="510" t="s">
        <v>670</v>
      </c>
      <c r="H32" s="529">
        <v>9</v>
      </c>
      <c r="I32" s="529">
        <v>6</v>
      </c>
      <c r="J32" s="529">
        <v>6</v>
      </c>
      <c r="K32" s="529">
        <v>7768.25</v>
      </c>
      <c r="L32" s="529">
        <v>7768.25</v>
      </c>
      <c r="M32" s="529">
        <v>0</v>
      </c>
      <c r="N32" s="529">
        <v>3</v>
      </c>
      <c r="O32" s="529">
        <v>22884.99</v>
      </c>
      <c r="P32" s="529">
        <v>22884.99</v>
      </c>
      <c r="Q32" s="529">
        <v>0</v>
      </c>
    </row>
    <row r="33" spans="1:17" ht="15.75" customHeight="1" x14ac:dyDescent="0.2">
      <c r="A33" s="529">
        <v>25</v>
      </c>
      <c r="B33" s="529" t="s">
        <v>26</v>
      </c>
      <c r="C33" s="516" t="s">
        <v>62</v>
      </c>
      <c r="D33" s="529" t="s">
        <v>63</v>
      </c>
      <c r="E33" s="529" t="s">
        <v>74</v>
      </c>
      <c r="F33" s="529" t="s">
        <v>181</v>
      </c>
      <c r="G33" s="510" t="s">
        <v>670</v>
      </c>
      <c r="H33" s="529">
        <v>31</v>
      </c>
      <c r="I33" s="529">
        <v>28</v>
      </c>
      <c r="J33" s="529">
        <v>38</v>
      </c>
      <c r="K33" s="529">
        <v>65045.440000000002</v>
      </c>
      <c r="L33" s="529">
        <v>65045.440000000002</v>
      </c>
      <c r="M33" s="529">
        <v>0</v>
      </c>
      <c r="N33" s="529">
        <v>20</v>
      </c>
      <c r="O33" s="529">
        <v>27881.98</v>
      </c>
      <c r="P33" s="529">
        <v>27881.98</v>
      </c>
      <c r="Q33" s="529">
        <v>0</v>
      </c>
    </row>
    <row r="34" spans="1:17" ht="15.75" customHeight="1" x14ac:dyDescent="0.2">
      <c r="A34" s="529">
        <v>26</v>
      </c>
      <c r="B34" s="529" t="s">
        <v>182</v>
      </c>
      <c r="C34" s="516" t="s">
        <v>62</v>
      </c>
      <c r="D34" s="529" t="s">
        <v>63</v>
      </c>
      <c r="E34" s="529" t="s">
        <v>174</v>
      </c>
      <c r="F34" s="529" t="s">
        <v>183</v>
      </c>
      <c r="G34" s="510" t="s">
        <v>670</v>
      </c>
      <c r="H34" s="529">
        <v>43</v>
      </c>
      <c r="I34" s="529">
        <v>23</v>
      </c>
      <c r="J34" s="529">
        <v>28</v>
      </c>
      <c r="K34" s="529">
        <v>23283.040000000001</v>
      </c>
      <c r="L34" s="529">
        <v>23283.040000000001</v>
      </c>
      <c r="M34" s="529">
        <v>0</v>
      </c>
      <c r="N34" s="529">
        <v>0</v>
      </c>
      <c r="O34" s="529">
        <v>0</v>
      </c>
      <c r="P34" s="529">
        <v>0</v>
      </c>
      <c r="Q34" s="529">
        <v>0</v>
      </c>
    </row>
    <row r="35" spans="1:17" ht="15.75" customHeight="1" x14ac:dyDescent="0.2">
      <c r="A35" s="529">
        <v>27</v>
      </c>
      <c r="B35" s="529" t="s">
        <v>601</v>
      </c>
      <c r="C35" s="516" t="s">
        <v>62</v>
      </c>
      <c r="D35" s="529" t="s">
        <v>63</v>
      </c>
      <c r="E35" s="529" t="s">
        <v>366</v>
      </c>
      <c r="F35" s="529" t="s">
        <v>602</v>
      </c>
      <c r="G35" s="510" t="s">
        <v>670</v>
      </c>
      <c r="H35" s="529">
        <v>5</v>
      </c>
      <c r="I35" s="529">
        <v>0</v>
      </c>
      <c r="J35" s="529">
        <v>0</v>
      </c>
      <c r="K35" s="529">
        <v>0</v>
      </c>
      <c r="L35" s="529">
        <v>0</v>
      </c>
      <c r="M35" s="529">
        <v>0</v>
      </c>
      <c r="N35" s="529">
        <v>0</v>
      </c>
      <c r="O35" s="529">
        <v>0</v>
      </c>
      <c r="P35" s="529">
        <v>0</v>
      </c>
      <c r="Q35" s="529">
        <v>0</v>
      </c>
    </row>
    <row r="36" spans="1:17" ht="15.75" customHeight="1" x14ac:dyDescent="0.2">
      <c r="A36" s="529">
        <v>28</v>
      </c>
      <c r="B36" s="529" t="s">
        <v>137</v>
      </c>
      <c r="C36" s="516" t="s">
        <v>62</v>
      </c>
      <c r="D36" s="529" t="s">
        <v>63</v>
      </c>
      <c r="E36" s="529" t="s">
        <v>78</v>
      </c>
      <c r="F36" s="529" t="s">
        <v>184</v>
      </c>
      <c r="G36" s="510" t="s">
        <v>670</v>
      </c>
      <c r="H36" s="529">
        <v>11</v>
      </c>
      <c r="I36" s="529">
        <v>6</v>
      </c>
      <c r="J36" s="529">
        <v>6</v>
      </c>
      <c r="K36" s="529">
        <v>8691.83</v>
      </c>
      <c r="L36" s="529">
        <v>8691.83</v>
      </c>
      <c r="M36" s="529">
        <v>0</v>
      </c>
      <c r="N36" s="529">
        <v>5</v>
      </c>
      <c r="O36" s="529">
        <v>9148.83</v>
      </c>
      <c r="P36" s="529">
        <v>9148.83</v>
      </c>
      <c r="Q36" s="529">
        <v>0</v>
      </c>
    </row>
    <row r="37" spans="1:17" ht="15.75" customHeight="1" x14ac:dyDescent="0.2">
      <c r="A37" s="529">
        <v>29</v>
      </c>
      <c r="B37" s="529" t="s">
        <v>335</v>
      </c>
      <c r="C37" s="516" t="s">
        <v>62</v>
      </c>
      <c r="D37" s="529" t="s">
        <v>63</v>
      </c>
      <c r="E37" s="529" t="s">
        <v>74</v>
      </c>
      <c r="F37" s="529" t="s">
        <v>748</v>
      </c>
      <c r="G37" s="510" t="s">
        <v>670</v>
      </c>
      <c r="H37" s="529">
        <v>5</v>
      </c>
      <c r="I37" s="529">
        <v>0</v>
      </c>
      <c r="J37" s="529">
        <v>0</v>
      </c>
      <c r="K37" s="529">
        <v>0</v>
      </c>
      <c r="L37" s="529">
        <v>0</v>
      </c>
      <c r="M37" s="529">
        <v>0</v>
      </c>
      <c r="N37" s="529">
        <v>0</v>
      </c>
      <c r="O37" s="529">
        <v>0</v>
      </c>
      <c r="P37" s="529">
        <v>0</v>
      </c>
      <c r="Q37" s="529">
        <v>0</v>
      </c>
    </row>
    <row r="38" spans="1:17" ht="15.75" customHeight="1" x14ac:dyDescent="0.2">
      <c r="A38" s="529">
        <v>30</v>
      </c>
      <c r="B38" s="529" t="s">
        <v>185</v>
      </c>
      <c r="C38" s="516" t="s">
        <v>62</v>
      </c>
      <c r="D38" s="529" t="s">
        <v>63</v>
      </c>
      <c r="E38" s="529" t="s">
        <v>186</v>
      </c>
      <c r="F38" s="529" t="s">
        <v>463</v>
      </c>
      <c r="G38" s="510" t="s">
        <v>670</v>
      </c>
      <c r="H38" s="529">
        <v>15</v>
      </c>
      <c r="I38" s="529">
        <v>12</v>
      </c>
      <c r="J38" s="529">
        <v>14</v>
      </c>
      <c r="K38" s="529">
        <v>2746.17</v>
      </c>
      <c r="L38" s="529">
        <v>2746.17</v>
      </c>
      <c r="M38" s="529">
        <v>0</v>
      </c>
      <c r="N38" s="529">
        <v>0</v>
      </c>
      <c r="O38" s="529">
        <v>0</v>
      </c>
      <c r="P38" s="529">
        <v>0</v>
      </c>
      <c r="Q38" s="529">
        <v>0</v>
      </c>
    </row>
    <row r="39" spans="1:17" ht="15.75" customHeight="1" x14ac:dyDescent="0.2">
      <c r="A39" s="529">
        <v>31</v>
      </c>
      <c r="B39" s="529" t="s">
        <v>27</v>
      </c>
      <c r="C39" s="516" t="s">
        <v>62</v>
      </c>
      <c r="D39" s="529" t="s">
        <v>63</v>
      </c>
      <c r="E39" s="529" t="s">
        <v>74</v>
      </c>
      <c r="F39" s="529" t="s">
        <v>187</v>
      </c>
      <c r="G39" s="510" t="s">
        <v>670</v>
      </c>
      <c r="H39" s="529">
        <v>19</v>
      </c>
      <c r="I39" s="529">
        <v>13</v>
      </c>
      <c r="J39" s="529">
        <v>14</v>
      </c>
      <c r="K39" s="529">
        <v>13050.84</v>
      </c>
      <c r="L39" s="529">
        <v>13050.84</v>
      </c>
      <c r="M39" s="529">
        <v>0</v>
      </c>
      <c r="N39" s="529">
        <v>7</v>
      </c>
      <c r="O39" s="529">
        <v>35186.089999999997</v>
      </c>
      <c r="P39" s="529">
        <v>35186.089999999997</v>
      </c>
      <c r="Q39" s="529">
        <v>0</v>
      </c>
    </row>
    <row r="40" spans="1:17" ht="15.75" customHeight="1" x14ac:dyDescent="0.2">
      <c r="A40" s="529">
        <v>32</v>
      </c>
      <c r="B40" s="529" t="s">
        <v>654</v>
      </c>
      <c r="C40" s="516" t="s">
        <v>67</v>
      </c>
      <c r="D40" s="529" t="s">
        <v>680</v>
      </c>
      <c r="E40" s="529" t="s">
        <v>655</v>
      </c>
      <c r="F40" s="529" t="s">
        <v>656</v>
      </c>
      <c r="G40" s="510" t="s">
        <v>670</v>
      </c>
      <c r="H40" s="529">
        <v>7</v>
      </c>
      <c r="I40" s="529">
        <v>2</v>
      </c>
      <c r="J40" s="529">
        <v>2</v>
      </c>
      <c r="K40" s="529">
        <v>0</v>
      </c>
      <c r="L40" s="529">
        <v>0</v>
      </c>
      <c r="M40" s="529">
        <v>0</v>
      </c>
      <c r="N40" s="529">
        <v>0</v>
      </c>
      <c r="O40" s="529">
        <v>0</v>
      </c>
      <c r="P40" s="529">
        <v>0</v>
      </c>
      <c r="Q40" s="529">
        <v>0</v>
      </c>
    </row>
    <row r="41" spans="1:17" ht="15.75" customHeight="1" x14ac:dyDescent="0.2">
      <c r="A41" s="529">
        <v>33</v>
      </c>
      <c r="B41" s="529" t="s">
        <v>482</v>
      </c>
      <c r="C41" s="516" t="s">
        <v>64</v>
      </c>
      <c r="D41" s="529" t="s">
        <v>483</v>
      </c>
      <c r="E41" s="529" t="s">
        <v>313</v>
      </c>
      <c r="F41" s="529" t="s">
        <v>484</v>
      </c>
      <c r="G41" s="510" t="s">
        <v>670</v>
      </c>
      <c r="H41" s="529">
        <v>12</v>
      </c>
      <c r="I41" s="529">
        <v>2</v>
      </c>
      <c r="J41" s="529">
        <v>2</v>
      </c>
      <c r="K41" s="529">
        <v>0</v>
      </c>
      <c r="L41" s="529">
        <v>0</v>
      </c>
      <c r="M41" s="529">
        <v>0</v>
      </c>
      <c r="N41" s="529">
        <v>0</v>
      </c>
      <c r="O41" s="529">
        <v>0</v>
      </c>
      <c r="P41" s="529">
        <v>0</v>
      </c>
      <c r="Q41" s="529">
        <v>0</v>
      </c>
    </row>
    <row r="42" spans="1:17" ht="15.75" customHeight="1" x14ac:dyDescent="0.2">
      <c r="A42" s="529">
        <v>34</v>
      </c>
      <c r="B42" s="529" t="s">
        <v>104</v>
      </c>
      <c r="C42" s="516" t="s">
        <v>62</v>
      </c>
      <c r="D42" s="529" t="s">
        <v>63</v>
      </c>
      <c r="E42" s="529" t="s">
        <v>105</v>
      </c>
      <c r="F42" s="529" t="s">
        <v>188</v>
      </c>
      <c r="G42" s="510" t="s">
        <v>670</v>
      </c>
      <c r="H42" s="529">
        <v>9</v>
      </c>
      <c r="I42" s="529">
        <v>7</v>
      </c>
      <c r="J42" s="529">
        <v>9</v>
      </c>
      <c r="K42" s="529">
        <v>19587.169999999998</v>
      </c>
      <c r="L42" s="529">
        <v>19587.169999999998</v>
      </c>
      <c r="M42" s="529">
        <v>0</v>
      </c>
      <c r="N42" s="529">
        <v>26</v>
      </c>
      <c r="O42" s="529">
        <v>55727.91</v>
      </c>
      <c r="P42" s="529">
        <v>55727.91</v>
      </c>
      <c r="Q42" s="529">
        <v>0</v>
      </c>
    </row>
    <row r="43" spans="1:17" ht="15.75" customHeight="1" x14ac:dyDescent="0.2">
      <c r="A43" s="529">
        <v>35</v>
      </c>
      <c r="B43" s="529" t="s">
        <v>517</v>
      </c>
      <c r="C43" s="516" t="s">
        <v>62</v>
      </c>
      <c r="D43" s="529" t="s">
        <v>63</v>
      </c>
      <c r="E43" s="529" t="s">
        <v>239</v>
      </c>
      <c r="F43" s="529" t="s">
        <v>567</v>
      </c>
      <c r="G43" s="510" t="s">
        <v>670</v>
      </c>
      <c r="H43" s="529">
        <v>23</v>
      </c>
      <c r="I43" s="529">
        <v>18</v>
      </c>
      <c r="J43" s="529">
        <v>19</v>
      </c>
      <c r="K43" s="529">
        <v>8593.74</v>
      </c>
      <c r="L43" s="529">
        <v>8593.74</v>
      </c>
      <c r="M43" s="529">
        <v>0</v>
      </c>
      <c r="N43" s="529">
        <v>0</v>
      </c>
      <c r="O43" s="529">
        <v>0</v>
      </c>
      <c r="P43" s="529">
        <v>0</v>
      </c>
      <c r="Q43" s="529">
        <v>0</v>
      </c>
    </row>
    <row r="44" spans="1:17" ht="15.75" customHeight="1" x14ac:dyDescent="0.2">
      <c r="A44" s="529">
        <v>36</v>
      </c>
      <c r="B44" s="529" t="s">
        <v>28</v>
      </c>
      <c r="C44" s="516" t="s">
        <v>62</v>
      </c>
      <c r="D44" s="529" t="s">
        <v>63</v>
      </c>
      <c r="E44" s="529" t="s">
        <v>74</v>
      </c>
      <c r="F44" s="529" t="s">
        <v>189</v>
      </c>
      <c r="G44" s="510" t="s">
        <v>670</v>
      </c>
      <c r="H44" s="529">
        <v>14</v>
      </c>
      <c r="I44" s="529">
        <v>10</v>
      </c>
      <c r="J44" s="529">
        <v>11</v>
      </c>
      <c r="K44" s="529">
        <v>13276.34</v>
      </c>
      <c r="L44" s="529">
        <v>13276.34</v>
      </c>
      <c r="M44" s="529">
        <v>0</v>
      </c>
      <c r="N44" s="529">
        <v>8</v>
      </c>
      <c r="O44" s="529">
        <v>18393.25</v>
      </c>
      <c r="P44" s="529">
        <v>18393.25</v>
      </c>
      <c r="Q44" s="529">
        <v>0</v>
      </c>
    </row>
    <row r="45" spans="1:17" ht="15.75" customHeight="1" x14ac:dyDescent="0.2">
      <c r="A45" s="529">
        <v>37</v>
      </c>
      <c r="B45" s="529" t="s">
        <v>190</v>
      </c>
      <c r="C45" s="516" t="s">
        <v>62</v>
      </c>
      <c r="D45" s="529" t="s">
        <v>63</v>
      </c>
      <c r="E45" s="529" t="s">
        <v>63</v>
      </c>
      <c r="F45" s="529" t="s">
        <v>191</v>
      </c>
      <c r="G45" s="510" t="s">
        <v>670</v>
      </c>
      <c r="H45" s="529">
        <v>20</v>
      </c>
      <c r="I45" s="529">
        <v>17</v>
      </c>
      <c r="J45" s="529">
        <v>17</v>
      </c>
      <c r="K45" s="529">
        <v>15430.42</v>
      </c>
      <c r="L45" s="529">
        <v>15430.42</v>
      </c>
      <c r="M45" s="529">
        <v>0</v>
      </c>
      <c r="N45" s="529">
        <v>0</v>
      </c>
      <c r="O45" s="529">
        <v>0</v>
      </c>
      <c r="P45" s="529">
        <v>0</v>
      </c>
      <c r="Q45" s="529">
        <v>0</v>
      </c>
    </row>
    <row r="46" spans="1:17" ht="15.75" customHeight="1" x14ac:dyDescent="0.2">
      <c r="A46" s="529">
        <v>38</v>
      </c>
      <c r="B46" s="529" t="s">
        <v>89</v>
      </c>
      <c r="C46" s="516" t="s">
        <v>62</v>
      </c>
      <c r="D46" s="529" t="s">
        <v>63</v>
      </c>
      <c r="E46" s="529" t="s">
        <v>74</v>
      </c>
      <c r="F46" s="529" t="s">
        <v>195</v>
      </c>
      <c r="G46" s="510" t="s">
        <v>670</v>
      </c>
      <c r="H46" s="529">
        <v>42</v>
      </c>
      <c r="I46" s="529">
        <v>37</v>
      </c>
      <c r="J46" s="529">
        <v>40</v>
      </c>
      <c r="K46" s="529">
        <v>34420.629999999997</v>
      </c>
      <c r="L46" s="529">
        <v>34420.629999999997</v>
      </c>
      <c r="M46" s="529">
        <v>0</v>
      </c>
      <c r="N46" s="529">
        <v>7</v>
      </c>
      <c r="O46" s="529">
        <v>39298.120000000003</v>
      </c>
      <c r="P46" s="529">
        <v>39298.120000000003</v>
      </c>
      <c r="Q46" s="529">
        <v>0</v>
      </c>
    </row>
    <row r="47" spans="1:17" ht="15.75" customHeight="1" x14ac:dyDescent="0.2">
      <c r="A47" s="529">
        <v>39</v>
      </c>
      <c r="B47" s="529" t="s">
        <v>196</v>
      </c>
      <c r="C47" s="516" t="s">
        <v>62</v>
      </c>
      <c r="D47" s="529" t="s">
        <v>63</v>
      </c>
      <c r="E47" s="529" t="s">
        <v>197</v>
      </c>
      <c r="F47" s="529" t="s">
        <v>198</v>
      </c>
      <c r="G47" s="510" t="s">
        <v>670</v>
      </c>
      <c r="H47" s="529">
        <v>28</v>
      </c>
      <c r="I47" s="529">
        <v>18</v>
      </c>
      <c r="J47" s="529">
        <v>19</v>
      </c>
      <c r="K47" s="529">
        <v>29345.31</v>
      </c>
      <c r="L47" s="529">
        <v>24634.21</v>
      </c>
      <c r="M47" s="529">
        <v>4711.1000000000004</v>
      </c>
      <c r="N47" s="529">
        <v>0</v>
      </c>
      <c r="O47" s="529">
        <v>0</v>
      </c>
      <c r="P47" s="529">
        <v>0</v>
      </c>
      <c r="Q47" s="529">
        <v>0</v>
      </c>
    </row>
    <row r="48" spans="1:17" ht="15.75" customHeight="1" x14ac:dyDescent="0.2">
      <c r="A48" s="529">
        <v>40</v>
      </c>
      <c r="B48" s="529" t="s">
        <v>106</v>
      </c>
      <c r="C48" s="516" t="s">
        <v>62</v>
      </c>
      <c r="D48" s="529" t="s">
        <v>63</v>
      </c>
      <c r="E48" s="529" t="s">
        <v>74</v>
      </c>
      <c r="F48" s="529" t="s">
        <v>199</v>
      </c>
      <c r="G48" s="510" t="s">
        <v>670</v>
      </c>
      <c r="H48" s="529">
        <v>56</v>
      </c>
      <c r="I48" s="529">
        <v>47</v>
      </c>
      <c r="J48" s="529">
        <v>68</v>
      </c>
      <c r="K48" s="529">
        <v>86009.18</v>
      </c>
      <c r="L48" s="529">
        <v>86009.18</v>
      </c>
      <c r="M48" s="529">
        <v>0</v>
      </c>
      <c r="N48" s="529">
        <v>28</v>
      </c>
      <c r="O48" s="529">
        <v>150774.95000000001</v>
      </c>
      <c r="P48" s="529">
        <v>150774.95000000001</v>
      </c>
      <c r="Q48" s="529">
        <v>0</v>
      </c>
    </row>
    <row r="49" spans="1:17" ht="15.75" customHeight="1" x14ac:dyDescent="0.2">
      <c r="A49" s="529">
        <v>41</v>
      </c>
      <c r="B49" s="529" t="s">
        <v>750</v>
      </c>
      <c r="C49" s="516" t="s">
        <v>62</v>
      </c>
      <c r="D49" s="529" t="s">
        <v>63</v>
      </c>
      <c r="E49" s="529" t="s">
        <v>313</v>
      </c>
      <c r="F49" s="529" t="s">
        <v>751</v>
      </c>
      <c r="G49" s="510" t="s">
        <v>670</v>
      </c>
      <c r="H49" s="529">
        <v>1</v>
      </c>
      <c r="I49" s="529">
        <v>0</v>
      </c>
      <c r="J49" s="529">
        <v>0</v>
      </c>
      <c r="K49" s="529">
        <v>0</v>
      </c>
      <c r="L49" s="529">
        <v>0</v>
      </c>
      <c r="M49" s="529">
        <v>0</v>
      </c>
      <c r="N49" s="529">
        <v>0</v>
      </c>
      <c r="O49" s="529">
        <v>0</v>
      </c>
      <c r="P49" s="529">
        <v>0</v>
      </c>
      <c r="Q49" s="529">
        <v>0</v>
      </c>
    </row>
    <row r="50" spans="1:17" ht="15.75" customHeight="1" x14ac:dyDescent="0.2">
      <c r="A50" s="529">
        <v>42</v>
      </c>
      <c r="B50" s="529" t="s">
        <v>107</v>
      </c>
      <c r="C50" s="516" t="s">
        <v>62</v>
      </c>
      <c r="D50" s="529" t="s">
        <v>63</v>
      </c>
      <c r="E50" s="529" t="s">
        <v>74</v>
      </c>
      <c r="F50" s="529" t="s">
        <v>752</v>
      </c>
      <c r="G50" s="510" t="s">
        <v>670</v>
      </c>
      <c r="H50" s="529">
        <v>10</v>
      </c>
      <c r="I50" s="529">
        <v>2</v>
      </c>
      <c r="J50" s="529">
        <v>2</v>
      </c>
      <c r="K50" s="529">
        <v>0</v>
      </c>
      <c r="L50" s="529">
        <v>0</v>
      </c>
      <c r="M50" s="529">
        <v>0</v>
      </c>
      <c r="N50" s="529">
        <v>3</v>
      </c>
      <c r="O50" s="529">
        <v>0</v>
      </c>
      <c r="P50" s="529">
        <v>0</v>
      </c>
      <c r="Q50" s="529">
        <v>0</v>
      </c>
    </row>
    <row r="51" spans="1:17" ht="15.75" customHeight="1" x14ac:dyDescent="0.2">
      <c r="A51" s="529">
        <v>43</v>
      </c>
      <c r="B51" s="529" t="s">
        <v>29</v>
      </c>
      <c r="C51" s="516" t="s">
        <v>62</v>
      </c>
      <c r="D51" s="529" t="s">
        <v>63</v>
      </c>
      <c r="E51" s="529" t="s">
        <v>74</v>
      </c>
      <c r="F51" s="529" t="s">
        <v>200</v>
      </c>
      <c r="G51" s="510" t="s">
        <v>670</v>
      </c>
      <c r="H51" s="529">
        <v>34</v>
      </c>
      <c r="I51" s="529">
        <v>30</v>
      </c>
      <c r="J51" s="529">
        <v>44</v>
      </c>
      <c r="K51" s="529">
        <v>40540.85</v>
      </c>
      <c r="L51" s="529">
        <v>40540.85</v>
      </c>
      <c r="M51" s="529">
        <v>0</v>
      </c>
      <c r="N51" s="529">
        <v>21</v>
      </c>
      <c r="O51" s="529">
        <v>29336.76</v>
      </c>
      <c r="P51" s="529">
        <v>29336.76</v>
      </c>
      <c r="Q51" s="529">
        <v>0</v>
      </c>
    </row>
    <row r="52" spans="1:17" ht="15.75" customHeight="1" x14ac:dyDescent="0.2">
      <c r="A52" s="529">
        <v>44</v>
      </c>
      <c r="B52" s="529" t="s">
        <v>201</v>
      </c>
      <c r="C52" s="516" t="s">
        <v>67</v>
      </c>
      <c r="D52" s="529" t="s">
        <v>485</v>
      </c>
      <c r="E52" s="529" t="s">
        <v>74</v>
      </c>
      <c r="F52" s="529" t="s">
        <v>202</v>
      </c>
      <c r="G52" s="510" t="s">
        <v>670</v>
      </c>
      <c r="H52" s="529">
        <v>32</v>
      </c>
      <c r="I52" s="529">
        <v>26</v>
      </c>
      <c r="J52" s="529">
        <v>29</v>
      </c>
      <c r="K52" s="529">
        <v>42330.61</v>
      </c>
      <c r="L52" s="529">
        <v>42330.61</v>
      </c>
      <c r="M52" s="529">
        <v>0</v>
      </c>
      <c r="N52" s="529">
        <v>1</v>
      </c>
      <c r="O52" s="529">
        <v>1717.95</v>
      </c>
      <c r="P52" s="529">
        <v>1717.95</v>
      </c>
      <c r="Q52" s="529">
        <v>0</v>
      </c>
    </row>
    <row r="53" spans="1:17" ht="15.75" customHeight="1" x14ac:dyDescent="0.2">
      <c r="A53" s="529">
        <v>45</v>
      </c>
      <c r="B53" s="529" t="s">
        <v>30</v>
      </c>
      <c r="C53" s="516" t="s">
        <v>62</v>
      </c>
      <c r="D53" s="529" t="s">
        <v>63</v>
      </c>
      <c r="E53" s="529" t="s">
        <v>203</v>
      </c>
      <c r="F53" s="529" t="s">
        <v>204</v>
      </c>
      <c r="G53" s="510" t="s">
        <v>670</v>
      </c>
      <c r="H53" s="529">
        <v>28</v>
      </c>
      <c r="I53" s="529">
        <v>20</v>
      </c>
      <c r="J53" s="529">
        <v>28</v>
      </c>
      <c r="K53" s="529">
        <v>65292.95</v>
      </c>
      <c r="L53" s="529">
        <v>65292.95</v>
      </c>
      <c r="M53" s="529">
        <v>0</v>
      </c>
      <c r="N53" s="529">
        <v>20</v>
      </c>
      <c r="O53" s="529">
        <v>85051.08</v>
      </c>
      <c r="P53" s="529">
        <v>85051.08</v>
      </c>
      <c r="Q53" s="529">
        <v>0</v>
      </c>
    </row>
    <row r="54" spans="1:17" ht="15.75" customHeight="1" x14ac:dyDescent="0.2">
      <c r="A54" s="529">
        <v>46</v>
      </c>
      <c r="B54" s="529" t="s">
        <v>90</v>
      </c>
      <c r="C54" s="516" t="s">
        <v>62</v>
      </c>
      <c r="D54" s="529" t="s">
        <v>63</v>
      </c>
      <c r="E54" s="529" t="s">
        <v>205</v>
      </c>
      <c r="F54" s="529" t="s">
        <v>464</v>
      </c>
      <c r="G54" s="510" t="s">
        <v>670</v>
      </c>
      <c r="H54" s="529">
        <v>29</v>
      </c>
      <c r="I54" s="529">
        <v>18</v>
      </c>
      <c r="J54" s="529">
        <v>25</v>
      </c>
      <c r="K54" s="529">
        <v>36149.81</v>
      </c>
      <c r="L54" s="529">
        <v>36149.81</v>
      </c>
      <c r="M54" s="529">
        <v>0</v>
      </c>
      <c r="N54" s="529">
        <v>18</v>
      </c>
      <c r="O54" s="529">
        <v>23475.1</v>
      </c>
      <c r="P54" s="529">
        <v>23475.1</v>
      </c>
      <c r="Q54" s="529">
        <v>0</v>
      </c>
    </row>
    <row r="55" spans="1:17" ht="15.75" customHeight="1" x14ac:dyDescent="0.2">
      <c r="A55" s="529">
        <v>47</v>
      </c>
      <c r="B55" s="529" t="s">
        <v>31</v>
      </c>
      <c r="C55" s="516" t="s">
        <v>62</v>
      </c>
      <c r="D55" s="529" t="s">
        <v>63</v>
      </c>
      <c r="E55" s="529" t="s">
        <v>74</v>
      </c>
      <c r="F55" s="529" t="s">
        <v>206</v>
      </c>
      <c r="G55" s="510" t="s">
        <v>670</v>
      </c>
      <c r="H55" s="529">
        <v>65</v>
      </c>
      <c r="I55" s="529">
        <v>57</v>
      </c>
      <c r="J55" s="529">
        <v>68</v>
      </c>
      <c r="K55" s="529">
        <v>112192.49</v>
      </c>
      <c r="L55" s="529">
        <v>112192.49</v>
      </c>
      <c r="M55" s="529">
        <v>0</v>
      </c>
      <c r="N55" s="529">
        <v>23</v>
      </c>
      <c r="O55" s="529">
        <v>88399.12</v>
      </c>
      <c r="P55" s="529">
        <v>88399.12</v>
      </c>
      <c r="Q55" s="529">
        <v>0</v>
      </c>
    </row>
    <row r="56" spans="1:17" ht="15.75" customHeight="1" x14ac:dyDescent="0.2">
      <c r="A56" s="529">
        <v>48</v>
      </c>
      <c r="B56" s="529" t="s">
        <v>631</v>
      </c>
      <c r="C56" s="516" t="s">
        <v>62</v>
      </c>
      <c r="D56" s="529" t="s">
        <v>63</v>
      </c>
      <c r="E56" s="529" t="s">
        <v>63</v>
      </c>
      <c r="F56" s="529" t="s">
        <v>732</v>
      </c>
      <c r="G56" s="510" t="s">
        <v>670</v>
      </c>
      <c r="H56" s="529">
        <v>14</v>
      </c>
      <c r="I56" s="529">
        <v>5</v>
      </c>
      <c r="J56" s="529">
        <v>5</v>
      </c>
      <c r="K56" s="529">
        <v>589.12</v>
      </c>
      <c r="L56" s="529">
        <v>589.12</v>
      </c>
      <c r="M56" s="529">
        <v>0</v>
      </c>
      <c r="N56" s="529">
        <v>0</v>
      </c>
      <c r="O56" s="529">
        <v>0</v>
      </c>
      <c r="P56" s="529">
        <v>0</v>
      </c>
      <c r="Q56" s="529">
        <v>0</v>
      </c>
    </row>
    <row r="57" spans="1:17" ht="15.75" customHeight="1" x14ac:dyDescent="0.2">
      <c r="A57" s="529">
        <v>49</v>
      </c>
      <c r="B57" s="529" t="s">
        <v>605</v>
      </c>
      <c r="C57" s="516" t="s">
        <v>62</v>
      </c>
      <c r="D57" s="529" t="s">
        <v>63</v>
      </c>
      <c r="E57" s="529" t="s">
        <v>108</v>
      </c>
      <c r="F57" s="529" t="s">
        <v>606</v>
      </c>
      <c r="G57" s="510" t="s">
        <v>670</v>
      </c>
      <c r="H57" s="529">
        <v>5</v>
      </c>
      <c r="I57" s="529">
        <v>2</v>
      </c>
      <c r="J57" s="529">
        <v>2</v>
      </c>
      <c r="K57" s="529">
        <v>0</v>
      </c>
      <c r="L57" s="529">
        <v>0</v>
      </c>
      <c r="M57" s="529">
        <v>0</v>
      </c>
      <c r="N57" s="529">
        <v>0</v>
      </c>
      <c r="O57" s="529">
        <v>1200.69</v>
      </c>
      <c r="P57" s="529">
        <v>1200.69</v>
      </c>
      <c r="Q57" s="529">
        <v>0</v>
      </c>
    </row>
    <row r="58" spans="1:17" ht="15.75" customHeight="1" x14ac:dyDescent="0.2">
      <c r="A58" s="529">
        <v>50</v>
      </c>
      <c r="B58" s="529" t="s">
        <v>32</v>
      </c>
      <c r="C58" s="516" t="s">
        <v>62</v>
      </c>
      <c r="D58" s="529" t="s">
        <v>63</v>
      </c>
      <c r="E58" s="529" t="s">
        <v>74</v>
      </c>
      <c r="F58" s="529" t="s">
        <v>207</v>
      </c>
      <c r="G58" s="510" t="s">
        <v>670</v>
      </c>
      <c r="H58" s="529">
        <v>56</v>
      </c>
      <c r="I58" s="529">
        <v>47</v>
      </c>
      <c r="J58" s="529">
        <v>52</v>
      </c>
      <c r="K58" s="529">
        <v>34934.46</v>
      </c>
      <c r="L58" s="529">
        <v>34934.46</v>
      </c>
      <c r="M58" s="529">
        <v>0</v>
      </c>
      <c r="N58" s="529">
        <v>40</v>
      </c>
      <c r="O58" s="529">
        <v>99653.31</v>
      </c>
      <c r="P58" s="529">
        <v>99653.31</v>
      </c>
      <c r="Q58" s="529">
        <v>0</v>
      </c>
    </row>
    <row r="59" spans="1:17" ht="15.75" customHeight="1" x14ac:dyDescent="0.2">
      <c r="A59" s="529">
        <v>51</v>
      </c>
      <c r="B59" s="529" t="s">
        <v>91</v>
      </c>
      <c r="C59" s="516" t="s">
        <v>62</v>
      </c>
      <c r="D59" s="529" t="s">
        <v>63</v>
      </c>
      <c r="E59" s="529" t="s">
        <v>63</v>
      </c>
      <c r="F59" s="529" t="s">
        <v>208</v>
      </c>
      <c r="G59" s="510" t="s">
        <v>670</v>
      </c>
      <c r="H59" s="529">
        <v>23</v>
      </c>
      <c r="I59" s="529">
        <v>13</v>
      </c>
      <c r="J59" s="529">
        <v>13</v>
      </c>
      <c r="K59" s="529">
        <v>7911.39</v>
      </c>
      <c r="L59" s="529">
        <v>7911.39</v>
      </c>
      <c r="M59" s="529">
        <v>0</v>
      </c>
      <c r="N59" s="529">
        <v>2</v>
      </c>
      <c r="O59" s="529">
        <v>17381.23</v>
      </c>
      <c r="P59" s="529">
        <v>17381.23</v>
      </c>
      <c r="Q59" s="529">
        <v>0</v>
      </c>
    </row>
    <row r="60" spans="1:17" ht="15.75" customHeight="1" x14ac:dyDescent="0.2">
      <c r="A60" s="529">
        <v>52</v>
      </c>
      <c r="B60" s="529" t="s">
        <v>33</v>
      </c>
      <c r="C60" s="516" t="s">
        <v>62</v>
      </c>
      <c r="D60" s="529" t="s">
        <v>63</v>
      </c>
      <c r="E60" s="529" t="s">
        <v>74</v>
      </c>
      <c r="F60" s="529" t="s">
        <v>209</v>
      </c>
      <c r="G60" s="510" t="s">
        <v>670</v>
      </c>
      <c r="H60" s="529">
        <v>43</v>
      </c>
      <c r="I60" s="529">
        <v>35</v>
      </c>
      <c r="J60" s="529">
        <v>50</v>
      </c>
      <c r="K60" s="529">
        <v>75311.38</v>
      </c>
      <c r="L60" s="529">
        <v>75311.38</v>
      </c>
      <c r="M60" s="529">
        <v>0</v>
      </c>
      <c r="N60" s="529">
        <v>42</v>
      </c>
      <c r="O60" s="529">
        <v>115656.4</v>
      </c>
      <c r="P60" s="529">
        <v>115656.4</v>
      </c>
      <c r="Q60" s="529">
        <v>0</v>
      </c>
    </row>
    <row r="61" spans="1:17" ht="15.75" customHeight="1" x14ac:dyDescent="0.2">
      <c r="A61" s="529">
        <v>53</v>
      </c>
      <c r="B61" s="529" t="s">
        <v>153</v>
      </c>
      <c r="C61" s="516" t="s">
        <v>62</v>
      </c>
      <c r="D61" s="529" t="s">
        <v>63</v>
      </c>
      <c r="E61" s="529" t="s">
        <v>74</v>
      </c>
      <c r="F61" s="529" t="s">
        <v>210</v>
      </c>
      <c r="G61" s="510" t="s">
        <v>670</v>
      </c>
      <c r="H61" s="529">
        <v>0</v>
      </c>
      <c r="I61" s="529">
        <v>0</v>
      </c>
      <c r="J61" s="529">
        <v>0</v>
      </c>
      <c r="K61" s="529">
        <v>0</v>
      </c>
      <c r="L61" s="529">
        <v>0</v>
      </c>
      <c r="M61" s="529">
        <v>0</v>
      </c>
      <c r="N61" s="529">
        <v>3</v>
      </c>
      <c r="O61" s="529">
        <v>35991.79</v>
      </c>
      <c r="P61" s="529">
        <v>35991.79</v>
      </c>
      <c r="Q61" s="529">
        <v>0</v>
      </c>
    </row>
    <row r="62" spans="1:17" ht="15.75" customHeight="1" x14ac:dyDescent="0.2">
      <c r="A62" s="529">
        <v>54</v>
      </c>
      <c r="B62" s="529" t="s">
        <v>34</v>
      </c>
      <c r="C62" s="516" t="s">
        <v>62</v>
      </c>
      <c r="D62" s="529" t="s">
        <v>63</v>
      </c>
      <c r="E62" s="529" t="s">
        <v>74</v>
      </c>
      <c r="F62" s="529" t="s">
        <v>211</v>
      </c>
      <c r="G62" s="510" t="s">
        <v>670</v>
      </c>
      <c r="H62" s="529">
        <v>24</v>
      </c>
      <c r="I62" s="529">
        <v>19</v>
      </c>
      <c r="J62" s="529">
        <v>22</v>
      </c>
      <c r="K62" s="529">
        <v>7566.68</v>
      </c>
      <c r="L62" s="529">
        <v>7566.68</v>
      </c>
      <c r="M62" s="529">
        <v>0</v>
      </c>
      <c r="N62" s="529">
        <v>26</v>
      </c>
      <c r="O62" s="529">
        <v>106055.76</v>
      </c>
      <c r="P62" s="529">
        <v>106055.76</v>
      </c>
      <c r="Q62" s="529">
        <v>0</v>
      </c>
    </row>
    <row r="63" spans="1:17" ht="15.75" customHeight="1" x14ac:dyDescent="0.2">
      <c r="A63" s="529">
        <v>55</v>
      </c>
      <c r="B63" s="529" t="s">
        <v>154</v>
      </c>
      <c r="C63" s="516" t="s">
        <v>62</v>
      </c>
      <c r="D63" s="529" t="s">
        <v>63</v>
      </c>
      <c r="E63" s="529" t="s">
        <v>72</v>
      </c>
      <c r="F63" s="529" t="s">
        <v>212</v>
      </c>
      <c r="G63" s="510" t="s">
        <v>670</v>
      </c>
      <c r="H63" s="529">
        <v>6</v>
      </c>
      <c r="I63" s="529">
        <v>2</v>
      </c>
      <c r="J63" s="529">
        <v>2</v>
      </c>
      <c r="K63" s="529">
        <v>2172.77</v>
      </c>
      <c r="L63" s="529">
        <v>2172.77</v>
      </c>
      <c r="M63" s="529">
        <v>0</v>
      </c>
      <c r="N63" s="529">
        <v>2</v>
      </c>
      <c r="O63" s="529">
        <v>10016.969999999999</v>
      </c>
      <c r="P63" s="529">
        <v>10016.969999999999</v>
      </c>
      <c r="Q63" s="529">
        <v>0</v>
      </c>
    </row>
    <row r="64" spans="1:17" ht="15.75" customHeight="1" x14ac:dyDescent="0.2">
      <c r="A64" s="529">
        <v>56</v>
      </c>
      <c r="B64" s="529" t="s">
        <v>109</v>
      </c>
      <c r="C64" s="516" t="s">
        <v>62</v>
      </c>
      <c r="D64" s="529" t="s">
        <v>63</v>
      </c>
      <c r="E64" s="529" t="s">
        <v>74</v>
      </c>
      <c r="F64" s="529" t="s">
        <v>213</v>
      </c>
      <c r="G64" s="510" t="s">
        <v>670</v>
      </c>
      <c r="H64" s="529">
        <v>0</v>
      </c>
      <c r="I64" s="529">
        <v>0</v>
      </c>
      <c r="J64" s="529">
        <v>0</v>
      </c>
      <c r="K64" s="529">
        <v>0</v>
      </c>
      <c r="L64" s="529">
        <v>0</v>
      </c>
      <c r="M64" s="529">
        <v>0</v>
      </c>
      <c r="N64" s="529">
        <v>2</v>
      </c>
      <c r="O64" s="529">
        <v>3812.68</v>
      </c>
      <c r="P64" s="529">
        <v>3812.68</v>
      </c>
      <c r="Q64" s="529">
        <v>0</v>
      </c>
    </row>
    <row r="65" spans="1:17" ht="15.75" customHeight="1" x14ac:dyDescent="0.2">
      <c r="A65" s="529">
        <v>57</v>
      </c>
      <c r="B65" s="529" t="s">
        <v>110</v>
      </c>
      <c r="C65" s="516" t="s">
        <v>62</v>
      </c>
      <c r="D65" s="529" t="s">
        <v>63</v>
      </c>
      <c r="E65" s="529" t="s">
        <v>74</v>
      </c>
      <c r="F65" s="529" t="s">
        <v>214</v>
      </c>
      <c r="G65" s="510" t="s">
        <v>670</v>
      </c>
      <c r="H65" s="529">
        <v>0</v>
      </c>
      <c r="I65" s="529">
        <v>0</v>
      </c>
      <c r="J65" s="529">
        <v>0</v>
      </c>
      <c r="K65" s="529">
        <v>0</v>
      </c>
      <c r="L65" s="529">
        <v>0</v>
      </c>
      <c r="M65" s="529">
        <v>0</v>
      </c>
      <c r="N65" s="529">
        <v>0</v>
      </c>
      <c r="O65" s="529">
        <v>12489.14</v>
      </c>
      <c r="P65" s="529">
        <v>12489.14</v>
      </c>
      <c r="Q65" s="529">
        <v>0</v>
      </c>
    </row>
    <row r="66" spans="1:17" ht="15.75" customHeight="1" x14ac:dyDescent="0.2">
      <c r="A66" s="529">
        <v>58</v>
      </c>
      <c r="B66" s="529" t="s">
        <v>92</v>
      </c>
      <c r="C66" s="516" t="s">
        <v>62</v>
      </c>
      <c r="D66" s="529" t="s">
        <v>63</v>
      </c>
      <c r="E66" s="529" t="s">
        <v>74</v>
      </c>
      <c r="F66" s="529" t="s">
        <v>215</v>
      </c>
      <c r="G66" s="510" t="s">
        <v>670</v>
      </c>
      <c r="H66" s="529">
        <v>41</v>
      </c>
      <c r="I66" s="529">
        <v>37</v>
      </c>
      <c r="J66" s="529">
        <v>49</v>
      </c>
      <c r="K66" s="529">
        <v>55173.48</v>
      </c>
      <c r="L66" s="529">
        <v>55173.48</v>
      </c>
      <c r="M66" s="529">
        <v>0</v>
      </c>
      <c r="N66" s="529">
        <v>16</v>
      </c>
      <c r="O66" s="529">
        <v>47264.21</v>
      </c>
      <c r="P66" s="529">
        <v>47264.21</v>
      </c>
      <c r="Q66" s="529">
        <v>0</v>
      </c>
    </row>
    <row r="67" spans="1:17" ht="15.75" customHeight="1" x14ac:dyDescent="0.2">
      <c r="A67" s="529">
        <v>59</v>
      </c>
      <c r="B67" s="529" t="s">
        <v>216</v>
      </c>
      <c r="C67" s="516" t="s">
        <v>67</v>
      </c>
      <c r="D67" s="529" t="s">
        <v>436</v>
      </c>
      <c r="E67" s="529" t="s">
        <v>217</v>
      </c>
      <c r="F67" s="529" t="s">
        <v>218</v>
      </c>
      <c r="G67" s="510" t="s">
        <v>670</v>
      </c>
      <c r="H67" s="529">
        <v>17</v>
      </c>
      <c r="I67" s="529">
        <v>12</v>
      </c>
      <c r="J67" s="529">
        <v>12</v>
      </c>
      <c r="K67" s="529">
        <v>8808.74</v>
      </c>
      <c r="L67" s="529">
        <v>8808.74</v>
      </c>
      <c r="M67" s="529">
        <v>0</v>
      </c>
      <c r="N67" s="529">
        <v>0</v>
      </c>
      <c r="O67" s="529">
        <v>0</v>
      </c>
      <c r="P67" s="529">
        <v>0</v>
      </c>
      <c r="Q67" s="529">
        <v>0</v>
      </c>
    </row>
    <row r="68" spans="1:17" ht="15.75" customHeight="1" x14ac:dyDescent="0.2">
      <c r="A68" s="529">
        <v>60</v>
      </c>
      <c r="B68" s="529" t="s">
        <v>35</v>
      </c>
      <c r="C68" s="516" t="s">
        <v>62</v>
      </c>
      <c r="D68" s="529" t="s">
        <v>63</v>
      </c>
      <c r="E68" s="529" t="s">
        <v>219</v>
      </c>
      <c r="F68" s="529" t="s">
        <v>220</v>
      </c>
      <c r="G68" s="510" t="s">
        <v>670</v>
      </c>
      <c r="H68" s="529">
        <v>60</v>
      </c>
      <c r="I68" s="529">
        <v>56</v>
      </c>
      <c r="J68" s="529">
        <v>63</v>
      </c>
      <c r="K68" s="529">
        <v>82511.28</v>
      </c>
      <c r="L68" s="529">
        <v>82511.28</v>
      </c>
      <c r="M68" s="529">
        <v>0</v>
      </c>
      <c r="N68" s="529">
        <v>34</v>
      </c>
      <c r="O68" s="529">
        <v>88743.22</v>
      </c>
      <c r="P68" s="529">
        <v>88743.22</v>
      </c>
      <c r="Q68" s="529">
        <v>0</v>
      </c>
    </row>
    <row r="69" spans="1:17" ht="15.75" customHeight="1" x14ac:dyDescent="0.2">
      <c r="A69" s="529">
        <v>61</v>
      </c>
      <c r="B69" s="529" t="s">
        <v>114</v>
      </c>
      <c r="C69" s="516" t="s">
        <v>62</v>
      </c>
      <c r="D69" s="529" t="s">
        <v>63</v>
      </c>
      <c r="E69" s="529" t="s">
        <v>115</v>
      </c>
      <c r="F69" s="529" t="s">
        <v>221</v>
      </c>
      <c r="G69" s="510" t="s">
        <v>670</v>
      </c>
      <c r="H69" s="529">
        <v>18</v>
      </c>
      <c r="I69" s="529">
        <v>11</v>
      </c>
      <c r="J69" s="529">
        <v>11</v>
      </c>
      <c r="K69" s="529">
        <v>21498.44</v>
      </c>
      <c r="L69" s="529">
        <v>16638.2</v>
      </c>
      <c r="M69" s="529">
        <v>4860.24</v>
      </c>
      <c r="N69" s="529">
        <v>1</v>
      </c>
      <c r="O69" s="529">
        <v>1108.48</v>
      </c>
      <c r="P69" s="529">
        <v>1108.48</v>
      </c>
      <c r="Q69" s="529">
        <v>0</v>
      </c>
    </row>
    <row r="70" spans="1:17" ht="15.75" customHeight="1" x14ac:dyDescent="0.2">
      <c r="A70" s="529">
        <v>62</v>
      </c>
      <c r="B70" s="529" t="s">
        <v>222</v>
      </c>
      <c r="C70" s="516" t="s">
        <v>64</v>
      </c>
      <c r="D70" s="529" t="s">
        <v>486</v>
      </c>
      <c r="E70" s="529" t="s">
        <v>223</v>
      </c>
      <c r="F70" s="529" t="s">
        <v>224</v>
      </c>
      <c r="G70" s="510" t="s">
        <v>670</v>
      </c>
      <c r="H70" s="529">
        <v>24</v>
      </c>
      <c r="I70" s="529">
        <v>20</v>
      </c>
      <c r="J70" s="529">
        <v>25</v>
      </c>
      <c r="K70" s="529">
        <v>31179.34</v>
      </c>
      <c r="L70" s="529">
        <v>31179.34</v>
      </c>
      <c r="M70" s="529">
        <v>0</v>
      </c>
      <c r="N70" s="529">
        <v>0</v>
      </c>
      <c r="O70" s="529">
        <v>0</v>
      </c>
      <c r="P70" s="529">
        <v>0</v>
      </c>
      <c r="Q70" s="529">
        <v>0</v>
      </c>
    </row>
    <row r="71" spans="1:17" ht="15.75" customHeight="1" x14ac:dyDescent="0.2">
      <c r="A71" s="529">
        <v>63</v>
      </c>
      <c r="B71" s="529" t="s">
        <v>93</v>
      </c>
      <c r="C71" s="516" t="s">
        <v>62</v>
      </c>
      <c r="D71" s="529" t="s">
        <v>63</v>
      </c>
      <c r="E71" s="529" t="s">
        <v>74</v>
      </c>
      <c r="F71" s="529" t="s">
        <v>225</v>
      </c>
      <c r="G71" s="510" t="s">
        <v>670</v>
      </c>
      <c r="H71" s="529">
        <v>14</v>
      </c>
      <c r="I71" s="529">
        <v>6</v>
      </c>
      <c r="J71" s="529">
        <v>7</v>
      </c>
      <c r="K71" s="529">
        <v>11798.3</v>
      </c>
      <c r="L71" s="529">
        <v>11798.3</v>
      </c>
      <c r="M71" s="529">
        <v>0</v>
      </c>
      <c r="N71" s="529">
        <v>7</v>
      </c>
      <c r="O71" s="529">
        <v>10672.71</v>
      </c>
      <c r="P71" s="529">
        <v>10672.71</v>
      </c>
      <c r="Q71" s="529">
        <v>0</v>
      </c>
    </row>
    <row r="72" spans="1:17" ht="15.75" customHeight="1" x14ac:dyDescent="0.2">
      <c r="A72" s="529">
        <v>64</v>
      </c>
      <c r="B72" s="529" t="s">
        <v>226</v>
      </c>
      <c r="C72" s="516" t="s">
        <v>62</v>
      </c>
      <c r="D72" s="529" t="s">
        <v>63</v>
      </c>
      <c r="E72" s="529" t="s">
        <v>174</v>
      </c>
      <c r="F72" s="529" t="s">
        <v>227</v>
      </c>
      <c r="G72" s="510" t="s">
        <v>670</v>
      </c>
      <c r="H72" s="529">
        <v>43</v>
      </c>
      <c r="I72" s="529">
        <v>17</v>
      </c>
      <c r="J72" s="529">
        <v>20</v>
      </c>
      <c r="K72" s="529">
        <v>59599.24</v>
      </c>
      <c r="L72" s="529">
        <v>59599.24</v>
      </c>
      <c r="M72" s="529">
        <v>0</v>
      </c>
      <c r="N72" s="529">
        <v>0</v>
      </c>
      <c r="O72" s="529">
        <v>0</v>
      </c>
      <c r="P72" s="529">
        <v>0</v>
      </c>
      <c r="Q72" s="529">
        <v>0</v>
      </c>
    </row>
    <row r="73" spans="1:17" ht="15.75" customHeight="1" x14ac:dyDescent="0.2">
      <c r="A73" s="529">
        <v>65</v>
      </c>
      <c r="B73" s="529" t="s">
        <v>228</v>
      </c>
      <c r="C73" s="516" t="s">
        <v>62</v>
      </c>
      <c r="D73" s="529" t="s">
        <v>63</v>
      </c>
      <c r="E73" s="529" t="s">
        <v>229</v>
      </c>
      <c r="F73" s="529" t="s">
        <v>230</v>
      </c>
      <c r="G73" s="510" t="s">
        <v>670</v>
      </c>
      <c r="H73" s="529">
        <v>51</v>
      </c>
      <c r="I73" s="529">
        <v>30</v>
      </c>
      <c r="J73" s="529">
        <v>38</v>
      </c>
      <c r="K73" s="529">
        <v>34002.400000000001</v>
      </c>
      <c r="L73" s="529">
        <v>34002.400000000001</v>
      </c>
      <c r="M73" s="529">
        <v>0</v>
      </c>
      <c r="N73" s="529">
        <v>0</v>
      </c>
      <c r="O73" s="529">
        <v>0</v>
      </c>
      <c r="P73" s="529">
        <v>0</v>
      </c>
      <c r="Q73" s="529">
        <v>0</v>
      </c>
    </row>
    <row r="74" spans="1:17" ht="15.75" customHeight="1" x14ac:dyDescent="0.2">
      <c r="A74" s="529">
        <v>66</v>
      </c>
      <c r="B74" s="529" t="s">
        <v>116</v>
      </c>
      <c r="C74" s="516" t="s">
        <v>62</v>
      </c>
      <c r="D74" s="529" t="s">
        <v>63</v>
      </c>
      <c r="E74" s="529" t="s">
        <v>74</v>
      </c>
      <c r="F74" s="529" t="s">
        <v>231</v>
      </c>
      <c r="G74" s="510" t="s">
        <v>670</v>
      </c>
      <c r="H74" s="529">
        <v>39</v>
      </c>
      <c r="I74" s="529">
        <v>30</v>
      </c>
      <c r="J74" s="529">
        <v>36</v>
      </c>
      <c r="K74" s="529">
        <v>42164.54</v>
      </c>
      <c r="L74" s="529">
        <v>42164.54</v>
      </c>
      <c r="M74" s="529">
        <v>0</v>
      </c>
      <c r="N74" s="529">
        <v>3</v>
      </c>
      <c r="O74" s="529">
        <v>5058.49</v>
      </c>
      <c r="P74" s="529">
        <v>5058.49</v>
      </c>
      <c r="Q74" s="529">
        <v>0</v>
      </c>
    </row>
    <row r="75" spans="1:17" ht="15.75" customHeight="1" x14ac:dyDescent="0.2">
      <c r="A75" s="529">
        <v>67</v>
      </c>
      <c r="B75" s="529" t="s">
        <v>232</v>
      </c>
      <c r="C75" s="516" t="s">
        <v>62</v>
      </c>
      <c r="D75" s="529" t="s">
        <v>63</v>
      </c>
      <c r="E75" s="529" t="s">
        <v>174</v>
      </c>
      <c r="F75" s="529" t="s">
        <v>233</v>
      </c>
      <c r="G75" s="510" t="s">
        <v>670</v>
      </c>
      <c r="H75" s="529">
        <v>18</v>
      </c>
      <c r="I75" s="529">
        <v>14</v>
      </c>
      <c r="J75" s="529">
        <v>17</v>
      </c>
      <c r="K75" s="529">
        <v>9716.0300000000007</v>
      </c>
      <c r="L75" s="529">
        <v>9716.0300000000007</v>
      </c>
      <c r="M75" s="529">
        <v>0</v>
      </c>
      <c r="N75" s="529">
        <v>0</v>
      </c>
      <c r="O75" s="529">
        <v>0</v>
      </c>
      <c r="P75" s="529">
        <v>0</v>
      </c>
      <c r="Q75" s="529">
        <v>0</v>
      </c>
    </row>
    <row r="76" spans="1:17" ht="15.75" customHeight="1" x14ac:dyDescent="0.2">
      <c r="A76" s="529">
        <v>68</v>
      </c>
      <c r="B76" s="529" t="s">
        <v>487</v>
      </c>
      <c r="C76" s="516" t="s">
        <v>62</v>
      </c>
      <c r="D76" s="529" t="s">
        <v>63</v>
      </c>
      <c r="E76" s="529" t="s">
        <v>282</v>
      </c>
      <c r="F76" s="529" t="s">
        <v>488</v>
      </c>
      <c r="G76" s="510" t="s">
        <v>670</v>
      </c>
      <c r="H76" s="529">
        <v>10</v>
      </c>
      <c r="I76" s="529">
        <v>3</v>
      </c>
      <c r="J76" s="529">
        <v>3</v>
      </c>
      <c r="K76" s="529">
        <v>1999.87</v>
      </c>
      <c r="L76" s="529">
        <v>1999.87</v>
      </c>
      <c r="M76" s="529">
        <v>0</v>
      </c>
      <c r="N76" s="529">
        <v>0</v>
      </c>
      <c r="O76" s="529">
        <v>0</v>
      </c>
      <c r="P76" s="529">
        <v>0</v>
      </c>
      <c r="Q76" s="529">
        <v>0</v>
      </c>
    </row>
    <row r="77" spans="1:17" ht="15.75" customHeight="1" x14ac:dyDescent="0.2">
      <c r="A77" s="529">
        <v>69</v>
      </c>
      <c r="B77" s="529" t="s">
        <v>357</v>
      </c>
      <c r="C77" s="516" t="s">
        <v>64</v>
      </c>
      <c r="D77" s="529" t="s">
        <v>585</v>
      </c>
      <c r="E77" s="529" t="s">
        <v>74</v>
      </c>
      <c r="F77" s="529" t="s">
        <v>586</v>
      </c>
      <c r="G77" s="510" t="s">
        <v>670</v>
      </c>
      <c r="H77" s="529">
        <v>6</v>
      </c>
      <c r="I77" s="529">
        <v>0</v>
      </c>
      <c r="J77" s="529">
        <v>0</v>
      </c>
      <c r="K77" s="529">
        <v>0</v>
      </c>
      <c r="L77" s="529">
        <v>0</v>
      </c>
      <c r="M77" s="529">
        <v>0</v>
      </c>
      <c r="N77" s="529">
        <v>1</v>
      </c>
      <c r="O77" s="529">
        <v>6753.85</v>
      </c>
      <c r="P77" s="529">
        <v>6753.85</v>
      </c>
      <c r="Q77" s="529">
        <v>0</v>
      </c>
    </row>
    <row r="78" spans="1:17" ht="15.75" customHeight="1" x14ac:dyDescent="0.2">
      <c r="A78" s="529">
        <v>70</v>
      </c>
      <c r="B78" s="529" t="s">
        <v>36</v>
      </c>
      <c r="C78" s="516" t="s">
        <v>62</v>
      </c>
      <c r="D78" s="529" t="s">
        <v>63</v>
      </c>
      <c r="E78" s="529" t="s">
        <v>74</v>
      </c>
      <c r="F78" s="529" t="s">
        <v>465</v>
      </c>
      <c r="G78" s="510" t="s">
        <v>670</v>
      </c>
      <c r="H78" s="529">
        <v>8</v>
      </c>
      <c r="I78" s="529">
        <v>4</v>
      </c>
      <c r="J78" s="529">
        <v>4</v>
      </c>
      <c r="K78" s="529">
        <v>352.4</v>
      </c>
      <c r="L78" s="529">
        <v>352.4</v>
      </c>
      <c r="M78" s="529">
        <v>0</v>
      </c>
      <c r="N78" s="529">
        <v>7</v>
      </c>
      <c r="O78" s="529">
        <v>20309.48</v>
      </c>
      <c r="P78" s="529">
        <v>20309.48</v>
      </c>
      <c r="Q78" s="529">
        <v>0</v>
      </c>
    </row>
    <row r="79" spans="1:17" ht="15.75" customHeight="1" x14ac:dyDescent="0.2">
      <c r="A79" s="529">
        <v>71</v>
      </c>
      <c r="B79" s="529" t="s">
        <v>658</v>
      </c>
      <c r="C79" s="516" t="s">
        <v>62</v>
      </c>
      <c r="D79" s="529" t="s">
        <v>63</v>
      </c>
      <c r="E79" s="529" t="s">
        <v>223</v>
      </c>
      <c r="F79" s="529" t="s">
        <v>659</v>
      </c>
      <c r="G79" s="510" t="s">
        <v>670</v>
      </c>
      <c r="H79" s="529">
        <v>13</v>
      </c>
      <c r="I79" s="529">
        <v>0</v>
      </c>
      <c r="J79" s="529">
        <v>0</v>
      </c>
      <c r="K79" s="529">
        <v>0</v>
      </c>
      <c r="L79" s="529">
        <v>0</v>
      </c>
      <c r="M79" s="529">
        <v>0</v>
      </c>
      <c r="N79" s="529">
        <v>0</v>
      </c>
      <c r="O79" s="529">
        <v>0</v>
      </c>
      <c r="P79" s="529">
        <v>0</v>
      </c>
      <c r="Q79" s="529">
        <v>0</v>
      </c>
    </row>
    <row r="80" spans="1:17" ht="15.75" customHeight="1" x14ac:dyDescent="0.2">
      <c r="A80" s="529">
        <v>72</v>
      </c>
      <c r="B80" s="529" t="s">
        <v>37</v>
      </c>
      <c r="C80" s="516" t="s">
        <v>62</v>
      </c>
      <c r="D80" s="529" t="s">
        <v>63</v>
      </c>
      <c r="E80" s="529" t="s">
        <v>70</v>
      </c>
      <c r="F80" s="529" t="s">
        <v>234</v>
      </c>
      <c r="G80" s="510" t="s">
        <v>670</v>
      </c>
      <c r="H80" s="529">
        <v>17</v>
      </c>
      <c r="I80" s="529">
        <v>10</v>
      </c>
      <c r="J80" s="529">
        <v>11</v>
      </c>
      <c r="K80" s="529">
        <v>11914.75</v>
      </c>
      <c r="L80" s="529">
        <v>11914.75</v>
      </c>
      <c r="M80" s="529">
        <v>0</v>
      </c>
      <c r="N80" s="529">
        <v>3</v>
      </c>
      <c r="O80" s="529">
        <v>19390.900000000001</v>
      </c>
      <c r="P80" s="529">
        <v>19390.900000000001</v>
      </c>
      <c r="Q80" s="529">
        <v>0</v>
      </c>
    </row>
    <row r="81" spans="1:17" ht="15.75" customHeight="1" x14ac:dyDescent="0.2">
      <c r="A81" s="529">
        <v>73</v>
      </c>
      <c r="B81" s="529" t="s">
        <v>235</v>
      </c>
      <c r="C81" s="516" t="s">
        <v>62</v>
      </c>
      <c r="D81" s="529" t="s">
        <v>63</v>
      </c>
      <c r="E81" s="529" t="s">
        <v>236</v>
      </c>
      <c r="F81" s="529" t="s">
        <v>237</v>
      </c>
      <c r="G81" s="510" t="s">
        <v>670</v>
      </c>
      <c r="H81" s="529">
        <v>16</v>
      </c>
      <c r="I81" s="529">
        <v>13</v>
      </c>
      <c r="J81" s="529">
        <v>20</v>
      </c>
      <c r="K81" s="529">
        <v>23840.49</v>
      </c>
      <c r="L81" s="529">
        <v>23840.49</v>
      </c>
      <c r="M81" s="529">
        <v>0</v>
      </c>
      <c r="N81" s="529">
        <v>0</v>
      </c>
      <c r="O81" s="529">
        <v>0</v>
      </c>
      <c r="P81" s="529">
        <v>0</v>
      </c>
      <c r="Q81" s="529">
        <v>0</v>
      </c>
    </row>
    <row r="82" spans="1:17" ht="15.75" customHeight="1" x14ac:dyDescent="0.2">
      <c r="A82" s="529">
        <v>74</v>
      </c>
      <c r="B82" s="529" t="s">
        <v>238</v>
      </c>
      <c r="C82" s="516" t="s">
        <v>62</v>
      </c>
      <c r="D82" s="529" t="s">
        <v>63</v>
      </c>
      <c r="E82" s="529" t="s">
        <v>239</v>
      </c>
      <c r="F82" s="529" t="s">
        <v>240</v>
      </c>
      <c r="G82" s="510" t="s">
        <v>670</v>
      </c>
      <c r="H82" s="529">
        <v>16</v>
      </c>
      <c r="I82" s="529">
        <v>11</v>
      </c>
      <c r="J82" s="529">
        <v>13</v>
      </c>
      <c r="K82" s="529">
        <v>9410.77</v>
      </c>
      <c r="L82" s="529">
        <v>9410.77</v>
      </c>
      <c r="M82" s="529">
        <v>0</v>
      </c>
      <c r="N82" s="529">
        <v>0</v>
      </c>
      <c r="O82" s="529">
        <v>0</v>
      </c>
      <c r="P82" s="529">
        <v>0</v>
      </c>
      <c r="Q82" s="529">
        <v>0</v>
      </c>
    </row>
    <row r="83" spans="1:17" ht="15.75" customHeight="1" x14ac:dyDescent="0.2">
      <c r="A83" s="529">
        <v>75</v>
      </c>
      <c r="B83" s="529" t="s">
        <v>587</v>
      </c>
      <c r="C83" s="516" t="s">
        <v>62</v>
      </c>
      <c r="D83" s="529" t="s">
        <v>63</v>
      </c>
      <c r="E83" s="529" t="s">
        <v>63</v>
      </c>
      <c r="F83" s="529" t="s">
        <v>609</v>
      </c>
      <c r="G83" s="510" t="s">
        <v>670</v>
      </c>
      <c r="H83" s="529">
        <v>0</v>
      </c>
      <c r="I83" s="529">
        <v>0</v>
      </c>
      <c r="J83" s="529">
        <v>0</v>
      </c>
      <c r="K83" s="529">
        <v>0</v>
      </c>
      <c r="L83" s="529">
        <v>0</v>
      </c>
      <c r="M83" s="529">
        <v>0</v>
      </c>
      <c r="N83" s="529">
        <v>2</v>
      </c>
      <c r="O83" s="529">
        <v>3658.79</v>
      </c>
      <c r="P83" s="529">
        <v>3658.79</v>
      </c>
      <c r="Q83" s="529">
        <v>0</v>
      </c>
    </row>
    <row r="84" spans="1:17" ht="15.75" customHeight="1" x14ac:dyDescent="0.2">
      <c r="A84" s="529">
        <v>76</v>
      </c>
      <c r="B84" s="529" t="s">
        <v>241</v>
      </c>
      <c r="C84" s="516" t="s">
        <v>62</v>
      </c>
      <c r="D84" s="529" t="s">
        <v>63</v>
      </c>
      <c r="E84" s="529" t="s">
        <v>242</v>
      </c>
      <c r="F84" s="529" t="s">
        <v>243</v>
      </c>
      <c r="G84" s="510" t="s">
        <v>670</v>
      </c>
      <c r="H84" s="529">
        <v>9</v>
      </c>
      <c r="I84" s="529">
        <v>9</v>
      </c>
      <c r="J84" s="529">
        <v>14</v>
      </c>
      <c r="K84" s="529">
        <v>26884.58</v>
      </c>
      <c r="L84" s="529">
        <v>26884.58</v>
      </c>
      <c r="M84" s="529">
        <v>0</v>
      </c>
      <c r="N84" s="529">
        <v>0</v>
      </c>
      <c r="O84" s="529">
        <v>0</v>
      </c>
      <c r="P84" s="529">
        <v>0</v>
      </c>
      <c r="Q84" s="529">
        <v>0</v>
      </c>
    </row>
    <row r="85" spans="1:17" ht="15.75" customHeight="1" x14ac:dyDescent="0.2">
      <c r="A85" s="529">
        <v>77</v>
      </c>
      <c r="B85" s="529" t="s">
        <v>38</v>
      </c>
      <c r="C85" s="516" t="s">
        <v>62</v>
      </c>
      <c r="D85" s="529" t="s">
        <v>63</v>
      </c>
      <c r="E85" s="529" t="s">
        <v>244</v>
      </c>
      <c r="F85" s="529" t="s">
        <v>245</v>
      </c>
      <c r="G85" s="510" t="s">
        <v>670</v>
      </c>
      <c r="H85" s="529">
        <v>118</v>
      </c>
      <c r="I85" s="529">
        <v>103</v>
      </c>
      <c r="J85" s="529">
        <v>161</v>
      </c>
      <c r="K85" s="529">
        <v>177826.79</v>
      </c>
      <c r="L85" s="529">
        <v>177826.79</v>
      </c>
      <c r="M85" s="529">
        <v>0</v>
      </c>
      <c r="N85" s="529">
        <v>96</v>
      </c>
      <c r="O85" s="529">
        <v>272452.59000000003</v>
      </c>
      <c r="P85" s="529">
        <v>272452.59000000003</v>
      </c>
      <c r="Q85" s="529">
        <v>0</v>
      </c>
    </row>
    <row r="86" spans="1:17" ht="15.75" customHeight="1" x14ac:dyDescent="0.2">
      <c r="A86" s="529">
        <v>78</v>
      </c>
      <c r="B86" s="529" t="s">
        <v>246</v>
      </c>
      <c r="C86" s="516" t="s">
        <v>62</v>
      </c>
      <c r="D86" s="529" t="s">
        <v>63</v>
      </c>
      <c r="E86" s="529" t="s">
        <v>247</v>
      </c>
      <c r="F86" s="529" t="s">
        <v>248</v>
      </c>
      <c r="G86" s="510" t="s">
        <v>670</v>
      </c>
      <c r="H86" s="529">
        <v>53</v>
      </c>
      <c r="I86" s="529">
        <v>37</v>
      </c>
      <c r="J86" s="529">
        <v>46</v>
      </c>
      <c r="K86" s="529">
        <v>26416.06</v>
      </c>
      <c r="L86" s="529">
        <v>26416.06</v>
      </c>
      <c r="M86" s="529">
        <v>0</v>
      </c>
      <c r="N86" s="529">
        <v>0</v>
      </c>
      <c r="O86" s="529">
        <v>0</v>
      </c>
      <c r="P86" s="529">
        <v>0</v>
      </c>
      <c r="Q86" s="529">
        <v>0</v>
      </c>
    </row>
    <row r="87" spans="1:17" ht="15.75" customHeight="1" x14ac:dyDescent="0.2">
      <c r="A87" s="529">
        <v>79</v>
      </c>
      <c r="B87" s="529" t="s">
        <v>39</v>
      </c>
      <c r="C87" s="516" t="s">
        <v>62</v>
      </c>
      <c r="D87" s="529" t="s">
        <v>63</v>
      </c>
      <c r="E87" s="529" t="s">
        <v>77</v>
      </c>
      <c r="F87" s="529" t="s">
        <v>466</v>
      </c>
      <c r="G87" s="510" t="s">
        <v>670</v>
      </c>
      <c r="H87" s="529">
        <v>131</v>
      </c>
      <c r="I87" s="529">
        <v>109</v>
      </c>
      <c r="J87" s="529">
        <v>116</v>
      </c>
      <c r="K87" s="529">
        <v>62619.199999999997</v>
      </c>
      <c r="L87" s="529">
        <v>62619.199999999997</v>
      </c>
      <c r="M87" s="529">
        <v>0</v>
      </c>
      <c r="N87" s="529">
        <v>11</v>
      </c>
      <c r="O87" s="529">
        <v>18898.939999999999</v>
      </c>
      <c r="P87" s="529">
        <v>18898.939999999999</v>
      </c>
      <c r="Q87" s="529">
        <v>0</v>
      </c>
    </row>
    <row r="88" spans="1:17" ht="15.75" customHeight="1" x14ac:dyDescent="0.2">
      <c r="A88" s="529">
        <v>80</v>
      </c>
      <c r="B88" s="529" t="s">
        <v>40</v>
      </c>
      <c r="C88" s="516" t="s">
        <v>62</v>
      </c>
      <c r="D88" s="529" t="s">
        <v>63</v>
      </c>
      <c r="E88" s="529" t="s">
        <v>249</v>
      </c>
      <c r="F88" s="529" t="s">
        <v>250</v>
      </c>
      <c r="G88" s="510" t="s">
        <v>670</v>
      </c>
      <c r="H88" s="529">
        <v>34</v>
      </c>
      <c r="I88" s="529">
        <v>31</v>
      </c>
      <c r="J88" s="529">
        <v>51</v>
      </c>
      <c r="K88" s="529">
        <v>77676.240000000005</v>
      </c>
      <c r="L88" s="529">
        <v>77676.240000000005</v>
      </c>
      <c r="M88" s="529">
        <v>0</v>
      </c>
      <c r="N88" s="529">
        <v>19</v>
      </c>
      <c r="O88" s="529">
        <v>51901.91</v>
      </c>
      <c r="P88" s="529">
        <v>51901.91</v>
      </c>
      <c r="Q88" s="529">
        <v>0</v>
      </c>
    </row>
    <row r="89" spans="1:17" ht="15.75" customHeight="1" x14ac:dyDescent="0.2">
      <c r="A89" s="529">
        <v>81</v>
      </c>
      <c r="B89" s="529" t="s">
        <v>660</v>
      </c>
      <c r="C89" s="516" t="s">
        <v>67</v>
      </c>
      <c r="D89" s="529" t="s">
        <v>661</v>
      </c>
      <c r="E89" s="529" t="s">
        <v>313</v>
      </c>
      <c r="F89" s="529" t="s">
        <v>662</v>
      </c>
      <c r="G89" s="510" t="s">
        <v>670</v>
      </c>
      <c r="H89" s="529">
        <v>7</v>
      </c>
      <c r="I89" s="529">
        <v>4</v>
      </c>
      <c r="J89" s="529">
        <v>4</v>
      </c>
      <c r="K89" s="529">
        <v>0</v>
      </c>
      <c r="L89" s="529">
        <v>0</v>
      </c>
      <c r="M89" s="529">
        <v>0</v>
      </c>
      <c r="N89" s="529">
        <v>0</v>
      </c>
      <c r="O89" s="529">
        <v>0</v>
      </c>
      <c r="P89" s="529">
        <v>0</v>
      </c>
      <c r="Q89" s="529">
        <v>0</v>
      </c>
    </row>
    <row r="90" spans="1:17" ht="15.75" customHeight="1" x14ac:dyDescent="0.2">
      <c r="A90" s="529">
        <v>82</v>
      </c>
      <c r="B90" s="529" t="s">
        <v>251</v>
      </c>
      <c r="C90" s="516" t="s">
        <v>62</v>
      </c>
      <c r="D90" s="529"/>
      <c r="E90" s="529" t="s">
        <v>177</v>
      </c>
      <c r="F90" s="529" t="s">
        <v>252</v>
      </c>
      <c r="G90" s="510" t="s">
        <v>670</v>
      </c>
      <c r="H90" s="529">
        <v>68</v>
      </c>
      <c r="I90" s="529">
        <v>51</v>
      </c>
      <c r="J90" s="529">
        <v>76</v>
      </c>
      <c r="K90" s="529">
        <v>85263.69</v>
      </c>
      <c r="L90" s="529">
        <v>77010.77</v>
      </c>
      <c r="M90" s="529">
        <v>8252.92</v>
      </c>
      <c r="N90" s="529">
        <v>0</v>
      </c>
      <c r="O90" s="529">
        <v>0</v>
      </c>
      <c r="P90" s="529">
        <v>0</v>
      </c>
      <c r="Q90" s="529">
        <v>0</v>
      </c>
    </row>
    <row r="91" spans="1:17" ht="15.75" customHeight="1" x14ac:dyDescent="0.2">
      <c r="A91" s="529">
        <v>83</v>
      </c>
      <c r="B91" s="529" t="s">
        <v>117</v>
      </c>
      <c r="C91" s="516" t="s">
        <v>62</v>
      </c>
      <c r="D91" s="529" t="s">
        <v>63</v>
      </c>
      <c r="E91" s="529" t="s">
        <v>74</v>
      </c>
      <c r="F91" s="529" t="s">
        <v>520</v>
      </c>
      <c r="G91" s="510" t="s">
        <v>670</v>
      </c>
      <c r="H91" s="529">
        <v>7</v>
      </c>
      <c r="I91" s="529">
        <v>2</v>
      </c>
      <c r="J91" s="529">
        <v>2</v>
      </c>
      <c r="K91" s="529">
        <v>3618.99</v>
      </c>
      <c r="L91" s="529">
        <v>3618.99</v>
      </c>
      <c r="M91" s="529">
        <v>0</v>
      </c>
      <c r="N91" s="529">
        <v>3</v>
      </c>
      <c r="O91" s="529">
        <v>9677.56</v>
      </c>
      <c r="P91" s="529">
        <v>9677.56</v>
      </c>
      <c r="Q91" s="529">
        <v>0</v>
      </c>
    </row>
    <row r="92" spans="1:17" ht="15.75" customHeight="1" x14ac:dyDescent="0.2">
      <c r="A92" s="529">
        <v>84</v>
      </c>
      <c r="B92" s="529" t="s">
        <v>41</v>
      </c>
      <c r="C92" s="516" t="s">
        <v>64</v>
      </c>
      <c r="D92" s="529" t="s">
        <v>65</v>
      </c>
      <c r="E92" s="529" t="s">
        <v>72</v>
      </c>
      <c r="F92" s="529" t="s">
        <v>253</v>
      </c>
      <c r="G92" s="510" t="s">
        <v>670</v>
      </c>
      <c r="H92" s="529">
        <v>2</v>
      </c>
      <c r="I92" s="529">
        <v>2</v>
      </c>
      <c r="J92" s="529">
        <v>2</v>
      </c>
      <c r="K92" s="529">
        <v>1575.23</v>
      </c>
      <c r="L92" s="529">
        <v>1575.23</v>
      </c>
      <c r="M92" s="529">
        <v>0</v>
      </c>
      <c r="N92" s="529">
        <v>12</v>
      </c>
      <c r="O92" s="529">
        <v>33315.620000000003</v>
      </c>
      <c r="P92" s="529">
        <v>33315.620000000003</v>
      </c>
      <c r="Q92" s="529">
        <v>0</v>
      </c>
    </row>
    <row r="93" spans="1:17" ht="15.75" customHeight="1" x14ac:dyDescent="0.2">
      <c r="A93" s="529">
        <v>85</v>
      </c>
      <c r="B93" s="529" t="s">
        <v>118</v>
      </c>
      <c r="C93" s="516" t="s">
        <v>62</v>
      </c>
      <c r="D93" s="529" t="s">
        <v>63</v>
      </c>
      <c r="E93" s="529" t="s">
        <v>63</v>
      </c>
      <c r="F93" s="529" t="s">
        <v>467</v>
      </c>
      <c r="G93" s="510" t="s">
        <v>670</v>
      </c>
      <c r="H93" s="529">
        <v>7</v>
      </c>
      <c r="I93" s="529">
        <v>2</v>
      </c>
      <c r="J93" s="529">
        <v>2</v>
      </c>
      <c r="K93" s="529">
        <v>939.94</v>
      </c>
      <c r="L93" s="529">
        <v>939.94</v>
      </c>
      <c r="M93" s="529">
        <v>0</v>
      </c>
      <c r="N93" s="529">
        <v>2</v>
      </c>
      <c r="O93" s="529">
        <v>23833.22</v>
      </c>
      <c r="P93" s="529">
        <v>23833.22</v>
      </c>
      <c r="Q93" s="529">
        <v>0</v>
      </c>
    </row>
    <row r="94" spans="1:17" ht="15.75" customHeight="1" x14ac:dyDescent="0.2">
      <c r="A94" s="529">
        <v>86</v>
      </c>
      <c r="B94" s="529" t="s">
        <v>548</v>
      </c>
      <c r="C94" s="516" t="s">
        <v>62</v>
      </c>
      <c r="D94" s="529" t="s">
        <v>63</v>
      </c>
      <c r="E94" s="529" t="s">
        <v>549</v>
      </c>
      <c r="F94" s="529" t="s">
        <v>550</v>
      </c>
      <c r="G94" s="510" t="s">
        <v>670</v>
      </c>
      <c r="H94" s="529">
        <v>7</v>
      </c>
      <c r="I94" s="529">
        <v>4</v>
      </c>
      <c r="J94" s="529">
        <v>4</v>
      </c>
      <c r="K94" s="529">
        <v>0</v>
      </c>
      <c r="L94" s="529">
        <v>0</v>
      </c>
      <c r="M94" s="529">
        <v>0</v>
      </c>
      <c r="N94" s="529">
        <v>0</v>
      </c>
      <c r="O94" s="529">
        <v>0</v>
      </c>
      <c r="P94" s="529">
        <v>0</v>
      </c>
      <c r="Q94" s="529">
        <v>0</v>
      </c>
    </row>
    <row r="95" spans="1:17" ht="15.75" customHeight="1" x14ac:dyDescent="0.2">
      <c r="A95" s="529">
        <v>87</v>
      </c>
      <c r="B95" s="529" t="s">
        <v>254</v>
      </c>
      <c r="C95" s="516" t="s">
        <v>62</v>
      </c>
      <c r="D95" s="529" t="s">
        <v>63</v>
      </c>
      <c r="E95" s="529" t="s">
        <v>239</v>
      </c>
      <c r="F95" s="529" t="s">
        <v>255</v>
      </c>
      <c r="G95" s="510" t="s">
        <v>670</v>
      </c>
      <c r="H95" s="529">
        <v>11</v>
      </c>
      <c r="I95" s="529">
        <v>9</v>
      </c>
      <c r="J95" s="529">
        <v>12</v>
      </c>
      <c r="K95" s="529">
        <v>11766.59</v>
      </c>
      <c r="L95" s="529">
        <v>11766.59</v>
      </c>
      <c r="M95" s="529">
        <v>0</v>
      </c>
      <c r="N95" s="529">
        <v>0</v>
      </c>
      <c r="O95" s="529">
        <v>0</v>
      </c>
      <c r="P95" s="529">
        <v>0</v>
      </c>
      <c r="Q95" s="529">
        <v>0</v>
      </c>
    </row>
    <row r="96" spans="1:17" ht="15.75" customHeight="1" x14ac:dyDescent="0.2">
      <c r="A96" s="529">
        <v>88</v>
      </c>
      <c r="B96" s="529" t="s">
        <v>256</v>
      </c>
      <c r="C96" s="516" t="s">
        <v>62</v>
      </c>
      <c r="D96" s="529" t="s">
        <v>63</v>
      </c>
      <c r="E96" s="529" t="s">
        <v>158</v>
      </c>
      <c r="F96" s="529" t="s">
        <v>257</v>
      </c>
      <c r="G96" s="510" t="s">
        <v>670</v>
      </c>
      <c r="H96" s="529">
        <v>19</v>
      </c>
      <c r="I96" s="529">
        <v>10</v>
      </c>
      <c r="J96" s="529">
        <v>10</v>
      </c>
      <c r="K96" s="529">
        <v>7885.09</v>
      </c>
      <c r="L96" s="529">
        <v>7885.09</v>
      </c>
      <c r="M96" s="529">
        <v>0</v>
      </c>
      <c r="N96" s="529">
        <v>0</v>
      </c>
      <c r="O96" s="529">
        <v>0</v>
      </c>
      <c r="P96" s="529">
        <v>0</v>
      </c>
      <c r="Q96" s="529">
        <v>0</v>
      </c>
    </row>
    <row r="97" spans="1:17" ht="15.75" customHeight="1" x14ac:dyDescent="0.2">
      <c r="A97" s="529">
        <v>89</v>
      </c>
      <c r="B97" s="529" t="s">
        <v>643</v>
      </c>
      <c r="C97" s="516" t="s">
        <v>62</v>
      </c>
      <c r="D97" s="529" t="s">
        <v>63</v>
      </c>
      <c r="E97" s="529" t="s">
        <v>313</v>
      </c>
      <c r="F97" s="529" t="s">
        <v>663</v>
      </c>
      <c r="G97" s="510" t="s">
        <v>670</v>
      </c>
      <c r="H97" s="529">
        <v>11</v>
      </c>
      <c r="I97" s="529">
        <v>6</v>
      </c>
      <c r="J97" s="529">
        <v>7</v>
      </c>
      <c r="K97" s="529">
        <v>1723.18</v>
      </c>
      <c r="L97" s="529">
        <v>1723.18</v>
      </c>
      <c r="M97" s="529">
        <v>0</v>
      </c>
      <c r="N97" s="529">
        <v>0</v>
      </c>
      <c r="O97" s="529">
        <v>0</v>
      </c>
      <c r="P97" s="529">
        <v>0</v>
      </c>
      <c r="Q97" s="529">
        <v>0</v>
      </c>
    </row>
    <row r="98" spans="1:17" ht="15.75" customHeight="1" x14ac:dyDescent="0.2">
      <c r="A98" s="529">
        <v>90</v>
      </c>
      <c r="B98" s="529" t="s">
        <v>258</v>
      </c>
      <c r="C98" s="516" t="s">
        <v>62</v>
      </c>
      <c r="D98" s="529" t="s">
        <v>63</v>
      </c>
      <c r="E98" s="529" t="s">
        <v>239</v>
      </c>
      <c r="F98" s="529" t="s">
        <v>259</v>
      </c>
      <c r="G98" s="510" t="s">
        <v>670</v>
      </c>
      <c r="H98" s="529">
        <v>40</v>
      </c>
      <c r="I98" s="529">
        <v>30</v>
      </c>
      <c r="J98" s="529">
        <v>35</v>
      </c>
      <c r="K98" s="529">
        <v>42977.760000000002</v>
      </c>
      <c r="L98" s="529">
        <v>42977.760000000002</v>
      </c>
      <c r="M98" s="529">
        <v>0</v>
      </c>
      <c r="N98" s="529">
        <v>0</v>
      </c>
      <c r="O98" s="529">
        <v>0</v>
      </c>
      <c r="P98" s="529">
        <v>0</v>
      </c>
      <c r="Q98" s="529">
        <v>0</v>
      </c>
    </row>
    <row r="99" spans="1:17" ht="15.75" customHeight="1" x14ac:dyDescent="0.2">
      <c r="A99" s="529">
        <v>91</v>
      </c>
      <c r="B99" s="529" t="s">
        <v>42</v>
      </c>
      <c r="C99" s="516" t="s">
        <v>62</v>
      </c>
      <c r="D99" s="529" t="s">
        <v>63</v>
      </c>
      <c r="E99" s="529" t="s">
        <v>78</v>
      </c>
      <c r="F99" s="529" t="s">
        <v>260</v>
      </c>
      <c r="G99" s="510" t="s">
        <v>670</v>
      </c>
      <c r="H99" s="529">
        <v>53</v>
      </c>
      <c r="I99" s="529">
        <v>42</v>
      </c>
      <c r="J99" s="529">
        <v>52</v>
      </c>
      <c r="K99" s="529">
        <v>105749.62</v>
      </c>
      <c r="L99" s="529">
        <v>102029.77</v>
      </c>
      <c r="M99" s="529">
        <v>3719.85</v>
      </c>
      <c r="N99" s="529">
        <v>38</v>
      </c>
      <c r="O99" s="529">
        <v>157669.39000000001</v>
      </c>
      <c r="P99" s="529">
        <v>157669.39000000001</v>
      </c>
      <c r="Q99" s="529">
        <v>0</v>
      </c>
    </row>
    <row r="100" spans="1:17" ht="15.75" customHeight="1" x14ac:dyDescent="0.2">
      <c r="A100" s="529">
        <v>92</v>
      </c>
      <c r="B100" s="529" t="s">
        <v>43</v>
      </c>
      <c r="C100" s="516" t="s">
        <v>62</v>
      </c>
      <c r="D100" s="529" t="s">
        <v>63</v>
      </c>
      <c r="E100" s="529" t="s">
        <v>72</v>
      </c>
      <c r="F100" s="529" t="s">
        <v>261</v>
      </c>
      <c r="G100" s="510" t="s">
        <v>670</v>
      </c>
      <c r="H100" s="529">
        <v>32</v>
      </c>
      <c r="I100" s="529">
        <v>23</v>
      </c>
      <c r="J100" s="529">
        <v>30</v>
      </c>
      <c r="K100" s="529">
        <v>43931.31</v>
      </c>
      <c r="L100" s="529">
        <v>43931.31</v>
      </c>
      <c r="M100" s="529">
        <v>0</v>
      </c>
      <c r="N100" s="529">
        <v>53</v>
      </c>
      <c r="O100" s="529">
        <v>199828.54</v>
      </c>
      <c r="P100" s="529">
        <v>199828.54</v>
      </c>
      <c r="Q100" s="529">
        <v>0</v>
      </c>
    </row>
    <row r="101" spans="1:17" ht="15.75" customHeight="1" x14ac:dyDescent="0.2">
      <c r="A101" s="529">
        <v>93</v>
      </c>
      <c r="B101" s="529" t="s">
        <v>44</v>
      </c>
      <c r="C101" s="516" t="s">
        <v>62</v>
      </c>
      <c r="D101" s="529" t="s">
        <v>63</v>
      </c>
      <c r="E101" s="529" t="s">
        <v>74</v>
      </c>
      <c r="F101" s="529" t="s">
        <v>262</v>
      </c>
      <c r="G101" s="510" t="s">
        <v>670</v>
      </c>
      <c r="H101" s="529">
        <v>55</v>
      </c>
      <c r="I101" s="529">
        <v>39</v>
      </c>
      <c r="J101" s="529">
        <v>45</v>
      </c>
      <c r="K101" s="529">
        <v>33316.980000000003</v>
      </c>
      <c r="L101" s="529">
        <v>33316.980000000003</v>
      </c>
      <c r="M101" s="529">
        <v>0</v>
      </c>
      <c r="N101" s="529">
        <v>44</v>
      </c>
      <c r="O101" s="529">
        <v>148820.37</v>
      </c>
      <c r="P101" s="529">
        <v>148820.37</v>
      </c>
      <c r="Q101" s="529">
        <v>0</v>
      </c>
    </row>
    <row r="102" spans="1:17" ht="15.75" customHeight="1" x14ac:dyDescent="0.2">
      <c r="A102" s="529">
        <v>94</v>
      </c>
      <c r="B102" s="529" t="s">
        <v>45</v>
      </c>
      <c r="C102" s="516" t="s">
        <v>62</v>
      </c>
      <c r="D102" s="529" t="s">
        <v>63</v>
      </c>
      <c r="E102" s="529" t="s">
        <v>79</v>
      </c>
      <c r="F102" s="529" t="s">
        <v>263</v>
      </c>
      <c r="G102" s="510" t="s">
        <v>670</v>
      </c>
      <c r="H102" s="529">
        <v>16</v>
      </c>
      <c r="I102" s="529">
        <v>12</v>
      </c>
      <c r="J102" s="529">
        <v>19</v>
      </c>
      <c r="K102" s="529">
        <v>32539.22</v>
      </c>
      <c r="L102" s="529">
        <v>32539.22</v>
      </c>
      <c r="M102" s="529">
        <v>0</v>
      </c>
      <c r="N102" s="529">
        <v>6</v>
      </c>
      <c r="O102" s="529">
        <v>25980.78</v>
      </c>
      <c r="P102" s="529">
        <v>25980.78</v>
      </c>
      <c r="Q102" s="529">
        <v>0</v>
      </c>
    </row>
    <row r="103" spans="1:17" ht="15.75" customHeight="1" x14ac:dyDescent="0.2">
      <c r="A103" s="529">
        <v>95</v>
      </c>
      <c r="B103" s="529" t="s">
        <v>264</v>
      </c>
      <c r="C103" s="516" t="s">
        <v>62</v>
      </c>
      <c r="D103" s="529" t="s">
        <v>63</v>
      </c>
      <c r="E103" s="529" t="s">
        <v>74</v>
      </c>
      <c r="F103" s="529" t="s">
        <v>265</v>
      </c>
      <c r="G103" s="510" t="s">
        <v>670</v>
      </c>
      <c r="H103" s="529">
        <v>27</v>
      </c>
      <c r="I103" s="529">
        <v>21</v>
      </c>
      <c r="J103" s="529">
        <v>25</v>
      </c>
      <c r="K103" s="529">
        <v>18935.36</v>
      </c>
      <c r="L103" s="529">
        <v>18935.36</v>
      </c>
      <c r="M103" s="529">
        <v>0</v>
      </c>
      <c r="N103" s="529">
        <v>0</v>
      </c>
      <c r="O103" s="529">
        <v>0</v>
      </c>
      <c r="P103" s="529">
        <v>0</v>
      </c>
      <c r="Q103" s="529">
        <v>0</v>
      </c>
    </row>
    <row r="104" spans="1:17" ht="15.75" customHeight="1" x14ac:dyDescent="0.2">
      <c r="A104" s="529">
        <v>96</v>
      </c>
      <c r="B104" s="529" t="s">
        <v>119</v>
      </c>
      <c r="C104" s="516" t="s">
        <v>62</v>
      </c>
      <c r="D104" s="529" t="s">
        <v>63</v>
      </c>
      <c r="E104" s="529" t="s">
        <v>108</v>
      </c>
      <c r="F104" s="529" t="s">
        <v>266</v>
      </c>
      <c r="G104" s="510" t="s">
        <v>670</v>
      </c>
      <c r="H104" s="529">
        <v>22</v>
      </c>
      <c r="I104" s="529">
        <v>17</v>
      </c>
      <c r="J104" s="529">
        <v>20</v>
      </c>
      <c r="K104" s="529">
        <v>20121.990000000002</v>
      </c>
      <c r="L104" s="529">
        <v>20121.990000000002</v>
      </c>
      <c r="M104" s="529">
        <v>0</v>
      </c>
      <c r="N104" s="529">
        <v>6</v>
      </c>
      <c r="O104" s="529">
        <v>1881.62</v>
      </c>
      <c r="P104" s="529">
        <v>1881.62</v>
      </c>
      <c r="Q104" s="529">
        <v>0</v>
      </c>
    </row>
    <row r="105" spans="1:17" ht="15.75" customHeight="1" x14ac:dyDescent="0.2">
      <c r="A105" s="529">
        <v>97</v>
      </c>
      <c r="B105" s="529" t="s">
        <v>46</v>
      </c>
      <c r="C105" s="516" t="s">
        <v>62</v>
      </c>
      <c r="D105" s="529" t="s">
        <v>63</v>
      </c>
      <c r="E105" s="529" t="s">
        <v>267</v>
      </c>
      <c r="F105" s="529" t="s">
        <v>268</v>
      </c>
      <c r="G105" s="510" t="s">
        <v>670</v>
      </c>
      <c r="H105" s="529">
        <v>29</v>
      </c>
      <c r="I105" s="529">
        <v>21</v>
      </c>
      <c r="J105" s="529">
        <v>33</v>
      </c>
      <c r="K105" s="529">
        <v>60965.35</v>
      </c>
      <c r="L105" s="529">
        <v>60965.35</v>
      </c>
      <c r="M105" s="529">
        <v>0</v>
      </c>
      <c r="N105" s="529">
        <v>28</v>
      </c>
      <c r="O105" s="529">
        <v>125896.58</v>
      </c>
      <c r="P105" s="529">
        <v>125896.58</v>
      </c>
      <c r="Q105" s="529">
        <v>0</v>
      </c>
    </row>
    <row r="106" spans="1:17" ht="15.75" customHeight="1" x14ac:dyDescent="0.2">
      <c r="A106" s="529">
        <v>98</v>
      </c>
      <c r="B106" s="529" t="s">
        <v>47</v>
      </c>
      <c r="C106" s="516" t="s">
        <v>62</v>
      </c>
      <c r="D106" s="529" t="s">
        <v>63</v>
      </c>
      <c r="E106" s="529" t="s">
        <v>80</v>
      </c>
      <c r="F106" s="529" t="s">
        <v>269</v>
      </c>
      <c r="G106" s="510" t="s">
        <v>670</v>
      </c>
      <c r="H106" s="529">
        <v>99</v>
      </c>
      <c r="I106" s="529">
        <v>81</v>
      </c>
      <c r="J106" s="529">
        <v>127</v>
      </c>
      <c r="K106" s="529">
        <v>235508.95</v>
      </c>
      <c r="L106" s="529">
        <v>201196.12</v>
      </c>
      <c r="M106" s="529">
        <v>34312.83</v>
      </c>
      <c r="N106" s="529">
        <v>128</v>
      </c>
      <c r="O106" s="529">
        <v>480608.94</v>
      </c>
      <c r="P106" s="529">
        <v>377678.74</v>
      </c>
      <c r="Q106" s="529">
        <v>102930.2</v>
      </c>
    </row>
    <row r="107" spans="1:17" ht="15.75" customHeight="1" x14ac:dyDescent="0.2">
      <c r="A107" s="529">
        <v>99</v>
      </c>
      <c r="B107" s="529" t="s">
        <v>270</v>
      </c>
      <c r="C107" s="516" t="s">
        <v>62</v>
      </c>
      <c r="D107" s="529" t="s">
        <v>63</v>
      </c>
      <c r="E107" s="529" t="s">
        <v>271</v>
      </c>
      <c r="F107" s="529" t="s">
        <v>272</v>
      </c>
      <c r="G107" s="510" t="s">
        <v>670</v>
      </c>
      <c r="H107" s="529">
        <v>18</v>
      </c>
      <c r="I107" s="529">
        <v>11</v>
      </c>
      <c r="J107" s="529">
        <v>17</v>
      </c>
      <c r="K107" s="529">
        <v>23603.22</v>
      </c>
      <c r="L107" s="529">
        <v>23603.22</v>
      </c>
      <c r="M107" s="529">
        <v>0</v>
      </c>
      <c r="N107" s="529">
        <v>0</v>
      </c>
      <c r="O107" s="529">
        <v>0</v>
      </c>
      <c r="P107" s="529">
        <v>0</v>
      </c>
      <c r="Q107" s="529">
        <v>0</v>
      </c>
    </row>
    <row r="108" spans="1:17" ht="15.75" customHeight="1" x14ac:dyDescent="0.2">
      <c r="A108" s="529">
        <v>100</v>
      </c>
      <c r="B108" s="529" t="s">
        <v>621</v>
      </c>
      <c r="C108" s="516" t="s">
        <v>62</v>
      </c>
      <c r="D108" s="529" t="s">
        <v>63</v>
      </c>
      <c r="E108" s="529" t="s">
        <v>239</v>
      </c>
      <c r="F108" s="529" t="s">
        <v>664</v>
      </c>
      <c r="G108" s="510" t="s">
        <v>670</v>
      </c>
      <c r="H108" s="529">
        <v>16</v>
      </c>
      <c r="I108" s="529">
        <v>11</v>
      </c>
      <c r="J108" s="529">
        <v>11</v>
      </c>
      <c r="K108" s="529">
        <v>0</v>
      </c>
      <c r="L108" s="529">
        <v>0</v>
      </c>
      <c r="M108" s="529">
        <v>0</v>
      </c>
      <c r="N108" s="529">
        <v>0</v>
      </c>
      <c r="O108" s="529">
        <v>0</v>
      </c>
      <c r="P108" s="529">
        <v>0</v>
      </c>
      <c r="Q108" s="529">
        <v>0</v>
      </c>
    </row>
    <row r="109" spans="1:17" ht="15.75" customHeight="1" x14ac:dyDescent="0.2">
      <c r="A109" s="529">
        <v>101</v>
      </c>
      <c r="B109" s="529" t="s">
        <v>723</v>
      </c>
      <c r="C109" s="516" t="s">
        <v>62</v>
      </c>
      <c r="D109" s="529" t="s">
        <v>63</v>
      </c>
      <c r="E109" s="529" t="s">
        <v>242</v>
      </c>
      <c r="F109" s="529" t="s">
        <v>775</v>
      </c>
      <c r="G109" s="510" t="s">
        <v>670</v>
      </c>
      <c r="H109" s="529">
        <v>4</v>
      </c>
      <c r="I109" s="529">
        <v>0</v>
      </c>
      <c r="J109" s="529">
        <v>0</v>
      </c>
      <c r="K109" s="529">
        <v>0</v>
      </c>
      <c r="L109" s="529">
        <v>0</v>
      </c>
      <c r="M109" s="529">
        <v>0</v>
      </c>
      <c r="N109" s="529">
        <v>0</v>
      </c>
      <c r="O109" s="529">
        <v>0</v>
      </c>
      <c r="P109" s="529">
        <v>0</v>
      </c>
      <c r="Q109" s="529">
        <v>0</v>
      </c>
    </row>
    <row r="110" spans="1:17" ht="15.75" customHeight="1" x14ac:dyDescent="0.2">
      <c r="A110" s="529">
        <v>102</v>
      </c>
      <c r="B110" s="529" t="s">
        <v>273</v>
      </c>
      <c r="C110" s="516" t="s">
        <v>62</v>
      </c>
      <c r="D110" s="529" t="s">
        <v>63</v>
      </c>
      <c r="E110" s="529" t="s">
        <v>186</v>
      </c>
      <c r="F110" s="529" t="s">
        <v>511</v>
      </c>
      <c r="G110" s="510" t="s">
        <v>670</v>
      </c>
      <c r="H110" s="529">
        <v>11</v>
      </c>
      <c r="I110" s="529">
        <v>0</v>
      </c>
      <c r="J110" s="529">
        <v>0</v>
      </c>
      <c r="K110" s="529">
        <v>0</v>
      </c>
      <c r="L110" s="529">
        <v>0</v>
      </c>
      <c r="M110" s="529">
        <v>0</v>
      </c>
      <c r="N110" s="529">
        <v>0</v>
      </c>
      <c r="O110" s="529">
        <v>0</v>
      </c>
      <c r="P110" s="529">
        <v>0</v>
      </c>
      <c r="Q110" s="529">
        <v>0</v>
      </c>
    </row>
    <row r="111" spans="1:17" ht="15.75" customHeight="1" x14ac:dyDescent="0.2">
      <c r="A111" s="529">
        <v>103</v>
      </c>
      <c r="B111" s="529" t="s">
        <v>490</v>
      </c>
      <c r="C111" s="516" t="s">
        <v>62</v>
      </c>
      <c r="D111" s="529" t="s">
        <v>63</v>
      </c>
      <c r="E111" s="529" t="s">
        <v>491</v>
      </c>
      <c r="F111" s="529" t="s">
        <v>492</v>
      </c>
      <c r="G111" s="510" t="s">
        <v>670</v>
      </c>
      <c r="H111" s="529">
        <v>18</v>
      </c>
      <c r="I111" s="529">
        <v>10</v>
      </c>
      <c r="J111" s="529">
        <v>12</v>
      </c>
      <c r="K111" s="529">
        <v>10195.18</v>
      </c>
      <c r="L111" s="529">
        <v>10195.18</v>
      </c>
      <c r="M111" s="529">
        <v>0</v>
      </c>
      <c r="N111" s="529">
        <v>0</v>
      </c>
      <c r="O111" s="529">
        <v>0</v>
      </c>
      <c r="P111" s="529">
        <v>0</v>
      </c>
      <c r="Q111" s="529">
        <v>0</v>
      </c>
    </row>
    <row r="112" spans="1:17" ht="15.75" customHeight="1" x14ac:dyDescent="0.2">
      <c r="A112" s="529">
        <v>104</v>
      </c>
      <c r="B112" s="529" t="s">
        <v>94</v>
      </c>
      <c r="C112" s="516" t="s">
        <v>62</v>
      </c>
      <c r="D112" s="529" t="s">
        <v>63</v>
      </c>
      <c r="E112" s="529" t="s">
        <v>74</v>
      </c>
      <c r="F112" s="529" t="s">
        <v>274</v>
      </c>
      <c r="G112" s="510" t="s">
        <v>670</v>
      </c>
      <c r="H112" s="529">
        <v>22</v>
      </c>
      <c r="I112" s="529">
        <v>7</v>
      </c>
      <c r="J112" s="529">
        <v>7</v>
      </c>
      <c r="K112" s="529">
        <v>9135.6200000000008</v>
      </c>
      <c r="L112" s="529">
        <v>9135.6200000000008</v>
      </c>
      <c r="M112" s="529">
        <v>0</v>
      </c>
      <c r="N112" s="529">
        <v>7</v>
      </c>
      <c r="O112" s="529">
        <v>9361.67</v>
      </c>
      <c r="P112" s="529">
        <v>9361.67</v>
      </c>
      <c r="Q112" s="529">
        <v>0</v>
      </c>
    </row>
    <row r="113" spans="1:17" ht="15.75" customHeight="1" x14ac:dyDescent="0.2">
      <c r="A113" s="529">
        <v>105</v>
      </c>
      <c r="B113" s="529" t="s">
        <v>120</v>
      </c>
      <c r="C113" s="516" t="s">
        <v>67</v>
      </c>
      <c r="D113" s="529" t="s">
        <v>493</v>
      </c>
      <c r="E113" s="529" t="s">
        <v>121</v>
      </c>
      <c r="F113" s="529" t="s">
        <v>468</v>
      </c>
      <c r="G113" s="510" t="s">
        <v>670</v>
      </c>
      <c r="H113" s="529">
        <v>16</v>
      </c>
      <c r="I113" s="529">
        <v>12</v>
      </c>
      <c r="J113" s="529">
        <v>14</v>
      </c>
      <c r="K113" s="529">
        <v>11996.24</v>
      </c>
      <c r="L113" s="529">
        <v>11996.24</v>
      </c>
      <c r="M113" s="529">
        <v>0</v>
      </c>
      <c r="N113" s="529">
        <v>0</v>
      </c>
      <c r="O113" s="529">
        <v>0</v>
      </c>
      <c r="P113" s="529">
        <v>0</v>
      </c>
      <c r="Q113" s="529">
        <v>0</v>
      </c>
    </row>
    <row r="114" spans="1:17" ht="15.75" customHeight="1" x14ac:dyDescent="0.2">
      <c r="A114" s="529">
        <v>106</v>
      </c>
      <c r="B114" s="529" t="s">
        <v>407</v>
      </c>
      <c r="C114" s="516" t="s">
        <v>62</v>
      </c>
      <c r="D114" s="529"/>
      <c r="E114" s="529" t="s">
        <v>186</v>
      </c>
      <c r="F114" s="529" t="s">
        <v>512</v>
      </c>
      <c r="G114" s="510" t="s">
        <v>670</v>
      </c>
      <c r="H114" s="529">
        <v>10</v>
      </c>
      <c r="I114" s="529">
        <v>5</v>
      </c>
      <c r="J114" s="529">
        <v>6</v>
      </c>
      <c r="K114" s="529">
        <v>4577.1000000000004</v>
      </c>
      <c r="L114" s="529">
        <v>4577.1000000000004</v>
      </c>
      <c r="M114" s="529">
        <v>0</v>
      </c>
      <c r="N114" s="529">
        <v>0</v>
      </c>
      <c r="O114" s="529">
        <v>0</v>
      </c>
      <c r="P114" s="529">
        <v>0</v>
      </c>
      <c r="Q114" s="529">
        <v>0</v>
      </c>
    </row>
    <row r="115" spans="1:17" ht="15.75" customHeight="1" x14ac:dyDescent="0.2">
      <c r="A115" s="529">
        <v>107</v>
      </c>
      <c r="B115" s="529" t="s">
        <v>754</v>
      </c>
      <c r="C115" s="516" t="s">
        <v>62</v>
      </c>
      <c r="D115" s="529" t="s">
        <v>63</v>
      </c>
      <c r="E115" s="529" t="s">
        <v>121</v>
      </c>
      <c r="F115" s="529" t="s">
        <v>755</v>
      </c>
      <c r="G115" s="510" t="s">
        <v>670</v>
      </c>
      <c r="H115" s="529">
        <v>2</v>
      </c>
      <c r="I115" s="529">
        <v>0</v>
      </c>
      <c r="J115" s="529">
        <v>0</v>
      </c>
      <c r="K115" s="529">
        <v>0</v>
      </c>
      <c r="L115" s="529">
        <v>0</v>
      </c>
      <c r="M115" s="529">
        <v>0</v>
      </c>
      <c r="N115" s="529">
        <v>0</v>
      </c>
      <c r="O115" s="529">
        <v>0</v>
      </c>
      <c r="P115" s="529">
        <v>0</v>
      </c>
      <c r="Q115" s="529">
        <v>0</v>
      </c>
    </row>
    <row r="116" spans="1:17" ht="15.75" customHeight="1" x14ac:dyDescent="0.2">
      <c r="A116" s="529">
        <v>108</v>
      </c>
      <c r="B116" s="529" t="s">
        <v>122</v>
      </c>
      <c r="C116" s="516" t="s">
        <v>62</v>
      </c>
      <c r="D116" s="529" t="s">
        <v>63</v>
      </c>
      <c r="E116" s="529" t="s">
        <v>275</v>
      </c>
      <c r="F116" s="529" t="s">
        <v>276</v>
      </c>
      <c r="G116" s="510" t="s">
        <v>670</v>
      </c>
      <c r="H116" s="529">
        <v>15</v>
      </c>
      <c r="I116" s="529">
        <v>15</v>
      </c>
      <c r="J116" s="529">
        <v>23</v>
      </c>
      <c r="K116" s="529">
        <v>18022.7</v>
      </c>
      <c r="L116" s="529">
        <v>18022.7</v>
      </c>
      <c r="M116" s="529">
        <v>0</v>
      </c>
      <c r="N116" s="529">
        <v>5</v>
      </c>
      <c r="O116" s="529">
        <v>9159.1299999999992</v>
      </c>
      <c r="P116" s="529">
        <v>9159.1299999999992</v>
      </c>
      <c r="Q116" s="529">
        <v>0</v>
      </c>
    </row>
    <row r="117" spans="1:17" ht="15.75" customHeight="1" x14ac:dyDescent="0.2">
      <c r="A117" s="529">
        <v>109</v>
      </c>
      <c r="B117" s="529" t="s">
        <v>133</v>
      </c>
      <c r="C117" s="516" t="s">
        <v>67</v>
      </c>
      <c r="D117" s="529" t="s">
        <v>494</v>
      </c>
      <c r="E117" s="529" t="s">
        <v>74</v>
      </c>
      <c r="F117" s="529" t="s">
        <v>577</v>
      </c>
      <c r="G117" s="510" t="s">
        <v>670</v>
      </c>
      <c r="H117" s="529">
        <v>14</v>
      </c>
      <c r="I117" s="529">
        <v>10</v>
      </c>
      <c r="J117" s="529">
        <v>14</v>
      </c>
      <c r="K117" s="529">
        <v>24017.200000000001</v>
      </c>
      <c r="L117" s="529">
        <v>24017.200000000001</v>
      </c>
      <c r="M117" s="529">
        <v>0</v>
      </c>
      <c r="N117" s="529">
        <v>0</v>
      </c>
      <c r="O117" s="529">
        <v>0</v>
      </c>
      <c r="P117" s="529">
        <v>0</v>
      </c>
      <c r="Q117" s="529">
        <v>0</v>
      </c>
    </row>
    <row r="118" spans="1:17" ht="15.75" customHeight="1" x14ac:dyDescent="0.2">
      <c r="A118" s="529">
        <v>110</v>
      </c>
      <c r="B118" s="529" t="s">
        <v>96</v>
      </c>
      <c r="C118" s="516" t="s">
        <v>62</v>
      </c>
      <c r="D118" s="529" t="s">
        <v>63</v>
      </c>
      <c r="E118" s="529" t="s">
        <v>98</v>
      </c>
      <c r="F118" s="529" t="s">
        <v>277</v>
      </c>
      <c r="G118" s="510" t="s">
        <v>670</v>
      </c>
      <c r="H118" s="529">
        <v>42</v>
      </c>
      <c r="I118" s="529">
        <v>10</v>
      </c>
      <c r="J118" s="529">
        <v>12</v>
      </c>
      <c r="K118" s="529">
        <v>22080.639999999999</v>
      </c>
      <c r="L118" s="529">
        <v>22080.639999999999</v>
      </c>
      <c r="M118" s="529">
        <v>0</v>
      </c>
      <c r="N118" s="529">
        <v>11</v>
      </c>
      <c r="O118" s="529">
        <v>47171.47</v>
      </c>
      <c r="P118" s="529">
        <v>47171.47</v>
      </c>
      <c r="Q118" s="529">
        <v>0</v>
      </c>
    </row>
    <row r="119" spans="1:17" ht="15.75" customHeight="1" x14ac:dyDescent="0.2">
      <c r="A119" s="529">
        <v>111</v>
      </c>
      <c r="B119" s="529" t="s">
        <v>48</v>
      </c>
      <c r="C119" s="516" t="s">
        <v>62</v>
      </c>
      <c r="D119" s="529" t="s">
        <v>63</v>
      </c>
      <c r="E119" s="529" t="s">
        <v>81</v>
      </c>
      <c r="F119" s="529" t="s">
        <v>278</v>
      </c>
      <c r="G119" s="510" t="s">
        <v>670</v>
      </c>
      <c r="H119" s="529">
        <v>61</v>
      </c>
      <c r="I119" s="529">
        <v>47</v>
      </c>
      <c r="J119" s="529">
        <v>74</v>
      </c>
      <c r="K119" s="529">
        <v>87897.82</v>
      </c>
      <c r="L119" s="529">
        <v>87897.82</v>
      </c>
      <c r="M119" s="529">
        <v>0</v>
      </c>
      <c r="N119" s="529">
        <v>21</v>
      </c>
      <c r="O119" s="529">
        <v>79680.25</v>
      </c>
      <c r="P119" s="529">
        <v>79680.25</v>
      </c>
      <c r="Q119" s="529">
        <v>0</v>
      </c>
    </row>
    <row r="120" spans="1:17" ht="15.75" customHeight="1" x14ac:dyDescent="0.2">
      <c r="A120" s="529">
        <v>112</v>
      </c>
      <c r="B120" s="529" t="s">
        <v>49</v>
      </c>
      <c r="C120" s="516" t="s">
        <v>62</v>
      </c>
      <c r="D120" s="529" t="s">
        <v>63</v>
      </c>
      <c r="E120" s="529" t="s">
        <v>74</v>
      </c>
      <c r="F120" s="529" t="s">
        <v>279</v>
      </c>
      <c r="G120" s="510" t="s">
        <v>670</v>
      </c>
      <c r="H120" s="529">
        <v>29</v>
      </c>
      <c r="I120" s="529">
        <v>23</v>
      </c>
      <c r="J120" s="529">
        <v>28</v>
      </c>
      <c r="K120" s="529">
        <v>44048.7</v>
      </c>
      <c r="L120" s="529">
        <v>44048.7</v>
      </c>
      <c r="M120" s="529">
        <v>0</v>
      </c>
      <c r="N120" s="529">
        <v>7</v>
      </c>
      <c r="O120" s="529">
        <v>40198.959999999999</v>
      </c>
      <c r="P120" s="529">
        <v>40198.959999999999</v>
      </c>
      <c r="Q120" s="529">
        <v>0</v>
      </c>
    </row>
    <row r="121" spans="1:17" ht="15.75" customHeight="1" x14ac:dyDescent="0.2">
      <c r="A121" s="529">
        <v>113</v>
      </c>
      <c r="B121" s="529" t="s">
        <v>50</v>
      </c>
      <c r="C121" s="516" t="s">
        <v>67</v>
      </c>
      <c r="D121" s="529" t="s">
        <v>123</v>
      </c>
      <c r="E121" s="529" t="s">
        <v>82</v>
      </c>
      <c r="F121" s="529" t="s">
        <v>280</v>
      </c>
      <c r="G121" s="510" t="s">
        <v>670</v>
      </c>
      <c r="H121" s="529">
        <v>8</v>
      </c>
      <c r="I121" s="529">
        <v>4</v>
      </c>
      <c r="J121" s="529">
        <v>4</v>
      </c>
      <c r="K121" s="529">
        <v>12811.52</v>
      </c>
      <c r="L121" s="529">
        <v>12811.52</v>
      </c>
      <c r="M121" s="529">
        <v>0</v>
      </c>
      <c r="N121" s="529">
        <v>5</v>
      </c>
      <c r="O121" s="529">
        <v>21689.57</v>
      </c>
      <c r="P121" s="529">
        <v>21689.57</v>
      </c>
      <c r="Q121" s="529">
        <v>0</v>
      </c>
    </row>
    <row r="122" spans="1:17" ht="15.75" customHeight="1" x14ac:dyDescent="0.2">
      <c r="A122" s="529">
        <v>114</v>
      </c>
      <c r="B122" s="529" t="s">
        <v>281</v>
      </c>
      <c r="C122" s="516" t="s">
        <v>62</v>
      </c>
      <c r="D122" s="529"/>
      <c r="E122" s="529" t="s">
        <v>282</v>
      </c>
      <c r="F122" s="529" t="s">
        <v>283</v>
      </c>
      <c r="G122" s="510" t="s">
        <v>670</v>
      </c>
      <c r="H122" s="529">
        <v>28</v>
      </c>
      <c r="I122" s="529">
        <v>5</v>
      </c>
      <c r="J122" s="529">
        <v>5</v>
      </c>
      <c r="K122" s="529">
        <v>2685.29</v>
      </c>
      <c r="L122" s="529">
        <v>2685.29</v>
      </c>
      <c r="M122" s="529">
        <v>0</v>
      </c>
      <c r="N122" s="529">
        <v>0</v>
      </c>
      <c r="O122" s="529">
        <v>0</v>
      </c>
      <c r="P122" s="529">
        <v>0</v>
      </c>
      <c r="Q122" s="529">
        <v>0</v>
      </c>
    </row>
    <row r="123" spans="1:17" ht="15.75" customHeight="1" x14ac:dyDescent="0.2">
      <c r="A123" s="529">
        <v>115</v>
      </c>
      <c r="B123" s="529" t="s">
        <v>124</v>
      </c>
      <c r="C123" s="516" t="s">
        <v>62</v>
      </c>
      <c r="D123" s="529" t="s">
        <v>63</v>
      </c>
      <c r="E123" s="529" t="s">
        <v>63</v>
      </c>
      <c r="F123" s="529" t="s">
        <v>284</v>
      </c>
      <c r="G123" s="510" t="s">
        <v>670</v>
      </c>
      <c r="H123" s="529">
        <v>38</v>
      </c>
      <c r="I123" s="529">
        <v>34</v>
      </c>
      <c r="J123" s="529">
        <v>47</v>
      </c>
      <c r="K123" s="529">
        <v>58265.41</v>
      </c>
      <c r="L123" s="529">
        <v>58265.41</v>
      </c>
      <c r="M123" s="529">
        <v>0</v>
      </c>
      <c r="N123" s="529">
        <v>17</v>
      </c>
      <c r="O123" s="529">
        <v>21019.74</v>
      </c>
      <c r="P123" s="529">
        <v>21019.74</v>
      </c>
      <c r="Q123" s="529">
        <v>0</v>
      </c>
    </row>
    <row r="124" spans="1:17" ht="15.75" customHeight="1" x14ac:dyDescent="0.2">
      <c r="A124" s="529">
        <v>116</v>
      </c>
      <c r="B124" s="529" t="s">
        <v>51</v>
      </c>
      <c r="C124" s="516" t="s">
        <v>62</v>
      </c>
      <c r="D124" s="529" t="s">
        <v>63</v>
      </c>
      <c r="E124" s="529" t="s">
        <v>74</v>
      </c>
      <c r="F124" s="529" t="s">
        <v>285</v>
      </c>
      <c r="G124" s="510" t="s">
        <v>670</v>
      </c>
      <c r="H124" s="529">
        <v>23</v>
      </c>
      <c r="I124" s="529">
        <v>15</v>
      </c>
      <c r="J124" s="529">
        <v>15</v>
      </c>
      <c r="K124" s="529">
        <v>5873.82</v>
      </c>
      <c r="L124" s="529">
        <v>5873.82</v>
      </c>
      <c r="M124" s="529">
        <v>0</v>
      </c>
      <c r="N124" s="529">
        <v>10</v>
      </c>
      <c r="O124" s="529">
        <v>1797.24</v>
      </c>
      <c r="P124" s="529">
        <v>1797.24</v>
      </c>
      <c r="Q124" s="529">
        <v>0</v>
      </c>
    </row>
    <row r="125" spans="1:17" ht="15.75" customHeight="1" x14ac:dyDescent="0.2">
      <c r="A125" s="529">
        <v>117</v>
      </c>
      <c r="B125" s="529" t="s">
        <v>756</v>
      </c>
      <c r="C125" s="516" t="s">
        <v>62</v>
      </c>
      <c r="D125" s="529" t="s">
        <v>63</v>
      </c>
      <c r="E125" s="529" t="s">
        <v>74</v>
      </c>
      <c r="F125" s="529" t="s">
        <v>666</v>
      </c>
      <c r="G125" s="510" t="s">
        <v>670</v>
      </c>
      <c r="H125" s="529">
        <v>0</v>
      </c>
      <c r="I125" s="529">
        <v>0</v>
      </c>
      <c r="J125" s="529">
        <v>0</v>
      </c>
      <c r="K125" s="529">
        <v>0</v>
      </c>
      <c r="L125" s="529">
        <v>0</v>
      </c>
      <c r="M125" s="529">
        <v>0</v>
      </c>
      <c r="N125" s="529">
        <v>1</v>
      </c>
      <c r="O125" s="529">
        <v>1516.12</v>
      </c>
      <c r="P125" s="529">
        <v>1516.12</v>
      </c>
      <c r="Q125" s="529">
        <v>0</v>
      </c>
    </row>
    <row r="126" spans="1:17" ht="15.75" customHeight="1" x14ac:dyDescent="0.2">
      <c r="A126" s="529">
        <v>118</v>
      </c>
      <c r="B126" s="529" t="s">
        <v>286</v>
      </c>
      <c r="C126" s="516" t="s">
        <v>62</v>
      </c>
      <c r="D126" s="529" t="s">
        <v>63</v>
      </c>
      <c r="E126" s="529" t="s">
        <v>174</v>
      </c>
      <c r="F126" s="529" t="s">
        <v>287</v>
      </c>
      <c r="G126" s="510" t="s">
        <v>670</v>
      </c>
      <c r="H126" s="529">
        <v>21</v>
      </c>
      <c r="I126" s="529">
        <v>17</v>
      </c>
      <c r="J126" s="529">
        <v>21</v>
      </c>
      <c r="K126" s="529">
        <v>16457.87</v>
      </c>
      <c r="L126" s="529">
        <v>16457.87</v>
      </c>
      <c r="M126" s="529">
        <v>0</v>
      </c>
      <c r="N126" s="529">
        <v>0</v>
      </c>
      <c r="O126" s="529">
        <v>0</v>
      </c>
      <c r="P126" s="529">
        <v>0</v>
      </c>
      <c r="Q126" s="529">
        <v>0</v>
      </c>
    </row>
    <row r="127" spans="1:17" ht="15.75" customHeight="1" x14ac:dyDescent="0.2">
      <c r="A127" s="529">
        <v>119</v>
      </c>
      <c r="B127" s="529" t="s">
        <v>469</v>
      </c>
      <c r="C127" s="516" t="s">
        <v>62</v>
      </c>
      <c r="D127" s="529" t="s">
        <v>63</v>
      </c>
      <c r="E127" s="529" t="s">
        <v>74</v>
      </c>
      <c r="F127" s="529" t="s">
        <v>470</v>
      </c>
      <c r="G127" s="510" t="s">
        <v>670</v>
      </c>
      <c r="H127" s="529">
        <v>2</v>
      </c>
      <c r="I127" s="529">
        <v>0</v>
      </c>
      <c r="J127" s="529">
        <v>0</v>
      </c>
      <c r="K127" s="529">
        <v>0</v>
      </c>
      <c r="L127" s="529">
        <v>0</v>
      </c>
      <c r="M127" s="529">
        <v>0</v>
      </c>
      <c r="N127" s="529">
        <v>0</v>
      </c>
      <c r="O127" s="529">
        <v>0</v>
      </c>
      <c r="P127" s="529">
        <v>0</v>
      </c>
      <c r="Q127" s="529">
        <v>0</v>
      </c>
    </row>
    <row r="128" spans="1:17" ht="15.75" customHeight="1" x14ac:dyDescent="0.2">
      <c r="A128" s="529">
        <v>120</v>
      </c>
      <c r="B128" s="529" t="s">
        <v>151</v>
      </c>
      <c r="C128" s="516" t="s">
        <v>62</v>
      </c>
      <c r="D128" s="529" t="s">
        <v>63</v>
      </c>
      <c r="E128" s="529" t="s">
        <v>74</v>
      </c>
      <c r="F128" s="529" t="s">
        <v>288</v>
      </c>
      <c r="G128" s="510" t="s">
        <v>670</v>
      </c>
      <c r="H128" s="529">
        <v>10</v>
      </c>
      <c r="I128" s="529">
        <v>8</v>
      </c>
      <c r="J128" s="529">
        <v>10</v>
      </c>
      <c r="K128" s="529">
        <v>15560.06</v>
      </c>
      <c r="L128" s="529">
        <v>15560.06</v>
      </c>
      <c r="M128" s="529">
        <v>0</v>
      </c>
      <c r="N128" s="529">
        <v>7</v>
      </c>
      <c r="O128" s="529">
        <v>14253.5</v>
      </c>
      <c r="P128" s="529">
        <v>14253.5</v>
      </c>
      <c r="Q128" s="529">
        <v>0</v>
      </c>
    </row>
    <row r="129" spans="1:17" ht="15.75" customHeight="1" x14ac:dyDescent="0.2">
      <c r="A129" s="529">
        <v>121</v>
      </c>
      <c r="B129" s="529" t="s">
        <v>155</v>
      </c>
      <c r="C129" s="516" t="s">
        <v>62</v>
      </c>
      <c r="D129" s="529" t="s">
        <v>63</v>
      </c>
      <c r="E129" s="529" t="s">
        <v>74</v>
      </c>
      <c r="F129" s="529" t="s">
        <v>289</v>
      </c>
      <c r="G129" s="510" t="s">
        <v>670</v>
      </c>
      <c r="H129" s="529">
        <v>18</v>
      </c>
      <c r="I129" s="529">
        <v>10</v>
      </c>
      <c r="J129" s="529">
        <v>16</v>
      </c>
      <c r="K129" s="529">
        <v>40408.04</v>
      </c>
      <c r="L129" s="529">
        <v>40408.04</v>
      </c>
      <c r="M129" s="529">
        <v>0</v>
      </c>
      <c r="N129" s="529">
        <v>4</v>
      </c>
      <c r="O129" s="529">
        <v>36500.199999999997</v>
      </c>
      <c r="P129" s="529">
        <v>36500.199999999997</v>
      </c>
      <c r="Q129" s="529">
        <v>0</v>
      </c>
    </row>
    <row r="130" spans="1:17" ht="15.75" customHeight="1" x14ac:dyDescent="0.2">
      <c r="A130" s="529">
        <v>122</v>
      </c>
      <c r="B130" s="529" t="s">
        <v>290</v>
      </c>
      <c r="C130" s="516" t="s">
        <v>62</v>
      </c>
      <c r="D130" s="529" t="s">
        <v>63</v>
      </c>
      <c r="E130" s="529" t="s">
        <v>291</v>
      </c>
      <c r="F130" s="529" t="s">
        <v>292</v>
      </c>
      <c r="G130" s="510" t="s">
        <v>670</v>
      </c>
      <c r="H130" s="529">
        <v>41</v>
      </c>
      <c r="I130" s="529">
        <v>29</v>
      </c>
      <c r="J130" s="529">
        <v>41</v>
      </c>
      <c r="K130" s="529">
        <v>34384.86</v>
      </c>
      <c r="L130" s="529">
        <v>34384.86</v>
      </c>
      <c r="M130" s="529">
        <v>0</v>
      </c>
      <c r="N130" s="529">
        <v>0</v>
      </c>
      <c r="O130" s="529">
        <v>0</v>
      </c>
      <c r="P130" s="529">
        <v>0</v>
      </c>
      <c r="Q130" s="529">
        <v>0</v>
      </c>
    </row>
    <row r="131" spans="1:17" ht="15.75" customHeight="1" x14ac:dyDescent="0.2">
      <c r="A131" s="529">
        <v>123</v>
      </c>
      <c r="B131" s="529" t="s">
        <v>495</v>
      </c>
      <c r="C131" s="516" t="s">
        <v>62</v>
      </c>
      <c r="D131" s="529" t="s">
        <v>63</v>
      </c>
      <c r="E131" s="529" t="s">
        <v>313</v>
      </c>
      <c r="F131" s="529" t="s">
        <v>496</v>
      </c>
      <c r="G131" s="510" t="s">
        <v>670</v>
      </c>
      <c r="H131" s="529">
        <v>31</v>
      </c>
      <c r="I131" s="529">
        <v>7</v>
      </c>
      <c r="J131" s="529">
        <v>7</v>
      </c>
      <c r="K131" s="529">
        <v>9234.7099999999991</v>
      </c>
      <c r="L131" s="529">
        <v>9234.7099999999991</v>
      </c>
      <c r="M131" s="529">
        <v>0</v>
      </c>
      <c r="N131" s="529">
        <v>0</v>
      </c>
      <c r="O131" s="529">
        <v>0</v>
      </c>
      <c r="P131" s="529">
        <v>0</v>
      </c>
      <c r="Q131" s="529">
        <v>0</v>
      </c>
    </row>
    <row r="132" spans="1:17" ht="15.75" customHeight="1" x14ac:dyDescent="0.2">
      <c r="A132" s="529">
        <v>124</v>
      </c>
      <c r="B132" s="529" t="s">
        <v>134</v>
      </c>
      <c r="C132" s="516" t="s">
        <v>62</v>
      </c>
      <c r="D132" s="529" t="s">
        <v>63</v>
      </c>
      <c r="E132" s="529" t="s">
        <v>74</v>
      </c>
      <c r="F132" s="529" t="s">
        <v>293</v>
      </c>
      <c r="G132" s="510" t="s">
        <v>670</v>
      </c>
      <c r="H132" s="529">
        <v>11</v>
      </c>
      <c r="I132" s="529">
        <v>6</v>
      </c>
      <c r="J132" s="529">
        <v>7</v>
      </c>
      <c r="K132" s="529">
        <v>10480.76</v>
      </c>
      <c r="L132" s="529">
        <v>10480.76</v>
      </c>
      <c r="M132" s="529">
        <v>0</v>
      </c>
      <c r="N132" s="529">
        <v>2</v>
      </c>
      <c r="O132" s="529">
        <v>10990.78</v>
      </c>
      <c r="P132" s="529">
        <v>10990.78</v>
      </c>
      <c r="Q132" s="529">
        <v>0</v>
      </c>
    </row>
    <row r="133" spans="1:17" ht="15.75" customHeight="1" x14ac:dyDescent="0.2">
      <c r="A133" s="529">
        <v>125</v>
      </c>
      <c r="B133" s="529" t="s">
        <v>127</v>
      </c>
      <c r="C133" s="516" t="s">
        <v>62</v>
      </c>
      <c r="D133" s="529" t="s">
        <v>63</v>
      </c>
      <c r="E133" s="529" t="s">
        <v>74</v>
      </c>
      <c r="F133" s="529" t="s">
        <v>294</v>
      </c>
      <c r="G133" s="510" t="s">
        <v>670</v>
      </c>
      <c r="H133" s="529">
        <v>10</v>
      </c>
      <c r="I133" s="529">
        <v>6</v>
      </c>
      <c r="J133" s="529">
        <v>7</v>
      </c>
      <c r="K133" s="529">
        <v>5794.74</v>
      </c>
      <c r="L133" s="529">
        <v>5794.74</v>
      </c>
      <c r="M133" s="529">
        <v>0</v>
      </c>
      <c r="N133" s="529">
        <v>2</v>
      </c>
      <c r="O133" s="529">
        <v>3267.6</v>
      </c>
      <c r="P133" s="529">
        <v>3267.6</v>
      </c>
      <c r="Q133" s="529">
        <v>0</v>
      </c>
    </row>
    <row r="134" spans="1:17" ht="15.75" customHeight="1" x14ac:dyDescent="0.2">
      <c r="A134" s="529">
        <v>126</v>
      </c>
      <c r="B134" s="529" t="s">
        <v>55</v>
      </c>
      <c r="C134" s="516" t="s">
        <v>64</v>
      </c>
      <c r="D134" s="529" t="s">
        <v>66</v>
      </c>
      <c r="E134" s="529" t="s">
        <v>80</v>
      </c>
      <c r="F134" s="529" t="s">
        <v>295</v>
      </c>
      <c r="G134" s="510" t="s">
        <v>670</v>
      </c>
      <c r="H134" s="529">
        <v>11</v>
      </c>
      <c r="I134" s="529">
        <v>8</v>
      </c>
      <c r="J134" s="529">
        <v>8</v>
      </c>
      <c r="K134" s="529">
        <v>1989.43</v>
      </c>
      <c r="L134" s="529">
        <v>1989.43</v>
      </c>
      <c r="M134" s="529">
        <v>0</v>
      </c>
      <c r="N134" s="529">
        <v>4</v>
      </c>
      <c r="O134" s="529">
        <v>17287.61</v>
      </c>
      <c r="P134" s="529">
        <v>17287.61</v>
      </c>
      <c r="Q134" s="529">
        <v>0</v>
      </c>
    </row>
    <row r="135" spans="1:17" ht="15.75" customHeight="1" x14ac:dyDescent="0.2">
      <c r="A135" s="529">
        <v>127</v>
      </c>
      <c r="B135" s="529" t="s">
        <v>135</v>
      </c>
      <c r="C135" s="516" t="s">
        <v>62</v>
      </c>
      <c r="D135" s="529" t="s">
        <v>63</v>
      </c>
      <c r="E135" s="529" t="s">
        <v>63</v>
      </c>
      <c r="F135" s="529" t="s">
        <v>296</v>
      </c>
      <c r="G135" s="510" t="s">
        <v>670</v>
      </c>
      <c r="H135" s="529">
        <v>8</v>
      </c>
      <c r="I135" s="529">
        <v>3</v>
      </c>
      <c r="J135" s="529">
        <v>3</v>
      </c>
      <c r="K135" s="529">
        <v>1786.07</v>
      </c>
      <c r="L135" s="529">
        <v>1786.07</v>
      </c>
      <c r="M135" s="529">
        <v>0</v>
      </c>
      <c r="N135" s="529">
        <v>10</v>
      </c>
      <c r="O135" s="529">
        <v>18103.34</v>
      </c>
      <c r="P135" s="529">
        <v>18103.34</v>
      </c>
      <c r="Q135" s="529">
        <v>0</v>
      </c>
    </row>
    <row r="136" spans="1:17" ht="15.75" customHeight="1" x14ac:dyDescent="0.2">
      <c r="A136" s="529">
        <v>128</v>
      </c>
      <c r="B136" s="529" t="s">
        <v>128</v>
      </c>
      <c r="C136" s="516" t="s">
        <v>62</v>
      </c>
      <c r="D136" s="529" t="s">
        <v>63</v>
      </c>
      <c r="E136" s="529" t="s">
        <v>74</v>
      </c>
      <c r="F136" s="529" t="s">
        <v>297</v>
      </c>
      <c r="G136" s="510" t="s">
        <v>670</v>
      </c>
      <c r="H136" s="529">
        <v>2</v>
      </c>
      <c r="I136" s="529">
        <v>2</v>
      </c>
      <c r="J136" s="529">
        <v>2</v>
      </c>
      <c r="K136" s="529">
        <v>1303.8499999999999</v>
      </c>
      <c r="L136" s="529">
        <v>1303.8499999999999</v>
      </c>
      <c r="M136" s="529">
        <v>0</v>
      </c>
      <c r="N136" s="529">
        <v>1</v>
      </c>
      <c r="O136" s="529">
        <v>264.3</v>
      </c>
      <c r="P136" s="529">
        <v>264.3</v>
      </c>
      <c r="Q136" s="529">
        <v>0</v>
      </c>
    </row>
    <row r="137" spans="1:17" ht="15.75" customHeight="1" x14ac:dyDescent="0.2">
      <c r="A137" s="529">
        <v>129</v>
      </c>
      <c r="B137" s="529" t="s">
        <v>508</v>
      </c>
      <c r="C137" s="516" t="s">
        <v>64</v>
      </c>
      <c r="D137" s="529" t="s">
        <v>551</v>
      </c>
      <c r="E137" s="529" t="s">
        <v>313</v>
      </c>
      <c r="F137" s="529" t="s">
        <v>552</v>
      </c>
      <c r="G137" s="510" t="s">
        <v>670</v>
      </c>
      <c r="H137" s="529">
        <v>33</v>
      </c>
      <c r="I137" s="529">
        <v>24</v>
      </c>
      <c r="J137" s="529">
        <v>27</v>
      </c>
      <c r="K137" s="529">
        <v>11219.42</v>
      </c>
      <c r="L137" s="529">
        <v>11219.42</v>
      </c>
      <c r="M137" s="529">
        <v>0</v>
      </c>
      <c r="N137" s="529">
        <v>0</v>
      </c>
      <c r="O137" s="529">
        <v>0</v>
      </c>
      <c r="P137" s="529">
        <v>0</v>
      </c>
      <c r="Q137" s="529">
        <v>0</v>
      </c>
    </row>
    <row r="138" spans="1:17" ht="15.75" customHeight="1" x14ac:dyDescent="0.2">
      <c r="A138" s="529">
        <v>130</v>
      </c>
      <c r="B138" s="529" t="s">
        <v>497</v>
      </c>
      <c r="C138" s="516" t="s">
        <v>62</v>
      </c>
      <c r="D138" s="529"/>
      <c r="E138" s="529" t="s">
        <v>313</v>
      </c>
      <c r="F138" s="529" t="s">
        <v>498</v>
      </c>
      <c r="G138" s="510" t="s">
        <v>670</v>
      </c>
      <c r="H138" s="529">
        <v>71</v>
      </c>
      <c r="I138" s="529">
        <v>44</v>
      </c>
      <c r="J138" s="529">
        <v>46</v>
      </c>
      <c r="K138" s="529">
        <v>29545.75</v>
      </c>
      <c r="L138" s="529">
        <v>29545.75</v>
      </c>
      <c r="M138" s="529">
        <v>0</v>
      </c>
      <c r="N138" s="529">
        <v>0</v>
      </c>
      <c r="O138" s="529">
        <v>0</v>
      </c>
      <c r="P138" s="529">
        <v>0</v>
      </c>
      <c r="Q138" s="529">
        <v>0</v>
      </c>
    </row>
    <row r="139" spans="1:17" ht="15.75" customHeight="1" x14ac:dyDescent="0.2">
      <c r="A139" s="529">
        <v>131</v>
      </c>
      <c r="B139" s="529" t="s">
        <v>646</v>
      </c>
      <c r="C139" s="516" t="s">
        <v>62</v>
      </c>
      <c r="D139" s="529" t="s">
        <v>63</v>
      </c>
      <c r="E139" s="529" t="s">
        <v>74</v>
      </c>
      <c r="F139" s="529" t="s">
        <v>757</v>
      </c>
      <c r="G139" s="510" t="s">
        <v>670</v>
      </c>
      <c r="H139" s="529">
        <v>4</v>
      </c>
      <c r="I139" s="529">
        <v>0</v>
      </c>
      <c r="J139" s="529">
        <v>0</v>
      </c>
      <c r="K139" s="529">
        <v>0</v>
      </c>
      <c r="L139" s="529">
        <v>0</v>
      </c>
      <c r="M139" s="529">
        <v>0</v>
      </c>
      <c r="N139" s="529">
        <v>0</v>
      </c>
      <c r="O139" s="529">
        <v>0</v>
      </c>
      <c r="P139" s="529">
        <v>0</v>
      </c>
      <c r="Q139" s="529">
        <v>0</v>
      </c>
    </row>
    <row r="140" spans="1:17" ht="15.75" customHeight="1" x14ac:dyDescent="0.2">
      <c r="A140" s="529">
        <v>132</v>
      </c>
      <c r="B140" s="529" t="s">
        <v>56</v>
      </c>
      <c r="C140" s="516" t="s">
        <v>62</v>
      </c>
      <c r="D140" s="529" t="s">
        <v>63</v>
      </c>
      <c r="E140" s="529" t="s">
        <v>83</v>
      </c>
      <c r="F140" s="529" t="s">
        <v>298</v>
      </c>
      <c r="G140" s="510" t="s">
        <v>670</v>
      </c>
      <c r="H140" s="529">
        <v>109</v>
      </c>
      <c r="I140" s="529">
        <v>95</v>
      </c>
      <c r="J140" s="529">
        <v>141</v>
      </c>
      <c r="K140" s="529">
        <v>141659.84</v>
      </c>
      <c r="L140" s="529">
        <v>132938.70000000001</v>
      </c>
      <c r="M140" s="529">
        <v>8721.14</v>
      </c>
      <c r="N140" s="529">
        <v>35</v>
      </c>
      <c r="O140" s="529">
        <v>96660.36</v>
      </c>
      <c r="P140" s="529">
        <v>96660.36</v>
      </c>
      <c r="Q140" s="529">
        <v>0</v>
      </c>
    </row>
    <row r="141" spans="1:17" ht="15.75" customHeight="1" x14ac:dyDescent="0.2">
      <c r="A141" s="529">
        <v>133</v>
      </c>
      <c r="B141" s="529" t="s">
        <v>638</v>
      </c>
      <c r="C141" s="516" t="s">
        <v>67</v>
      </c>
      <c r="D141" s="529" t="s">
        <v>639</v>
      </c>
      <c r="E141" s="529" t="s">
        <v>640</v>
      </c>
      <c r="F141" s="529" t="s">
        <v>641</v>
      </c>
      <c r="G141" s="510" t="s">
        <v>670</v>
      </c>
      <c r="H141" s="529">
        <v>10</v>
      </c>
      <c r="I141" s="529">
        <v>1</v>
      </c>
      <c r="J141" s="529">
        <v>1</v>
      </c>
      <c r="K141" s="529">
        <v>0</v>
      </c>
      <c r="L141" s="529">
        <v>0</v>
      </c>
      <c r="M141" s="529">
        <v>0</v>
      </c>
      <c r="N141" s="529">
        <v>0</v>
      </c>
      <c r="O141" s="529">
        <v>0</v>
      </c>
      <c r="P141" s="529">
        <v>0</v>
      </c>
      <c r="Q141" s="529">
        <v>0</v>
      </c>
    </row>
    <row r="142" spans="1:17" ht="15.75" customHeight="1" x14ac:dyDescent="0.2">
      <c r="A142" s="529">
        <v>134</v>
      </c>
      <c r="B142" s="529" t="s">
        <v>299</v>
      </c>
      <c r="C142" s="516" t="s">
        <v>62</v>
      </c>
      <c r="D142" s="529"/>
      <c r="E142" s="529" t="s">
        <v>174</v>
      </c>
      <c r="F142" s="529" t="s">
        <v>300</v>
      </c>
      <c r="G142" s="510" t="s">
        <v>670</v>
      </c>
      <c r="H142" s="529">
        <v>25</v>
      </c>
      <c r="I142" s="529">
        <v>22</v>
      </c>
      <c r="J142" s="529">
        <v>27</v>
      </c>
      <c r="K142" s="529">
        <v>18541.13</v>
      </c>
      <c r="L142" s="529">
        <v>18541.13</v>
      </c>
      <c r="M142" s="529">
        <v>0</v>
      </c>
      <c r="N142" s="529">
        <v>0</v>
      </c>
      <c r="O142" s="529">
        <v>0</v>
      </c>
      <c r="P142" s="529">
        <v>0</v>
      </c>
      <c r="Q142" s="529">
        <v>0</v>
      </c>
    </row>
    <row r="143" spans="1:17" ht="15.75" customHeight="1" x14ac:dyDescent="0.2">
      <c r="A143" s="529">
        <v>135</v>
      </c>
      <c r="B143" s="529" t="s">
        <v>156</v>
      </c>
      <c r="C143" s="516" t="s">
        <v>67</v>
      </c>
      <c r="D143" s="529" t="s">
        <v>499</v>
      </c>
      <c r="E143" s="529" t="s">
        <v>74</v>
      </c>
      <c r="F143" s="529" t="s">
        <v>301</v>
      </c>
      <c r="G143" s="510" t="s">
        <v>670</v>
      </c>
      <c r="H143" s="529">
        <v>42</v>
      </c>
      <c r="I143" s="529">
        <v>35</v>
      </c>
      <c r="J143" s="529">
        <v>43</v>
      </c>
      <c r="K143" s="529">
        <v>37665.79</v>
      </c>
      <c r="L143" s="529">
        <v>37665.79</v>
      </c>
      <c r="M143" s="529">
        <v>0</v>
      </c>
      <c r="N143" s="529">
        <v>41</v>
      </c>
      <c r="O143" s="529">
        <v>66837.119999999995</v>
      </c>
      <c r="P143" s="529">
        <v>66837.119999999995</v>
      </c>
      <c r="Q143" s="529">
        <v>0</v>
      </c>
    </row>
    <row r="144" spans="1:17" ht="15.75" customHeight="1" x14ac:dyDescent="0.2">
      <c r="A144" s="529">
        <v>136</v>
      </c>
      <c r="B144" s="529" t="s">
        <v>302</v>
      </c>
      <c r="C144" s="516" t="s">
        <v>62</v>
      </c>
      <c r="D144" s="529"/>
      <c r="E144" s="529" t="s">
        <v>63</v>
      </c>
      <c r="F144" s="529" t="s">
        <v>303</v>
      </c>
      <c r="G144" s="510" t="s">
        <v>670</v>
      </c>
      <c r="H144" s="529">
        <v>22</v>
      </c>
      <c r="I144" s="529">
        <v>19</v>
      </c>
      <c r="J144" s="529">
        <v>23</v>
      </c>
      <c r="K144" s="529">
        <v>9697.18</v>
      </c>
      <c r="L144" s="529">
        <v>9697.18</v>
      </c>
      <c r="M144" s="529">
        <v>0</v>
      </c>
      <c r="N144" s="529">
        <v>0</v>
      </c>
      <c r="O144" s="529">
        <v>0</v>
      </c>
      <c r="P144" s="529">
        <v>0</v>
      </c>
      <c r="Q144" s="529">
        <v>0</v>
      </c>
    </row>
    <row r="145" spans="1:17" ht="15.75" customHeight="1" x14ac:dyDescent="0.2">
      <c r="A145" s="529">
        <v>137</v>
      </c>
      <c r="B145" s="529" t="s">
        <v>140</v>
      </c>
      <c r="C145" s="516" t="s">
        <v>62</v>
      </c>
      <c r="D145" s="529" t="s">
        <v>63</v>
      </c>
      <c r="E145" s="529" t="s">
        <v>74</v>
      </c>
      <c r="F145" s="529" t="s">
        <v>304</v>
      </c>
      <c r="G145" s="510" t="s">
        <v>670</v>
      </c>
      <c r="H145" s="529">
        <v>70</v>
      </c>
      <c r="I145" s="529">
        <v>59</v>
      </c>
      <c r="J145" s="529">
        <v>64</v>
      </c>
      <c r="K145" s="529">
        <v>49113.38</v>
      </c>
      <c r="L145" s="529">
        <v>49113.38</v>
      </c>
      <c r="M145" s="529">
        <v>0</v>
      </c>
      <c r="N145" s="529">
        <v>20</v>
      </c>
      <c r="O145" s="529">
        <v>43411.7</v>
      </c>
      <c r="P145" s="529">
        <v>43411.7</v>
      </c>
      <c r="Q145" s="529">
        <v>0</v>
      </c>
    </row>
    <row r="146" spans="1:17" ht="15.75" customHeight="1" x14ac:dyDescent="0.2">
      <c r="A146" s="529">
        <v>138</v>
      </c>
      <c r="B146" s="529" t="s">
        <v>305</v>
      </c>
      <c r="C146" s="516" t="s">
        <v>62</v>
      </c>
      <c r="D146" s="529" t="s">
        <v>63</v>
      </c>
      <c r="E146" s="529" t="s">
        <v>186</v>
      </c>
      <c r="F146" s="529" t="s">
        <v>513</v>
      </c>
      <c r="G146" s="510" t="s">
        <v>670</v>
      </c>
      <c r="H146" s="529">
        <v>17</v>
      </c>
      <c r="I146" s="529">
        <v>12</v>
      </c>
      <c r="J146" s="529">
        <v>13</v>
      </c>
      <c r="K146" s="529">
        <v>6542.9</v>
      </c>
      <c r="L146" s="529">
        <v>6542.9</v>
      </c>
      <c r="M146" s="529">
        <v>0</v>
      </c>
      <c r="N146" s="529">
        <v>0</v>
      </c>
      <c r="O146" s="529">
        <v>0</v>
      </c>
      <c r="P146" s="529">
        <v>0</v>
      </c>
      <c r="Q146" s="529">
        <v>0</v>
      </c>
    </row>
    <row r="147" spans="1:17" ht="15.75" customHeight="1" x14ac:dyDescent="0.2">
      <c r="A147" s="529">
        <v>139</v>
      </c>
      <c r="B147" s="529" t="s">
        <v>702</v>
      </c>
      <c r="C147" s="516" t="s">
        <v>62</v>
      </c>
      <c r="D147" s="529" t="s">
        <v>63</v>
      </c>
      <c r="E147" s="529" t="s">
        <v>239</v>
      </c>
      <c r="F147" s="529" t="s">
        <v>733</v>
      </c>
      <c r="G147" s="510" t="s">
        <v>670</v>
      </c>
      <c r="H147" s="529">
        <v>7</v>
      </c>
      <c r="I147" s="529">
        <v>1</v>
      </c>
      <c r="J147" s="529">
        <v>1</v>
      </c>
      <c r="K147" s="529">
        <v>649.87</v>
      </c>
      <c r="L147" s="529">
        <v>649.87</v>
      </c>
      <c r="M147" s="529">
        <v>0</v>
      </c>
      <c r="N147" s="529">
        <v>0</v>
      </c>
      <c r="O147" s="529">
        <v>0</v>
      </c>
      <c r="P147" s="529">
        <v>0</v>
      </c>
      <c r="Q147" s="529">
        <v>0</v>
      </c>
    </row>
    <row r="148" spans="1:17" ht="15.75" customHeight="1" x14ac:dyDescent="0.2">
      <c r="A148" s="529">
        <v>140</v>
      </c>
      <c r="B148" s="529" t="s">
        <v>471</v>
      </c>
      <c r="C148" s="516" t="s">
        <v>64</v>
      </c>
      <c r="D148" s="529" t="s">
        <v>65</v>
      </c>
      <c r="E148" s="529" t="s">
        <v>74</v>
      </c>
      <c r="F148" s="529" t="s">
        <v>472</v>
      </c>
      <c r="G148" s="510" t="s">
        <v>670</v>
      </c>
      <c r="H148" s="529">
        <v>0</v>
      </c>
      <c r="I148" s="529">
        <v>0</v>
      </c>
      <c r="J148" s="529">
        <v>0</v>
      </c>
      <c r="K148" s="529">
        <v>0</v>
      </c>
      <c r="L148" s="529">
        <v>0</v>
      </c>
      <c r="M148" s="529">
        <v>0</v>
      </c>
      <c r="N148" s="529">
        <v>1</v>
      </c>
      <c r="O148" s="529">
        <v>0</v>
      </c>
      <c r="P148" s="529">
        <v>0</v>
      </c>
      <c r="Q148" s="529">
        <v>0</v>
      </c>
    </row>
    <row r="149" spans="1:17" ht="15.75" customHeight="1" x14ac:dyDescent="0.2">
      <c r="A149" s="529">
        <v>141</v>
      </c>
      <c r="B149" s="529" t="s">
        <v>57</v>
      </c>
      <c r="C149" s="516" t="s">
        <v>62</v>
      </c>
      <c r="D149" s="529" t="s">
        <v>63</v>
      </c>
      <c r="E149" s="529" t="s">
        <v>244</v>
      </c>
      <c r="F149" s="529" t="s">
        <v>306</v>
      </c>
      <c r="G149" s="510" t="s">
        <v>670</v>
      </c>
      <c r="H149" s="529">
        <v>41</v>
      </c>
      <c r="I149" s="529">
        <v>20</v>
      </c>
      <c r="J149" s="529">
        <v>23</v>
      </c>
      <c r="K149" s="529">
        <v>28660.53</v>
      </c>
      <c r="L149" s="529">
        <v>28660.53</v>
      </c>
      <c r="M149" s="529">
        <v>0</v>
      </c>
      <c r="N149" s="529">
        <v>22</v>
      </c>
      <c r="O149" s="529">
        <v>99963.18</v>
      </c>
      <c r="P149" s="529">
        <v>92362.92</v>
      </c>
      <c r="Q149" s="529">
        <v>7600.26</v>
      </c>
    </row>
    <row r="150" spans="1:17" ht="15.75" customHeight="1" x14ac:dyDescent="0.2">
      <c r="A150" s="529">
        <v>142</v>
      </c>
      <c r="B150" s="529" t="s">
        <v>648</v>
      </c>
      <c r="C150" s="516" t="s">
        <v>62</v>
      </c>
      <c r="D150" s="529" t="s">
        <v>63</v>
      </c>
      <c r="E150" s="529" t="s">
        <v>313</v>
      </c>
      <c r="F150" s="529" t="s">
        <v>650</v>
      </c>
      <c r="G150" s="510" t="s">
        <v>670</v>
      </c>
      <c r="H150" s="529">
        <v>14</v>
      </c>
      <c r="I150" s="529">
        <v>8</v>
      </c>
      <c r="J150" s="529">
        <v>9</v>
      </c>
      <c r="K150" s="529">
        <v>4135.99</v>
      </c>
      <c r="L150" s="529">
        <v>4135.99</v>
      </c>
      <c r="M150" s="529">
        <v>0</v>
      </c>
      <c r="N150" s="529">
        <v>0</v>
      </c>
      <c r="O150" s="529">
        <v>0</v>
      </c>
      <c r="P150" s="529">
        <v>0</v>
      </c>
      <c r="Q150" s="529">
        <v>0</v>
      </c>
    </row>
    <row r="151" spans="1:17" ht="15.75" customHeight="1" x14ac:dyDescent="0.2">
      <c r="A151" s="529">
        <v>143</v>
      </c>
      <c r="B151" s="529" t="s">
        <v>473</v>
      </c>
      <c r="C151" s="516" t="s">
        <v>62</v>
      </c>
      <c r="D151" s="529" t="s">
        <v>63</v>
      </c>
      <c r="E151" s="529" t="s">
        <v>63</v>
      </c>
      <c r="F151" s="529" t="s">
        <v>500</v>
      </c>
      <c r="G151" s="510" t="s">
        <v>670</v>
      </c>
      <c r="H151" s="529">
        <v>21</v>
      </c>
      <c r="I151" s="529">
        <v>12</v>
      </c>
      <c r="J151" s="529">
        <v>14</v>
      </c>
      <c r="K151" s="529">
        <v>9948.68</v>
      </c>
      <c r="L151" s="529">
        <v>9948.68</v>
      </c>
      <c r="M151" s="529">
        <v>0</v>
      </c>
      <c r="N151" s="529">
        <v>4</v>
      </c>
      <c r="O151" s="529">
        <v>22242.99</v>
      </c>
      <c r="P151" s="529">
        <v>22242.99</v>
      </c>
      <c r="Q151" s="529">
        <v>0</v>
      </c>
    </row>
    <row r="152" spans="1:17" ht="15.75" customHeight="1" x14ac:dyDescent="0.2">
      <c r="A152" s="529">
        <v>144</v>
      </c>
      <c r="B152" s="529" t="s">
        <v>129</v>
      </c>
      <c r="C152" s="516" t="s">
        <v>62</v>
      </c>
      <c r="D152" s="529" t="s">
        <v>63</v>
      </c>
      <c r="E152" s="529" t="s">
        <v>74</v>
      </c>
      <c r="F152" s="529" t="s">
        <v>307</v>
      </c>
      <c r="G152" s="510" t="s">
        <v>670</v>
      </c>
      <c r="H152" s="529">
        <v>0</v>
      </c>
      <c r="I152" s="529">
        <v>0</v>
      </c>
      <c r="J152" s="529">
        <v>0</v>
      </c>
      <c r="K152" s="529">
        <v>0</v>
      </c>
      <c r="L152" s="529">
        <v>0</v>
      </c>
      <c r="M152" s="529">
        <v>0</v>
      </c>
      <c r="N152" s="529">
        <v>2</v>
      </c>
      <c r="O152" s="529">
        <v>12997.88</v>
      </c>
      <c r="P152" s="529">
        <v>12997.88</v>
      </c>
      <c r="Q152" s="529">
        <v>0</v>
      </c>
    </row>
    <row r="153" spans="1:17" ht="15.75" customHeight="1" x14ac:dyDescent="0.2">
      <c r="A153" s="529">
        <v>145</v>
      </c>
      <c r="B153" s="529" t="s">
        <v>58</v>
      </c>
      <c r="C153" s="516" t="s">
        <v>62</v>
      </c>
      <c r="D153" s="529" t="s">
        <v>63</v>
      </c>
      <c r="E153" s="529" t="s">
        <v>84</v>
      </c>
      <c r="F153" s="529" t="s">
        <v>308</v>
      </c>
      <c r="G153" s="510" t="s">
        <v>670</v>
      </c>
      <c r="H153" s="529">
        <v>252</v>
      </c>
      <c r="I153" s="529">
        <v>239</v>
      </c>
      <c r="J153" s="529">
        <v>272</v>
      </c>
      <c r="K153" s="529">
        <v>247950.68</v>
      </c>
      <c r="L153" s="529">
        <v>233975.56</v>
      </c>
      <c r="M153" s="529">
        <v>13975.12</v>
      </c>
      <c r="N153" s="529">
        <v>66</v>
      </c>
      <c r="O153" s="529">
        <v>216301.07</v>
      </c>
      <c r="P153" s="529">
        <v>216301.07</v>
      </c>
      <c r="Q153" s="529">
        <v>0</v>
      </c>
    </row>
    <row r="154" spans="1:17" ht="15.75" customHeight="1" x14ac:dyDescent="0.2">
      <c r="A154" s="529">
        <v>146</v>
      </c>
      <c r="B154" s="529" t="s">
        <v>59</v>
      </c>
      <c r="C154" s="516" t="s">
        <v>64</v>
      </c>
      <c r="D154" s="529" t="s">
        <v>66</v>
      </c>
      <c r="E154" s="529" t="s">
        <v>80</v>
      </c>
      <c r="F154" s="529" t="s">
        <v>309</v>
      </c>
      <c r="G154" s="510" t="s">
        <v>670</v>
      </c>
      <c r="H154" s="529">
        <v>44</v>
      </c>
      <c r="I154" s="529">
        <v>35</v>
      </c>
      <c r="J154" s="529">
        <v>55</v>
      </c>
      <c r="K154" s="529">
        <v>109498.5</v>
      </c>
      <c r="L154" s="529">
        <v>100074.76</v>
      </c>
      <c r="M154" s="529">
        <v>9423.74</v>
      </c>
      <c r="N154" s="529">
        <v>33</v>
      </c>
      <c r="O154" s="529">
        <v>108860.27</v>
      </c>
      <c r="P154" s="529">
        <v>108860.27</v>
      </c>
      <c r="Q154" s="529">
        <v>0</v>
      </c>
    </row>
    <row r="155" spans="1:17" ht="15.75" customHeight="1" x14ac:dyDescent="0.2">
      <c r="A155" s="529">
        <v>147</v>
      </c>
      <c r="B155" s="529" t="s">
        <v>130</v>
      </c>
      <c r="C155" s="516" t="s">
        <v>62</v>
      </c>
      <c r="D155" s="529" t="s">
        <v>63</v>
      </c>
      <c r="E155" s="529" t="s">
        <v>74</v>
      </c>
      <c r="F155" s="529" t="s">
        <v>553</v>
      </c>
      <c r="G155" s="510" t="s">
        <v>670</v>
      </c>
      <c r="H155" s="529">
        <v>7</v>
      </c>
      <c r="I155" s="529">
        <v>2</v>
      </c>
      <c r="J155" s="529">
        <v>2</v>
      </c>
      <c r="K155" s="529">
        <v>1772.34</v>
      </c>
      <c r="L155" s="529">
        <v>1772.34</v>
      </c>
      <c r="M155" s="529">
        <v>0</v>
      </c>
      <c r="N155" s="529">
        <v>4</v>
      </c>
      <c r="O155" s="529">
        <v>20018.759999999998</v>
      </c>
      <c r="P155" s="529">
        <v>20018.759999999998</v>
      </c>
      <c r="Q155" s="529">
        <v>0</v>
      </c>
    </row>
    <row r="156" spans="1:17" ht="15.75" customHeight="1" x14ac:dyDescent="0.2">
      <c r="A156" s="529">
        <v>148</v>
      </c>
      <c r="B156" s="529" t="s">
        <v>97</v>
      </c>
      <c r="C156" s="516" t="s">
        <v>62</v>
      </c>
      <c r="D156" s="529" t="s">
        <v>63</v>
      </c>
      <c r="E156" s="529" t="s">
        <v>74</v>
      </c>
      <c r="F156" s="529" t="s">
        <v>310</v>
      </c>
      <c r="G156" s="510" t="s">
        <v>670</v>
      </c>
      <c r="H156" s="529">
        <v>7</v>
      </c>
      <c r="I156" s="529">
        <v>4</v>
      </c>
      <c r="J156" s="529">
        <v>4</v>
      </c>
      <c r="K156" s="529">
        <v>5524.96</v>
      </c>
      <c r="L156" s="529">
        <v>5524.96</v>
      </c>
      <c r="M156" s="529">
        <v>0</v>
      </c>
      <c r="N156" s="529">
        <v>1</v>
      </c>
      <c r="O156" s="529">
        <v>3782.14</v>
      </c>
      <c r="P156" s="529">
        <v>3782.14</v>
      </c>
      <c r="Q156" s="529">
        <v>0</v>
      </c>
    </row>
    <row r="157" spans="1:17" ht="15.75" customHeight="1" x14ac:dyDescent="0.2">
      <c r="A157" s="529">
        <v>149</v>
      </c>
      <c r="B157" s="529" t="s">
        <v>667</v>
      </c>
      <c r="C157" s="516" t="s">
        <v>62</v>
      </c>
      <c r="D157" s="529" t="s">
        <v>63</v>
      </c>
      <c r="E157" s="529" t="s">
        <v>174</v>
      </c>
      <c r="F157" s="529" t="s">
        <v>668</v>
      </c>
      <c r="G157" s="510" t="s">
        <v>670</v>
      </c>
      <c r="H157" s="529">
        <v>8</v>
      </c>
      <c r="I157" s="529">
        <v>4</v>
      </c>
      <c r="J157" s="529">
        <v>4</v>
      </c>
      <c r="K157" s="529">
        <v>0</v>
      </c>
      <c r="L157" s="529">
        <v>0</v>
      </c>
      <c r="M157" s="529">
        <v>0</v>
      </c>
      <c r="N157" s="529">
        <v>0</v>
      </c>
      <c r="O157" s="529">
        <v>0</v>
      </c>
      <c r="P157" s="529">
        <v>0</v>
      </c>
      <c r="Q157" s="529">
        <v>0</v>
      </c>
    </row>
    <row r="158" spans="1:17" ht="15.75" customHeight="1" x14ac:dyDescent="0.2">
      <c r="A158" s="529">
        <v>150</v>
      </c>
      <c r="B158" s="529" t="s">
        <v>514</v>
      </c>
      <c r="C158" s="516" t="s">
        <v>62</v>
      </c>
      <c r="D158" s="529" t="s">
        <v>63</v>
      </c>
      <c r="E158" s="529" t="s">
        <v>223</v>
      </c>
      <c r="F158" s="529" t="s">
        <v>515</v>
      </c>
      <c r="G158" s="510" t="s">
        <v>670</v>
      </c>
      <c r="H158" s="529">
        <v>24</v>
      </c>
      <c r="I158" s="529">
        <v>17</v>
      </c>
      <c r="J158" s="529">
        <v>24</v>
      </c>
      <c r="K158" s="529">
        <v>25840.53</v>
      </c>
      <c r="L158" s="529">
        <v>25840.53</v>
      </c>
      <c r="M158" s="529"/>
      <c r="N158" s="529">
        <v>0</v>
      </c>
      <c r="O158" s="529">
        <v>0</v>
      </c>
      <c r="P158" s="529">
        <v>0</v>
      </c>
      <c r="Q158" s="529">
        <v>0</v>
      </c>
    </row>
    <row r="159" spans="1:17" ht="15.75" customHeight="1" x14ac:dyDescent="0.2">
      <c r="A159" s="529">
        <v>151</v>
      </c>
      <c r="B159" s="529" t="s">
        <v>132</v>
      </c>
      <c r="C159" s="516" t="s">
        <v>62</v>
      </c>
      <c r="D159" s="529" t="s">
        <v>63</v>
      </c>
      <c r="E159" s="529" t="s">
        <v>74</v>
      </c>
      <c r="F159" s="529" t="s">
        <v>311</v>
      </c>
      <c r="G159" s="510" t="s">
        <v>670</v>
      </c>
      <c r="H159" s="529">
        <v>21</v>
      </c>
      <c r="I159" s="529">
        <v>7</v>
      </c>
      <c r="J159" s="529">
        <v>8</v>
      </c>
      <c r="K159" s="529">
        <v>7071.18</v>
      </c>
      <c r="L159" s="529">
        <v>7071.18</v>
      </c>
      <c r="M159" s="529">
        <v>0</v>
      </c>
      <c r="N159" s="529">
        <v>11</v>
      </c>
      <c r="O159" s="529">
        <v>7200.72</v>
      </c>
      <c r="P159" s="529">
        <v>7200.72</v>
      </c>
      <c r="Q159" s="529">
        <v>0</v>
      </c>
    </row>
    <row r="160" spans="1:17" ht="15.75" customHeight="1" x14ac:dyDescent="0.2">
      <c r="A160" s="529">
        <v>152</v>
      </c>
      <c r="B160" s="529" t="s">
        <v>312</v>
      </c>
      <c r="C160" s="516" t="s">
        <v>62</v>
      </c>
      <c r="D160" s="529" t="s">
        <v>63</v>
      </c>
      <c r="E160" s="529" t="s">
        <v>313</v>
      </c>
      <c r="F160" s="529" t="s">
        <v>314</v>
      </c>
      <c r="G160" s="510" t="s">
        <v>670</v>
      </c>
      <c r="H160" s="529">
        <v>67</v>
      </c>
      <c r="I160" s="529">
        <v>1</v>
      </c>
      <c r="J160" s="529">
        <v>1</v>
      </c>
      <c r="K160" s="529">
        <v>0</v>
      </c>
      <c r="L160" s="529">
        <v>0</v>
      </c>
      <c r="M160" s="529">
        <v>0</v>
      </c>
      <c r="N160" s="529">
        <v>0</v>
      </c>
      <c r="O160" s="529">
        <v>0</v>
      </c>
      <c r="P160" s="529">
        <v>0</v>
      </c>
      <c r="Q160" s="529">
        <v>0</v>
      </c>
    </row>
    <row r="161" spans="1:17" ht="15.75" customHeight="1" x14ac:dyDescent="0.2">
      <c r="A161" s="529">
        <v>153</v>
      </c>
      <c r="B161" s="529" t="s">
        <v>505</v>
      </c>
      <c r="C161" s="516" t="s">
        <v>62</v>
      </c>
      <c r="D161" s="529" t="s">
        <v>63</v>
      </c>
      <c r="E161" s="529" t="s">
        <v>759</v>
      </c>
      <c r="F161" s="529" t="s">
        <v>704</v>
      </c>
      <c r="G161" s="510" t="s">
        <v>670</v>
      </c>
      <c r="H161" s="529">
        <v>8</v>
      </c>
      <c r="I161" s="529">
        <v>3</v>
      </c>
      <c r="J161" s="529">
        <v>3</v>
      </c>
      <c r="K161" s="529">
        <v>0</v>
      </c>
      <c r="L161" s="529">
        <v>0</v>
      </c>
      <c r="M161" s="529">
        <v>0</v>
      </c>
      <c r="N161" s="529">
        <v>0</v>
      </c>
      <c r="O161" s="529">
        <v>0</v>
      </c>
      <c r="P161" s="529">
        <v>0</v>
      </c>
      <c r="Q161" s="529">
        <v>0</v>
      </c>
    </row>
    <row r="162" spans="1:17" ht="15.75" customHeight="1" x14ac:dyDescent="0.2">
      <c r="A162" s="529">
        <v>154</v>
      </c>
      <c r="B162" s="529" t="s">
        <v>315</v>
      </c>
      <c r="C162" s="516" t="s">
        <v>62</v>
      </c>
      <c r="D162" s="529" t="s">
        <v>63</v>
      </c>
      <c r="E162" s="529" t="s">
        <v>74</v>
      </c>
      <c r="F162" s="529" t="s">
        <v>316</v>
      </c>
      <c r="G162" s="510" t="s">
        <v>670</v>
      </c>
      <c r="H162" s="529">
        <v>19</v>
      </c>
      <c r="I162" s="529">
        <v>11</v>
      </c>
      <c r="J162" s="529">
        <v>13</v>
      </c>
      <c r="K162" s="529">
        <v>11020.91</v>
      </c>
      <c r="L162" s="529">
        <v>11020.91</v>
      </c>
      <c r="M162" s="529">
        <v>0</v>
      </c>
      <c r="N162" s="529">
        <v>6</v>
      </c>
      <c r="O162" s="529">
        <v>3889.02</v>
      </c>
      <c r="P162" s="529">
        <v>3889.02</v>
      </c>
      <c r="Q162" s="529">
        <v>0</v>
      </c>
    </row>
    <row r="163" spans="1:17" ht="15.75" customHeight="1" x14ac:dyDescent="0.2">
      <c r="A163" s="529">
        <v>155</v>
      </c>
      <c r="B163" s="529" t="s">
        <v>317</v>
      </c>
      <c r="C163" s="516" t="s">
        <v>62</v>
      </c>
      <c r="D163" s="529" t="s">
        <v>63</v>
      </c>
      <c r="E163" s="529" t="s">
        <v>158</v>
      </c>
      <c r="F163" s="529" t="s">
        <v>474</v>
      </c>
      <c r="G163" s="510" t="s">
        <v>670</v>
      </c>
      <c r="H163" s="529">
        <v>13</v>
      </c>
      <c r="I163" s="529">
        <v>11</v>
      </c>
      <c r="J163" s="529">
        <v>12</v>
      </c>
      <c r="K163" s="529">
        <v>4210.97</v>
      </c>
      <c r="L163" s="529">
        <v>4210.97</v>
      </c>
      <c r="M163" s="529">
        <v>0</v>
      </c>
      <c r="N163" s="529">
        <v>0</v>
      </c>
      <c r="O163" s="529">
        <v>0</v>
      </c>
      <c r="P163" s="529">
        <v>0</v>
      </c>
      <c r="Q163" s="529">
        <v>0</v>
      </c>
    </row>
    <row r="164" spans="1:17" ht="15.75" customHeight="1" x14ac:dyDescent="0.2">
      <c r="A164" s="529">
        <v>156</v>
      </c>
      <c r="B164" s="529" t="s">
        <v>318</v>
      </c>
      <c r="C164" s="516" t="s">
        <v>62</v>
      </c>
      <c r="D164" s="529" t="s">
        <v>63</v>
      </c>
      <c r="E164" s="529" t="s">
        <v>174</v>
      </c>
      <c r="F164" s="529" t="s">
        <v>319</v>
      </c>
      <c r="G164" s="510" t="s">
        <v>670</v>
      </c>
      <c r="H164" s="529">
        <v>35</v>
      </c>
      <c r="I164" s="529">
        <v>29</v>
      </c>
      <c r="J164" s="529">
        <v>35</v>
      </c>
      <c r="K164" s="529">
        <v>24890.68</v>
      </c>
      <c r="L164" s="529">
        <v>24890.68</v>
      </c>
      <c r="M164" s="529">
        <v>0</v>
      </c>
      <c r="N164" s="529">
        <v>0</v>
      </c>
      <c r="O164" s="529">
        <v>0</v>
      </c>
      <c r="P164" s="529">
        <v>0</v>
      </c>
      <c r="Q164" s="529">
        <v>0</v>
      </c>
    </row>
    <row r="165" spans="1:17" ht="15.75" customHeight="1" x14ac:dyDescent="0.2">
      <c r="A165" s="529">
        <v>157</v>
      </c>
      <c r="B165" s="529" t="s">
        <v>60</v>
      </c>
      <c r="C165" s="516" t="s">
        <v>67</v>
      </c>
      <c r="D165" s="529" t="s">
        <v>68</v>
      </c>
      <c r="E165" s="529" t="s">
        <v>74</v>
      </c>
      <c r="F165" s="529" t="s">
        <v>320</v>
      </c>
      <c r="G165" s="510" t="s">
        <v>670</v>
      </c>
      <c r="H165" s="529">
        <v>78</v>
      </c>
      <c r="I165" s="529">
        <v>63</v>
      </c>
      <c r="J165" s="529">
        <v>92</v>
      </c>
      <c r="K165" s="529">
        <v>159674.60999999999</v>
      </c>
      <c r="L165" s="529">
        <v>159674.60999999999</v>
      </c>
      <c r="M165" s="529">
        <v>0</v>
      </c>
      <c r="N165" s="529">
        <v>44</v>
      </c>
      <c r="O165" s="529">
        <v>113566.75</v>
      </c>
      <c r="P165" s="529">
        <v>113566.75</v>
      </c>
      <c r="Q165" s="529">
        <v>0</v>
      </c>
    </row>
    <row r="166" spans="1:17" ht="15.75" customHeight="1" x14ac:dyDescent="0.2">
      <c r="A166" s="529">
        <v>158</v>
      </c>
      <c r="B166" s="529" t="s">
        <v>61</v>
      </c>
      <c r="C166" s="516" t="s">
        <v>67</v>
      </c>
      <c r="D166" s="529" t="s">
        <v>69</v>
      </c>
      <c r="E166" s="529" t="s">
        <v>74</v>
      </c>
      <c r="F166" s="529" t="s">
        <v>321</v>
      </c>
      <c r="G166" s="510" t="s">
        <v>670</v>
      </c>
      <c r="H166" s="529">
        <v>11</v>
      </c>
      <c r="I166" s="529">
        <v>5</v>
      </c>
      <c r="J166" s="529">
        <v>6</v>
      </c>
      <c r="K166" s="529">
        <v>12993.1</v>
      </c>
      <c r="L166" s="529">
        <v>12993.1</v>
      </c>
      <c r="M166" s="529">
        <v>0</v>
      </c>
      <c r="N166" s="529">
        <v>7</v>
      </c>
      <c r="O166" s="529">
        <v>7602.26</v>
      </c>
      <c r="P166" s="529">
        <v>7602.26</v>
      </c>
      <c r="Q166" s="529">
        <v>0</v>
      </c>
    </row>
    <row r="167" spans="1:17" ht="15.75" customHeight="1" x14ac:dyDescent="0.2">
      <c r="A167" s="526">
        <v>159</v>
      </c>
      <c r="B167" s="532" t="s">
        <v>21</v>
      </c>
      <c r="C167" s="533" t="s">
        <v>62</v>
      </c>
      <c r="D167" s="534"/>
      <c r="E167" s="532" t="s">
        <v>674</v>
      </c>
      <c r="F167" s="532" t="s">
        <v>734</v>
      </c>
      <c r="G167" s="532" t="s">
        <v>735</v>
      </c>
      <c r="H167" s="603">
        <v>1</v>
      </c>
      <c r="I167" s="603">
        <v>0</v>
      </c>
      <c r="J167" s="603">
        <v>0</v>
      </c>
      <c r="K167" s="604">
        <v>0</v>
      </c>
      <c r="L167" s="604">
        <v>0</v>
      </c>
      <c r="M167" s="604">
        <v>0</v>
      </c>
      <c r="N167" s="603">
        <v>3</v>
      </c>
      <c r="O167" s="604">
        <v>18538.8</v>
      </c>
      <c r="P167" s="604">
        <v>18538.8</v>
      </c>
      <c r="Q167" s="604">
        <v>0</v>
      </c>
    </row>
    <row r="168" spans="1:17" ht="15.75" customHeight="1" x14ac:dyDescent="0.2">
      <c r="A168" s="526">
        <v>160</v>
      </c>
      <c r="B168" s="532" t="s">
        <v>147</v>
      </c>
      <c r="C168" s="533" t="s">
        <v>62</v>
      </c>
      <c r="D168" s="534"/>
      <c r="E168" s="486" t="s">
        <v>158</v>
      </c>
      <c r="F168" s="532" t="s">
        <v>736</v>
      </c>
      <c r="G168" s="532" t="s">
        <v>706</v>
      </c>
      <c r="H168" s="603">
        <v>1</v>
      </c>
      <c r="I168" s="603">
        <v>1</v>
      </c>
      <c r="J168" s="603">
        <v>1</v>
      </c>
      <c r="K168" s="604">
        <v>1762</v>
      </c>
      <c r="L168" s="604">
        <v>1762</v>
      </c>
      <c r="M168" s="604">
        <v>0</v>
      </c>
      <c r="N168" s="603">
        <v>4</v>
      </c>
      <c r="O168" s="604">
        <v>13328.7</v>
      </c>
      <c r="P168" s="604">
        <v>12783.87</v>
      </c>
      <c r="Q168" s="604">
        <v>544.87</v>
      </c>
    </row>
    <row r="169" spans="1:17" ht="15.75" customHeight="1" x14ac:dyDescent="0.2">
      <c r="A169" s="526">
        <v>161</v>
      </c>
      <c r="B169" s="532" t="s">
        <v>526</v>
      </c>
      <c r="C169" s="533" t="s">
        <v>62</v>
      </c>
      <c r="D169" s="534"/>
      <c r="E169" s="532" t="s">
        <v>760</v>
      </c>
      <c r="F169" s="532" t="s">
        <v>738</v>
      </c>
      <c r="G169" s="532" t="s">
        <v>706</v>
      </c>
      <c r="H169" s="603">
        <v>0</v>
      </c>
      <c r="I169" s="603">
        <v>0</v>
      </c>
      <c r="J169" s="603">
        <v>0</v>
      </c>
      <c r="K169" s="604">
        <v>0</v>
      </c>
      <c r="L169" s="604">
        <v>0</v>
      </c>
      <c r="M169" s="604">
        <v>0</v>
      </c>
      <c r="N169" s="603">
        <v>0</v>
      </c>
      <c r="O169" s="605">
        <v>0</v>
      </c>
      <c r="P169" s="604">
        <v>0</v>
      </c>
      <c r="Q169" s="604">
        <v>0</v>
      </c>
    </row>
    <row r="170" spans="1:17" ht="15.75" customHeight="1" x14ac:dyDescent="0.2">
      <c r="A170" s="526">
        <v>162</v>
      </c>
      <c r="B170" s="532" t="s">
        <v>305</v>
      </c>
      <c r="C170" s="533" t="s">
        <v>62</v>
      </c>
      <c r="D170" s="534"/>
      <c r="E170" s="532" t="s">
        <v>674</v>
      </c>
      <c r="F170" s="532" t="s">
        <v>739</v>
      </c>
      <c r="G170" s="532" t="s">
        <v>706</v>
      </c>
      <c r="H170" s="603">
        <v>4</v>
      </c>
      <c r="I170" s="603">
        <v>4</v>
      </c>
      <c r="J170" s="603">
        <v>5</v>
      </c>
      <c r="K170" s="604">
        <v>14963.4</v>
      </c>
      <c r="L170" s="604">
        <v>10545.1</v>
      </c>
      <c r="M170" s="604">
        <v>4418.3</v>
      </c>
      <c r="N170" s="603">
        <v>0</v>
      </c>
      <c r="O170" s="604">
        <v>0</v>
      </c>
      <c r="P170" s="604">
        <v>0</v>
      </c>
      <c r="Q170" s="604">
        <v>0</v>
      </c>
    </row>
    <row r="171" spans="1:17" ht="15.75" customHeight="1" x14ac:dyDescent="0.2">
      <c r="A171" s="526">
        <v>163</v>
      </c>
      <c r="B171" s="532" t="s">
        <v>407</v>
      </c>
      <c r="C171" s="533" t="s">
        <v>62</v>
      </c>
      <c r="D171" s="534"/>
      <c r="E171" s="532" t="s">
        <v>674</v>
      </c>
      <c r="F171" s="532" t="s">
        <v>740</v>
      </c>
      <c r="G171" s="532" t="s">
        <v>706</v>
      </c>
      <c r="H171" s="603">
        <v>5</v>
      </c>
      <c r="I171" s="603">
        <v>1</v>
      </c>
      <c r="J171" s="603">
        <v>1</v>
      </c>
      <c r="K171" s="604">
        <v>3866.1</v>
      </c>
      <c r="L171" s="604">
        <v>3866.1</v>
      </c>
      <c r="M171" s="604">
        <v>0</v>
      </c>
      <c r="N171" s="603">
        <v>0</v>
      </c>
      <c r="O171" s="604">
        <v>0</v>
      </c>
      <c r="P171" s="604">
        <v>0</v>
      </c>
      <c r="Q171" s="604">
        <v>0</v>
      </c>
    </row>
    <row r="172" spans="1:17" ht="15.75" customHeight="1" x14ac:dyDescent="0.2">
      <c r="A172" s="526">
        <v>164</v>
      </c>
      <c r="B172" s="532" t="s">
        <v>185</v>
      </c>
      <c r="C172" s="533" t="s">
        <v>62</v>
      </c>
      <c r="D172" s="534"/>
      <c r="E172" s="532" t="s">
        <v>674</v>
      </c>
      <c r="F172" s="532" t="s">
        <v>741</v>
      </c>
      <c r="G172" s="532" t="s">
        <v>706</v>
      </c>
      <c r="H172" s="603">
        <v>4</v>
      </c>
      <c r="I172" s="603">
        <v>4</v>
      </c>
      <c r="J172" s="603">
        <v>5</v>
      </c>
      <c r="K172" s="604">
        <v>18336.240000000002</v>
      </c>
      <c r="L172" s="604">
        <v>18336.240000000002</v>
      </c>
      <c r="M172" s="604">
        <v>0</v>
      </c>
      <c r="N172" s="603">
        <v>0</v>
      </c>
      <c r="O172" s="604">
        <v>0</v>
      </c>
      <c r="P172" s="604">
        <v>0</v>
      </c>
      <c r="Q172" s="604">
        <v>0</v>
      </c>
    </row>
    <row r="173" spans="1:17" ht="15.75" customHeight="1" x14ac:dyDescent="0.2">
      <c r="A173" s="526">
        <v>165</v>
      </c>
      <c r="B173" s="532" t="s">
        <v>534</v>
      </c>
      <c r="C173" s="533" t="s">
        <v>62</v>
      </c>
      <c r="D173" s="534"/>
      <c r="E173" s="532" t="s">
        <v>674</v>
      </c>
      <c r="F173" s="532" t="s">
        <v>774</v>
      </c>
      <c r="G173" s="532" t="s">
        <v>706</v>
      </c>
      <c r="H173" s="603">
        <v>1</v>
      </c>
      <c r="I173" s="603">
        <v>0</v>
      </c>
      <c r="J173" s="603">
        <v>0</v>
      </c>
      <c r="K173" s="604">
        <v>0</v>
      </c>
      <c r="L173" s="604">
        <v>0</v>
      </c>
      <c r="M173" s="604">
        <v>0</v>
      </c>
      <c r="N173" s="603">
        <v>0</v>
      </c>
      <c r="O173" s="604">
        <v>0</v>
      </c>
      <c r="P173" s="604">
        <v>0</v>
      </c>
      <c r="Q173" s="604">
        <v>0</v>
      </c>
    </row>
    <row r="174" spans="1:17" ht="15.75" customHeight="1" x14ac:dyDescent="0.2">
      <c r="A174" s="526">
        <v>166</v>
      </c>
      <c r="B174" s="532" t="s">
        <v>104</v>
      </c>
      <c r="C174" s="533" t="s">
        <v>62</v>
      </c>
      <c r="D174" s="534"/>
      <c r="E174" s="490" t="s">
        <v>730</v>
      </c>
      <c r="F174" s="532" t="s">
        <v>743</v>
      </c>
      <c r="G174" s="532" t="s">
        <v>706</v>
      </c>
      <c r="H174" s="603">
        <v>0</v>
      </c>
      <c r="I174" s="603">
        <v>0</v>
      </c>
      <c r="J174" s="603">
        <v>0</v>
      </c>
      <c r="K174" s="604">
        <v>0</v>
      </c>
      <c r="L174" s="604">
        <v>0</v>
      </c>
      <c r="M174" s="604">
        <v>0</v>
      </c>
      <c r="N174" s="603">
        <v>1</v>
      </c>
      <c r="O174" s="604">
        <v>3187.89</v>
      </c>
      <c r="P174" s="604">
        <v>3187.89</v>
      </c>
      <c r="Q174" s="604">
        <v>0</v>
      </c>
    </row>
    <row r="175" spans="1:17" ht="15.75" customHeight="1" x14ac:dyDescent="0.2">
      <c r="A175" s="526">
        <v>167</v>
      </c>
      <c r="B175" s="532" t="s">
        <v>621</v>
      </c>
      <c r="C175" s="533" t="s">
        <v>62</v>
      </c>
      <c r="D175" s="534"/>
      <c r="E175" s="486" t="s">
        <v>158</v>
      </c>
      <c r="F175" s="532" t="s">
        <v>744</v>
      </c>
      <c r="G175" s="532" t="s">
        <v>706</v>
      </c>
      <c r="H175" s="603">
        <v>0</v>
      </c>
      <c r="I175" s="603">
        <v>0</v>
      </c>
      <c r="J175" s="603">
        <v>0</v>
      </c>
      <c r="K175" s="604">
        <v>0</v>
      </c>
      <c r="L175" s="604">
        <v>0</v>
      </c>
      <c r="M175" s="604">
        <v>0</v>
      </c>
      <c r="N175" s="603">
        <v>0</v>
      </c>
      <c r="O175" s="604">
        <v>0</v>
      </c>
      <c r="P175" s="604">
        <v>0</v>
      </c>
      <c r="Q175" s="604">
        <v>0</v>
      </c>
    </row>
    <row r="176" spans="1:17" ht="15.75" customHeight="1" x14ac:dyDescent="0.2">
      <c r="A176" s="526">
        <v>168</v>
      </c>
      <c r="B176" s="484" t="s">
        <v>47</v>
      </c>
      <c r="C176" s="516" t="s">
        <v>62</v>
      </c>
      <c r="D176" s="484"/>
      <c r="E176" s="486" t="s">
        <v>761</v>
      </c>
      <c r="F176" s="486" t="s">
        <v>448</v>
      </c>
      <c r="G176" s="510" t="s">
        <v>142</v>
      </c>
      <c r="H176" s="484">
        <v>8</v>
      </c>
      <c r="I176" s="484">
        <v>6</v>
      </c>
      <c r="J176" s="484">
        <v>6</v>
      </c>
      <c r="K176" s="482">
        <v>11911.2</v>
      </c>
      <c r="L176" s="482">
        <v>11911.2</v>
      </c>
      <c r="M176" s="482">
        <v>0</v>
      </c>
      <c r="N176" s="484">
        <v>26</v>
      </c>
      <c r="O176" s="482">
        <v>47624.72</v>
      </c>
      <c r="P176" s="482">
        <v>47624.72</v>
      </c>
      <c r="Q176" s="482">
        <v>0</v>
      </c>
    </row>
    <row r="177" spans="1:17" ht="15.75" customHeight="1" x14ac:dyDescent="0.2">
      <c r="A177" s="526">
        <v>169</v>
      </c>
      <c r="B177" s="484" t="s">
        <v>55</v>
      </c>
      <c r="C177" s="516" t="s">
        <v>62</v>
      </c>
      <c r="D177" s="484"/>
      <c r="E177" s="486" t="s">
        <v>762</v>
      </c>
      <c r="F177" s="486" t="s">
        <v>449</v>
      </c>
      <c r="G177" s="510" t="s">
        <v>142</v>
      </c>
      <c r="H177" s="484">
        <v>9</v>
      </c>
      <c r="I177" s="484">
        <v>4</v>
      </c>
      <c r="J177" s="484">
        <v>4</v>
      </c>
      <c r="K177" s="482">
        <v>4284.1000000000004</v>
      </c>
      <c r="L177" s="482">
        <v>4284.1000000000004</v>
      </c>
      <c r="M177" s="482">
        <v>0</v>
      </c>
      <c r="N177" s="484">
        <v>14</v>
      </c>
      <c r="O177" s="482">
        <v>29300.9</v>
      </c>
      <c r="P177" s="482">
        <v>29300.9</v>
      </c>
      <c r="Q177" s="482">
        <v>0</v>
      </c>
    </row>
    <row r="178" spans="1:17" ht="15.75" customHeight="1" x14ac:dyDescent="0.2">
      <c r="A178" s="526">
        <v>170</v>
      </c>
      <c r="B178" s="484" t="s">
        <v>122</v>
      </c>
      <c r="C178" s="516" t="s">
        <v>62</v>
      </c>
      <c r="D178" s="484"/>
      <c r="E178" s="486" t="s">
        <v>763</v>
      </c>
      <c r="F178" s="486" t="s">
        <v>450</v>
      </c>
      <c r="G178" s="510" t="s">
        <v>142</v>
      </c>
      <c r="H178" s="484">
        <v>5</v>
      </c>
      <c r="I178" s="484">
        <v>2</v>
      </c>
      <c r="J178" s="484">
        <v>2</v>
      </c>
      <c r="K178" s="482">
        <v>2301.25</v>
      </c>
      <c r="L178" s="482">
        <v>2301.25</v>
      </c>
      <c r="M178" s="482">
        <v>0</v>
      </c>
      <c r="N178" s="484">
        <v>9</v>
      </c>
      <c r="O178" s="482">
        <v>17988.490000000002</v>
      </c>
      <c r="P178" s="482">
        <v>17856.7</v>
      </c>
      <c r="Q178" s="482">
        <v>131.79</v>
      </c>
    </row>
    <row r="179" spans="1:17" ht="15.75" customHeight="1" x14ac:dyDescent="0.2">
      <c r="A179" s="526">
        <v>171</v>
      </c>
      <c r="B179" s="484" t="s">
        <v>144</v>
      </c>
      <c r="C179" s="516" t="s">
        <v>62</v>
      </c>
      <c r="D179" s="484"/>
      <c r="E179" s="486" t="s">
        <v>761</v>
      </c>
      <c r="F179" s="486" t="s">
        <v>451</v>
      </c>
      <c r="G179" s="510" t="s">
        <v>142</v>
      </c>
      <c r="H179" s="484">
        <v>8</v>
      </c>
      <c r="I179" s="484">
        <v>7</v>
      </c>
      <c r="J179" s="484">
        <v>7</v>
      </c>
      <c r="K179" s="482">
        <v>8121.62</v>
      </c>
      <c r="L179" s="482">
        <v>8121.62</v>
      </c>
      <c r="M179" s="482">
        <v>0</v>
      </c>
      <c r="N179" s="484">
        <v>3</v>
      </c>
      <c r="O179" s="482">
        <v>3595.1</v>
      </c>
      <c r="P179" s="482">
        <v>3595.1</v>
      </c>
      <c r="Q179" s="482">
        <v>0</v>
      </c>
    </row>
    <row r="180" spans="1:17" ht="15.75" customHeight="1" x14ac:dyDescent="0.2">
      <c r="A180" s="526">
        <v>172</v>
      </c>
      <c r="B180" s="484" t="s">
        <v>46</v>
      </c>
      <c r="C180" s="516" t="s">
        <v>62</v>
      </c>
      <c r="D180" s="484"/>
      <c r="E180" s="486" t="s">
        <v>764</v>
      </c>
      <c r="F180" s="486" t="s">
        <v>453</v>
      </c>
      <c r="G180" s="510" t="s">
        <v>142</v>
      </c>
      <c r="H180" s="484">
        <v>0</v>
      </c>
      <c r="I180" s="484">
        <v>0</v>
      </c>
      <c r="J180" s="484">
        <v>0</v>
      </c>
      <c r="K180" s="482">
        <v>0</v>
      </c>
      <c r="L180" s="482">
        <v>0</v>
      </c>
      <c r="M180" s="482">
        <v>0</v>
      </c>
      <c r="N180" s="484">
        <v>0</v>
      </c>
      <c r="O180" s="482">
        <v>0</v>
      </c>
      <c r="P180" s="482">
        <v>0</v>
      </c>
      <c r="Q180" s="482">
        <v>0</v>
      </c>
    </row>
    <row r="181" spans="1:17" ht="15.75" customHeight="1" x14ac:dyDescent="0.2">
      <c r="A181" s="526">
        <v>173</v>
      </c>
      <c r="B181" s="484" t="s">
        <v>133</v>
      </c>
      <c r="C181" s="516" t="s">
        <v>67</v>
      </c>
      <c r="D181" s="484" t="s">
        <v>397</v>
      </c>
      <c r="E181" s="486" t="s">
        <v>74</v>
      </c>
      <c r="F181" s="486" t="s">
        <v>593</v>
      </c>
      <c r="G181" s="510" t="s">
        <v>142</v>
      </c>
      <c r="H181" s="484">
        <v>0</v>
      </c>
      <c r="I181" s="484">
        <v>0</v>
      </c>
      <c r="J181" s="484">
        <v>0</v>
      </c>
      <c r="K181" s="482">
        <v>0</v>
      </c>
      <c r="L181" s="482">
        <v>0</v>
      </c>
      <c r="M181" s="482">
        <v>0</v>
      </c>
      <c r="N181" s="484">
        <v>0</v>
      </c>
      <c r="O181" s="482">
        <v>0</v>
      </c>
      <c r="P181" s="482">
        <v>0</v>
      </c>
      <c r="Q181" s="482">
        <v>0</v>
      </c>
    </row>
    <row r="182" spans="1:17" ht="15.75" customHeight="1" x14ac:dyDescent="0.2">
      <c r="A182" s="526">
        <v>174</v>
      </c>
      <c r="B182" s="484" t="s">
        <v>176</v>
      </c>
      <c r="C182" s="516" t="s">
        <v>62</v>
      </c>
      <c r="D182" s="484"/>
      <c r="E182" s="486" t="s">
        <v>765</v>
      </c>
      <c r="F182" s="486" t="s">
        <v>455</v>
      </c>
      <c r="G182" s="510" t="s">
        <v>142</v>
      </c>
      <c r="H182" s="484">
        <v>12</v>
      </c>
      <c r="I182" s="484">
        <v>10</v>
      </c>
      <c r="J182" s="484">
        <v>10</v>
      </c>
      <c r="K182" s="482">
        <v>11360.06</v>
      </c>
      <c r="L182" s="482">
        <v>11360.06</v>
      </c>
      <c r="M182" s="482">
        <v>0</v>
      </c>
      <c r="N182" s="484">
        <v>0</v>
      </c>
      <c r="O182" s="482">
        <v>0</v>
      </c>
      <c r="P182" s="482">
        <v>0</v>
      </c>
      <c r="Q182" s="482">
        <v>0</v>
      </c>
    </row>
    <row r="183" spans="1:17" ht="15.75" customHeight="1" x14ac:dyDescent="0.2">
      <c r="A183" s="526">
        <v>175</v>
      </c>
      <c r="B183" s="484" t="s">
        <v>235</v>
      </c>
      <c r="C183" s="516" t="s">
        <v>62</v>
      </c>
      <c r="D183" s="484"/>
      <c r="E183" s="486" t="s">
        <v>766</v>
      </c>
      <c r="F183" s="486" t="s">
        <v>457</v>
      </c>
      <c r="G183" s="510" t="s">
        <v>142</v>
      </c>
      <c r="H183" s="484">
        <v>4</v>
      </c>
      <c r="I183" s="484">
        <v>3</v>
      </c>
      <c r="J183" s="484">
        <v>3</v>
      </c>
      <c r="K183" s="482">
        <v>2269.65</v>
      </c>
      <c r="L183" s="482">
        <v>2269.65</v>
      </c>
      <c r="M183" s="482">
        <v>0</v>
      </c>
      <c r="N183" s="484">
        <v>0</v>
      </c>
      <c r="O183" s="482">
        <v>0</v>
      </c>
      <c r="P183" s="482">
        <v>0</v>
      </c>
      <c r="Q183" s="482">
        <v>0</v>
      </c>
    </row>
    <row r="184" spans="1:17" ht="15.75" customHeight="1" x14ac:dyDescent="0.2">
      <c r="A184" s="526">
        <v>176</v>
      </c>
      <c r="B184" s="484" t="s">
        <v>251</v>
      </c>
      <c r="C184" s="516" t="s">
        <v>62</v>
      </c>
      <c r="D184" s="484"/>
      <c r="E184" s="486" t="s">
        <v>761</v>
      </c>
      <c r="F184" s="486" t="s">
        <v>458</v>
      </c>
      <c r="G184" s="510" t="s">
        <v>142</v>
      </c>
      <c r="H184" s="484">
        <v>6</v>
      </c>
      <c r="I184" s="484">
        <v>3</v>
      </c>
      <c r="J184" s="484">
        <v>3</v>
      </c>
      <c r="K184" s="482">
        <v>3434.7</v>
      </c>
      <c r="L184" s="482">
        <v>3434.7</v>
      </c>
      <c r="M184" s="482">
        <v>0</v>
      </c>
      <c r="N184" s="484">
        <v>0</v>
      </c>
      <c r="O184" s="482">
        <v>0</v>
      </c>
      <c r="P184" s="482">
        <v>0</v>
      </c>
      <c r="Q184" s="482">
        <v>0</v>
      </c>
    </row>
    <row r="185" spans="1:17" ht="15.75" customHeight="1" x14ac:dyDescent="0.2">
      <c r="A185" s="526">
        <v>177</v>
      </c>
      <c r="B185" s="484" t="s">
        <v>30</v>
      </c>
      <c r="C185" s="516" t="s">
        <v>62</v>
      </c>
      <c r="D185" s="484"/>
      <c r="E185" s="486" t="s">
        <v>767</v>
      </c>
      <c r="F185" s="486" t="s">
        <v>460</v>
      </c>
      <c r="G185" s="510" t="s">
        <v>142</v>
      </c>
      <c r="H185" s="484">
        <v>1</v>
      </c>
      <c r="I185" s="484">
        <v>0</v>
      </c>
      <c r="J185" s="484">
        <v>0</v>
      </c>
      <c r="K185" s="482">
        <v>0</v>
      </c>
      <c r="L185" s="482">
        <v>0</v>
      </c>
      <c r="M185" s="482">
        <v>0</v>
      </c>
      <c r="N185" s="484">
        <v>0</v>
      </c>
      <c r="O185" s="482">
        <v>0</v>
      </c>
      <c r="P185" s="482">
        <v>0</v>
      </c>
      <c r="Q185" s="482">
        <v>0</v>
      </c>
    </row>
    <row r="186" spans="1:17" ht="15.75" customHeight="1" x14ac:dyDescent="0.2">
      <c r="A186" s="526">
        <v>178</v>
      </c>
      <c r="B186" s="484" t="s">
        <v>35</v>
      </c>
      <c r="C186" s="516" t="s">
        <v>62</v>
      </c>
      <c r="D186" s="484"/>
      <c r="E186" s="486" t="s">
        <v>768</v>
      </c>
      <c r="F186" s="486" t="s">
        <v>462</v>
      </c>
      <c r="G186" s="510" t="s">
        <v>142</v>
      </c>
      <c r="H186" s="484">
        <v>1</v>
      </c>
      <c r="I186" s="484">
        <v>0</v>
      </c>
      <c r="J186" s="484">
        <v>0</v>
      </c>
      <c r="K186" s="482">
        <v>0</v>
      </c>
      <c r="L186" s="482">
        <v>0</v>
      </c>
      <c r="M186" s="482">
        <v>0</v>
      </c>
      <c r="N186" s="484">
        <v>0</v>
      </c>
      <c r="O186" s="482">
        <v>0</v>
      </c>
      <c r="P186" s="482">
        <v>0</v>
      </c>
      <c r="Q186" s="482">
        <v>0</v>
      </c>
    </row>
    <row r="187" spans="1:17" ht="15.75" customHeight="1" x14ac:dyDescent="0.2">
      <c r="A187" s="526">
        <v>179</v>
      </c>
      <c r="B187" s="484" t="s">
        <v>769</v>
      </c>
      <c r="C187" s="516" t="s">
        <v>62</v>
      </c>
      <c r="D187" s="484"/>
      <c r="E187" s="486" t="s">
        <v>779</v>
      </c>
      <c r="F187" s="486" t="s">
        <v>771</v>
      </c>
      <c r="G187" s="510" t="s">
        <v>142</v>
      </c>
      <c r="H187" s="484">
        <v>1</v>
      </c>
      <c r="I187" s="484">
        <v>0</v>
      </c>
      <c r="J187" s="484">
        <v>0</v>
      </c>
      <c r="K187" s="482">
        <v>0</v>
      </c>
      <c r="L187" s="482">
        <v>0</v>
      </c>
      <c r="M187" s="482">
        <v>0</v>
      </c>
      <c r="N187" s="484">
        <v>0</v>
      </c>
      <c r="O187" s="482">
        <v>0</v>
      </c>
      <c r="P187" s="482">
        <v>0</v>
      </c>
      <c r="Q187" s="482">
        <v>0</v>
      </c>
    </row>
    <row r="188" spans="1:17" ht="15.75" customHeight="1" x14ac:dyDescent="0.2">
      <c r="A188" s="526">
        <v>180</v>
      </c>
      <c r="B188" s="556" t="s">
        <v>134</v>
      </c>
      <c r="C188" s="557" t="s">
        <v>62</v>
      </c>
      <c r="D188" s="558"/>
      <c r="E188" s="486" t="s">
        <v>158</v>
      </c>
      <c r="F188" s="556" t="s">
        <v>408</v>
      </c>
      <c r="G188" s="556" t="s">
        <v>409</v>
      </c>
      <c r="H188" s="550">
        <v>28</v>
      </c>
      <c r="I188" s="550">
        <v>11</v>
      </c>
      <c r="J188" s="550">
        <v>11</v>
      </c>
      <c r="K188" s="551">
        <v>11668.56</v>
      </c>
      <c r="L188" s="551">
        <v>11668.56</v>
      </c>
      <c r="M188" s="482">
        <v>0</v>
      </c>
      <c r="N188" s="550">
        <v>10</v>
      </c>
      <c r="O188" s="551">
        <v>24976.5</v>
      </c>
      <c r="P188" s="551">
        <v>24976.5</v>
      </c>
      <c r="Q188" s="482">
        <v>0</v>
      </c>
    </row>
    <row r="189" spans="1:17" ht="15.75" customHeight="1" x14ac:dyDescent="0.2">
      <c r="A189" s="526">
        <v>181</v>
      </c>
      <c r="B189" s="556" t="s">
        <v>335</v>
      </c>
      <c r="C189" s="557" t="s">
        <v>62</v>
      </c>
      <c r="D189" s="558"/>
      <c r="E189" s="486" t="s">
        <v>158</v>
      </c>
      <c r="F189" s="556" t="s">
        <v>410</v>
      </c>
      <c r="G189" s="556" t="s">
        <v>409</v>
      </c>
      <c r="H189" s="550">
        <v>18</v>
      </c>
      <c r="I189" s="550">
        <v>4</v>
      </c>
      <c r="J189" s="550">
        <v>4</v>
      </c>
      <c r="K189" s="551">
        <v>10075.39</v>
      </c>
      <c r="L189" s="551">
        <v>10075.39</v>
      </c>
      <c r="M189" s="482">
        <v>0</v>
      </c>
      <c r="N189" s="550">
        <v>13</v>
      </c>
      <c r="O189" s="551">
        <v>20140.7</v>
      </c>
      <c r="P189" s="551">
        <v>20140.7</v>
      </c>
      <c r="Q189" s="482">
        <v>0</v>
      </c>
    </row>
    <row r="190" spans="1:17" ht="15.75" customHeight="1" x14ac:dyDescent="0.2">
      <c r="A190" s="526">
        <v>182</v>
      </c>
      <c r="B190" s="556" t="s">
        <v>46</v>
      </c>
      <c r="C190" s="557" t="s">
        <v>62</v>
      </c>
      <c r="D190" s="558"/>
      <c r="E190" s="486" t="s">
        <v>678</v>
      </c>
      <c r="F190" s="556" t="s">
        <v>411</v>
      </c>
      <c r="G190" s="556" t="s">
        <v>409</v>
      </c>
      <c r="H190" s="550">
        <v>41</v>
      </c>
      <c r="I190" s="550">
        <v>25</v>
      </c>
      <c r="J190" s="550">
        <v>25</v>
      </c>
      <c r="K190" s="551">
        <v>43817.5</v>
      </c>
      <c r="L190" s="551">
        <v>43817.5</v>
      </c>
      <c r="M190" s="482">
        <v>0</v>
      </c>
      <c r="N190" s="550">
        <v>22</v>
      </c>
      <c r="O190" s="551">
        <v>36901.160000000003</v>
      </c>
      <c r="P190" s="551">
        <v>36901.160000000003</v>
      </c>
      <c r="Q190" s="482">
        <v>0</v>
      </c>
    </row>
    <row r="191" spans="1:17" ht="15.75" customHeight="1" x14ac:dyDescent="0.2">
      <c r="A191" s="526">
        <v>183</v>
      </c>
      <c r="B191" s="556" t="s">
        <v>36</v>
      </c>
      <c r="C191" s="557" t="s">
        <v>62</v>
      </c>
      <c r="D191" s="558"/>
      <c r="E191" s="486" t="s">
        <v>158</v>
      </c>
      <c r="F191" s="556" t="s">
        <v>412</v>
      </c>
      <c r="G191" s="556" t="s">
        <v>409</v>
      </c>
      <c r="H191" s="550">
        <v>29</v>
      </c>
      <c r="I191" s="550">
        <v>20</v>
      </c>
      <c r="J191" s="550">
        <v>20</v>
      </c>
      <c r="K191" s="551">
        <v>36461.949999999997</v>
      </c>
      <c r="L191" s="551">
        <v>36461.949999999997</v>
      </c>
      <c r="M191" s="482">
        <v>0</v>
      </c>
      <c r="N191" s="550">
        <v>25</v>
      </c>
      <c r="O191" s="551">
        <v>70762.62</v>
      </c>
      <c r="P191" s="551">
        <v>70762.62</v>
      </c>
      <c r="Q191" s="482">
        <v>0</v>
      </c>
    </row>
    <row r="192" spans="1:17" ht="15.75" customHeight="1" x14ac:dyDescent="0.2">
      <c r="A192" s="526">
        <v>184</v>
      </c>
      <c r="B192" s="556" t="s">
        <v>27</v>
      </c>
      <c r="C192" s="557" t="s">
        <v>62</v>
      </c>
      <c r="D192" s="558"/>
      <c r="E192" s="486" t="s">
        <v>158</v>
      </c>
      <c r="F192" s="556" t="s">
        <v>413</v>
      </c>
      <c r="G192" s="556" t="s">
        <v>409</v>
      </c>
      <c r="H192" s="550">
        <v>12</v>
      </c>
      <c r="I192" s="550">
        <v>9</v>
      </c>
      <c r="J192" s="550">
        <v>9</v>
      </c>
      <c r="K192" s="551">
        <v>15819.14</v>
      </c>
      <c r="L192" s="551">
        <v>15169.37</v>
      </c>
      <c r="M192" s="482">
        <v>649.77</v>
      </c>
      <c r="N192" s="550">
        <v>10</v>
      </c>
      <c r="O192" s="551">
        <v>19563.2</v>
      </c>
      <c r="P192" s="551">
        <v>19563.2</v>
      </c>
      <c r="Q192" s="482">
        <v>0</v>
      </c>
    </row>
    <row r="193" spans="1:17" ht="15.75" customHeight="1" x14ac:dyDescent="0.2">
      <c r="A193" s="526">
        <v>185</v>
      </c>
      <c r="B193" s="556" t="s">
        <v>28</v>
      </c>
      <c r="C193" s="557" t="s">
        <v>62</v>
      </c>
      <c r="D193" s="558"/>
      <c r="E193" s="486" t="s">
        <v>158</v>
      </c>
      <c r="F193" s="556" t="s">
        <v>414</v>
      </c>
      <c r="G193" s="556" t="s">
        <v>409</v>
      </c>
      <c r="H193" s="550">
        <v>31</v>
      </c>
      <c r="I193" s="550">
        <v>21</v>
      </c>
      <c r="J193" s="550">
        <v>21</v>
      </c>
      <c r="K193" s="551">
        <v>31030.02</v>
      </c>
      <c r="L193" s="551">
        <v>31030.02</v>
      </c>
      <c r="M193" s="482">
        <v>0</v>
      </c>
      <c r="N193" s="550">
        <v>16</v>
      </c>
      <c r="O193" s="551">
        <v>26212.25</v>
      </c>
      <c r="P193" s="551">
        <v>26212.25</v>
      </c>
      <c r="Q193" s="482">
        <v>0</v>
      </c>
    </row>
    <row r="194" spans="1:17" ht="15.75" customHeight="1" x14ac:dyDescent="0.2">
      <c r="A194" s="526">
        <v>186</v>
      </c>
      <c r="B194" s="532" t="s">
        <v>246</v>
      </c>
      <c r="C194" s="533" t="s">
        <v>62</v>
      </c>
      <c r="D194" s="534"/>
      <c r="E194" s="486" t="s">
        <v>158</v>
      </c>
      <c r="F194" s="532" t="s">
        <v>415</v>
      </c>
      <c r="G194" s="556" t="s">
        <v>409</v>
      </c>
      <c r="H194" s="550">
        <v>27</v>
      </c>
      <c r="I194" s="550">
        <v>7</v>
      </c>
      <c r="J194" s="550">
        <v>7</v>
      </c>
      <c r="K194" s="551">
        <v>7611.84</v>
      </c>
      <c r="L194" s="551">
        <v>7611.84</v>
      </c>
      <c r="M194" s="482">
        <v>0</v>
      </c>
      <c r="N194" s="550">
        <v>0</v>
      </c>
      <c r="O194" s="551">
        <v>0</v>
      </c>
      <c r="P194" s="551">
        <v>0</v>
      </c>
      <c r="Q194" s="482">
        <v>0</v>
      </c>
    </row>
    <row r="195" spans="1:17" ht="15.75" customHeight="1" x14ac:dyDescent="0.2">
      <c r="A195" s="526">
        <v>187</v>
      </c>
      <c r="B195" s="556" t="s">
        <v>330</v>
      </c>
      <c r="C195" s="533" t="s">
        <v>62</v>
      </c>
      <c r="D195" s="534"/>
      <c r="E195" s="486" t="s">
        <v>158</v>
      </c>
      <c r="F195" s="532" t="s">
        <v>416</v>
      </c>
      <c r="G195" s="556" t="s">
        <v>409</v>
      </c>
      <c r="H195" s="550">
        <v>10</v>
      </c>
      <c r="I195" s="550">
        <v>2</v>
      </c>
      <c r="J195" s="550">
        <v>2</v>
      </c>
      <c r="K195" s="551">
        <v>4050.2</v>
      </c>
      <c r="L195" s="551">
        <v>4050.2</v>
      </c>
      <c r="M195" s="482">
        <v>0</v>
      </c>
      <c r="N195" s="550">
        <v>0</v>
      </c>
      <c r="O195" s="551">
        <v>0</v>
      </c>
      <c r="P195" s="551">
        <v>0</v>
      </c>
      <c r="Q195" s="482">
        <v>0</v>
      </c>
    </row>
    <row r="196" spans="1:17" ht="15.75" customHeight="1" x14ac:dyDescent="0.2">
      <c r="A196" s="526">
        <v>188</v>
      </c>
      <c r="B196" s="556" t="s">
        <v>402</v>
      </c>
      <c r="C196" s="533" t="s">
        <v>62</v>
      </c>
      <c r="D196" s="534"/>
      <c r="E196" s="486" t="s">
        <v>158</v>
      </c>
      <c r="F196" s="532" t="s">
        <v>417</v>
      </c>
      <c r="G196" s="556" t="s">
        <v>409</v>
      </c>
      <c r="H196" s="550">
        <v>23</v>
      </c>
      <c r="I196" s="550">
        <v>14</v>
      </c>
      <c r="J196" s="550">
        <v>14</v>
      </c>
      <c r="K196" s="551">
        <v>28917.64</v>
      </c>
      <c r="L196" s="551">
        <v>28917.64</v>
      </c>
      <c r="M196" s="482">
        <v>0</v>
      </c>
      <c r="N196" s="550">
        <v>0</v>
      </c>
      <c r="O196" s="551">
        <v>0</v>
      </c>
      <c r="P196" s="551">
        <v>0</v>
      </c>
      <c r="Q196" s="482">
        <v>0</v>
      </c>
    </row>
    <row r="197" spans="1:17" ht="15.75" customHeight="1" x14ac:dyDescent="0.2">
      <c r="A197" s="526">
        <v>189</v>
      </c>
      <c r="B197" s="556" t="s">
        <v>154</v>
      </c>
      <c r="C197" s="533" t="s">
        <v>62</v>
      </c>
      <c r="D197" s="534"/>
      <c r="E197" s="556" t="s">
        <v>158</v>
      </c>
      <c r="F197" s="532" t="s">
        <v>418</v>
      </c>
      <c r="G197" s="556" t="s">
        <v>409</v>
      </c>
      <c r="H197" s="550">
        <v>11</v>
      </c>
      <c r="I197" s="550">
        <v>3</v>
      </c>
      <c r="J197" s="550">
        <v>3</v>
      </c>
      <c r="K197" s="551">
        <v>4422.95</v>
      </c>
      <c r="L197" s="551">
        <v>4422.95</v>
      </c>
      <c r="M197" s="482">
        <v>0</v>
      </c>
      <c r="N197" s="550">
        <v>9</v>
      </c>
      <c r="O197" s="551">
        <v>14857.9</v>
      </c>
      <c r="P197" s="551">
        <v>14857.9</v>
      </c>
      <c r="Q197" s="482">
        <v>0</v>
      </c>
    </row>
    <row r="198" spans="1:17" ht="15.75" customHeight="1" x14ac:dyDescent="0.2">
      <c r="A198" s="526">
        <v>190</v>
      </c>
      <c r="B198" s="556" t="s">
        <v>153</v>
      </c>
      <c r="C198" s="533" t="s">
        <v>62</v>
      </c>
      <c r="D198" s="534"/>
      <c r="E198" s="486" t="s">
        <v>158</v>
      </c>
      <c r="F198" s="532" t="s">
        <v>419</v>
      </c>
      <c r="G198" s="556" t="s">
        <v>409</v>
      </c>
      <c r="H198" s="550">
        <v>4</v>
      </c>
      <c r="I198" s="550">
        <v>1</v>
      </c>
      <c r="J198" s="550">
        <v>1</v>
      </c>
      <c r="K198" s="551">
        <v>1635.8</v>
      </c>
      <c r="L198" s="551">
        <v>1635.8</v>
      </c>
      <c r="M198" s="482">
        <v>0</v>
      </c>
      <c r="N198" s="550">
        <v>18</v>
      </c>
      <c r="O198" s="551">
        <v>63052.81</v>
      </c>
      <c r="P198" s="551">
        <v>63052.81</v>
      </c>
      <c r="Q198" s="482">
        <v>0</v>
      </c>
    </row>
    <row r="199" spans="1:17" ht="15.75" customHeight="1" x14ac:dyDescent="0.2">
      <c r="A199" s="526">
        <v>191</v>
      </c>
      <c r="B199" s="556" t="s">
        <v>89</v>
      </c>
      <c r="C199" s="533" t="s">
        <v>62</v>
      </c>
      <c r="D199" s="534"/>
      <c r="E199" s="486" t="s">
        <v>158</v>
      </c>
      <c r="F199" s="532" t="s">
        <v>420</v>
      </c>
      <c r="G199" s="556" t="s">
        <v>409</v>
      </c>
      <c r="H199" s="550">
        <v>14</v>
      </c>
      <c r="I199" s="550">
        <v>7</v>
      </c>
      <c r="J199" s="550">
        <v>7</v>
      </c>
      <c r="K199" s="551">
        <v>11093.25</v>
      </c>
      <c r="L199" s="551">
        <v>11093.25</v>
      </c>
      <c r="M199" s="482">
        <v>0</v>
      </c>
      <c r="N199" s="550">
        <v>4</v>
      </c>
      <c r="O199" s="551">
        <v>12828.6</v>
      </c>
      <c r="P199" s="551">
        <v>12828.6</v>
      </c>
      <c r="Q199" s="482">
        <v>0</v>
      </c>
    </row>
    <row r="200" spans="1:17" ht="15.75" customHeight="1" x14ac:dyDescent="0.2">
      <c r="A200" s="526">
        <v>192</v>
      </c>
      <c r="B200" s="556" t="s">
        <v>379</v>
      </c>
      <c r="C200" s="533" t="s">
        <v>62</v>
      </c>
      <c r="D200" s="534"/>
      <c r="E200" s="486" t="s">
        <v>158</v>
      </c>
      <c r="F200" s="532" t="s">
        <v>421</v>
      </c>
      <c r="G200" s="556" t="s">
        <v>409</v>
      </c>
      <c r="H200" s="550">
        <v>10</v>
      </c>
      <c r="I200" s="550">
        <v>6</v>
      </c>
      <c r="J200" s="550">
        <v>6</v>
      </c>
      <c r="K200" s="551">
        <v>7132.7</v>
      </c>
      <c r="L200" s="551">
        <v>7132.7</v>
      </c>
      <c r="M200" s="482">
        <v>0</v>
      </c>
      <c r="N200" s="550">
        <v>0</v>
      </c>
      <c r="O200" s="551">
        <v>0</v>
      </c>
      <c r="P200" s="551">
        <v>0</v>
      </c>
      <c r="Q200" s="482">
        <v>0</v>
      </c>
    </row>
    <row r="201" spans="1:17" ht="15.75" customHeight="1" x14ac:dyDescent="0.2">
      <c r="A201" s="526">
        <v>193</v>
      </c>
      <c r="B201" s="556" t="s">
        <v>264</v>
      </c>
      <c r="C201" s="533" t="s">
        <v>62</v>
      </c>
      <c r="D201" s="534"/>
      <c r="E201" s="486" t="s">
        <v>158</v>
      </c>
      <c r="F201" s="532" t="s">
        <v>422</v>
      </c>
      <c r="G201" s="556" t="s">
        <v>409</v>
      </c>
      <c r="H201" s="550">
        <v>3</v>
      </c>
      <c r="I201" s="550">
        <v>0</v>
      </c>
      <c r="J201" s="550">
        <v>0</v>
      </c>
      <c r="K201" s="551">
        <v>0</v>
      </c>
      <c r="L201" s="551">
        <v>0</v>
      </c>
      <c r="M201" s="482">
        <v>0</v>
      </c>
      <c r="N201" s="550">
        <v>0</v>
      </c>
      <c r="O201" s="551">
        <v>0</v>
      </c>
      <c r="P201" s="551">
        <v>0</v>
      </c>
      <c r="Q201" s="482">
        <v>0</v>
      </c>
    </row>
    <row r="202" spans="1:17" ht="15.75" customHeight="1" x14ac:dyDescent="0.2">
      <c r="A202" s="526">
        <v>194</v>
      </c>
      <c r="B202" s="556" t="s">
        <v>475</v>
      </c>
      <c r="C202" s="533" t="s">
        <v>67</v>
      </c>
      <c r="D202" s="558" t="s">
        <v>123</v>
      </c>
      <c r="E202" s="556" t="s">
        <v>158</v>
      </c>
      <c r="F202" s="532" t="s">
        <v>423</v>
      </c>
      <c r="G202" s="556" t="s">
        <v>409</v>
      </c>
      <c r="H202" s="550">
        <v>3</v>
      </c>
      <c r="I202" s="550">
        <v>0</v>
      </c>
      <c r="J202" s="550">
        <v>0</v>
      </c>
      <c r="K202" s="551">
        <v>0</v>
      </c>
      <c r="L202" s="551">
        <v>0</v>
      </c>
      <c r="M202" s="482">
        <v>0</v>
      </c>
      <c r="N202" s="550">
        <v>0</v>
      </c>
      <c r="O202" s="551">
        <v>0</v>
      </c>
      <c r="P202" s="551">
        <v>0</v>
      </c>
      <c r="Q202" s="482">
        <v>0</v>
      </c>
    </row>
    <row r="203" spans="1:17" ht="15.75" customHeight="1" x14ac:dyDescent="0.2">
      <c r="A203" s="526">
        <v>195</v>
      </c>
      <c r="B203" s="556" t="s">
        <v>137</v>
      </c>
      <c r="C203" s="533" t="s">
        <v>62</v>
      </c>
      <c r="D203" s="534"/>
      <c r="E203" s="556" t="s">
        <v>158</v>
      </c>
      <c r="F203" s="532" t="s">
        <v>424</v>
      </c>
      <c r="G203" s="556" t="s">
        <v>409</v>
      </c>
      <c r="H203" s="550">
        <v>6</v>
      </c>
      <c r="I203" s="550">
        <v>2</v>
      </c>
      <c r="J203" s="550">
        <v>2</v>
      </c>
      <c r="K203" s="551">
        <v>2243.8200000000002</v>
      </c>
      <c r="L203" s="551">
        <v>2243.8200000000002</v>
      </c>
      <c r="M203" s="482">
        <v>0</v>
      </c>
      <c r="N203" s="550">
        <v>1</v>
      </c>
      <c r="O203" s="551">
        <v>2393.3000000000002</v>
      </c>
      <c r="P203" s="551">
        <v>2393.3000000000002</v>
      </c>
      <c r="Q203" s="482">
        <v>0</v>
      </c>
    </row>
    <row r="204" spans="1:17" ht="15.75" customHeight="1" x14ac:dyDescent="0.2">
      <c r="A204" s="526">
        <v>196</v>
      </c>
      <c r="B204" s="556" t="s">
        <v>173</v>
      </c>
      <c r="C204" s="533" t="s">
        <v>67</v>
      </c>
      <c r="D204" s="484" t="s">
        <v>478</v>
      </c>
      <c r="E204" s="486" t="s">
        <v>158</v>
      </c>
      <c r="F204" s="532" t="s">
        <v>426</v>
      </c>
      <c r="G204" s="556" t="s">
        <v>409</v>
      </c>
      <c r="H204" s="550">
        <v>14</v>
      </c>
      <c r="I204" s="550">
        <v>8</v>
      </c>
      <c r="J204" s="550">
        <v>8</v>
      </c>
      <c r="K204" s="551">
        <v>13701.62</v>
      </c>
      <c r="L204" s="551">
        <v>13701.62</v>
      </c>
      <c r="M204" s="482">
        <v>0</v>
      </c>
      <c r="N204" s="550">
        <v>0</v>
      </c>
      <c r="O204" s="551">
        <v>0</v>
      </c>
      <c r="P204" s="551">
        <v>0</v>
      </c>
      <c r="Q204" s="482">
        <v>0</v>
      </c>
    </row>
    <row r="205" spans="1:17" ht="15.75" customHeight="1" x14ac:dyDescent="0.2">
      <c r="A205" s="526">
        <v>197</v>
      </c>
      <c r="B205" s="556" t="s">
        <v>135</v>
      </c>
      <c r="C205" s="533" t="s">
        <v>62</v>
      </c>
      <c r="D205" s="534"/>
      <c r="E205" s="486" t="s">
        <v>158</v>
      </c>
      <c r="F205" s="532" t="s">
        <v>427</v>
      </c>
      <c r="G205" s="556" t="s">
        <v>409</v>
      </c>
      <c r="H205" s="550">
        <v>7</v>
      </c>
      <c r="I205" s="550">
        <v>3</v>
      </c>
      <c r="J205" s="550">
        <v>3</v>
      </c>
      <c r="K205" s="551">
        <v>3524.92</v>
      </c>
      <c r="L205" s="551">
        <v>2396.3200000000002</v>
      </c>
      <c r="M205" s="482">
        <v>1128.5999999999999</v>
      </c>
      <c r="N205" s="550">
        <v>13</v>
      </c>
      <c r="O205" s="551">
        <v>29153.119999999999</v>
      </c>
      <c r="P205" s="551">
        <v>21917.97</v>
      </c>
      <c r="Q205" s="482">
        <v>7235.15</v>
      </c>
    </row>
    <row r="206" spans="1:17" ht="15.75" customHeight="1" x14ac:dyDescent="0.2">
      <c r="A206" s="526">
        <v>198</v>
      </c>
      <c r="B206" s="556" t="s">
        <v>148</v>
      </c>
      <c r="C206" s="533" t="s">
        <v>62</v>
      </c>
      <c r="D206" s="534"/>
      <c r="E206" s="556" t="s">
        <v>719</v>
      </c>
      <c r="F206" s="532" t="s">
        <v>375</v>
      </c>
      <c r="G206" s="556" t="s">
        <v>409</v>
      </c>
      <c r="H206" s="550">
        <v>26</v>
      </c>
      <c r="I206" s="550">
        <v>20</v>
      </c>
      <c r="J206" s="550">
        <v>20</v>
      </c>
      <c r="K206" s="551">
        <v>58526.37</v>
      </c>
      <c r="L206" s="551">
        <v>58526.37</v>
      </c>
      <c r="M206" s="482">
        <v>0</v>
      </c>
      <c r="N206" s="550">
        <v>30</v>
      </c>
      <c r="O206" s="551">
        <v>92970.89</v>
      </c>
      <c r="P206" s="551">
        <v>92970.89</v>
      </c>
      <c r="Q206" s="482">
        <v>0</v>
      </c>
    </row>
    <row r="207" spans="1:17" ht="15.75" customHeight="1" x14ac:dyDescent="0.2">
      <c r="A207" s="526">
        <v>199</v>
      </c>
      <c r="B207" s="556" t="s">
        <v>147</v>
      </c>
      <c r="C207" s="533" t="s">
        <v>62</v>
      </c>
      <c r="D207" s="534"/>
      <c r="E207" s="486" t="s">
        <v>158</v>
      </c>
      <c r="F207" s="532" t="s">
        <v>331</v>
      </c>
      <c r="G207" s="556" t="s">
        <v>409</v>
      </c>
      <c r="H207" s="550">
        <v>10</v>
      </c>
      <c r="I207" s="550">
        <v>3</v>
      </c>
      <c r="J207" s="550">
        <v>3</v>
      </c>
      <c r="K207" s="551">
        <v>6204.1</v>
      </c>
      <c r="L207" s="551">
        <v>4915.3999999999996</v>
      </c>
      <c r="M207" s="482">
        <v>1288.7</v>
      </c>
      <c r="N207" s="550">
        <v>10</v>
      </c>
      <c r="O207" s="551">
        <v>22395.4</v>
      </c>
      <c r="P207" s="551">
        <v>22395.4</v>
      </c>
      <c r="Q207" s="482">
        <v>0</v>
      </c>
    </row>
    <row r="208" spans="1:17" ht="15.75" customHeight="1" x14ac:dyDescent="0.2">
      <c r="A208" s="526">
        <v>200</v>
      </c>
      <c r="B208" s="556" t="s">
        <v>124</v>
      </c>
      <c r="C208" s="533" t="s">
        <v>62</v>
      </c>
      <c r="D208" s="534"/>
      <c r="E208" s="556" t="s">
        <v>720</v>
      </c>
      <c r="F208" s="532" t="s">
        <v>329</v>
      </c>
      <c r="G208" s="556" t="s">
        <v>409</v>
      </c>
      <c r="H208" s="550">
        <v>17</v>
      </c>
      <c r="I208" s="550">
        <v>11</v>
      </c>
      <c r="J208" s="550">
        <v>11</v>
      </c>
      <c r="K208" s="551">
        <v>14887.37</v>
      </c>
      <c r="L208" s="551">
        <v>14887.37</v>
      </c>
      <c r="M208" s="482">
        <v>0</v>
      </c>
      <c r="N208" s="550">
        <v>26</v>
      </c>
      <c r="O208" s="551">
        <v>35829.449999999997</v>
      </c>
      <c r="P208" s="551">
        <v>35829.449999999997</v>
      </c>
      <c r="Q208" s="482">
        <v>0</v>
      </c>
    </row>
    <row r="209" spans="1:17" ht="15.75" customHeight="1" x14ac:dyDescent="0.2">
      <c r="A209" s="526">
        <v>201</v>
      </c>
      <c r="B209" s="556" t="s">
        <v>168</v>
      </c>
      <c r="C209" s="533" t="s">
        <v>62</v>
      </c>
      <c r="D209" s="534"/>
      <c r="E209" s="532" t="s">
        <v>371</v>
      </c>
      <c r="F209" s="532" t="s">
        <v>353</v>
      </c>
      <c r="G209" s="556" t="s">
        <v>409</v>
      </c>
      <c r="H209" s="550">
        <v>11</v>
      </c>
      <c r="I209" s="550">
        <v>1</v>
      </c>
      <c r="J209" s="550">
        <v>1</v>
      </c>
      <c r="K209" s="551">
        <v>1409.6</v>
      </c>
      <c r="L209" s="551">
        <v>1409.6</v>
      </c>
      <c r="M209" s="482">
        <v>0</v>
      </c>
      <c r="N209" s="550">
        <v>0</v>
      </c>
      <c r="O209" s="551">
        <v>0</v>
      </c>
      <c r="P209" s="551">
        <v>0</v>
      </c>
      <c r="Q209" s="482">
        <v>0</v>
      </c>
    </row>
    <row r="210" spans="1:17" ht="15.75" customHeight="1" x14ac:dyDescent="0.2">
      <c r="A210" s="526">
        <v>202</v>
      </c>
      <c r="B210" s="556" t="s">
        <v>429</v>
      </c>
      <c r="C210" s="533" t="s">
        <v>62</v>
      </c>
      <c r="D210" s="534"/>
      <c r="E210" s="486" t="s">
        <v>158</v>
      </c>
      <c r="F210" s="532" t="s">
        <v>430</v>
      </c>
      <c r="G210" s="556" t="s">
        <v>409</v>
      </c>
      <c r="H210" s="550">
        <v>10</v>
      </c>
      <c r="I210" s="550">
        <v>3</v>
      </c>
      <c r="J210" s="550">
        <v>3</v>
      </c>
      <c r="K210" s="551">
        <v>5178.84</v>
      </c>
      <c r="L210" s="551">
        <v>5178.84</v>
      </c>
      <c r="M210" s="482">
        <v>0</v>
      </c>
      <c r="N210" s="550">
        <v>7</v>
      </c>
      <c r="O210" s="551">
        <v>6995.76</v>
      </c>
      <c r="P210" s="551">
        <v>6995.76</v>
      </c>
      <c r="Q210" s="482">
        <v>0</v>
      </c>
    </row>
    <row r="211" spans="1:17" ht="15.75" customHeight="1" x14ac:dyDescent="0.2">
      <c r="A211" s="526">
        <v>203</v>
      </c>
      <c r="B211" s="556" t="s">
        <v>130</v>
      </c>
      <c r="C211" s="533" t="s">
        <v>62</v>
      </c>
      <c r="D211" s="534"/>
      <c r="E211" s="486" t="s">
        <v>158</v>
      </c>
      <c r="F211" s="532" t="s">
        <v>431</v>
      </c>
      <c r="G211" s="556" t="s">
        <v>409</v>
      </c>
      <c r="H211" s="550">
        <v>7</v>
      </c>
      <c r="I211" s="550">
        <v>4</v>
      </c>
      <c r="J211" s="550">
        <v>4</v>
      </c>
      <c r="K211" s="551">
        <v>5204.2</v>
      </c>
      <c r="L211" s="551">
        <v>5204.2</v>
      </c>
      <c r="M211" s="482">
        <v>0</v>
      </c>
      <c r="N211" s="550">
        <v>5</v>
      </c>
      <c r="O211" s="551">
        <v>10391.459999999999</v>
      </c>
      <c r="P211" s="551">
        <v>10391.459999999999</v>
      </c>
      <c r="Q211" s="482">
        <v>0</v>
      </c>
    </row>
    <row r="212" spans="1:17" ht="15.75" customHeight="1" x14ac:dyDescent="0.2">
      <c r="A212" s="526">
        <v>204</v>
      </c>
      <c r="B212" s="556" t="s">
        <v>32</v>
      </c>
      <c r="C212" s="533" t="s">
        <v>62</v>
      </c>
      <c r="D212" s="534"/>
      <c r="E212" s="486" t="s">
        <v>158</v>
      </c>
      <c r="F212" s="532" t="s">
        <v>432</v>
      </c>
      <c r="G212" s="556" t="s">
        <v>409</v>
      </c>
      <c r="H212" s="550">
        <v>15</v>
      </c>
      <c r="I212" s="550">
        <v>10</v>
      </c>
      <c r="J212" s="550">
        <v>10</v>
      </c>
      <c r="K212" s="551">
        <v>16181.42</v>
      </c>
      <c r="L212" s="551">
        <v>16181.42</v>
      </c>
      <c r="M212" s="482">
        <v>0</v>
      </c>
      <c r="N212" s="550">
        <v>9</v>
      </c>
      <c r="O212" s="551">
        <v>18778.12</v>
      </c>
      <c r="P212" s="551">
        <v>18778.12</v>
      </c>
      <c r="Q212" s="482">
        <v>0</v>
      </c>
    </row>
    <row r="213" spans="1:17" ht="15.75" customHeight="1" x14ac:dyDescent="0.2">
      <c r="A213" s="526">
        <v>205</v>
      </c>
      <c r="B213" s="556" t="s">
        <v>343</v>
      </c>
      <c r="C213" s="533" t="s">
        <v>62</v>
      </c>
      <c r="D213" s="534"/>
      <c r="E213" s="486" t="s">
        <v>158</v>
      </c>
      <c r="F213" s="532" t="s">
        <v>433</v>
      </c>
      <c r="G213" s="556" t="s">
        <v>409</v>
      </c>
      <c r="H213" s="550">
        <v>16</v>
      </c>
      <c r="I213" s="550">
        <v>12</v>
      </c>
      <c r="J213" s="550">
        <v>12</v>
      </c>
      <c r="K213" s="551">
        <v>20615</v>
      </c>
      <c r="L213" s="551">
        <v>18037.599999999999</v>
      </c>
      <c r="M213" s="482">
        <v>2577.4</v>
      </c>
      <c r="N213" s="550">
        <v>0</v>
      </c>
      <c r="O213" s="551">
        <v>0</v>
      </c>
      <c r="P213" s="551">
        <v>0</v>
      </c>
      <c r="Q213" s="482">
        <v>0</v>
      </c>
    </row>
    <row r="214" spans="1:17" ht="15.75" customHeight="1" x14ac:dyDescent="0.2">
      <c r="A214" s="526">
        <v>206</v>
      </c>
      <c r="B214" s="556" t="s">
        <v>290</v>
      </c>
      <c r="C214" s="533" t="s">
        <v>62</v>
      </c>
      <c r="D214" s="534"/>
      <c r="E214" s="532" t="s">
        <v>371</v>
      </c>
      <c r="F214" s="532" t="s">
        <v>434</v>
      </c>
      <c r="G214" s="556" t="s">
        <v>409</v>
      </c>
      <c r="H214" s="550">
        <v>6</v>
      </c>
      <c r="I214" s="550">
        <v>1</v>
      </c>
      <c r="J214" s="550">
        <v>1</v>
      </c>
      <c r="K214" s="551">
        <v>1585.8</v>
      </c>
      <c r="L214" s="551">
        <v>1585.8</v>
      </c>
      <c r="M214" s="482">
        <v>0</v>
      </c>
      <c r="N214" s="550">
        <v>0</v>
      </c>
      <c r="O214" s="551">
        <v>0</v>
      </c>
      <c r="P214" s="551">
        <v>0</v>
      </c>
      <c r="Q214" s="482">
        <v>0</v>
      </c>
    </row>
    <row r="215" spans="1:17" ht="15.75" customHeight="1" x14ac:dyDescent="0.2">
      <c r="A215" s="526">
        <v>207</v>
      </c>
      <c r="B215" s="556" t="s">
        <v>315</v>
      </c>
      <c r="C215" s="533" t="s">
        <v>62</v>
      </c>
      <c r="D215" s="534"/>
      <c r="E215" s="486" t="s">
        <v>158</v>
      </c>
      <c r="F215" s="532" t="s">
        <v>435</v>
      </c>
      <c r="G215" s="556" t="s">
        <v>409</v>
      </c>
      <c r="H215" s="550">
        <v>20</v>
      </c>
      <c r="I215" s="550">
        <v>6</v>
      </c>
      <c r="J215" s="550">
        <v>6</v>
      </c>
      <c r="K215" s="551">
        <v>13025.5</v>
      </c>
      <c r="L215" s="551">
        <v>4741</v>
      </c>
      <c r="M215" s="482">
        <v>8284.5</v>
      </c>
      <c r="N215" s="550">
        <v>6</v>
      </c>
      <c r="O215" s="551">
        <v>14019.72</v>
      </c>
      <c r="P215" s="551">
        <v>7208.02</v>
      </c>
      <c r="Q215" s="482">
        <v>6811.7</v>
      </c>
    </row>
    <row r="216" spans="1:17" ht="15.75" customHeight="1" x14ac:dyDescent="0.2">
      <c r="A216" s="526">
        <v>208</v>
      </c>
      <c r="B216" s="556" t="s">
        <v>216</v>
      </c>
      <c r="C216" s="533" t="s">
        <v>67</v>
      </c>
      <c r="D216" s="534" t="s">
        <v>436</v>
      </c>
      <c r="E216" s="486" t="s">
        <v>158</v>
      </c>
      <c r="F216" s="532" t="s">
        <v>437</v>
      </c>
      <c r="G216" s="556" t="s">
        <v>409</v>
      </c>
      <c r="H216" s="550">
        <v>20</v>
      </c>
      <c r="I216" s="550">
        <v>7</v>
      </c>
      <c r="J216" s="550">
        <v>7</v>
      </c>
      <c r="K216" s="551">
        <v>13299.66</v>
      </c>
      <c r="L216" s="551">
        <v>13299.66</v>
      </c>
      <c r="M216" s="482">
        <v>0</v>
      </c>
      <c r="N216" s="550">
        <v>0</v>
      </c>
      <c r="O216" s="551">
        <v>0</v>
      </c>
      <c r="P216" s="551">
        <v>0</v>
      </c>
      <c r="Q216" s="482">
        <v>0</v>
      </c>
    </row>
    <row r="217" spans="1:17" ht="15.75" customHeight="1" x14ac:dyDescent="0.2">
      <c r="A217" s="526">
        <v>209</v>
      </c>
      <c r="B217" s="556" t="s">
        <v>438</v>
      </c>
      <c r="C217" s="533" t="s">
        <v>62</v>
      </c>
      <c r="D217" s="534"/>
      <c r="E217" s="486" t="s">
        <v>158</v>
      </c>
      <c r="F217" s="532" t="s">
        <v>439</v>
      </c>
      <c r="G217" s="556" t="s">
        <v>409</v>
      </c>
      <c r="H217" s="550">
        <v>9</v>
      </c>
      <c r="I217" s="550">
        <v>1</v>
      </c>
      <c r="J217" s="550">
        <v>1</v>
      </c>
      <c r="K217" s="551">
        <v>3497.9</v>
      </c>
      <c r="L217" s="551">
        <v>3497.9</v>
      </c>
      <c r="M217" s="482">
        <v>0</v>
      </c>
      <c r="N217" s="550">
        <v>0</v>
      </c>
      <c r="O217" s="551">
        <v>0</v>
      </c>
      <c r="P217" s="551">
        <v>0</v>
      </c>
      <c r="Q217" s="482">
        <v>0</v>
      </c>
    </row>
    <row r="218" spans="1:17" ht="15.75" customHeight="1" x14ac:dyDescent="0.2">
      <c r="A218" s="526">
        <v>210</v>
      </c>
      <c r="B218" s="556" t="s">
        <v>440</v>
      </c>
      <c r="C218" s="533" t="s">
        <v>62</v>
      </c>
      <c r="D218" s="534"/>
      <c r="E218" s="486" t="s">
        <v>158</v>
      </c>
      <c r="F218" s="532" t="s">
        <v>441</v>
      </c>
      <c r="G218" s="556" t="s">
        <v>409</v>
      </c>
      <c r="H218" s="550">
        <v>7</v>
      </c>
      <c r="I218" s="550">
        <v>3</v>
      </c>
      <c r="J218" s="550">
        <v>3</v>
      </c>
      <c r="K218" s="551">
        <v>3171.6</v>
      </c>
      <c r="L218" s="551">
        <v>3171.6</v>
      </c>
      <c r="M218" s="482">
        <v>0</v>
      </c>
      <c r="N218" s="550">
        <v>0</v>
      </c>
      <c r="O218" s="551">
        <v>0</v>
      </c>
      <c r="P218" s="551">
        <v>0</v>
      </c>
      <c r="Q218" s="482">
        <v>0</v>
      </c>
    </row>
    <row r="219" spans="1:17" ht="15.75" customHeight="1" x14ac:dyDescent="0.2">
      <c r="A219" s="526">
        <v>211</v>
      </c>
      <c r="B219" s="556" t="s">
        <v>222</v>
      </c>
      <c r="C219" s="533" t="s">
        <v>64</v>
      </c>
      <c r="D219" s="484" t="s">
        <v>486</v>
      </c>
      <c r="E219" s="486" t="s">
        <v>158</v>
      </c>
      <c r="F219" s="532" t="s">
        <v>443</v>
      </c>
      <c r="G219" s="556" t="s">
        <v>409</v>
      </c>
      <c r="H219" s="550">
        <v>1</v>
      </c>
      <c r="I219" s="550">
        <v>0</v>
      </c>
      <c r="J219" s="550">
        <v>0</v>
      </c>
      <c r="K219" s="551">
        <v>0</v>
      </c>
      <c r="L219" s="551">
        <v>0</v>
      </c>
      <c r="M219" s="482">
        <v>0</v>
      </c>
      <c r="N219" s="550">
        <v>0</v>
      </c>
      <c r="O219" s="551">
        <v>0</v>
      </c>
      <c r="P219" s="551">
        <v>0</v>
      </c>
      <c r="Q219" s="482">
        <v>0</v>
      </c>
    </row>
    <row r="220" spans="1:17" ht="15.75" customHeight="1" x14ac:dyDescent="0.2">
      <c r="A220" s="526">
        <v>212</v>
      </c>
      <c r="B220" s="556" t="s">
        <v>444</v>
      </c>
      <c r="C220" s="533" t="s">
        <v>62</v>
      </c>
      <c r="D220" s="534"/>
      <c r="E220" s="486" t="s">
        <v>158</v>
      </c>
      <c r="F220" s="532" t="s">
        <v>445</v>
      </c>
      <c r="G220" s="556" t="s">
        <v>409</v>
      </c>
      <c r="H220" s="550">
        <v>5</v>
      </c>
      <c r="I220" s="550">
        <v>5</v>
      </c>
      <c r="J220" s="550">
        <v>5</v>
      </c>
      <c r="K220" s="551">
        <v>3802.9</v>
      </c>
      <c r="L220" s="551">
        <v>3802.9</v>
      </c>
      <c r="M220" s="482">
        <v>0</v>
      </c>
      <c r="N220" s="550">
        <v>0</v>
      </c>
      <c r="O220" s="551">
        <v>0</v>
      </c>
      <c r="P220" s="551">
        <v>0</v>
      </c>
      <c r="Q220" s="482">
        <v>0</v>
      </c>
    </row>
    <row r="221" spans="1:17" ht="15.75" customHeight="1" x14ac:dyDescent="0.2">
      <c r="A221" s="526">
        <v>213</v>
      </c>
      <c r="B221" s="556" t="s">
        <v>129</v>
      </c>
      <c r="C221" s="533" t="s">
        <v>62</v>
      </c>
      <c r="D221" s="534"/>
      <c r="E221" s="486" t="s">
        <v>158</v>
      </c>
      <c r="F221" s="532" t="s">
        <v>446</v>
      </c>
      <c r="G221" s="556" t="s">
        <v>409</v>
      </c>
      <c r="H221" s="550">
        <v>12</v>
      </c>
      <c r="I221" s="550">
        <v>6</v>
      </c>
      <c r="J221" s="550">
        <v>6</v>
      </c>
      <c r="K221" s="551">
        <v>8100.41</v>
      </c>
      <c r="L221" s="551">
        <v>6080.63</v>
      </c>
      <c r="M221" s="482">
        <v>2019.78</v>
      </c>
      <c r="N221" s="550">
        <v>12</v>
      </c>
      <c r="O221" s="551">
        <v>25243.58</v>
      </c>
      <c r="P221" s="551">
        <v>25243.58</v>
      </c>
      <c r="Q221" s="482">
        <v>0</v>
      </c>
    </row>
    <row r="222" spans="1:17" ht="15.75" customHeight="1" x14ac:dyDescent="0.2">
      <c r="A222" s="526">
        <v>214</v>
      </c>
      <c r="B222" s="532" t="s">
        <v>104</v>
      </c>
      <c r="C222" s="533" t="s">
        <v>62</v>
      </c>
      <c r="D222" s="534"/>
      <c r="E222" s="490" t="s">
        <v>730</v>
      </c>
      <c r="F222" s="532" t="s">
        <v>447</v>
      </c>
      <c r="G222" s="556" t="s">
        <v>409</v>
      </c>
      <c r="H222" s="550">
        <v>0</v>
      </c>
      <c r="I222" s="550">
        <v>0</v>
      </c>
      <c r="J222" s="550">
        <v>0</v>
      </c>
      <c r="K222" s="551">
        <v>0</v>
      </c>
      <c r="L222" s="551">
        <v>0</v>
      </c>
      <c r="M222" s="482">
        <v>0</v>
      </c>
      <c r="N222" s="550">
        <v>7</v>
      </c>
      <c r="O222" s="551">
        <v>5726.5</v>
      </c>
      <c r="P222" s="551">
        <v>5726.5</v>
      </c>
      <c r="Q222" s="482">
        <v>0</v>
      </c>
    </row>
    <row r="223" spans="1:17" ht="15.75" customHeight="1" x14ac:dyDescent="0.2">
      <c r="A223" s="526">
        <v>215</v>
      </c>
      <c r="B223" s="532" t="s">
        <v>156</v>
      </c>
      <c r="C223" s="533" t="s">
        <v>67</v>
      </c>
      <c r="D223" s="534" t="s">
        <v>745</v>
      </c>
      <c r="E223" s="486" t="s">
        <v>158</v>
      </c>
      <c r="F223" s="532" t="s">
        <v>502</v>
      </c>
      <c r="G223" s="556" t="s">
        <v>409</v>
      </c>
      <c r="H223" s="550">
        <v>4</v>
      </c>
      <c r="I223" s="550">
        <v>0</v>
      </c>
      <c r="J223" s="550">
        <v>0</v>
      </c>
      <c r="K223" s="551">
        <v>0</v>
      </c>
      <c r="L223" s="551">
        <v>0</v>
      </c>
      <c r="M223" s="482">
        <v>0</v>
      </c>
      <c r="N223" s="550">
        <v>5</v>
      </c>
      <c r="O223" s="551">
        <v>8865.2999999999993</v>
      </c>
      <c r="P223" s="551">
        <v>8865.2999999999993</v>
      </c>
      <c r="Q223" s="482">
        <v>0</v>
      </c>
    </row>
    <row r="224" spans="1:17" ht="15.75" customHeight="1" x14ac:dyDescent="0.2">
      <c r="A224" s="526">
        <v>216</v>
      </c>
      <c r="B224" s="532" t="s">
        <v>133</v>
      </c>
      <c r="C224" s="533" t="s">
        <v>67</v>
      </c>
      <c r="D224" s="484" t="s">
        <v>494</v>
      </c>
      <c r="E224" s="486" t="s">
        <v>158</v>
      </c>
      <c r="F224" s="532" t="s">
        <v>503</v>
      </c>
      <c r="G224" s="556" t="s">
        <v>409</v>
      </c>
      <c r="H224" s="550">
        <v>12</v>
      </c>
      <c r="I224" s="550">
        <v>5</v>
      </c>
      <c r="J224" s="550">
        <v>5</v>
      </c>
      <c r="K224" s="551">
        <v>13731.4</v>
      </c>
      <c r="L224" s="551">
        <v>13731.4</v>
      </c>
      <c r="M224" s="482">
        <v>0</v>
      </c>
      <c r="N224" s="550">
        <v>18</v>
      </c>
      <c r="O224" s="551">
        <v>45265.08</v>
      </c>
      <c r="P224" s="551">
        <v>45265.08</v>
      </c>
      <c r="Q224" s="482">
        <v>0</v>
      </c>
    </row>
    <row r="225" spans="1:17" ht="15.75" customHeight="1" x14ac:dyDescent="0.2">
      <c r="A225" s="526">
        <v>217</v>
      </c>
      <c r="B225" s="532" t="s">
        <v>114</v>
      </c>
      <c r="C225" s="533" t="s">
        <v>62</v>
      </c>
      <c r="D225" s="534"/>
      <c r="E225" s="486" t="s">
        <v>691</v>
      </c>
      <c r="F225" s="532" t="s">
        <v>504</v>
      </c>
      <c r="G225" s="556" t="s">
        <v>409</v>
      </c>
      <c r="H225" s="550">
        <v>4</v>
      </c>
      <c r="I225" s="550">
        <v>0</v>
      </c>
      <c r="J225" s="550">
        <v>0</v>
      </c>
      <c r="K225" s="551">
        <v>0</v>
      </c>
      <c r="L225" s="551">
        <v>0</v>
      </c>
      <c r="M225" s="482">
        <v>0</v>
      </c>
      <c r="N225" s="550">
        <v>4</v>
      </c>
      <c r="O225" s="551">
        <v>3524</v>
      </c>
      <c r="P225" s="551">
        <v>3524</v>
      </c>
      <c r="Q225" s="482">
        <v>0</v>
      </c>
    </row>
    <row r="226" spans="1:17" ht="15.75" customHeight="1" x14ac:dyDescent="0.2">
      <c r="A226" s="526">
        <v>218</v>
      </c>
      <c r="B226" s="532" t="s">
        <v>505</v>
      </c>
      <c r="C226" s="533" t="s">
        <v>62</v>
      </c>
      <c r="D226" s="534"/>
      <c r="E226" s="486" t="s">
        <v>158</v>
      </c>
      <c r="F226" s="532" t="s">
        <v>506</v>
      </c>
      <c r="G226" s="556" t="s">
        <v>409</v>
      </c>
      <c r="H226" s="550">
        <v>5</v>
      </c>
      <c r="I226" s="550">
        <v>2</v>
      </c>
      <c r="J226" s="550">
        <v>2</v>
      </c>
      <c r="K226" s="551">
        <v>2025.1</v>
      </c>
      <c r="L226" s="551">
        <v>0</v>
      </c>
      <c r="M226" s="482">
        <v>2025.1</v>
      </c>
      <c r="N226" s="550">
        <v>0</v>
      </c>
      <c r="O226" s="551">
        <v>0</v>
      </c>
      <c r="P226" s="551">
        <v>0</v>
      </c>
      <c r="Q226" s="482">
        <v>0</v>
      </c>
    </row>
    <row r="227" spans="1:17" ht="15.75" customHeight="1" x14ac:dyDescent="0.2">
      <c r="A227" s="526">
        <v>219</v>
      </c>
      <c r="B227" s="532" t="s">
        <v>473</v>
      </c>
      <c r="C227" s="533" t="s">
        <v>62</v>
      </c>
      <c r="D227" s="534"/>
      <c r="E227" s="486" t="s">
        <v>158</v>
      </c>
      <c r="F227" s="532" t="s">
        <v>558</v>
      </c>
      <c r="G227" s="556" t="s">
        <v>409</v>
      </c>
      <c r="H227" s="550">
        <v>4</v>
      </c>
      <c r="I227" s="550">
        <v>0</v>
      </c>
      <c r="J227" s="550">
        <v>0</v>
      </c>
      <c r="K227" s="551">
        <v>0</v>
      </c>
      <c r="L227" s="551">
        <v>0</v>
      </c>
      <c r="M227" s="482">
        <v>0</v>
      </c>
      <c r="N227" s="550">
        <v>0</v>
      </c>
      <c r="O227" s="551">
        <v>0</v>
      </c>
      <c r="P227" s="551">
        <v>0</v>
      </c>
      <c r="Q227" s="482">
        <v>0</v>
      </c>
    </row>
    <row r="228" spans="1:17" ht="15.75" customHeight="1" x14ac:dyDescent="0.2">
      <c r="A228" s="526">
        <v>220</v>
      </c>
      <c r="B228" s="532" t="s">
        <v>376</v>
      </c>
      <c r="C228" s="533" t="s">
        <v>62</v>
      </c>
      <c r="D228" s="534"/>
      <c r="E228" s="486" t="s">
        <v>158</v>
      </c>
      <c r="F228" s="532" t="s">
        <v>559</v>
      </c>
      <c r="G228" s="556" t="s">
        <v>409</v>
      </c>
      <c r="H228" s="550">
        <v>3</v>
      </c>
      <c r="I228" s="550">
        <v>0</v>
      </c>
      <c r="J228" s="550">
        <v>0</v>
      </c>
      <c r="K228" s="551">
        <v>0</v>
      </c>
      <c r="L228" s="551">
        <v>0</v>
      </c>
      <c r="M228" s="482">
        <v>0</v>
      </c>
      <c r="N228" s="550">
        <v>0</v>
      </c>
      <c r="O228" s="551">
        <v>0</v>
      </c>
      <c r="P228" s="551">
        <v>0</v>
      </c>
      <c r="Q228" s="482">
        <v>0</v>
      </c>
    </row>
    <row r="229" spans="1:17" ht="15.75" customHeight="1" x14ac:dyDescent="0.2">
      <c r="A229" s="526">
        <v>221</v>
      </c>
      <c r="B229" s="532" t="s">
        <v>119</v>
      </c>
      <c r="C229" s="533" t="s">
        <v>62</v>
      </c>
      <c r="D229" s="534"/>
      <c r="E229" s="486" t="s">
        <v>158</v>
      </c>
      <c r="F229" s="532" t="s">
        <v>560</v>
      </c>
      <c r="G229" s="556" t="s">
        <v>409</v>
      </c>
      <c r="H229" s="550">
        <v>10</v>
      </c>
      <c r="I229" s="550">
        <v>1</v>
      </c>
      <c r="J229" s="550">
        <v>1</v>
      </c>
      <c r="K229" s="551">
        <v>1691.52</v>
      </c>
      <c r="L229" s="551">
        <v>1691.52</v>
      </c>
      <c r="M229" s="482">
        <v>0</v>
      </c>
      <c r="N229" s="550">
        <v>14</v>
      </c>
      <c r="O229" s="551">
        <v>20900.5</v>
      </c>
      <c r="P229" s="551">
        <v>20900.5</v>
      </c>
      <c r="Q229" s="482">
        <v>0</v>
      </c>
    </row>
    <row r="230" spans="1:17" ht="15.75" customHeight="1" x14ac:dyDescent="0.2">
      <c r="A230" s="526">
        <v>222</v>
      </c>
      <c r="B230" s="532" t="s">
        <v>47</v>
      </c>
      <c r="C230" s="533" t="s">
        <v>62</v>
      </c>
      <c r="D230" s="534"/>
      <c r="E230" s="486" t="s">
        <v>677</v>
      </c>
      <c r="F230" s="532" t="s">
        <v>589</v>
      </c>
      <c r="G230" s="556" t="s">
        <v>409</v>
      </c>
      <c r="H230" s="550">
        <v>0</v>
      </c>
      <c r="I230" s="550">
        <v>0</v>
      </c>
      <c r="J230" s="550">
        <v>0</v>
      </c>
      <c r="K230" s="551">
        <v>0</v>
      </c>
      <c r="L230" s="551">
        <v>0</v>
      </c>
      <c r="M230" s="482">
        <v>0</v>
      </c>
      <c r="N230" s="550">
        <v>1</v>
      </c>
      <c r="O230" s="551">
        <v>6554.64</v>
      </c>
      <c r="P230" s="551">
        <v>6554.64</v>
      </c>
      <c r="Q230" s="482">
        <v>0</v>
      </c>
    </row>
    <row r="231" spans="1:17" ht="15.75" customHeight="1" x14ac:dyDescent="0.2">
      <c r="A231" s="526">
        <v>223</v>
      </c>
      <c r="B231" s="532" t="s">
        <v>37</v>
      </c>
      <c r="C231" s="533" t="s">
        <v>62</v>
      </c>
      <c r="D231" s="534"/>
      <c r="E231" s="486" t="s">
        <v>158</v>
      </c>
      <c r="F231" s="532" t="s">
        <v>590</v>
      </c>
      <c r="G231" s="556" t="s">
        <v>409</v>
      </c>
      <c r="H231" s="550">
        <v>6</v>
      </c>
      <c r="I231" s="550">
        <v>0</v>
      </c>
      <c r="J231" s="550">
        <v>0</v>
      </c>
      <c r="K231" s="551">
        <v>0</v>
      </c>
      <c r="L231" s="551">
        <v>0</v>
      </c>
      <c r="M231" s="482">
        <v>0</v>
      </c>
      <c r="N231" s="550">
        <v>0</v>
      </c>
      <c r="O231" s="551">
        <v>0</v>
      </c>
      <c r="P231" s="551">
        <v>0</v>
      </c>
      <c r="Q231" s="482">
        <v>0</v>
      </c>
    </row>
    <row r="232" spans="1:17" ht="15.75" customHeight="1" x14ac:dyDescent="0.2">
      <c r="A232" s="526">
        <v>224</v>
      </c>
      <c r="B232" s="532" t="s">
        <v>97</v>
      </c>
      <c r="C232" s="533" t="s">
        <v>62</v>
      </c>
      <c r="D232" s="534"/>
      <c r="E232" s="486" t="s">
        <v>158</v>
      </c>
      <c r="F232" s="532" t="s">
        <v>591</v>
      </c>
      <c r="G232" s="556" t="s">
        <v>409</v>
      </c>
      <c r="H232" s="550">
        <v>4</v>
      </c>
      <c r="I232" s="550">
        <v>2</v>
      </c>
      <c r="J232" s="550">
        <v>2</v>
      </c>
      <c r="K232" s="551">
        <v>3626.7</v>
      </c>
      <c r="L232" s="551">
        <v>3626.7</v>
      </c>
      <c r="M232" s="482">
        <v>0</v>
      </c>
      <c r="N232" s="550">
        <v>3</v>
      </c>
      <c r="O232" s="551">
        <v>4570.8999999999996</v>
      </c>
      <c r="P232" s="551">
        <v>4570.8999999999996</v>
      </c>
      <c r="Q232" s="482">
        <v>0</v>
      </c>
    </row>
    <row r="233" spans="1:17" ht="15.75" customHeight="1" x14ac:dyDescent="0.2">
      <c r="A233" s="526">
        <v>225</v>
      </c>
      <c r="B233" s="532" t="s">
        <v>613</v>
      </c>
      <c r="C233" s="533" t="s">
        <v>62</v>
      </c>
      <c r="D233" s="534"/>
      <c r="E233" s="486" t="s">
        <v>158</v>
      </c>
      <c r="F233" s="532" t="s">
        <v>614</v>
      </c>
      <c r="G233" s="556" t="s">
        <v>409</v>
      </c>
      <c r="H233" s="550">
        <v>8</v>
      </c>
      <c r="I233" s="550">
        <v>2</v>
      </c>
      <c r="J233" s="550">
        <v>2</v>
      </c>
      <c r="K233" s="551">
        <v>1585.8</v>
      </c>
      <c r="L233" s="551">
        <v>1585.8</v>
      </c>
      <c r="M233" s="482">
        <v>0</v>
      </c>
      <c r="N233" s="550">
        <v>3</v>
      </c>
      <c r="O233" s="551">
        <v>616.70000000000005</v>
      </c>
      <c r="P233" s="551">
        <v>616.70000000000005</v>
      </c>
      <c r="Q233" s="482">
        <v>0</v>
      </c>
    </row>
    <row r="234" spans="1:17" ht="15.75" customHeight="1" x14ac:dyDescent="0.2">
      <c r="A234" s="526">
        <v>226</v>
      </c>
      <c r="B234" s="532" t="s">
        <v>615</v>
      </c>
      <c r="C234" s="533" t="s">
        <v>62</v>
      </c>
      <c r="D234" s="534"/>
      <c r="E234" s="486" t="s">
        <v>158</v>
      </c>
      <c r="F234" s="532" t="s">
        <v>616</v>
      </c>
      <c r="G234" s="556" t="s">
        <v>409</v>
      </c>
      <c r="H234" s="550">
        <v>6</v>
      </c>
      <c r="I234" s="550">
        <v>0</v>
      </c>
      <c r="J234" s="550">
        <v>0</v>
      </c>
      <c r="K234" s="551">
        <v>0</v>
      </c>
      <c r="L234" s="551">
        <v>0</v>
      </c>
      <c r="M234" s="482">
        <v>0</v>
      </c>
      <c r="N234" s="550">
        <v>0</v>
      </c>
      <c r="O234" s="551">
        <v>0</v>
      </c>
      <c r="P234" s="551">
        <v>0</v>
      </c>
      <c r="Q234" s="482">
        <v>0</v>
      </c>
    </row>
    <row r="235" spans="1:17" ht="15.75" customHeight="1" x14ac:dyDescent="0.2">
      <c r="A235" s="526">
        <v>227</v>
      </c>
      <c r="B235" s="532" t="s">
        <v>357</v>
      </c>
      <c r="C235" s="516" t="s">
        <v>64</v>
      </c>
      <c r="D235" s="534" t="s">
        <v>585</v>
      </c>
      <c r="E235" s="486" t="s">
        <v>158</v>
      </c>
      <c r="F235" s="532" t="s">
        <v>618</v>
      </c>
      <c r="G235" s="556" t="s">
        <v>409</v>
      </c>
      <c r="H235" s="550">
        <v>7</v>
      </c>
      <c r="I235" s="550">
        <v>1</v>
      </c>
      <c r="J235" s="550">
        <v>1</v>
      </c>
      <c r="K235" s="551">
        <v>1057.2</v>
      </c>
      <c r="L235" s="551">
        <v>1057.2</v>
      </c>
      <c r="M235" s="482">
        <v>0</v>
      </c>
      <c r="N235" s="550">
        <v>3</v>
      </c>
      <c r="O235" s="551">
        <v>5236.2</v>
      </c>
      <c r="P235" s="551">
        <v>5236.2</v>
      </c>
      <c r="Q235" s="482">
        <v>0</v>
      </c>
    </row>
    <row r="236" spans="1:17" ht="15.75" customHeight="1" x14ac:dyDescent="0.2">
      <c r="A236" s="526">
        <v>228</v>
      </c>
      <c r="B236" s="532" t="s">
        <v>621</v>
      </c>
      <c r="C236" s="533" t="s">
        <v>62</v>
      </c>
      <c r="D236" s="534"/>
      <c r="E236" s="486" t="s">
        <v>158</v>
      </c>
      <c r="F236" s="532" t="s">
        <v>625</v>
      </c>
      <c r="G236" s="556" t="s">
        <v>409</v>
      </c>
      <c r="H236" s="550">
        <v>13</v>
      </c>
      <c r="I236" s="550">
        <v>5</v>
      </c>
      <c r="J236" s="550">
        <v>5</v>
      </c>
      <c r="K236" s="551">
        <v>4878.6499999999996</v>
      </c>
      <c r="L236" s="551">
        <v>4878.6499999999996</v>
      </c>
      <c r="M236" s="482">
        <v>0</v>
      </c>
      <c r="N236" s="550">
        <v>0</v>
      </c>
      <c r="O236" s="551">
        <v>0</v>
      </c>
      <c r="P236" s="551">
        <v>0</v>
      </c>
      <c r="Q236" s="482">
        <v>0</v>
      </c>
    </row>
    <row r="237" spans="1:17" ht="15.75" customHeight="1" x14ac:dyDescent="0.2">
      <c r="A237" s="526">
        <v>229</v>
      </c>
      <c r="B237" s="484" t="s">
        <v>146</v>
      </c>
      <c r="C237" s="516" t="s">
        <v>62</v>
      </c>
      <c r="D237" s="484"/>
      <c r="E237" s="486" t="s">
        <v>74</v>
      </c>
      <c r="F237" s="486" t="s">
        <v>325</v>
      </c>
      <c r="G237" s="510" t="s">
        <v>326</v>
      </c>
      <c r="H237" s="484">
        <v>15</v>
      </c>
      <c r="I237" s="484">
        <v>7</v>
      </c>
      <c r="J237" s="484">
        <v>7</v>
      </c>
      <c r="K237" s="482">
        <v>8953.4</v>
      </c>
      <c r="L237" s="482">
        <v>8953.4</v>
      </c>
      <c r="M237" s="482">
        <v>0</v>
      </c>
      <c r="N237" s="484">
        <v>6</v>
      </c>
      <c r="O237" s="482">
        <v>5374.1</v>
      </c>
      <c r="P237" s="482">
        <v>5374.1</v>
      </c>
      <c r="Q237" s="482">
        <v>0</v>
      </c>
    </row>
    <row r="238" spans="1:17" ht="15.75" customHeight="1" x14ac:dyDescent="0.2">
      <c r="A238" s="526">
        <v>230</v>
      </c>
      <c r="B238" s="484" t="s">
        <v>166</v>
      </c>
      <c r="C238" s="516" t="s">
        <v>62</v>
      </c>
      <c r="D238" s="484"/>
      <c r="E238" s="486" t="s">
        <v>158</v>
      </c>
      <c r="F238" s="486" t="s">
        <v>327</v>
      </c>
      <c r="G238" s="510" t="s">
        <v>326</v>
      </c>
      <c r="H238" s="484">
        <v>5</v>
      </c>
      <c r="I238" s="484">
        <v>4</v>
      </c>
      <c r="J238" s="484">
        <v>4</v>
      </c>
      <c r="K238" s="482">
        <v>7763.45</v>
      </c>
      <c r="L238" s="482">
        <v>7763.45</v>
      </c>
      <c r="M238" s="482">
        <v>0</v>
      </c>
      <c r="N238" s="484">
        <v>0</v>
      </c>
      <c r="O238" s="482">
        <v>0</v>
      </c>
      <c r="P238" s="482">
        <v>0</v>
      </c>
      <c r="Q238" s="482">
        <v>0</v>
      </c>
    </row>
    <row r="239" spans="1:17" ht="15.75" customHeight="1" x14ac:dyDescent="0.2">
      <c r="A239" s="526">
        <v>231</v>
      </c>
      <c r="B239" s="484" t="s">
        <v>173</v>
      </c>
      <c r="C239" s="516" t="s">
        <v>67</v>
      </c>
      <c r="D239" s="484" t="s">
        <v>328</v>
      </c>
      <c r="E239" s="486" t="s">
        <v>158</v>
      </c>
      <c r="F239" s="486" t="s">
        <v>329</v>
      </c>
      <c r="G239" s="510" t="s">
        <v>326</v>
      </c>
      <c r="H239" s="484">
        <v>9</v>
      </c>
      <c r="I239" s="484">
        <v>5</v>
      </c>
      <c r="J239" s="484">
        <v>5</v>
      </c>
      <c r="K239" s="482">
        <v>10645.26</v>
      </c>
      <c r="L239" s="482">
        <v>10645.26</v>
      </c>
      <c r="M239" s="482">
        <v>0</v>
      </c>
      <c r="N239" s="484">
        <v>0</v>
      </c>
      <c r="O239" s="482">
        <v>0</v>
      </c>
      <c r="P239" s="482">
        <v>0</v>
      </c>
      <c r="Q239" s="482">
        <v>0</v>
      </c>
    </row>
    <row r="240" spans="1:17" ht="15.75" customHeight="1" x14ac:dyDescent="0.2">
      <c r="A240" s="526">
        <v>232</v>
      </c>
      <c r="B240" s="484" t="s">
        <v>330</v>
      </c>
      <c r="C240" s="516" t="s">
        <v>62</v>
      </c>
      <c r="D240" s="484"/>
      <c r="E240" s="486" t="s">
        <v>158</v>
      </c>
      <c r="F240" s="486" t="s">
        <v>331</v>
      </c>
      <c r="G240" s="510" t="s">
        <v>326</v>
      </c>
      <c r="H240" s="484">
        <v>16</v>
      </c>
      <c r="I240" s="484">
        <v>10</v>
      </c>
      <c r="J240" s="484">
        <v>10</v>
      </c>
      <c r="K240" s="482">
        <v>12533.9</v>
      </c>
      <c r="L240" s="482">
        <v>12533.9</v>
      </c>
      <c r="M240" s="482">
        <v>0</v>
      </c>
      <c r="N240" s="484">
        <v>0</v>
      </c>
      <c r="O240" s="482">
        <v>0</v>
      </c>
      <c r="P240" s="482">
        <v>0</v>
      </c>
      <c r="Q240" s="482">
        <v>0</v>
      </c>
    </row>
    <row r="241" spans="1:17" ht="15.75" customHeight="1" x14ac:dyDescent="0.2">
      <c r="A241" s="526">
        <v>233</v>
      </c>
      <c r="B241" s="484" t="s">
        <v>147</v>
      </c>
      <c r="C241" s="516" t="s">
        <v>62</v>
      </c>
      <c r="D241" s="484"/>
      <c r="E241" s="486" t="s">
        <v>74</v>
      </c>
      <c r="F241" s="486" t="s">
        <v>332</v>
      </c>
      <c r="G241" s="510" t="s">
        <v>326</v>
      </c>
      <c r="H241" s="484">
        <v>15</v>
      </c>
      <c r="I241" s="484">
        <v>9</v>
      </c>
      <c r="J241" s="484">
        <v>9</v>
      </c>
      <c r="K241" s="482">
        <v>17473.349999999999</v>
      </c>
      <c r="L241" s="482">
        <v>17473.349999999999</v>
      </c>
      <c r="M241" s="482">
        <v>0</v>
      </c>
      <c r="N241" s="484">
        <v>6</v>
      </c>
      <c r="O241" s="482">
        <v>15803.4</v>
      </c>
      <c r="P241" s="482">
        <v>13962.4</v>
      </c>
      <c r="Q241" s="482">
        <v>1841</v>
      </c>
    </row>
    <row r="242" spans="1:17" ht="15.75" customHeight="1" x14ac:dyDescent="0.2">
      <c r="A242" s="526">
        <v>234</v>
      </c>
      <c r="B242" s="484" t="s">
        <v>554</v>
      </c>
      <c r="C242" s="516" t="s">
        <v>67</v>
      </c>
      <c r="D242" s="484" t="s">
        <v>555</v>
      </c>
      <c r="E242" s="486" t="s">
        <v>74</v>
      </c>
      <c r="F242" s="486" t="s">
        <v>556</v>
      </c>
      <c r="G242" s="510" t="s">
        <v>326</v>
      </c>
      <c r="H242" s="484">
        <v>2</v>
      </c>
      <c r="I242" s="484">
        <v>0</v>
      </c>
      <c r="J242" s="484">
        <v>0</v>
      </c>
      <c r="K242" s="482">
        <v>0</v>
      </c>
      <c r="L242" s="482">
        <v>0</v>
      </c>
      <c r="M242" s="482">
        <v>0</v>
      </c>
      <c r="N242" s="484">
        <v>0</v>
      </c>
      <c r="O242" s="482">
        <v>0</v>
      </c>
      <c r="P242" s="482">
        <v>0</v>
      </c>
      <c r="Q242" s="482">
        <v>0</v>
      </c>
    </row>
    <row r="243" spans="1:17" ht="15.75" customHeight="1" x14ac:dyDescent="0.2">
      <c r="A243" s="526">
        <v>235</v>
      </c>
      <c r="B243" s="484" t="s">
        <v>88</v>
      </c>
      <c r="C243" s="516" t="s">
        <v>62</v>
      </c>
      <c r="D243" s="484"/>
      <c r="E243" s="486" t="s">
        <v>74</v>
      </c>
      <c r="F243" s="486" t="s">
        <v>333</v>
      </c>
      <c r="G243" s="510" t="s">
        <v>326</v>
      </c>
      <c r="H243" s="484">
        <v>2</v>
      </c>
      <c r="I243" s="484">
        <v>2</v>
      </c>
      <c r="J243" s="484">
        <v>2</v>
      </c>
      <c r="K243" s="482">
        <v>2290.6</v>
      </c>
      <c r="L243" s="482">
        <v>2290.6</v>
      </c>
      <c r="M243" s="482">
        <v>0</v>
      </c>
      <c r="N243" s="484">
        <v>1</v>
      </c>
      <c r="O243" s="482">
        <v>1145.3</v>
      </c>
      <c r="P243" s="482">
        <v>1145.3</v>
      </c>
      <c r="Q243" s="482">
        <v>0</v>
      </c>
    </row>
    <row r="244" spans="1:17" ht="15.75" customHeight="1" x14ac:dyDescent="0.2">
      <c r="A244" s="526">
        <v>236</v>
      </c>
      <c r="B244" s="484" t="s">
        <v>182</v>
      </c>
      <c r="C244" s="516" t="s">
        <v>62</v>
      </c>
      <c r="D244" s="484"/>
      <c r="E244" s="486" t="s">
        <v>158</v>
      </c>
      <c r="F244" s="486" t="s">
        <v>334</v>
      </c>
      <c r="G244" s="510" t="s">
        <v>326</v>
      </c>
      <c r="H244" s="484">
        <v>5</v>
      </c>
      <c r="I244" s="484">
        <v>1</v>
      </c>
      <c r="J244" s="484">
        <v>1</v>
      </c>
      <c r="K244" s="482">
        <v>1233.4000000000001</v>
      </c>
      <c r="L244" s="482">
        <v>1233.4000000000001</v>
      </c>
      <c r="M244" s="482">
        <v>0</v>
      </c>
      <c r="N244" s="484">
        <v>0</v>
      </c>
      <c r="O244" s="482">
        <v>0</v>
      </c>
      <c r="P244" s="482">
        <v>0</v>
      </c>
      <c r="Q244" s="482">
        <v>0</v>
      </c>
    </row>
    <row r="245" spans="1:17" ht="15.75" customHeight="1" x14ac:dyDescent="0.2">
      <c r="A245" s="526">
        <v>237</v>
      </c>
      <c r="B245" s="484" t="s">
        <v>335</v>
      </c>
      <c r="C245" s="516" t="s">
        <v>62</v>
      </c>
      <c r="D245" s="484"/>
      <c r="E245" s="486" t="s">
        <v>74</v>
      </c>
      <c r="F245" s="486" t="s">
        <v>336</v>
      </c>
      <c r="G245" s="510" t="s">
        <v>326</v>
      </c>
      <c r="H245" s="484">
        <v>15</v>
      </c>
      <c r="I245" s="484">
        <v>8</v>
      </c>
      <c r="J245" s="484">
        <v>8</v>
      </c>
      <c r="K245" s="482">
        <v>12008.05</v>
      </c>
      <c r="L245" s="482">
        <v>12008.05</v>
      </c>
      <c r="M245" s="482">
        <v>0</v>
      </c>
      <c r="N245" s="484">
        <v>9</v>
      </c>
      <c r="O245" s="482">
        <v>10605.75</v>
      </c>
      <c r="P245" s="482">
        <v>10605.75</v>
      </c>
      <c r="Q245" s="482">
        <v>0</v>
      </c>
    </row>
    <row r="246" spans="1:17" ht="15.75" customHeight="1" x14ac:dyDescent="0.2">
      <c r="A246" s="526">
        <v>238</v>
      </c>
      <c r="B246" s="484" t="s">
        <v>27</v>
      </c>
      <c r="C246" s="516" t="s">
        <v>62</v>
      </c>
      <c r="D246" s="484"/>
      <c r="E246" s="486" t="s">
        <v>158</v>
      </c>
      <c r="F246" s="486" t="s">
        <v>337</v>
      </c>
      <c r="G246" s="510" t="s">
        <v>326</v>
      </c>
      <c r="H246" s="484">
        <v>13</v>
      </c>
      <c r="I246" s="484">
        <v>12</v>
      </c>
      <c r="J246" s="484">
        <v>12</v>
      </c>
      <c r="K246" s="482">
        <v>12823.4</v>
      </c>
      <c r="L246" s="482">
        <v>12823.4</v>
      </c>
      <c r="M246" s="482">
        <v>0</v>
      </c>
      <c r="N246" s="484">
        <v>0</v>
      </c>
      <c r="O246" s="482">
        <v>0</v>
      </c>
      <c r="P246" s="482">
        <v>0</v>
      </c>
      <c r="Q246" s="482">
        <v>0</v>
      </c>
    </row>
    <row r="247" spans="1:17" ht="15.75" customHeight="1" x14ac:dyDescent="0.2">
      <c r="A247" s="526">
        <v>239</v>
      </c>
      <c r="B247" s="484" t="s">
        <v>190</v>
      </c>
      <c r="C247" s="516" t="s">
        <v>62</v>
      </c>
      <c r="D247" s="484"/>
      <c r="E247" s="486" t="s">
        <v>675</v>
      </c>
      <c r="F247" s="486" t="s">
        <v>339</v>
      </c>
      <c r="G247" s="510" t="s">
        <v>326</v>
      </c>
      <c r="H247" s="484">
        <v>24</v>
      </c>
      <c r="I247" s="484">
        <v>14</v>
      </c>
      <c r="J247" s="484">
        <v>14</v>
      </c>
      <c r="K247" s="482">
        <v>29770.6</v>
      </c>
      <c r="L247" s="482">
        <v>20433.8</v>
      </c>
      <c r="M247" s="482">
        <v>9336.7999999999993</v>
      </c>
      <c r="N247" s="484">
        <v>0</v>
      </c>
      <c r="O247" s="482">
        <v>0</v>
      </c>
      <c r="P247" s="482">
        <v>0</v>
      </c>
      <c r="Q247" s="482">
        <v>0</v>
      </c>
    </row>
    <row r="248" spans="1:17" ht="15.75" customHeight="1" x14ac:dyDescent="0.2">
      <c r="A248" s="526">
        <v>240</v>
      </c>
      <c r="B248" s="484" t="s">
        <v>89</v>
      </c>
      <c r="C248" s="516" t="s">
        <v>62</v>
      </c>
      <c r="D248" s="484"/>
      <c r="E248" s="486" t="s">
        <v>74</v>
      </c>
      <c r="F248" s="486" t="s">
        <v>340</v>
      </c>
      <c r="G248" s="510" t="s">
        <v>326</v>
      </c>
      <c r="H248" s="484">
        <v>7</v>
      </c>
      <c r="I248" s="484">
        <v>6</v>
      </c>
      <c r="J248" s="484">
        <v>6</v>
      </c>
      <c r="K248" s="482">
        <v>8633.7999999999993</v>
      </c>
      <c r="L248" s="482">
        <v>8633.7999999999993</v>
      </c>
      <c r="M248" s="482">
        <v>0</v>
      </c>
      <c r="N248" s="484">
        <v>4</v>
      </c>
      <c r="O248" s="482">
        <v>9250.5</v>
      </c>
      <c r="P248" s="482">
        <v>9250.5</v>
      </c>
      <c r="Q248" s="482">
        <v>0</v>
      </c>
    </row>
    <row r="249" spans="1:17" ht="15.75" customHeight="1" x14ac:dyDescent="0.2">
      <c r="A249" s="526">
        <v>241</v>
      </c>
      <c r="B249" s="484" t="s">
        <v>196</v>
      </c>
      <c r="C249" s="516" t="s">
        <v>62</v>
      </c>
      <c r="D249" s="484"/>
      <c r="E249" s="486" t="s">
        <v>683</v>
      </c>
      <c r="F249" s="486" t="s">
        <v>342</v>
      </c>
      <c r="G249" s="510" t="s">
        <v>326</v>
      </c>
      <c r="H249" s="484">
        <v>7</v>
      </c>
      <c r="I249" s="484">
        <v>5</v>
      </c>
      <c r="J249" s="484">
        <v>5</v>
      </c>
      <c r="K249" s="482">
        <v>4933.6000000000004</v>
      </c>
      <c r="L249" s="482">
        <v>4933.6000000000004</v>
      </c>
      <c r="M249" s="482">
        <v>0</v>
      </c>
      <c r="N249" s="484">
        <v>0</v>
      </c>
      <c r="O249" s="482">
        <v>0</v>
      </c>
      <c r="P249" s="482">
        <v>0</v>
      </c>
      <c r="Q249" s="482">
        <v>0</v>
      </c>
    </row>
    <row r="250" spans="1:17" ht="15.75" customHeight="1" x14ac:dyDescent="0.2">
      <c r="A250" s="526">
        <v>242</v>
      </c>
      <c r="B250" s="484" t="s">
        <v>631</v>
      </c>
      <c r="C250" s="516" t="s">
        <v>62</v>
      </c>
      <c r="D250" s="484"/>
      <c r="E250" s="486" t="s">
        <v>74</v>
      </c>
      <c r="F250" s="486" t="s">
        <v>642</v>
      </c>
      <c r="G250" s="510" t="s">
        <v>326</v>
      </c>
      <c r="H250" s="484">
        <v>3</v>
      </c>
      <c r="I250" s="484">
        <v>0</v>
      </c>
      <c r="J250" s="484">
        <v>0</v>
      </c>
      <c r="K250" s="482">
        <v>0</v>
      </c>
      <c r="L250" s="482">
        <v>0</v>
      </c>
      <c r="M250" s="482">
        <v>0</v>
      </c>
      <c r="N250" s="484">
        <v>0</v>
      </c>
      <c r="O250" s="482">
        <v>0</v>
      </c>
      <c r="P250" s="482">
        <v>0</v>
      </c>
      <c r="Q250" s="482">
        <v>0</v>
      </c>
    </row>
    <row r="251" spans="1:17" ht="15.75" customHeight="1" x14ac:dyDescent="0.2">
      <c r="A251" s="526">
        <v>243</v>
      </c>
      <c r="B251" s="484" t="s">
        <v>343</v>
      </c>
      <c r="C251" s="516" t="s">
        <v>62</v>
      </c>
      <c r="D251" s="484"/>
      <c r="E251" s="486" t="s">
        <v>74</v>
      </c>
      <c r="F251" s="486" t="s">
        <v>344</v>
      </c>
      <c r="G251" s="510" t="s">
        <v>326</v>
      </c>
      <c r="H251" s="484">
        <v>11</v>
      </c>
      <c r="I251" s="484">
        <v>3</v>
      </c>
      <c r="J251" s="484">
        <v>3</v>
      </c>
      <c r="K251" s="482">
        <v>3019.1</v>
      </c>
      <c r="L251" s="482">
        <v>3019.1</v>
      </c>
      <c r="M251" s="482">
        <v>0</v>
      </c>
      <c r="N251" s="484">
        <v>0</v>
      </c>
      <c r="O251" s="482">
        <v>0</v>
      </c>
      <c r="P251" s="482">
        <v>0</v>
      </c>
      <c r="Q251" s="482">
        <v>0</v>
      </c>
    </row>
    <row r="252" spans="1:17" ht="15.75" customHeight="1" x14ac:dyDescent="0.2">
      <c r="A252" s="526">
        <v>244</v>
      </c>
      <c r="B252" s="484" t="s">
        <v>154</v>
      </c>
      <c r="C252" s="516" t="s">
        <v>62</v>
      </c>
      <c r="D252" s="484"/>
      <c r="E252" s="486" t="s">
        <v>74</v>
      </c>
      <c r="F252" s="486" t="s">
        <v>345</v>
      </c>
      <c r="G252" s="510" t="s">
        <v>326</v>
      </c>
      <c r="H252" s="484">
        <v>7</v>
      </c>
      <c r="I252" s="484">
        <v>7</v>
      </c>
      <c r="J252" s="484">
        <v>7</v>
      </c>
      <c r="K252" s="482">
        <v>9690.15</v>
      </c>
      <c r="L252" s="482">
        <v>9690.15</v>
      </c>
      <c r="M252" s="482">
        <v>0</v>
      </c>
      <c r="N252" s="484">
        <v>7</v>
      </c>
      <c r="O252" s="482">
        <v>9770</v>
      </c>
      <c r="P252" s="482">
        <v>9770</v>
      </c>
      <c r="Q252" s="482">
        <v>0</v>
      </c>
    </row>
    <row r="253" spans="1:17" ht="15.75" customHeight="1" x14ac:dyDescent="0.2">
      <c r="A253" s="526">
        <v>245</v>
      </c>
      <c r="B253" s="484" t="s">
        <v>346</v>
      </c>
      <c r="C253" s="516" t="s">
        <v>62</v>
      </c>
      <c r="D253" s="484"/>
      <c r="E253" s="486" t="s">
        <v>158</v>
      </c>
      <c r="F253" s="486" t="s">
        <v>347</v>
      </c>
      <c r="G253" s="510" t="s">
        <v>326</v>
      </c>
      <c r="H253" s="484">
        <v>4</v>
      </c>
      <c r="I253" s="484">
        <v>0</v>
      </c>
      <c r="J253" s="484">
        <v>0</v>
      </c>
      <c r="K253" s="482">
        <v>0</v>
      </c>
      <c r="L253" s="482">
        <v>0</v>
      </c>
      <c r="M253" s="482">
        <v>0</v>
      </c>
      <c r="N253" s="484">
        <v>0</v>
      </c>
      <c r="O253" s="482">
        <v>0</v>
      </c>
      <c r="P253" s="482">
        <v>0</v>
      </c>
      <c r="Q253" s="482">
        <v>0</v>
      </c>
    </row>
    <row r="254" spans="1:17" ht="15.75" customHeight="1" x14ac:dyDescent="0.2">
      <c r="A254" s="526">
        <v>246</v>
      </c>
      <c r="B254" s="484" t="s">
        <v>348</v>
      </c>
      <c r="C254" s="516" t="s">
        <v>62</v>
      </c>
      <c r="D254" s="484"/>
      <c r="E254" s="486" t="s">
        <v>158</v>
      </c>
      <c r="F254" s="486" t="s">
        <v>349</v>
      </c>
      <c r="G254" s="510" t="s">
        <v>326</v>
      </c>
      <c r="H254" s="484">
        <v>6</v>
      </c>
      <c r="I254" s="484">
        <v>0</v>
      </c>
      <c r="J254" s="484">
        <v>0</v>
      </c>
      <c r="K254" s="482">
        <v>0</v>
      </c>
      <c r="L254" s="482">
        <v>0</v>
      </c>
      <c r="M254" s="482">
        <v>0</v>
      </c>
      <c r="N254" s="484">
        <v>0</v>
      </c>
      <c r="O254" s="482">
        <v>0</v>
      </c>
      <c r="P254" s="482">
        <v>0</v>
      </c>
      <c r="Q254" s="482">
        <v>0</v>
      </c>
    </row>
    <row r="255" spans="1:17" ht="15.75" customHeight="1" x14ac:dyDescent="0.2">
      <c r="A255" s="526">
        <v>247</v>
      </c>
      <c r="B255" s="484" t="s">
        <v>350</v>
      </c>
      <c r="C255" s="516" t="s">
        <v>62</v>
      </c>
      <c r="D255" s="484"/>
      <c r="E255" s="486" t="s">
        <v>74</v>
      </c>
      <c r="F255" s="486" t="s">
        <v>351</v>
      </c>
      <c r="G255" s="510" t="s">
        <v>326</v>
      </c>
      <c r="H255" s="484">
        <v>1</v>
      </c>
      <c r="I255" s="484">
        <v>1</v>
      </c>
      <c r="J255" s="484">
        <v>1</v>
      </c>
      <c r="K255" s="482">
        <v>528.6</v>
      </c>
      <c r="L255" s="482">
        <v>528.6</v>
      </c>
      <c r="M255" s="482">
        <v>0</v>
      </c>
      <c r="N255" s="484">
        <v>4</v>
      </c>
      <c r="O255" s="482">
        <v>5065.75</v>
      </c>
      <c r="P255" s="482">
        <v>5065.75</v>
      </c>
      <c r="Q255" s="482">
        <v>0</v>
      </c>
    </row>
    <row r="256" spans="1:17" ht="15.75" customHeight="1" x14ac:dyDescent="0.2">
      <c r="A256" s="526">
        <v>248</v>
      </c>
      <c r="B256" s="484" t="s">
        <v>222</v>
      </c>
      <c r="C256" s="516" t="s">
        <v>64</v>
      </c>
      <c r="D256" s="484" t="s">
        <v>352</v>
      </c>
      <c r="E256" s="486" t="s">
        <v>158</v>
      </c>
      <c r="F256" s="486" t="s">
        <v>353</v>
      </c>
      <c r="G256" s="510" t="s">
        <v>326</v>
      </c>
      <c r="H256" s="484">
        <v>6</v>
      </c>
      <c r="I256" s="484">
        <v>2</v>
      </c>
      <c r="J256" s="484">
        <v>2</v>
      </c>
      <c r="K256" s="482">
        <v>3524</v>
      </c>
      <c r="L256" s="482">
        <v>3524</v>
      </c>
      <c r="M256" s="482">
        <v>0</v>
      </c>
      <c r="N256" s="484">
        <v>0</v>
      </c>
      <c r="O256" s="482">
        <v>0</v>
      </c>
      <c r="P256" s="482">
        <v>0</v>
      </c>
      <c r="Q256" s="482">
        <v>0</v>
      </c>
    </row>
    <row r="257" spans="1:17" ht="15.75" customHeight="1" x14ac:dyDescent="0.2">
      <c r="A257" s="526">
        <v>249</v>
      </c>
      <c r="B257" s="484" t="s">
        <v>232</v>
      </c>
      <c r="C257" s="516" t="s">
        <v>62</v>
      </c>
      <c r="D257" s="484"/>
      <c r="E257" s="486" t="s">
        <v>74</v>
      </c>
      <c r="F257" s="486" t="s">
        <v>722</v>
      </c>
      <c r="G257" s="510" t="s">
        <v>326</v>
      </c>
      <c r="H257" s="484">
        <v>2</v>
      </c>
      <c r="I257" s="484">
        <v>1</v>
      </c>
      <c r="J257" s="484">
        <v>1</v>
      </c>
      <c r="K257" s="482">
        <v>1012.55</v>
      </c>
      <c r="L257" s="482">
        <v>1012.55</v>
      </c>
      <c r="M257" s="482">
        <v>0</v>
      </c>
      <c r="N257" s="484">
        <v>0</v>
      </c>
      <c r="O257" s="482">
        <v>0</v>
      </c>
      <c r="P257" s="482">
        <v>0</v>
      </c>
      <c r="Q257" s="482">
        <v>0</v>
      </c>
    </row>
    <row r="258" spans="1:17" ht="15.75" customHeight="1" x14ac:dyDescent="0.2">
      <c r="A258" s="526">
        <v>250</v>
      </c>
      <c r="B258" s="484" t="s">
        <v>238</v>
      </c>
      <c r="C258" s="516" t="s">
        <v>62</v>
      </c>
      <c r="D258" s="484"/>
      <c r="E258" s="486" t="s">
        <v>158</v>
      </c>
      <c r="F258" s="486" t="s">
        <v>354</v>
      </c>
      <c r="G258" s="510" t="s">
        <v>326</v>
      </c>
      <c r="H258" s="484">
        <v>9</v>
      </c>
      <c r="I258" s="484">
        <v>7</v>
      </c>
      <c r="J258" s="484">
        <v>7</v>
      </c>
      <c r="K258" s="482">
        <v>9349.25</v>
      </c>
      <c r="L258" s="482">
        <v>8060.55</v>
      </c>
      <c r="M258" s="482">
        <v>1288.7</v>
      </c>
      <c r="N258" s="484">
        <v>0</v>
      </c>
      <c r="O258" s="482">
        <v>0</v>
      </c>
      <c r="P258" s="482">
        <v>0</v>
      </c>
      <c r="Q258" s="482">
        <v>0</v>
      </c>
    </row>
    <row r="259" spans="1:17" ht="15.75" customHeight="1" x14ac:dyDescent="0.2">
      <c r="A259" s="526">
        <v>251</v>
      </c>
      <c r="B259" s="484" t="s">
        <v>355</v>
      </c>
      <c r="C259" s="516" t="s">
        <v>62</v>
      </c>
      <c r="D259" s="484"/>
      <c r="E259" s="486" t="s">
        <v>158</v>
      </c>
      <c r="F259" s="486" t="s">
        <v>356</v>
      </c>
      <c r="G259" s="510" t="s">
        <v>326</v>
      </c>
      <c r="H259" s="484">
        <v>7</v>
      </c>
      <c r="I259" s="484">
        <v>4</v>
      </c>
      <c r="J259" s="484">
        <v>4</v>
      </c>
      <c r="K259" s="482">
        <v>6276.4</v>
      </c>
      <c r="L259" s="482">
        <v>3971.2</v>
      </c>
      <c r="M259" s="482">
        <v>2305.1999999999998</v>
      </c>
      <c r="N259" s="484">
        <v>0</v>
      </c>
      <c r="O259" s="482">
        <v>0</v>
      </c>
      <c r="P259" s="482">
        <v>0</v>
      </c>
      <c r="Q259" s="482">
        <v>0</v>
      </c>
    </row>
    <row r="260" spans="1:17" ht="15.75" customHeight="1" x14ac:dyDescent="0.2">
      <c r="A260" s="526">
        <v>252</v>
      </c>
      <c r="B260" s="484" t="s">
        <v>357</v>
      </c>
      <c r="C260" s="516" t="s">
        <v>64</v>
      </c>
      <c r="D260" s="534" t="s">
        <v>358</v>
      </c>
      <c r="E260" s="486" t="s">
        <v>158</v>
      </c>
      <c r="F260" s="486" t="s">
        <v>507</v>
      </c>
      <c r="G260" s="510" t="s">
        <v>326</v>
      </c>
      <c r="H260" s="484">
        <v>3</v>
      </c>
      <c r="I260" s="484">
        <v>2</v>
      </c>
      <c r="J260" s="484">
        <v>2</v>
      </c>
      <c r="K260" s="482">
        <v>3129.7</v>
      </c>
      <c r="L260" s="482">
        <v>3129.7</v>
      </c>
      <c r="M260" s="482">
        <v>0</v>
      </c>
      <c r="N260" s="484">
        <v>0</v>
      </c>
      <c r="O260" s="482">
        <v>0</v>
      </c>
      <c r="P260" s="482">
        <v>0</v>
      </c>
      <c r="Q260" s="482">
        <v>0</v>
      </c>
    </row>
    <row r="261" spans="1:17" ht="15.75" customHeight="1" x14ac:dyDescent="0.2">
      <c r="A261" s="526">
        <v>253</v>
      </c>
      <c r="B261" s="484" t="s">
        <v>36</v>
      </c>
      <c r="C261" s="516" t="s">
        <v>62</v>
      </c>
      <c r="D261" s="484"/>
      <c r="E261" s="486" t="s">
        <v>74</v>
      </c>
      <c r="F261" s="486" t="s">
        <v>630</v>
      </c>
      <c r="G261" s="510" t="s">
        <v>326</v>
      </c>
      <c r="H261" s="484">
        <v>2</v>
      </c>
      <c r="I261" s="484">
        <v>1</v>
      </c>
      <c r="J261" s="484">
        <v>1</v>
      </c>
      <c r="K261" s="482">
        <v>552.29999999999995</v>
      </c>
      <c r="L261" s="482">
        <v>552.29999999999995</v>
      </c>
      <c r="M261" s="482">
        <v>0</v>
      </c>
      <c r="N261" s="484">
        <v>0</v>
      </c>
      <c r="O261" s="482">
        <v>0</v>
      </c>
      <c r="P261" s="482">
        <v>0</v>
      </c>
      <c r="Q261" s="482">
        <v>0</v>
      </c>
    </row>
    <row r="262" spans="1:17" ht="15.75" customHeight="1" x14ac:dyDescent="0.2">
      <c r="A262" s="526">
        <v>254</v>
      </c>
      <c r="B262" s="484" t="s">
        <v>359</v>
      </c>
      <c r="C262" s="516" t="s">
        <v>62</v>
      </c>
      <c r="D262" s="484"/>
      <c r="E262" s="486" t="s">
        <v>158</v>
      </c>
      <c r="F262" s="486" t="s">
        <v>360</v>
      </c>
      <c r="G262" s="510" t="s">
        <v>326</v>
      </c>
      <c r="H262" s="484">
        <v>5</v>
      </c>
      <c r="I262" s="484">
        <v>5</v>
      </c>
      <c r="J262" s="484">
        <v>5</v>
      </c>
      <c r="K262" s="482">
        <v>4933.6000000000004</v>
      </c>
      <c r="L262" s="482">
        <v>4933.6000000000004</v>
      </c>
      <c r="M262" s="482">
        <v>0</v>
      </c>
      <c r="N262" s="484">
        <v>0</v>
      </c>
      <c r="O262" s="482">
        <v>0</v>
      </c>
      <c r="P262" s="482">
        <v>0</v>
      </c>
      <c r="Q262" s="482">
        <v>0</v>
      </c>
    </row>
    <row r="263" spans="1:17" ht="15.75" customHeight="1" x14ac:dyDescent="0.2">
      <c r="A263" s="526">
        <v>255</v>
      </c>
      <c r="B263" s="484" t="s">
        <v>118</v>
      </c>
      <c r="C263" s="516" t="s">
        <v>62</v>
      </c>
      <c r="D263" s="484"/>
      <c r="E263" s="486" t="s">
        <v>675</v>
      </c>
      <c r="F263" s="486" t="s">
        <v>361</v>
      </c>
      <c r="G263" s="510" t="s">
        <v>326</v>
      </c>
      <c r="H263" s="484">
        <v>1</v>
      </c>
      <c r="I263" s="484">
        <v>1</v>
      </c>
      <c r="J263" s="484">
        <v>1</v>
      </c>
      <c r="K263" s="482">
        <v>1012.55</v>
      </c>
      <c r="L263" s="482">
        <v>1012.55</v>
      </c>
      <c r="M263" s="482">
        <v>0</v>
      </c>
      <c r="N263" s="484">
        <v>0</v>
      </c>
      <c r="O263" s="482">
        <v>0</v>
      </c>
      <c r="P263" s="482">
        <v>0</v>
      </c>
      <c r="Q263" s="482">
        <v>0</v>
      </c>
    </row>
    <row r="264" spans="1:17" ht="15.75" customHeight="1" x14ac:dyDescent="0.2">
      <c r="A264" s="526">
        <v>256</v>
      </c>
      <c r="B264" s="484" t="s">
        <v>246</v>
      </c>
      <c r="C264" s="516" t="s">
        <v>62</v>
      </c>
      <c r="D264" s="484"/>
      <c r="E264" s="486" t="s">
        <v>158</v>
      </c>
      <c r="F264" s="486" t="s">
        <v>362</v>
      </c>
      <c r="G264" s="510" t="s">
        <v>326</v>
      </c>
      <c r="H264" s="484">
        <v>5</v>
      </c>
      <c r="I264" s="484">
        <v>3</v>
      </c>
      <c r="J264" s="484">
        <v>3</v>
      </c>
      <c r="K264" s="482">
        <v>4271.05</v>
      </c>
      <c r="L264" s="482">
        <v>4271.05</v>
      </c>
      <c r="M264" s="482">
        <v>0</v>
      </c>
      <c r="N264" s="484">
        <v>0</v>
      </c>
      <c r="O264" s="482">
        <v>0</v>
      </c>
      <c r="P264" s="482">
        <v>0</v>
      </c>
      <c r="Q264" s="482">
        <v>0</v>
      </c>
    </row>
    <row r="265" spans="1:17" ht="15.75" customHeight="1" x14ac:dyDescent="0.2">
      <c r="A265" s="526">
        <v>257</v>
      </c>
      <c r="B265" s="484" t="s">
        <v>643</v>
      </c>
      <c r="C265" s="516" t="s">
        <v>62</v>
      </c>
      <c r="D265" s="484"/>
      <c r="E265" s="486" t="s">
        <v>74</v>
      </c>
      <c r="F265" s="486" t="s">
        <v>644</v>
      </c>
      <c r="G265" s="510" t="s">
        <v>326</v>
      </c>
      <c r="H265" s="484">
        <v>2</v>
      </c>
      <c r="I265" s="484">
        <v>0</v>
      </c>
      <c r="J265" s="484">
        <v>0</v>
      </c>
      <c r="K265" s="482">
        <v>0</v>
      </c>
      <c r="L265" s="482">
        <v>0</v>
      </c>
      <c r="M265" s="482">
        <v>0</v>
      </c>
      <c r="N265" s="484">
        <v>0</v>
      </c>
      <c r="O265" s="482">
        <v>0</v>
      </c>
      <c r="P265" s="482">
        <v>0</v>
      </c>
      <c r="Q265" s="482">
        <v>0</v>
      </c>
    </row>
    <row r="266" spans="1:17" ht="15.75" customHeight="1" x14ac:dyDescent="0.2">
      <c r="A266" s="526">
        <v>258</v>
      </c>
      <c r="B266" s="484" t="s">
        <v>43</v>
      </c>
      <c r="C266" s="516" t="s">
        <v>62</v>
      </c>
      <c r="D266" s="484"/>
      <c r="E266" s="486" t="s">
        <v>74</v>
      </c>
      <c r="F266" s="486" t="s">
        <v>363</v>
      </c>
      <c r="G266" s="510" t="s">
        <v>326</v>
      </c>
      <c r="H266" s="484">
        <v>4</v>
      </c>
      <c r="I266" s="484">
        <v>3</v>
      </c>
      <c r="J266" s="484">
        <v>3</v>
      </c>
      <c r="K266" s="482">
        <v>4771.74</v>
      </c>
      <c r="L266" s="482">
        <v>660.75</v>
      </c>
      <c r="M266" s="482">
        <v>4110.99</v>
      </c>
      <c r="N266" s="484">
        <v>2</v>
      </c>
      <c r="O266" s="482">
        <v>0</v>
      </c>
      <c r="P266" s="482">
        <v>0</v>
      </c>
      <c r="Q266" s="482">
        <v>0</v>
      </c>
    </row>
    <row r="267" spans="1:17" ht="15.75" customHeight="1" x14ac:dyDescent="0.2">
      <c r="A267" s="526">
        <v>259</v>
      </c>
      <c r="B267" s="484" t="s">
        <v>364</v>
      </c>
      <c r="C267" s="516" t="s">
        <v>62</v>
      </c>
      <c r="D267" s="484"/>
      <c r="E267" s="486" t="s">
        <v>74</v>
      </c>
      <c r="F267" s="486" t="s">
        <v>365</v>
      </c>
      <c r="G267" s="510" t="s">
        <v>326</v>
      </c>
      <c r="H267" s="484">
        <v>8</v>
      </c>
      <c r="I267" s="484">
        <v>3</v>
      </c>
      <c r="J267" s="484">
        <v>3</v>
      </c>
      <c r="K267" s="482">
        <v>7069.3</v>
      </c>
      <c r="L267" s="482">
        <v>7069.3</v>
      </c>
      <c r="M267" s="482">
        <v>0</v>
      </c>
      <c r="N267" s="484">
        <v>3</v>
      </c>
      <c r="O267" s="482">
        <v>9692.9599999999991</v>
      </c>
      <c r="P267" s="482">
        <v>9692.9599999999991</v>
      </c>
      <c r="Q267" s="482">
        <v>0</v>
      </c>
    </row>
    <row r="268" spans="1:17" ht="15.75" customHeight="1" x14ac:dyDescent="0.2">
      <c r="A268" s="526">
        <v>260</v>
      </c>
      <c r="B268" s="484" t="s">
        <v>46</v>
      </c>
      <c r="C268" s="516" t="s">
        <v>62</v>
      </c>
      <c r="D268" s="484"/>
      <c r="E268" s="486" t="s">
        <v>678</v>
      </c>
      <c r="F268" s="486" t="s">
        <v>367</v>
      </c>
      <c r="G268" s="510" t="s">
        <v>326</v>
      </c>
      <c r="H268" s="484">
        <v>0</v>
      </c>
      <c r="I268" s="484">
        <v>0</v>
      </c>
      <c r="J268" s="484">
        <v>0</v>
      </c>
      <c r="K268" s="482">
        <v>0</v>
      </c>
      <c r="L268" s="482">
        <v>0</v>
      </c>
      <c r="M268" s="482">
        <v>0</v>
      </c>
      <c r="N268" s="484">
        <v>2</v>
      </c>
      <c r="O268" s="482">
        <v>4669.3</v>
      </c>
      <c r="P268" s="482">
        <v>4669.3</v>
      </c>
      <c r="Q268" s="482">
        <v>0</v>
      </c>
    </row>
    <row r="269" spans="1:17" ht="15.75" customHeight="1" x14ac:dyDescent="0.2">
      <c r="A269" s="526">
        <v>261</v>
      </c>
      <c r="B269" s="484" t="s">
        <v>270</v>
      </c>
      <c r="C269" s="516" t="s">
        <v>62</v>
      </c>
      <c r="D269" s="484"/>
      <c r="E269" s="486" t="s">
        <v>74</v>
      </c>
      <c r="F269" s="486" t="s">
        <v>539</v>
      </c>
      <c r="G269" s="510" t="s">
        <v>326</v>
      </c>
      <c r="H269" s="484">
        <v>3</v>
      </c>
      <c r="I269" s="484">
        <v>2</v>
      </c>
      <c r="J269" s="484">
        <v>2</v>
      </c>
      <c r="K269" s="482">
        <v>2117.15</v>
      </c>
      <c r="L269" s="482">
        <v>1012.55</v>
      </c>
      <c r="M269" s="482">
        <v>1104.5999999999999</v>
      </c>
      <c r="N269" s="484">
        <v>0</v>
      </c>
      <c r="O269" s="482">
        <v>0</v>
      </c>
      <c r="P269" s="482">
        <v>0</v>
      </c>
      <c r="Q269" s="482">
        <v>0</v>
      </c>
    </row>
    <row r="270" spans="1:17" ht="15.75" customHeight="1" x14ac:dyDescent="0.2">
      <c r="A270" s="526">
        <v>262</v>
      </c>
      <c r="B270" s="484" t="s">
        <v>621</v>
      </c>
      <c r="C270" s="516" t="s">
        <v>62</v>
      </c>
      <c r="D270" s="484"/>
      <c r="E270" s="486" t="s">
        <v>74</v>
      </c>
      <c r="F270" s="486" t="s">
        <v>622</v>
      </c>
      <c r="G270" s="510" t="s">
        <v>326</v>
      </c>
      <c r="H270" s="484">
        <v>5</v>
      </c>
      <c r="I270" s="484">
        <v>3</v>
      </c>
      <c r="J270" s="484">
        <v>3</v>
      </c>
      <c r="K270" s="482">
        <v>3317.75</v>
      </c>
      <c r="L270" s="482">
        <v>1012.55</v>
      </c>
      <c r="M270" s="482">
        <v>2305.1999999999998</v>
      </c>
      <c r="N270" s="484">
        <v>0</v>
      </c>
      <c r="O270" s="482">
        <v>0</v>
      </c>
      <c r="P270" s="482">
        <v>0</v>
      </c>
      <c r="Q270" s="482">
        <v>0</v>
      </c>
    </row>
    <row r="271" spans="1:17" ht="15.75" customHeight="1" x14ac:dyDescent="0.2">
      <c r="A271" s="526">
        <v>263</v>
      </c>
      <c r="B271" s="484" t="s">
        <v>723</v>
      </c>
      <c r="C271" s="516" t="s">
        <v>62</v>
      </c>
      <c r="D271" s="484"/>
      <c r="E271" s="486" t="s">
        <v>74</v>
      </c>
      <c r="F271" s="486" t="s">
        <v>724</v>
      </c>
      <c r="G271" s="510" t="s">
        <v>326</v>
      </c>
      <c r="H271" s="484">
        <v>2</v>
      </c>
      <c r="I271" s="484">
        <v>0</v>
      </c>
      <c r="J271" s="484">
        <v>0</v>
      </c>
      <c r="K271" s="482">
        <v>0</v>
      </c>
      <c r="L271" s="482">
        <v>0</v>
      </c>
      <c r="M271" s="482">
        <v>0</v>
      </c>
      <c r="N271" s="484">
        <v>0</v>
      </c>
      <c r="O271" s="482">
        <v>0</v>
      </c>
      <c r="P271" s="482">
        <v>0</v>
      </c>
      <c r="Q271" s="482">
        <v>0</v>
      </c>
    </row>
    <row r="272" spans="1:17" ht="15.75" customHeight="1" x14ac:dyDescent="0.2">
      <c r="A272" s="526">
        <v>264</v>
      </c>
      <c r="B272" s="484" t="s">
        <v>96</v>
      </c>
      <c r="C272" s="516" t="s">
        <v>62</v>
      </c>
      <c r="D272" s="484"/>
      <c r="E272" s="486" t="s">
        <v>772</v>
      </c>
      <c r="F272" s="486" t="s">
        <v>540</v>
      </c>
      <c r="G272" s="510" t="s">
        <v>326</v>
      </c>
      <c r="H272" s="484">
        <v>1</v>
      </c>
      <c r="I272" s="484">
        <v>0</v>
      </c>
      <c r="J272" s="484">
        <v>0</v>
      </c>
      <c r="K272" s="482">
        <v>0</v>
      </c>
      <c r="L272" s="482">
        <v>0</v>
      </c>
      <c r="M272" s="482">
        <v>0</v>
      </c>
      <c r="N272" s="484">
        <v>1</v>
      </c>
      <c r="O272" s="482">
        <v>0</v>
      </c>
      <c r="P272" s="482">
        <v>0</v>
      </c>
      <c r="Q272" s="482">
        <v>0</v>
      </c>
    </row>
    <row r="273" spans="1:17" ht="15.75" customHeight="1" x14ac:dyDescent="0.2">
      <c r="A273" s="526">
        <v>265</v>
      </c>
      <c r="B273" s="484" t="s">
        <v>124</v>
      </c>
      <c r="C273" s="516" t="s">
        <v>62</v>
      </c>
      <c r="D273" s="484"/>
      <c r="E273" s="486" t="s">
        <v>773</v>
      </c>
      <c r="F273" s="486" t="s">
        <v>368</v>
      </c>
      <c r="G273" s="510" t="s">
        <v>326</v>
      </c>
      <c r="H273" s="484">
        <v>27</v>
      </c>
      <c r="I273" s="484">
        <v>20</v>
      </c>
      <c r="J273" s="484">
        <v>20</v>
      </c>
      <c r="K273" s="482">
        <v>28575.31</v>
      </c>
      <c r="L273" s="482">
        <v>23114.5</v>
      </c>
      <c r="M273" s="482">
        <v>5460.81</v>
      </c>
      <c r="N273" s="484">
        <v>8</v>
      </c>
      <c r="O273" s="482">
        <v>4753.3999999999996</v>
      </c>
      <c r="P273" s="482">
        <v>4753.3999999999996</v>
      </c>
      <c r="Q273" s="482">
        <v>0</v>
      </c>
    </row>
    <row r="274" spans="1:17" ht="15.75" customHeight="1" x14ac:dyDescent="0.2">
      <c r="A274" s="526">
        <v>266</v>
      </c>
      <c r="B274" s="484" t="s">
        <v>51</v>
      </c>
      <c r="C274" s="516" t="s">
        <v>62</v>
      </c>
      <c r="D274" s="484"/>
      <c r="E274" s="486" t="s">
        <v>74</v>
      </c>
      <c r="F274" s="486" t="s">
        <v>369</v>
      </c>
      <c r="G274" s="510" t="s">
        <v>326</v>
      </c>
      <c r="H274" s="484">
        <v>0</v>
      </c>
      <c r="I274" s="484">
        <v>0</v>
      </c>
      <c r="J274" s="484">
        <v>0</v>
      </c>
      <c r="K274" s="482">
        <v>0</v>
      </c>
      <c r="L274" s="482">
        <v>0</v>
      </c>
      <c r="M274" s="482">
        <v>0</v>
      </c>
      <c r="N274" s="484">
        <v>1</v>
      </c>
      <c r="O274" s="482">
        <v>2290.6</v>
      </c>
      <c r="P274" s="482">
        <v>2290.6</v>
      </c>
      <c r="Q274" s="482">
        <v>0</v>
      </c>
    </row>
    <row r="275" spans="1:17" ht="15.75" customHeight="1" x14ac:dyDescent="0.2">
      <c r="A275" s="526">
        <v>267</v>
      </c>
      <c r="B275" s="484" t="s">
        <v>286</v>
      </c>
      <c r="C275" s="516" t="s">
        <v>62</v>
      </c>
      <c r="D275" s="484"/>
      <c r="E275" s="486" t="s">
        <v>74</v>
      </c>
      <c r="F275" s="486" t="s">
        <v>476</v>
      </c>
      <c r="G275" s="510" t="s">
        <v>326</v>
      </c>
      <c r="H275" s="484">
        <v>8</v>
      </c>
      <c r="I275" s="484">
        <v>4</v>
      </c>
      <c r="J275" s="484">
        <v>4</v>
      </c>
      <c r="K275" s="482">
        <v>3195.3</v>
      </c>
      <c r="L275" s="482">
        <v>3195.3</v>
      </c>
      <c r="M275" s="482">
        <v>0</v>
      </c>
      <c r="N275" s="484">
        <v>0</v>
      </c>
      <c r="O275" s="482">
        <v>0</v>
      </c>
      <c r="P275" s="482">
        <v>0</v>
      </c>
      <c r="Q275" s="482">
        <v>0</v>
      </c>
    </row>
    <row r="276" spans="1:17" ht="15.75" customHeight="1" x14ac:dyDescent="0.2">
      <c r="A276" s="526">
        <v>268</v>
      </c>
      <c r="B276" s="484" t="s">
        <v>290</v>
      </c>
      <c r="C276" s="516" t="s">
        <v>62</v>
      </c>
      <c r="D276" s="484"/>
      <c r="E276" s="486" t="s">
        <v>74</v>
      </c>
      <c r="F276" s="486" t="s">
        <v>372</v>
      </c>
      <c r="G276" s="510" t="s">
        <v>326</v>
      </c>
      <c r="H276" s="484">
        <v>9</v>
      </c>
      <c r="I276" s="484">
        <v>8</v>
      </c>
      <c r="J276" s="484">
        <v>8</v>
      </c>
      <c r="K276" s="482">
        <v>6532.8</v>
      </c>
      <c r="L276" s="482">
        <v>6532.8</v>
      </c>
      <c r="M276" s="482">
        <v>0</v>
      </c>
      <c r="N276" s="484">
        <v>0</v>
      </c>
      <c r="O276" s="482">
        <v>0</v>
      </c>
      <c r="P276" s="482">
        <v>0</v>
      </c>
      <c r="Q276" s="482">
        <v>0</v>
      </c>
    </row>
    <row r="277" spans="1:17" ht="15.75" customHeight="1" x14ac:dyDescent="0.2">
      <c r="A277" s="526">
        <v>269</v>
      </c>
      <c r="B277" s="484" t="s">
        <v>134</v>
      </c>
      <c r="C277" s="516" t="s">
        <v>62</v>
      </c>
      <c r="D277" s="484"/>
      <c r="E277" s="486" t="s">
        <v>74</v>
      </c>
      <c r="F277" s="486" t="s">
        <v>373</v>
      </c>
      <c r="G277" s="510" t="s">
        <v>326</v>
      </c>
      <c r="H277" s="484">
        <v>3</v>
      </c>
      <c r="I277" s="484">
        <v>1</v>
      </c>
      <c r="J277" s="484">
        <v>1</v>
      </c>
      <c r="K277" s="482">
        <v>1938.2</v>
      </c>
      <c r="L277" s="482">
        <v>1938.2</v>
      </c>
      <c r="M277" s="482">
        <v>0</v>
      </c>
      <c r="N277" s="484">
        <v>3</v>
      </c>
      <c r="O277" s="482">
        <v>6693.2</v>
      </c>
      <c r="P277" s="482">
        <v>6693.2</v>
      </c>
      <c r="Q277" s="482">
        <v>0</v>
      </c>
    </row>
    <row r="278" spans="1:17" ht="15.75" customHeight="1" x14ac:dyDescent="0.2">
      <c r="A278" s="526">
        <v>270</v>
      </c>
      <c r="B278" s="484" t="s">
        <v>135</v>
      </c>
      <c r="C278" s="516" t="s">
        <v>62</v>
      </c>
      <c r="D278" s="484"/>
      <c r="E278" s="486" t="s">
        <v>74</v>
      </c>
      <c r="F278" s="486" t="s">
        <v>374</v>
      </c>
      <c r="G278" s="510" t="s">
        <v>326</v>
      </c>
      <c r="H278" s="484">
        <v>21</v>
      </c>
      <c r="I278" s="484">
        <v>7</v>
      </c>
      <c r="J278" s="484">
        <v>7</v>
      </c>
      <c r="K278" s="482">
        <v>13053.6</v>
      </c>
      <c r="L278" s="482">
        <v>13053.6</v>
      </c>
      <c r="M278" s="482">
        <v>0</v>
      </c>
      <c r="N278" s="484">
        <v>94</v>
      </c>
      <c r="O278" s="482">
        <v>48904.95</v>
      </c>
      <c r="P278" s="482">
        <v>48904.95</v>
      </c>
      <c r="Q278" s="482">
        <v>0</v>
      </c>
    </row>
    <row r="279" spans="1:17" ht="15.75" customHeight="1" x14ac:dyDescent="0.2">
      <c r="A279" s="526">
        <v>271</v>
      </c>
      <c r="B279" s="484" t="s">
        <v>508</v>
      </c>
      <c r="C279" s="516" t="s">
        <v>64</v>
      </c>
      <c r="D279" s="484" t="s">
        <v>509</v>
      </c>
      <c r="E279" s="486" t="s">
        <v>74</v>
      </c>
      <c r="F279" s="486" t="s">
        <v>510</v>
      </c>
      <c r="G279" s="510" t="s">
        <v>326</v>
      </c>
      <c r="H279" s="484">
        <v>3</v>
      </c>
      <c r="I279" s="484">
        <v>2</v>
      </c>
      <c r="J279" s="484">
        <v>2</v>
      </c>
      <c r="K279" s="482">
        <v>4418.3999999999996</v>
      </c>
      <c r="L279" s="482">
        <v>4418.3999999999996</v>
      </c>
      <c r="M279" s="482">
        <v>0</v>
      </c>
      <c r="N279" s="484">
        <v>0</v>
      </c>
      <c r="O279" s="482">
        <v>0</v>
      </c>
      <c r="P279" s="482">
        <v>0</v>
      </c>
      <c r="Q279" s="482">
        <v>0</v>
      </c>
    </row>
    <row r="280" spans="1:17" ht="15.75" customHeight="1" x14ac:dyDescent="0.2">
      <c r="A280" s="526">
        <v>272</v>
      </c>
      <c r="B280" s="484" t="s">
        <v>299</v>
      </c>
      <c r="C280" s="516" t="s">
        <v>62</v>
      </c>
      <c r="D280" s="484"/>
      <c r="E280" s="486" t="s">
        <v>158</v>
      </c>
      <c r="F280" s="486" t="s">
        <v>375</v>
      </c>
      <c r="G280" s="510" t="s">
        <v>326</v>
      </c>
      <c r="H280" s="484">
        <v>3</v>
      </c>
      <c r="I280" s="484">
        <v>1</v>
      </c>
      <c r="J280" s="484">
        <v>1</v>
      </c>
      <c r="K280" s="482">
        <v>704.8</v>
      </c>
      <c r="L280" s="482">
        <v>704.8</v>
      </c>
      <c r="M280" s="482">
        <v>0</v>
      </c>
      <c r="N280" s="484">
        <v>0</v>
      </c>
      <c r="O280" s="482">
        <v>0</v>
      </c>
      <c r="P280" s="482">
        <v>0</v>
      </c>
      <c r="Q280" s="482">
        <v>0</v>
      </c>
    </row>
    <row r="281" spans="1:17" ht="15.75" customHeight="1" x14ac:dyDescent="0.2">
      <c r="A281" s="526">
        <v>273</v>
      </c>
      <c r="B281" s="484" t="s">
        <v>302</v>
      </c>
      <c r="C281" s="516" t="s">
        <v>62</v>
      </c>
      <c r="D281" s="484"/>
      <c r="E281" s="486" t="s">
        <v>74</v>
      </c>
      <c r="F281" s="486" t="s">
        <v>725</v>
      </c>
      <c r="G281" s="510" t="s">
        <v>326</v>
      </c>
      <c r="H281" s="484">
        <v>1</v>
      </c>
      <c r="I281" s="484">
        <v>0</v>
      </c>
      <c r="J281" s="484">
        <v>0</v>
      </c>
      <c r="K281" s="482">
        <v>0</v>
      </c>
      <c r="L281" s="482">
        <v>0</v>
      </c>
      <c r="M281" s="482">
        <v>0</v>
      </c>
      <c r="N281" s="484">
        <v>0</v>
      </c>
      <c r="O281" s="482">
        <v>0</v>
      </c>
      <c r="P281" s="482">
        <v>0</v>
      </c>
      <c r="Q281" s="482">
        <v>0</v>
      </c>
    </row>
    <row r="282" spans="1:17" ht="15.75" customHeight="1" x14ac:dyDescent="0.2">
      <c r="A282" s="526">
        <v>274</v>
      </c>
      <c r="B282" s="484" t="s">
        <v>702</v>
      </c>
      <c r="C282" s="516" t="s">
        <v>62</v>
      </c>
      <c r="D282" s="484"/>
      <c r="E282" s="486" t="s">
        <v>74</v>
      </c>
      <c r="F282" s="486" t="s">
        <v>726</v>
      </c>
      <c r="G282" s="510" t="s">
        <v>326</v>
      </c>
      <c r="H282" s="484">
        <v>1</v>
      </c>
      <c r="I282" s="484">
        <v>1</v>
      </c>
      <c r="J282" s="484">
        <v>1</v>
      </c>
      <c r="K282" s="482">
        <v>552.29999999999995</v>
      </c>
      <c r="L282" s="482">
        <v>552.29999999999995</v>
      </c>
      <c r="M282" s="482">
        <v>0</v>
      </c>
      <c r="N282" s="484">
        <v>0</v>
      </c>
      <c r="O282" s="482">
        <v>0</v>
      </c>
      <c r="P282" s="482">
        <v>0</v>
      </c>
      <c r="Q282" s="482">
        <v>0</v>
      </c>
    </row>
    <row r="283" spans="1:17" ht="15.75" customHeight="1" x14ac:dyDescent="0.2">
      <c r="A283" s="526">
        <v>275</v>
      </c>
      <c r="B283" s="484" t="s">
        <v>376</v>
      </c>
      <c r="C283" s="516" t="s">
        <v>62</v>
      </c>
      <c r="D283" s="484"/>
      <c r="E283" s="486" t="s">
        <v>74</v>
      </c>
      <c r="F283" s="486" t="s">
        <v>377</v>
      </c>
      <c r="G283" s="510" t="s">
        <v>326</v>
      </c>
      <c r="H283" s="484">
        <v>10</v>
      </c>
      <c r="I283" s="484">
        <v>6</v>
      </c>
      <c r="J283" s="484">
        <v>6</v>
      </c>
      <c r="K283" s="482">
        <v>6722.05</v>
      </c>
      <c r="L283" s="482">
        <v>6722.05</v>
      </c>
      <c r="M283" s="482">
        <v>0</v>
      </c>
      <c r="N283" s="484">
        <v>0</v>
      </c>
      <c r="O283" s="482">
        <v>0</v>
      </c>
      <c r="P283" s="482">
        <v>0</v>
      </c>
      <c r="Q283" s="482">
        <v>0</v>
      </c>
    </row>
    <row r="284" spans="1:17" ht="15.75" customHeight="1" x14ac:dyDescent="0.2">
      <c r="A284" s="526">
        <v>276</v>
      </c>
      <c r="B284" s="484" t="s">
        <v>129</v>
      </c>
      <c r="C284" s="516" t="s">
        <v>62</v>
      </c>
      <c r="D284" s="484"/>
      <c r="E284" s="486" t="s">
        <v>74</v>
      </c>
      <c r="F284" s="486" t="s">
        <v>378</v>
      </c>
      <c r="G284" s="510" t="s">
        <v>326</v>
      </c>
      <c r="H284" s="484">
        <v>55</v>
      </c>
      <c r="I284" s="484">
        <v>45</v>
      </c>
      <c r="J284" s="484">
        <v>45</v>
      </c>
      <c r="K284" s="482">
        <v>75711.259999999995</v>
      </c>
      <c r="L284" s="482">
        <v>68698.320000000007</v>
      </c>
      <c r="M284" s="482">
        <v>7012.94</v>
      </c>
      <c r="N284" s="484">
        <v>41</v>
      </c>
      <c r="O284" s="482">
        <v>75401.06</v>
      </c>
      <c r="P284" s="482">
        <v>75401.06</v>
      </c>
      <c r="Q284" s="482">
        <v>0</v>
      </c>
    </row>
    <row r="285" spans="1:17" ht="15.75" customHeight="1" x14ac:dyDescent="0.2">
      <c r="A285" s="526">
        <v>277</v>
      </c>
      <c r="B285" s="484" t="s">
        <v>379</v>
      </c>
      <c r="C285" s="516" t="s">
        <v>62</v>
      </c>
      <c r="D285" s="484"/>
      <c r="E285" s="486" t="s">
        <v>158</v>
      </c>
      <c r="F285" s="486" t="s">
        <v>380</v>
      </c>
      <c r="G285" s="510" t="s">
        <v>326</v>
      </c>
      <c r="H285" s="484">
        <v>6</v>
      </c>
      <c r="I285" s="484">
        <v>4</v>
      </c>
      <c r="J285" s="484">
        <v>4</v>
      </c>
      <c r="K285" s="482">
        <v>4131.6499999999996</v>
      </c>
      <c r="L285" s="482">
        <v>4131.6499999999996</v>
      </c>
      <c r="M285" s="482">
        <v>0</v>
      </c>
      <c r="N285" s="484">
        <v>0</v>
      </c>
      <c r="O285" s="482">
        <v>0</v>
      </c>
      <c r="P285" s="482">
        <v>0</v>
      </c>
      <c r="Q285" s="482">
        <v>0</v>
      </c>
    </row>
    <row r="286" spans="1:17" ht="15.75" customHeight="1" x14ac:dyDescent="0.2">
      <c r="A286" s="526">
        <v>278</v>
      </c>
      <c r="B286" s="484" t="s">
        <v>130</v>
      </c>
      <c r="C286" s="516" t="s">
        <v>62</v>
      </c>
      <c r="D286" s="484"/>
      <c r="E286" s="486" t="s">
        <v>74</v>
      </c>
      <c r="F286" s="486" t="s">
        <v>557</v>
      </c>
      <c r="G286" s="510" t="s">
        <v>326</v>
      </c>
      <c r="H286" s="484">
        <v>2</v>
      </c>
      <c r="I286" s="484">
        <v>1</v>
      </c>
      <c r="J286" s="484">
        <v>1</v>
      </c>
      <c r="K286" s="482">
        <v>1104.5999999999999</v>
      </c>
      <c r="L286" s="482">
        <v>1104.5999999999999</v>
      </c>
      <c r="M286" s="482">
        <v>0</v>
      </c>
      <c r="N286" s="484">
        <v>7</v>
      </c>
      <c r="O286" s="482">
        <v>11044.15</v>
      </c>
      <c r="P286" s="482">
        <v>9315.25</v>
      </c>
      <c r="Q286" s="482">
        <v>1728.9</v>
      </c>
    </row>
    <row r="287" spans="1:17" ht="15.75" customHeight="1" x14ac:dyDescent="0.2">
      <c r="A287" s="526">
        <v>279</v>
      </c>
      <c r="B287" s="484" t="s">
        <v>382</v>
      </c>
      <c r="C287" s="516" t="s">
        <v>62</v>
      </c>
      <c r="D287" s="484"/>
      <c r="E287" s="486" t="s">
        <v>703</v>
      </c>
      <c r="F287" s="486" t="s">
        <v>384</v>
      </c>
      <c r="G287" s="510" t="s">
        <v>326</v>
      </c>
      <c r="H287" s="484">
        <v>1</v>
      </c>
      <c r="I287" s="484">
        <v>1</v>
      </c>
      <c r="J287" s="484">
        <v>1</v>
      </c>
      <c r="K287" s="482">
        <v>704.8</v>
      </c>
      <c r="L287" s="482">
        <v>704.8</v>
      </c>
      <c r="M287" s="482">
        <v>0</v>
      </c>
      <c r="N287" s="484">
        <v>0</v>
      </c>
      <c r="O287" s="482">
        <v>0</v>
      </c>
      <c r="P287" s="482">
        <v>0</v>
      </c>
      <c r="Q287" s="482">
        <v>0</v>
      </c>
    </row>
    <row r="288" spans="1:17" ht="15.75" customHeight="1" x14ac:dyDescent="0.2">
      <c r="A288" s="526">
        <v>280</v>
      </c>
      <c r="B288" s="484" t="s">
        <v>385</v>
      </c>
      <c r="C288" s="516" t="s">
        <v>62</v>
      </c>
      <c r="D288" s="484"/>
      <c r="E288" s="486" t="s">
        <v>675</v>
      </c>
      <c r="F288" s="486" t="s">
        <v>386</v>
      </c>
      <c r="G288" s="510" t="s">
        <v>326</v>
      </c>
      <c r="H288" s="484">
        <v>15</v>
      </c>
      <c r="I288" s="484">
        <v>10</v>
      </c>
      <c r="J288" s="484">
        <v>10</v>
      </c>
      <c r="K288" s="482">
        <v>9903.75</v>
      </c>
      <c r="L288" s="482">
        <v>4184.75</v>
      </c>
      <c r="M288" s="482">
        <v>5719</v>
      </c>
      <c r="N288" s="484">
        <v>18</v>
      </c>
      <c r="O288" s="482">
        <v>9602.9</v>
      </c>
      <c r="P288" s="482">
        <v>9602.9</v>
      </c>
      <c r="Q288" s="482">
        <v>0</v>
      </c>
    </row>
    <row r="289" spans="1:17" ht="15.75" customHeight="1" x14ac:dyDescent="0.2">
      <c r="A289" s="526">
        <v>281</v>
      </c>
      <c r="B289" s="606" t="s">
        <v>19</v>
      </c>
      <c r="C289" s="607" t="s">
        <v>62</v>
      </c>
      <c r="D289" s="289"/>
      <c r="E289" s="490" t="s">
        <v>671</v>
      </c>
      <c r="F289" s="608" t="s">
        <v>394</v>
      </c>
      <c r="G289" s="289" t="s">
        <v>395</v>
      </c>
      <c r="H289" s="289">
        <v>1</v>
      </c>
      <c r="I289" s="289">
        <v>0</v>
      </c>
      <c r="J289" s="491">
        <v>0</v>
      </c>
      <c r="K289" s="609">
        <v>0</v>
      </c>
      <c r="L289" s="609">
        <v>0</v>
      </c>
      <c r="M289" s="482">
        <v>0</v>
      </c>
      <c r="N289" s="371">
        <v>0</v>
      </c>
      <c r="O289" s="492">
        <v>0</v>
      </c>
      <c r="P289" s="492">
        <v>0</v>
      </c>
      <c r="Q289" s="482">
        <v>0</v>
      </c>
    </row>
    <row r="290" spans="1:17" ht="15.75" customHeight="1" x14ac:dyDescent="0.2">
      <c r="A290" s="526">
        <v>282</v>
      </c>
      <c r="B290" s="606" t="s">
        <v>90</v>
      </c>
      <c r="C290" s="607" t="s">
        <v>62</v>
      </c>
      <c r="D290" s="606"/>
      <c r="E290" s="490" t="s">
        <v>689</v>
      </c>
      <c r="F290" s="608" t="s">
        <v>396</v>
      </c>
      <c r="G290" s="289" t="s">
        <v>395</v>
      </c>
      <c r="H290" s="606">
        <v>9</v>
      </c>
      <c r="I290" s="606">
        <v>9</v>
      </c>
      <c r="J290" s="606">
        <v>9</v>
      </c>
      <c r="K290" s="609">
        <v>11276.8</v>
      </c>
      <c r="L290" s="609">
        <v>11276.8</v>
      </c>
      <c r="M290" s="482">
        <v>0</v>
      </c>
      <c r="N290" s="606">
        <v>20</v>
      </c>
      <c r="O290" s="609">
        <v>28791.88</v>
      </c>
      <c r="P290" s="609">
        <v>28791.88</v>
      </c>
      <c r="Q290" s="482">
        <v>0</v>
      </c>
    </row>
    <row r="291" spans="1:17" ht="15.75" customHeight="1" x14ac:dyDescent="0.2">
      <c r="A291" s="526">
        <v>283</v>
      </c>
      <c r="B291" s="289" t="s">
        <v>133</v>
      </c>
      <c r="C291" s="493" t="s">
        <v>67</v>
      </c>
      <c r="D291" s="484" t="s">
        <v>494</v>
      </c>
      <c r="E291" s="486" t="s">
        <v>158</v>
      </c>
      <c r="F291" s="608" t="s">
        <v>398</v>
      </c>
      <c r="G291" s="289" t="s">
        <v>395</v>
      </c>
      <c r="H291" s="606">
        <v>12</v>
      </c>
      <c r="I291" s="606">
        <v>5</v>
      </c>
      <c r="J291" s="606">
        <v>5</v>
      </c>
      <c r="K291" s="609">
        <v>7688.8</v>
      </c>
      <c r="L291" s="609">
        <v>7688.8</v>
      </c>
      <c r="M291" s="482">
        <v>0</v>
      </c>
      <c r="N291" s="606">
        <v>9</v>
      </c>
      <c r="O291" s="609">
        <v>12473.03</v>
      </c>
      <c r="P291" s="609">
        <v>12473.03</v>
      </c>
      <c r="Q291" s="482">
        <v>0</v>
      </c>
    </row>
    <row r="292" spans="1:17" ht="15.75" customHeight="1" x14ac:dyDescent="0.2">
      <c r="A292" s="526">
        <v>284</v>
      </c>
      <c r="B292" s="606" t="s">
        <v>399</v>
      </c>
      <c r="C292" s="607" t="s">
        <v>62</v>
      </c>
      <c r="D292" s="606"/>
      <c r="E292" s="490" t="s">
        <v>694</v>
      </c>
      <c r="F292" s="608" t="s">
        <v>401</v>
      </c>
      <c r="G292" s="289" t="s">
        <v>395</v>
      </c>
      <c r="H292" s="606">
        <v>31</v>
      </c>
      <c r="I292" s="606">
        <v>12</v>
      </c>
      <c r="J292" s="606">
        <v>12</v>
      </c>
      <c r="K292" s="609">
        <v>15516.6</v>
      </c>
      <c r="L292" s="609">
        <v>15514.22</v>
      </c>
      <c r="M292" s="482">
        <v>2.38</v>
      </c>
      <c r="N292" s="606">
        <v>0</v>
      </c>
      <c r="O292" s="609">
        <v>0</v>
      </c>
      <c r="P292" s="609">
        <v>0</v>
      </c>
      <c r="Q292" s="482">
        <v>0</v>
      </c>
    </row>
    <row r="293" spans="1:17" ht="15.75" customHeight="1" x14ac:dyDescent="0.2">
      <c r="A293" s="526">
        <v>285</v>
      </c>
      <c r="B293" s="606" t="s">
        <v>402</v>
      </c>
      <c r="C293" s="607" t="s">
        <v>62</v>
      </c>
      <c r="D293" s="606"/>
      <c r="E293" s="486" t="s">
        <v>158</v>
      </c>
      <c r="F293" s="608" t="s">
        <v>403</v>
      </c>
      <c r="G293" s="289" t="s">
        <v>395</v>
      </c>
      <c r="H293" s="606">
        <v>2</v>
      </c>
      <c r="I293" s="606">
        <v>2</v>
      </c>
      <c r="J293" s="606">
        <v>2</v>
      </c>
      <c r="K293" s="609">
        <v>3815.95</v>
      </c>
      <c r="L293" s="609">
        <v>3815.95</v>
      </c>
      <c r="M293" s="482">
        <v>0</v>
      </c>
      <c r="N293" s="606">
        <v>0</v>
      </c>
      <c r="O293" s="609">
        <v>0</v>
      </c>
      <c r="P293" s="609">
        <v>0</v>
      </c>
      <c r="Q293" s="482">
        <v>0</v>
      </c>
    </row>
    <row r="294" spans="1:17" ht="15.75" customHeight="1" x14ac:dyDescent="0.2">
      <c r="A294" s="526">
        <v>286</v>
      </c>
      <c r="B294" s="606" t="s">
        <v>48</v>
      </c>
      <c r="C294" s="607" t="s">
        <v>62</v>
      </c>
      <c r="D294" s="606"/>
      <c r="E294" s="490" t="s">
        <v>671</v>
      </c>
      <c r="F294" s="608" t="s">
        <v>404</v>
      </c>
      <c r="G294" s="289" t="s">
        <v>395</v>
      </c>
      <c r="H294" s="606">
        <v>48</v>
      </c>
      <c r="I294" s="606">
        <v>13</v>
      </c>
      <c r="J294" s="606">
        <v>13</v>
      </c>
      <c r="K294" s="609">
        <v>19861.5</v>
      </c>
      <c r="L294" s="609">
        <v>19861.5</v>
      </c>
      <c r="M294" s="482">
        <v>0</v>
      </c>
      <c r="N294" s="606">
        <v>22</v>
      </c>
      <c r="O294" s="609">
        <v>58443.62</v>
      </c>
      <c r="P294" s="609">
        <v>58443.62</v>
      </c>
      <c r="Q294" s="482">
        <v>0</v>
      </c>
    </row>
    <row r="295" spans="1:17" ht="15.75" customHeight="1" x14ac:dyDescent="0.2">
      <c r="A295" s="526">
        <v>287</v>
      </c>
      <c r="B295" s="606" t="s">
        <v>39</v>
      </c>
      <c r="C295" s="607" t="s">
        <v>62</v>
      </c>
      <c r="D295" s="606"/>
      <c r="E295" s="490" t="s">
        <v>694</v>
      </c>
      <c r="F295" s="608" t="s">
        <v>405</v>
      </c>
      <c r="G295" s="289" t="s">
        <v>395</v>
      </c>
      <c r="H295" s="606">
        <v>33</v>
      </c>
      <c r="I295" s="606">
        <v>3</v>
      </c>
      <c r="J295" s="606">
        <v>3</v>
      </c>
      <c r="K295" s="609">
        <v>3866.1</v>
      </c>
      <c r="L295" s="609">
        <v>3866.1</v>
      </c>
      <c r="M295" s="482">
        <v>0</v>
      </c>
      <c r="N295" s="606">
        <v>13</v>
      </c>
      <c r="O295" s="609">
        <v>23040.3</v>
      </c>
      <c r="P295" s="609">
        <v>23040.3</v>
      </c>
      <c r="Q295" s="482">
        <v>0</v>
      </c>
    </row>
    <row r="296" spans="1:17" ht="15.75" customHeight="1" x14ac:dyDescent="0.2">
      <c r="A296" s="526">
        <v>288</v>
      </c>
      <c r="B296" s="606" t="s">
        <v>127</v>
      </c>
      <c r="C296" s="607" t="s">
        <v>62</v>
      </c>
      <c r="D296" s="606"/>
      <c r="E296" s="486" t="s">
        <v>158</v>
      </c>
      <c r="F296" s="608" t="s">
        <v>406</v>
      </c>
      <c r="G296" s="289" t="s">
        <v>395</v>
      </c>
      <c r="H296" s="606">
        <v>0</v>
      </c>
      <c r="I296" s="606">
        <v>0</v>
      </c>
      <c r="J296" s="606">
        <v>0</v>
      </c>
      <c r="K296" s="609">
        <v>0</v>
      </c>
      <c r="L296" s="609">
        <v>0</v>
      </c>
      <c r="M296" s="482">
        <v>0</v>
      </c>
      <c r="N296" s="606">
        <v>1</v>
      </c>
      <c r="O296" s="609">
        <v>264.3</v>
      </c>
      <c r="P296" s="609">
        <v>264.3</v>
      </c>
      <c r="Q296" s="482">
        <v>0</v>
      </c>
    </row>
    <row r="297" spans="1:17" ht="15.75" customHeight="1" x14ac:dyDescent="0.2">
      <c r="A297" s="526">
        <v>289</v>
      </c>
      <c r="B297" s="606" t="s">
        <v>561</v>
      </c>
      <c r="C297" s="607" t="s">
        <v>62</v>
      </c>
      <c r="D297" s="606"/>
      <c r="E297" s="490" t="s">
        <v>671</v>
      </c>
      <c r="F297" s="608" t="s">
        <v>562</v>
      </c>
      <c r="G297" s="289" t="s">
        <v>395</v>
      </c>
      <c r="H297" s="606">
        <v>31</v>
      </c>
      <c r="I297" s="606">
        <v>0</v>
      </c>
      <c r="J297" s="606">
        <v>0</v>
      </c>
      <c r="K297" s="609">
        <v>0</v>
      </c>
      <c r="L297" s="609">
        <v>0</v>
      </c>
      <c r="M297" s="482">
        <v>0</v>
      </c>
      <c r="N297" s="606">
        <v>0</v>
      </c>
      <c r="O297" s="609">
        <v>0</v>
      </c>
      <c r="P297" s="609">
        <v>0</v>
      </c>
      <c r="Q297" s="482">
        <v>0</v>
      </c>
    </row>
    <row r="298" spans="1:17" ht="15.75" customHeight="1" x14ac:dyDescent="0.2">
      <c r="A298" s="526">
        <v>290</v>
      </c>
      <c r="B298" s="606" t="s">
        <v>563</v>
      </c>
      <c r="C298" s="607" t="s">
        <v>62</v>
      </c>
      <c r="D298" s="606"/>
      <c r="E298" s="490" t="s">
        <v>671</v>
      </c>
      <c r="F298" s="608" t="s">
        <v>564</v>
      </c>
      <c r="G298" s="289" t="s">
        <v>395</v>
      </c>
      <c r="H298" s="606">
        <v>36</v>
      </c>
      <c r="I298" s="606">
        <v>0</v>
      </c>
      <c r="J298" s="606">
        <v>1</v>
      </c>
      <c r="K298" s="609">
        <v>2643</v>
      </c>
      <c r="L298" s="609">
        <v>2643</v>
      </c>
      <c r="M298" s="482">
        <v>0</v>
      </c>
      <c r="N298" s="606">
        <v>0</v>
      </c>
      <c r="O298" s="609">
        <v>0</v>
      </c>
      <c r="P298" s="609">
        <v>0</v>
      </c>
      <c r="Q298" s="482">
        <v>0</v>
      </c>
    </row>
    <row r="299" spans="1:17" ht="15.75" customHeight="1" x14ac:dyDescent="0.2">
      <c r="A299" s="526">
        <v>291</v>
      </c>
      <c r="B299" s="606" t="s">
        <v>53</v>
      </c>
      <c r="C299" s="607" t="s">
        <v>62</v>
      </c>
      <c r="D299" s="606"/>
      <c r="E299" s="486" t="s">
        <v>158</v>
      </c>
      <c r="F299" s="608" t="s">
        <v>634</v>
      </c>
      <c r="G299" s="289" t="s">
        <v>395</v>
      </c>
      <c r="H299" s="606">
        <v>17</v>
      </c>
      <c r="I299" s="606">
        <v>1</v>
      </c>
      <c r="J299" s="606">
        <v>1</v>
      </c>
      <c r="K299" s="609">
        <v>920.5</v>
      </c>
      <c r="L299" s="609">
        <v>920.5</v>
      </c>
      <c r="M299" s="482">
        <v>0</v>
      </c>
      <c r="N299" s="371">
        <v>0</v>
      </c>
      <c r="O299" s="492">
        <v>0</v>
      </c>
      <c r="P299" s="492">
        <v>0</v>
      </c>
      <c r="Q299" s="482">
        <v>0</v>
      </c>
    </row>
  </sheetData>
  <autoFilter ref="A8:IV299"/>
  <pageMargins left="0.75" right="0.75" top="1" bottom="1" header="0.5" footer="0.5"/>
  <pageSetup paperSize="9" orientation="portrait" verticalDpi="300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R299"/>
  <sheetViews>
    <sheetView workbookViewId="0">
      <selection activeCell="B8" sqref="B8"/>
    </sheetView>
  </sheetViews>
  <sheetFormatPr defaultRowHeight="12.75" x14ac:dyDescent="0.2"/>
  <cols>
    <col min="1" max="1" width="5" style="459" customWidth="1"/>
    <col min="2" max="2" width="43" style="459" customWidth="1"/>
    <col min="3" max="3" width="10.140625" style="459" customWidth="1"/>
    <col min="4" max="4" width="45" style="459" customWidth="1"/>
    <col min="5" max="5" width="34.5703125" style="459" customWidth="1"/>
    <col min="6" max="6" width="20.42578125" style="459" customWidth="1"/>
    <col min="7" max="7" width="36" style="459" customWidth="1"/>
    <col min="8" max="10" width="9.140625" style="459"/>
    <col min="11" max="12" width="9.5703125" style="459" customWidth="1"/>
    <col min="13" max="13" width="9.42578125" style="459" customWidth="1"/>
    <col min="14" max="14" width="9.140625" style="459"/>
    <col min="15" max="16" width="10.5703125" style="459" customWidth="1"/>
    <col min="17" max="17" width="9.42578125" style="459" customWidth="1"/>
    <col min="18" max="256" width="9.140625" style="459"/>
    <col min="257" max="257" width="5" style="459" customWidth="1"/>
    <col min="258" max="258" width="43" style="459" customWidth="1"/>
    <col min="259" max="259" width="10.140625" style="459" customWidth="1"/>
    <col min="260" max="260" width="45" style="459" customWidth="1"/>
    <col min="261" max="261" width="34.5703125" style="459" customWidth="1"/>
    <col min="262" max="262" width="20.42578125" style="459" customWidth="1"/>
    <col min="263" max="263" width="36" style="459" customWidth="1"/>
    <col min="264" max="266" width="9.140625" style="459"/>
    <col min="267" max="268" width="9.5703125" style="459" customWidth="1"/>
    <col min="269" max="269" width="9.42578125" style="459" customWidth="1"/>
    <col min="270" max="270" width="9.140625" style="459"/>
    <col min="271" max="272" width="10.5703125" style="459" customWidth="1"/>
    <col min="273" max="273" width="9.42578125" style="459" customWidth="1"/>
    <col min="274" max="512" width="9.140625" style="459"/>
    <col min="513" max="513" width="5" style="459" customWidth="1"/>
    <col min="514" max="514" width="43" style="459" customWidth="1"/>
    <col min="515" max="515" width="10.140625" style="459" customWidth="1"/>
    <col min="516" max="516" width="45" style="459" customWidth="1"/>
    <col min="517" max="517" width="34.5703125" style="459" customWidth="1"/>
    <col min="518" max="518" width="20.42578125" style="459" customWidth="1"/>
    <col min="519" max="519" width="36" style="459" customWidth="1"/>
    <col min="520" max="522" width="9.140625" style="459"/>
    <col min="523" max="524" width="9.5703125" style="459" customWidth="1"/>
    <col min="525" max="525" width="9.42578125" style="459" customWidth="1"/>
    <col min="526" max="526" width="9.140625" style="459"/>
    <col min="527" max="528" width="10.5703125" style="459" customWidth="1"/>
    <col min="529" max="529" width="9.42578125" style="459" customWidth="1"/>
    <col min="530" max="768" width="9.140625" style="459"/>
    <col min="769" max="769" width="5" style="459" customWidth="1"/>
    <col min="770" max="770" width="43" style="459" customWidth="1"/>
    <col min="771" max="771" width="10.140625" style="459" customWidth="1"/>
    <col min="772" max="772" width="45" style="459" customWidth="1"/>
    <col min="773" max="773" width="34.5703125" style="459" customWidth="1"/>
    <col min="774" max="774" width="20.42578125" style="459" customWidth="1"/>
    <col min="775" max="775" width="36" style="459" customWidth="1"/>
    <col min="776" max="778" width="9.140625" style="459"/>
    <col min="779" max="780" width="9.5703125" style="459" customWidth="1"/>
    <col min="781" max="781" width="9.42578125" style="459" customWidth="1"/>
    <col min="782" max="782" width="9.140625" style="459"/>
    <col min="783" max="784" width="10.5703125" style="459" customWidth="1"/>
    <col min="785" max="785" width="9.42578125" style="459" customWidth="1"/>
    <col min="786" max="1024" width="9.140625" style="459"/>
    <col min="1025" max="1025" width="5" style="459" customWidth="1"/>
    <col min="1026" max="1026" width="43" style="459" customWidth="1"/>
    <col min="1027" max="1027" width="10.140625" style="459" customWidth="1"/>
    <col min="1028" max="1028" width="45" style="459" customWidth="1"/>
    <col min="1029" max="1029" width="34.5703125" style="459" customWidth="1"/>
    <col min="1030" max="1030" width="20.42578125" style="459" customWidth="1"/>
    <col min="1031" max="1031" width="36" style="459" customWidth="1"/>
    <col min="1032" max="1034" width="9.140625" style="459"/>
    <col min="1035" max="1036" width="9.5703125" style="459" customWidth="1"/>
    <col min="1037" max="1037" width="9.42578125" style="459" customWidth="1"/>
    <col min="1038" max="1038" width="9.140625" style="459"/>
    <col min="1039" max="1040" width="10.5703125" style="459" customWidth="1"/>
    <col min="1041" max="1041" width="9.42578125" style="459" customWidth="1"/>
    <col min="1042" max="1280" width="9.140625" style="459"/>
    <col min="1281" max="1281" width="5" style="459" customWidth="1"/>
    <col min="1282" max="1282" width="43" style="459" customWidth="1"/>
    <col min="1283" max="1283" width="10.140625" style="459" customWidth="1"/>
    <col min="1284" max="1284" width="45" style="459" customWidth="1"/>
    <col min="1285" max="1285" width="34.5703125" style="459" customWidth="1"/>
    <col min="1286" max="1286" width="20.42578125" style="459" customWidth="1"/>
    <col min="1287" max="1287" width="36" style="459" customWidth="1"/>
    <col min="1288" max="1290" width="9.140625" style="459"/>
    <col min="1291" max="1292" width="9.5703125" style="459" customWidth="1"/>
    <col min="1293" max="1293" width="9.42578125" style="459" customWidth="1"/>
    <col min="1294" max="1294" width="9.140625" style="459"/>
    <col min="1295" max="1296" width="10.5703125" style="459" customWidth="1"/>
    <col min="1297" max="1297" width="9.42578125" style="459" customWidth="1"/>
    <col min="1298" max="1536" width="9.140625" style="459"/>
    <col min="1537" max="1537" width="5" style="459" customWidth="1"/>
    <col min="1538" max="1538" width="43" style="459" customWidth="1"/>
    <col min="1539" max="1539" width="10.140625" style="459" customWidth="1"/>
    <col min="1540" max="1540" width="45" style="459" customWidth="1"/>
    <col min="1541" max="1541" width="34.5703125" style="459" customWidth="1"/>
    <col min="1542" max="1542" width="20.42578125" style="459" customWidth="1"/>
    <col min="1543" max="1543" width="36" style="459" customWidth="1"/>
    <col min="1544" max="1546" width="9.140625" style="459"/>
    <col min="1547" max="1548" width="9.5703125" style="459" customWidth="1"/>
    <col min="1549" max="1549" width="9.42578125" style="459" customWidth="1"/>
    <col min="1550" max="1550" width="9.140625" style="459"/>
    <col min="1551" max="1552" width="10.5703125" style="459" customWidth="1"/>
    <col min="1553" max="1553" width="9.42578125" style="459" customWidth="1"/>
    <col min="1554" max="1792" width="9.140625" style="459"/>
    <col min="1793" max="1793" width="5" style="459" customWidth="1"/>
    <col min="1794" max="1794" width="43" style="459" customWidth="1"/>
    <col min="1795" max="1795" width="10.140625" style="459" customWidth="1"/>
    <col min="1796" max="1796" width="45" style="459" customWidth="1"/>
    <col min="1797" max="1797" width="34.5703125" style="459" customWidth="1"/>
    <col min="1798" max="1798" width="20.42578125" style="459" customWidth="1"/>
    <col min="1799" max="1799" width="36" style="459" customWidth="1"/>
    <col min="1800" max="1802" width="9.140625" style="459"/>
    <col min="1803" max="1804" width="9.5703125" style="459" customWidth="1"/>
    <col min="1805" max="1805" width="9.42578125" style="459" customWidth="1"/>
    <col min="1806" max="1806" width="9.140625" style="459"/>
    <col min="1807" max="1808" width="10.5703125" style="459" customWidth="1"/>
    <col min="1809" max="1809" width="9.42578125" style="459" customWidth="1"/>
    <col min="1810" max="2048" width="9.140625" style="459"/>
    <col min="2049" max="2049" width="5" style="459" customWidth="1"/>
    <col min="2050" max="2050" width="43" style="459" customWidth="1"/>
    <col min="2051" max="2051" width="10.140625" style="459" customWidth="1"/>
    <col min="2052" max="2052" width="45" style="459" customWidth="1"/>
    <col min="2053" max="2053" width="34.5703125" style="459" customWidth="1"/>
    <col min="2054" max="2054" width="20.42578125" style="459" customWidth="1"/>
    <col min="2055" max="2055" width="36" style="459" customWidth="1"/>
    <col min="2056" max="2058" width="9.140625" style="459"/>
    <col min="2059" max="2060" width="9.5703125" style="459" customWidth="1"/>
    <col min="2061" max="2061" width="9.42578125" style="459" customWidth="1"/>
    <col min="2062" max="2062" width="9.140625" style="459"/>
    <col min="2063" max="2064" width="10.5703125" style="459" customWidth="1"/>
    <col min="2065" max="2065" width="9.42578125" style="459" customWidth="1"/>
    <col min="2066" max="2304" width="9.140625" style="459"/>
    <col min="2305" max="2305" width="5" style="459" customWidth="1"/>
    <col min="2306" max="2306" width="43" style="459" customWidth="1"/>
    <col min="2307" max="2307" width="10.140625" style="459" customWidth="1"/>
    <col min="2308" max="2308" width="45" style="459" customWidth="1"/>
    <col min="2309" max="2309" width="34.5703125" style="459" customWidth="1"/>
    <col min="2310" max="2310" width="20.42578125" style="459" customWidth="1"/>
    <col min="2311" max="2311" width="36" style="459" customWidth="1"/>
    <col min="2312" max="2314" width="9.140625" style="459"/>
    <col min="2315" max="2316" width="9.5703125" style="459" customWidth="1"/>
    <col min="2317" max="2317" width="9.42578125" style="459" customWidth="1"/>
    <col min="2318" max="2318" width="9.140625" style="459"/>
    <col min="2319" max="2320" width="10.5703125" style="459" customWidth="1"/>
    <col min="2321" max="2321" width="9.42578125" style="459" customWidth="1"/>
    <col min="2322" max="2560" width="9.140625" style="459"/>
    <col min="2561" max="2561" width="5" style="459" customWidth="1"/>
    <col min="2562" max="2562" width="43" style="459" customWidth="1"/>
    <col min="2563" max="2563" width="10.140625" style="459" customWidth="1"/>
    <col min="2564" max="2564" width="45" style="459" customWidth="1"/>
    <col min="2565" max="2565" width="34.5703125" style="459" customWidth="1"/>
    <col min="2566" max="2566" width="20.42578125" style="459" customWidth="1"/>
    <col min="2567" max="2567" width="36" style="459" customWidth="1"/>
    <col min="2568" max="2570" width="9.140625" style="459"/>
    <col min="2571" max="2572" width="9.5703125" style="459" customWidth="1"/>
    <col min="2573" max="2573" width="9.42578125" style="459" customWidth="1"/>
    <col min="2574" max="2574" width="9.140625" style="459"/>
    <col min="2575" max="2576" width="10.5703125" style="459" customWidth="1"/>
    <col min="2577" max="2577" width="9.42578125" style="459" customWidth="1"/>
    <col min="2578" max="2816" width="9.140625" style="459"/>
    <col min="2817" max="2817" width="5" style="459" customWidth="1"/>
    <col min="2818" max="2818" width="43" style="459" customWidth="1"/>
    <col min="2819" max="2819" width="10.140625" style="459" customWidth="1"/>
    <col min="2820" max="2820" width="45" style="459" customWidth="1"/>
    <col min="2821" max="2821" width="34.5703125" style="459" customWidth="1"/>
    <col min="2822" max="2822" width="20.42578125" style="459" customWidth="1"/>
    <col min="2823" max="2823" width="36" style="459" customWidth="1"/>
    <col min="2824" max="2826" width="9.140625" style="459"/>
    <col min="2827" max="2828" width="9.5703125" style="459" customWidth="1"/>
    <col min="2829" max="2829" width="9.42578125" style="459" customWidth="1"/>
    <col min="2830" max="2830" width="9.140625" style="459"/>
    <col min="2831" max="2832" width="10.5703125" style="459" customWidth="1"/>
    <col min="2833" max="2833" width="9.42578125" style="459" customWidth="1"/>
    <col min="2834" max="3072" width="9.140625" style="459"/>
    <col min="3073" max="3073" width="5" style="459" customWidth="1"/>
    <col min="3074" max="3074" width="43" style="459" customWidth="1"/>
    <col min="3075" max="3075" width="10.140625" style="459" customWidth="1"/>
    <col min="3076" max="3076" width="45" style="459" customWidth="1"/>
    <col min="3077" max="3077" width="34.5703125" style="459" customWidth="1"/>
    <col min="3078" max="3078" width="20.42578125" style="459" customWidth="1"/>
    <col min="3079" max="3079" width="36" style="459" customWidth="1"/>
    <col min="3080" max="3082" width="9.140625" style="459"/>
    <col min="3083" max="3084" width="9.5703125" style="459" customWidth="1"/>
    <col min="3085" max="3085" width="9.42578125" style="459" customWidth="1"/>
    <col min="3086" max="3086" width="9.140625" style="459"/>
    <col min="3087" max="3088" width="10.5703125" style="459" customWidth="1"/>
    <col min="3089" max="3089" width="9.42578125" style="459" customWidth="1"/>
    <col min="3090" max="3328" width="9.140625" style="459"/>
    <col min="3329" max="3329" width="5" style="459" customWidth="1"/>
    <col min="3330" max="3330" width="43" style="459" customWidth="1"/>
    <col min="3331" max="3331" width="10.140625" style="459" customWidth="1"/>
    <col min="3332" max="3332" width="45" style="459" customWidth="1"/>
    <col min="3333" max="3333" width="34.5703125" style="459" customWidth="1"/>
    <col min="3334" max="3334" width="20.42578125" style="459" customWidth="1"/>
    <col min="3335" max="3335" width="36" style="459" customWidth="1"/>
    <col min="3336" max="3338" width="9.140625" style="459"/>
    <col min="3339" max="3340" width="9.5703125" style="459" customWidth="1"/>
    <col min="3341" max="3341" width="9.42578125" style="459" customWidth="1"/>
    <col min="3342" max="3342" width="9.140625" style="459"/>
    <col min="3343" max="3344" width="10.5703125" style="459" customWidth="1"/>
    <col min="3345" max="3345" width="9.42578125" style="459" customWidth="1"/>
    <col min="3346" max="3584" width="9.140625" style="459"/>
    <col min="3585" max="3585" width="5" style="459" customWidth="1"/>
    <col min="3586" max="3586" width="43" style="459" customWidth="1"/>
    <col min="3587" max="3587" width="10.140625" style="459" customWidth="1"/>
    <col min="3588" max="3588" width="45" style="459" customWidth="1"/>
    <col min="3589" max="3589" width="34.5703125" style="459" customWidth="1"/>
    <col min="3590" max="3590" width="20.42578125" style="459" customWidth="1"/>
    <col min="3591" max="3591" width="36" style="459" customWidth="1"/>
    <col min="3592" max="3594" width="9.140625" style="459"/>
    <col min="3595" max="3596" width="9.5703125" style="459" customWidth="1"/>
    <col min="3597" max="3597" width="9.42578125" style="459" customWidth="1"/>
    <col min="3598" max="3598" width="9.140625" style="459"/>
    <col min="3599" max="3600" width="10.5703125" style="459" customWidth="1"/>
    <col min="3601" max="3601" width="9.42578125" style="459" customWidth="1"/>
    <col min="3602" max="3840" width="9.140625" style="459"/>
    <col min="3841" max="3841" width="5" style="459" customWidth="1"/>
    <col min="3842" max="3842" width="43" style="459" customWidth="1"/>
    <col min="3843" max="3843" width="10.140625" style="459" customWidth="1"/>
    <col min="3844" max="3844" width="45" style="459" customWidth="1"/>
    <col min="3845" max="3845" width="34.5703125" style="459" customWidth="1"/>
    <col min="3846" max="3846" width="20.42578125" style="459" customWidth="1"/>
    <col min="3847" max="3847" width="36" style="459" customWidth="1"/>
    <col min="3848" max="3850" width="9.140625" style="459"/>
    <col min="3851" max="3852" width="9.5703125" style="459" customWidth="1"/>
    <col min="3853" max="3853" width="9.42578125" style="459" customWidth="1"/>
    <col min="3854" max="3854" width="9.140625" style="459"/>
    <col min="3855" max="3856" width="10.5703125" style="459" customWidth="1"/>
    <col min="3857" max="3857" width="9.42578125" style="459" customWidth="1"/>
    <col min="3858" max="4096" width="9.140625" style="459"/>
    <col min="4097" max="4097" width="5" style="459" customWidth="1"/>
    <col min="4098" max="4098" width="43" style="459" customWidth="1"/>
    <col min="4099" max="4099" width="10.140625" style="459" customWidth="1"/>
    <col min="4100" max="4100" width="45" style="459" customWidth="1"/>
    <col min="4101" max="4101" width="34.5703125" style="459" customWidth="1"/>
    <col min="4102" max="4102" width="20.42578125" style="459" customWidth="1"/>
    <col min="4103" max="4103" width="36" style="459" customWidth="1"/>
    <col min="4104" max="4106" width="9.140625" style="459"/>
    <col min="4107" max="4108" width="9.5703125" style="459" customWidth="1"/>
    <col min="4109" max="4109" width="9.42578125" style="459" customWidth="1"/>
    <col min="4110" max="4110" width="9.140625" style="459"/>
    <col min="4111" max="4112" width="10.5703125" style="459" customWidth="1"/>
    <col min="4113" max="4113" width="9.42578125" style="459" customWidth="1"/>
    <col min="4114" max="4352" width="9.140625" style="459"/>
    <col min="4353" max="4353" width="5" style="459" customWidth="1"/>
    <col min="4354" max="4354" width="43" style="459" customWidth="1"/>
    <col min="4355" max="4355" width="10.140625" style="459" customWidth="1"/>
    <col min="4356" max="4356" width="45" style="459" customWidth="1"/>
    <col min="4357" max="4357" width="34.5703125" style="459" customWidth="1"/>
    <col min="4358" max="4358" width="20.42578125" style="459" customWidth="1"/>
    <col min="4359" max="4359" width="36" style="459" customWidth="1"/>
    <col min="4360" max="4362" width="9.140625" style="459"/>
    <col min="4363" max="4364" width="9.5703125" style="459" customWidth="1"/>
    <col min="4365" max="4365" width="9.42578125" style="459" customWidth="1"/>
    <col min="4366" max="4366" width="9.140625" style="459"/>
    <col min="4367" max="4368" width="10.5703125" style="459" customWidth="1"/>
    <col min="4369" max="4369" width="9.42578125" style="459" customWidth="1"/>
    <col min="4370" max="4608" width="9.140625" style="459"/>
    <col min="4609" max="4609" width="5" style="459" customWidth="1"/>
    <col min="4610" max="4610" width="43" style="459" customWidth="1"/>
    <col min="4611" max="4611" width="10.140625" style="459" customWidth="1"/>
    <col min="4612" max="4612" width="45" style="459" customWidth="1"/>
    <col min="4613" max="4613" width="34.5703125" style="459" customWidth="1"/>
    <col min="4614" max="4614" width="20.42578125" style="459" customWidth="1"/>
    <col min="4615" max="4615" width="36" style="459" customWidth="1"/>
    <col min="4616" max="4618" width="9.140625" style="459"/>
    <col min="4619" max="4620" width="9.5703125" style="459" customWidth="1"/>
    <col min="4621" max="4621" width="9.42578125" style="459" customWidth="1"/>
    <col min="4622" max="4622" width="9.140625" style="459"/>
    <col min="4623" max="4624" width="10.5703125" style="459" customWidth="1"/>
    <col min="4625" max="4625" width="9.42578125" style="459" customWidth="1"/>
    <col min="4626" max="4864" width="9.140625" style="459"/>
    <col min="4865" max="4865" width="5" style="459" customWidth="1"/>
    <col min="4866" max="4866" width="43" style="459" customWidth="1"/>
    <col min="4867" max="4867" width="10.140625" style="459" customWidth="1"/>
    <col min="4868" max="4868" width="45" style="459" customWidth="1"/>
    <col min="4869" max="4869" width="34.5703125" style="459" customWidth="1"/>
    <col min="4870" max="4870" width="20.42578125" style="459" customWidth="1"/>
    <col min="4871" max="4871" width="36" style="459" customWidth="1"/>
    <col min="4872" max="4874" width="9.140625" style="459"/>
    <col min="4875" max="4876" width="9.5703125" style="459" customWidth="1"/>
    <col min="4877" max="4877" width="9.42578125" style="459" customWidth="1"/>
    <col min="4878" max="4878" width="9.140625" style="459"/>
    <col min="4879" max="4880" width="10.5703125" style="459" customWidth="1"/>
    <col min="4881" max="4881" width="9.42578125" style="459" customWidth="1"/>
    <col min="4882" max="5120" width="9.140625" style="459"/>
    <col min="5121" max="5121" width="5" style="459" customWidth="1"/>
    <col min="5122" max="5122" width="43" style="459" customWidth="1"/>
    <col min="5123" max="5123" width="10.140625" style="459" customWidth="1"/>
    <col min="5124" max="5124" width="45" style="459" customWidth="1"/>
    <col min="5125" max="5125" width="34.5703125" style="459" customWidth="1"/>
    <col min="5126" max="5126" width="20.42578125" style="459" customWidth="1"/>
    <col min="5127" max="5127" width="36" style="459" customWidth="1"/>
    <col min="5128" max="5130" width="9.140625" style="459"/>
    <col min="5131" max="5132" width="9.5703125" style="459" customWidth="1"/>
    <col min="5133" max="5133" width="9.42578125" style="459" customWidth="1"/>
    <col min="5134" max="5134" width="9.140625" style="459"/>
    <col min="5135" max="5136" width="10.5703125" style="459" customWidth="1"/>
    <col min="5137" max="5137" width="9.42578125" style="459" customWidth="1"/>
    <col min="5138" max="5376" width="9.140625" style="459"/>
    <col min="5377" max="5377" width="5" style="459" customWidth="1"/>
    <col min="5378" max="5378" width="43" style="459" customWidth="1"/>
    <col min="5379" max="5379" width="10.140625" style="459" customWidth="1"/>
    <col min="5380" max="5380" width="45" style="459" customWidth="1"/>
    <col min="5381" max="5381" width="34.5703125" style="459" customWidth="1"/>
    <col min="5382" max="5382" width="20.42578125" style="459" customWidth="1"/>
    <col min="5383" max="5383" width="36" style="459" customWidth="1"/>
    <col min="5384" max="5386" width="9.140625" style="459"/>
    <col min="5387" max="5388" width="9.5703125" style="459" customWidth="1"/>
    <col min="5389" max="5389" width="9.42578125" style="459" customWidth="1"/>
    <col min="5390" max="5390" width="9.140625" style="459"/>
    <col min="5391" max="5392" width="10.5703125" style="459" customWidth="1"/>
    <col min="5393" max="5393" width="9.42578125" style="459" customWidth="1"/>
    <col min="5394" max="5632" width="9.140625" style="459"/>
    <col min="5633" max="5633" width="5" style="459" customWidth="1"/>
    <col min="5634" max="5634" width="43" style="459" customWidth="1"/>
    <col min="5635" max="5635" width="10.140625" style="459" customWidth="1"/>
    <col min="5636" max="5636" width="45" style="459" customWidth="1"/>
    <col min="5637" max="5637" width="34.5703125" style="459" customWidth="1"/>
    <col min="5638" max="5638" width="20.42578125" style="459" customWidth="1"/>
    <col min="5639" max="5639" width="36" style="459" customWidth="1"/>
    <col min="5640" max="5642" width="9.140625" style="459"/>
    <col min="5643" max="5644" width="9.5703125" style="459" customWidth="1"/>
    <col min="5645" max="5645" width="9.42578125" style="459" customWidth="1"/>
    <col min="5646" max="5646" width="9.140625" style="459"/>
    <col min="5647" max="5648" width="10.5703125" style="459" customWidth="1"/>
    <col min="5649" max="5649" width="9.42578125" style="459" customWidth="1"/>
    <col min="5650" max="5888" width="9.140625" style="459"/>
    <col min="5889" max="5889" width="5" style="459" customWidth="1"/>
    <col min="5890" max="5890" width="43" style="459" customWidth="1"/>
    <col min="5891" max="5891" width="10.140625" style="459" customWidth="1"/>
    <col min="5892" max="5892" width="45" style="459" customWidth="1"/>
    <col min="5893" max="5893" width="34.5703125" style="459" customWidth="1"/>
    <col min="5894" max="5894" width="20.42578125" style="459" customWidth="1"/>
    <col min="5895" max="5895" width="36" style="459" customWidth="1"/>
    <col min="5896" max="5898" width="9.140625" style="459"/>
    <col min="5899" max="5900" width="9.5703125" style="459" customWidth="1"/>
    <col min="5901" max="5901" width="9.42578125" style="459" customWidth="1"/>
    <col min="5902" max="5902" width="9.140625" style="459"/>
    <col min="5903" max="5904" width="10.5703125" style="459" customWidth="1"/>
    <col min="5905" max="5905" width="9.42578125" style="459" customWidth="1"/>
    <col min="5906" max="6144" width="9.140625" style="459"/>
    <col min="6145" max="6145" width="5" style="459" customWidth="1"/>
    <col min="6146" max="6146" width="43" style="459" customWidth="1"/>
    <col min="6147" max="6147" width="10.140625" style="459" customWidth="1"/>
    <col min="6148" max="6148" width="45" style="459" customWidth="1"/>
    <col min="6149" max="6149" width="34.5703125" style="459" customWidth="1"/>
    <col min="6150" max="6150" width="20.42578125" style="459" customWidth="1"/>
    <col min="6151" max="6151" width="36" style="459" customWidth="1"/>
    <col min="6152" max="6154" width="9.140625" style="459"/>
    <col min="6155" max="6156" width="9.5703125" style="459" customWidth="1"/>
    <col min="6157" max="6157" width="9.42578125" style="459" customWidth="1"/>
    <col min="6158" max="6158" width="9.140625" style="459"/>
    <col min="6159" max="6160" width="10.5703125" style="459" customWidth="1"/>
    <col min="6161" max="6161" width="9.42578125" style="459" customWidth="1"/>
    <col min="6162" max="6400" width="9.140625" style="459"/>
    <col min="6401" max="6401" width="5" style="459" customWidth="1"/>
    <col min="6402" max="6402" width="43" style="459" customWidth="1"/>
    <col min="6403" max="6403" width="10.140625" style="459" customWidth="1"/>
    <col min="6404" max="6404" width="45" style="459" customWidth="1"/>
    <col min="6405" max="6405" width="34.5703125" style="459" customWidth="1"/>
    <col min="6406" max="6406" width="20.42578125" style="459" customWidth="1"/>
    <col min="6407" max="6407" width="36" style="459" customWidth="1"/>
    <col min="6408" max="6410" width="9.140625" style="459"/>
    <col min="6411" max="6412" width="9.5703125" style="459" customWidth="1"/>
    <col min="6413" max="6413" width="9.42578125" style="459" customWidth="1"/>
    <col min="6414" max="6414" width="9.140625" style="459"/>
    <col min="6415" max="6416" width="10.5703125" style="459" customWidth="1"/>
    <col min="6417" max="6417" width="9.42578125" style="459" customWidth="1"/>
    <col min="6418" max="6656" width="9.140625" style="459"/>
    <col min="6657" max="6657" width="5" style="459" customWidth="1"/>
    <col min="6658" max="6658" width="43" style="459" customWidth="1"/>
    <col min="6659" max="6659" width="10.140625" style="459" customWidth="1"/>
    <col min="6660" max="6660" width="45" style="459" customWidth="1"/>
    <col min="6661" max="6661" width="34.5703125" style="459" customWidth="1"/>
    <col min="6662" max="6662" width="20.42578125" style="459" customWidth="1"/>
    <col min="6663" max="6663" width="36" style="459" customWidth="1"/>
    <col min="6664" max="6666" width="9.140625" style="459"/>
    <col min="6667" max="6668" width="9.5703125" style="459" customWidth="1"/>
    <col min="6669" max="6669" width="9.42578125" style="459" customWidth="1"/>
    <col min="6670" max="6670" width="9.140625" style="459"/>
    <col min="6671" max="6672" width="10.5703125" style="459" customWidth="1"/>
    <col min="6673" max="6673" width="9.42578125" style="459" customWidth="1"/>
    <col min="6674" max="6912" width="9.140625" style="459"/>
    <col min="6913" max="6913" width="5" style="459" customWidth="1"/>
    <col min="6914" max="6914" width="43" style="459" customWidth="1"/>
    <col min="6915" max="6915" width="10.140625" style="459" customWidth="1"/>
    <col min="6916" max="6916" width="45" style="459" customWidth="1"/>
    <col min="6917" max="6917" width="34.5703125" style="459" customWidth="1"/>
    <col min="6918" max="6918" width="20.42578125" style="459" customWidth="1"/>
    <col min="6919" max="6919" width="36" style="459" customWidth="1"/>
    <col min="6920" max="6922" width="9.140625" style="459"/>
    <col min="6923" max="6924" width="9.5703125" style="459" customWidth="1"/>
    <col min="6925" max="6925" width="9.42578125" style="459" customWidth="1"/>
    <col min="6926" max="6926" width="9.140625" style="459"/>
    <col min="6927" max="6928" width="10.5703125" style="459" customWidth="1"/>
    <col min="6929" max="6929" width="9.42578125" style="459" customWidth="1"/>
    <col min="6930" max="7168" width="9.140625" style="459"/>
    <col min="7169" max="7169" width="5" style="459" customWidth="1"/>
    <col min="7170" max="7170" width="43" style="459" customWidth="1"/>
    <col min="7171" max="7171" width="10.140625" style="459" customWidth="1"/>
    <col min="7172" max="7172" width="45" style="459" customWidth="1"/>
    <col min="7173" max="7173" width="34.5703125" style="459" customWidth="1"/>
    <col min="7174" max="7174" width="20.42578125" style="459" customWidth="1"/>
    <col min="7175" max="7175" width="36" style="459" customWidth="1"/>
    <col min="7176" max="7178" width="9.140625" style="459"/>
    <col min="7179" max="7180" width="9.5703125" style="459" customWidth="1"/>
    <col min="7181" max="7181" width="9.42578125" style="459" customWidth="1"/>
    <col min="7182" max="7182" width="9.140625" style="459"/>
    <col min="7183" max="7184" width="10.5703125" style="459" customWidth="1"/>
    <col min="7185" max="7185" width="9.42578125" style="459" customWidth="1"/>
    <col min="7186" max="7424" width="9.140625" style="459"/>
    <col min="7425" max="7425" width="5" style="459" customWidth="1"/>
    <col min="7426" max="7426" width="43" style="459" customWidth="1"/>
    <col min="7427" max="7427" width="10.140625" style="459" customWidth="1"/>
    <col min="7428" max="7428" width="45" style="459" customWidth="1"/>
    <col min="7429" max="7429" width="34.5703125" style="459" customWidth="1"/>
    <col min="7430" max="7430" width="20.42578125" style="459" customWidth="1"/>
    <col min="7431" max="7431" width="36" style="459" customWidth="1"/>
    <col min="7432" max="7434" width="9.140625" style="459"/>
    <col min="7435" max="7436" width="9.5703125" style="459" customWidth="1"/>
    <col min="7437" max="7437" width="9.42578125" style="459" customWidth="1"/>
    <col min="7438" max="7438" width="9.140625" style="459"/>
    <col min="7439" max="7440" width="10.5703125" style="459" customWidth="1"/>
    <col min="7441" max="7441" width="9.42578125" style="459" customWidth="1"/>
    <col min="7442" max="7680" width="9.140625" style="459"/>
    <col min="7681" max="7681" width="5" style="459" customWidth="1"/>
    <col min="7682" max="7682" width="43" style="459" customWidth="1"/>
    <col min="7683" max="7683" width="10.140625" style="459" customWidth="1"/>
    <col min="7684" max="7684" width="45" style="459" customWidth="1"/>
    <col min="7685" max="7685" width="34.5703125" style="459" customWidth="1"/>
    <col min="7686" max="7686" width="20.42578125" style="459" customWidth="1"/>
    <col min="7687" max="7687" width="36" style="459" customWidth="1"/>
    <col min="7688" max="7690" width="9.140625" style="459"/>
    <col min="7691" max="7692" width="9.5703125" style="459" customWidth="1"/>
    <col min="7693" max="7693" width="9.42578125" style="459" customWidth="1"/>
    <col min="7694" max="7694" width="9.140625" style="459"/>
    <col min="7695" max="7696" width="10.5703125" style="459" customWidth="1"/>
    <col min="7697" max="7697" width="9.42578125" style="459" customWidth="1"/>
    <col min="7698" max="7936" width="9.140625" style="459"/>
    <col min="7937" max="7937" width="5" style="459" customWidth="1"/>
    <col min="7938" max="7938" width="43" style="459" customWidth="1"/>
    <col min="7939" max="7939" width="10.140625" style="459" customWidth="1"/>
    <col min="7940" max="7940" width="45" style="459" customWidth="1"/>
    <col min="7941" max="7941" width="34.5703125" style="459" customWidth="1"/>
    <col min="7942" max="7942" width="20.42578125" style="459" customWidth="1"/>
    <col min="7943" max="7943" width="36" style="459" customWidth="1"/>
    <col min="7944" max="7946" width="9.140625" style="459"/>
    <col min="7947" max="7948" width="9.5703125" style="459" customWidth="1"/>
    <col min="7949" max="7949" width="9.42578125" style="459" customWidth="1"/>
    <col min="7950" max="7950" width="9.140625" style="459"/>
    <col min="7951" max="7952" width="10.5703125" style="459" customWidth="1"/>
    <col min="7953" max="7953" width="9.42578125" style="459" customWidth="1"/>
    <col min="7954" max="8192" width="9.140625" style="459"/>
    <col min="8193" max="8193" width="5" style="459" customWidth="1"/>
    <col min="8194" max="8194" width="43" style="459" customWidth="1"/>
    <col min="8195" max="8195" width="10.140625" style="459" customWidth="1"/>
    <col min="8196" max="8196" width="45" style="459" customWidth="1"/>
    <col min="8197" max="8197" width="34.5703125" style="459" customWidth="1"/>
    <col min="8198" max="8198" width="20.42578125" style="459" customWidth="1"/>
    <col min="8199" max="8199" width="36" style="459" customWidth="1"/>
    <col min="8200" max="8202" width="9.140625" style="459"/>
    <col min="8203" max="8204" width="9.5703125" style="459" customWidth="1"/>
    <col min="8205" max="8205" width="9.42578125" style="459" customWidth="1"/>
    <col min="8206" max="8206" width="9.140625" style="459"/>
    <col min="8207" max="8208" width="10.5703125" style="459" customWidth="1"/>
    <col min="8209" max="8209" width="9.42578125" style="459" customWidth="1"/>
    <col min="8210" max="8448" width="9.140625" style="459"/>
    <col min="8449" max="8449" width="5" style="459" customWidth="1"/>
    <col min="8450" max="8450" width="43" style="459" customWidth="1"/>
    <col min="8451" max="8451" width="10.140625" style="459" customWidth="1"/>
    <col min="8452" max="8452" width="45" style="459" customWidth="1"/>
    <col min="8453" max="8453" width="34.5703125" style="459" customWidth="1"/>
    <col min="8454" max="8454" width="20.42578125" style="459" customWidth="1"/>
    <col min="8455" max="8455" width="36" style="459" customWidth="1"/>
    <col min="8456" max="8458" width="9.140625" style="459"/>
    <col min="8459" max="8460" width="9.5703125" style="459" customWidth="1"/>
    <col min="8461" max="8461" width="9.42578125" style="459" customWidth="1"/>
    <col min="8462" max="8462" width="9.140625" style="459"/>
    <col min="8463" max="8464" width="10.5703125" style="459" customWidth="1"/>
    <col min="8465" max="8465" width="9.42578125" style="459" customWidth="1"/>
    <col min="8466" max="8704" width="9.140625" style="459"/>
    <col min="8705" max="8705" width="5" style="459" customWidth="1"/>
    <col min="8706" max="8706" width="43" style="459" customWidth="1"/>
    <col min="8707" max="8707" width="10.140625" style="459" customWidth="1"/>
    <col min="8708" max="8708" width="45" style="459" customWidth="1"/>
    <col min="8709" max="8709" width="34.5703125" style="459" customWidth="1"/>
    <col min="8710" max="8710" width="20.42578125" style="459" customWidth="1"/>
    <col min="8711" max="8711" width="36" style="459" customWidth="1"/>
    <col min="8712" max="8714" width="9.140625" style="459"/>
    <col min="8715" max="8716" width="9.5703125" style="459" customWidth="1"/>
    <col min="8717" max="8717" width="9.42578125" style="459" customWidth="1"/>
    <col min="8718" max="8718" width="9.140625" style="459"/>
    <col min="8719" max="8720" width="10.5703125" style="459" customWidth="1"/>
    <col min="8721" max="8721" width="9.42578125" style="459" customWidth="1"/>
    <col min="8722" max="8960" width="9.140625" style="459"/>
    <col min="8961" max="8961" width="5" style="459" customWidth="1"/>
    <col min="8962" max="8962" width="43" style="459" customWidth="1"/>
    <col min="8963" max="8963" width="10.140625" style="459" customWidth="1"/>
    <col min="8964" max="8964" width="45" style="459" customWidth="1"/>
    <col min="8965" max="8965" width="34.5703125" style="459" customWidth="1"/>
    <col min="8966" max="8966" width="20.42578125" style="459" customWidth="1"/>
    <col min="8967" max="8967" width="36" style="459" customWidth="1"/>
    <col min="8968" max="8970" width="9.140625" style="459"/>
    <col min="8971" max="8972" width="9.5703125" style="459" customWidth="1"/>
    <col min="8973" max="8973" width="9.42578125" style="459" customWidth="1"/>
    <col min="8974" max="8974" width="9.140625" style="459"/>
    <col min="8975" max="8976" width="10.5703125" style="459" customWidth="1"/>
    <col min="8977" max="8977" width="9.42578125" style="459" customWidth="1"/>
    <col min="8978" max="9216" width="9.140625" style="459"/>
    <col min="9217" max="9217" width="5" style="459" customWidth="1"/>
    <col min="9218" max="9218" width="43" style="459" customWidth="1"/>
    <col min="9219" max="9219" width="10.140625" style="459" customWidth="1"/>
    <col min="9220" max="9220" width="45" style="459" customWidth="1"/>
    <col min="9221" max="9221" width="34.5703125" style="459" customWidth="1"/>
    <col min="9222" max="9222" width="20.42578125" style="459" customWidth="1"/>
    <col min="9223" max="9223" width="36" style="459" customWidth="1"/>
    <col min="9224" max="9226" width="9.140625" style="459"/>
    <col min="9227" max="9228" width="9.5703125" style="459" customWidth="1"/>
    <col min="9229" max="9229" width="9.42578125" style="459" customWidth="1"/>
    <col min="9230" max="9230" width="9.140625" style="459"/>
    <col min="9231" max="9232" width="10.5703125" style="459" customWidth="1"/>
    <col min="9233" max="9233" width="9.42578125" style="459" customWidth="1"/>
    <col min="9234" max="9472" width="9.140625" style="459"/>
    <col min="9473" max="9473" width="5" style="459" customWidth="1"/>
    <col min="9474" max="9474" width="43" style="459" customWidth="1"/>
    <col min="9475" max="9475" width="10.140625" style="459" customWidth="1"/>
    <col min="9476" max="9476" width="45" style="459" customWidth="1"/>
    <col min="9477" max="9477" width="34.5703125" style="459" customWidth="1"/>
    <col min="9478" max="9478" width="20.42578125" style="459" customWidth="1"/>
    <col min="9479" max="9479" width="36" style="459" customWidth="1"/>
    <col min="9480" max="9482" width="9.140625" style="459"/>
    <col min="9483" max="9484" width="9.5703125" style="459" customWidth="1"/>
    <col min="9485" max="9485" width="9.42578125" style="459" customWidth="1"/>
    <col min="9486" max="9486" width="9.140625" style="459"/>
    <col min="9487" max="9488" width="10.5703125" style="459" customWidth="1"/>
    <col min="9489" max="9489" width="9.42578125" style="459" customWidth="1"/>
    <col min="9490" max="9728" width="9.140625" style="459"/>
    <col min="9729" max="9729" width="5" style="459" customWidth="1"/>
    <col min="9730" max="9730" width="43" style="459" customWidth="1"/>
    <col min="9731" max="9731" width="10.140625" style="459" customWidth="1"/>
    <col min="9732" max="9732" width="45" style="459" customWidth="1"/>
    <col min="9733" max="9733" width="34.5703125" style="459" customWidth="1"/>
    <col min="9734" max="9734" width="20.42578125" style="459" customWidth="1"/>
    <col min="9735" max="9735" width="36" style="459" customWidth="1"/>
    <col min="9736" max="9738" width="9.140625" style="459"/>
    <col min="9739" max="9740" width="9.5703125" style="459" customWidth="1"/>
    <col min="9741" max="9741" width="9.42578125" style="459" customWidth="1"/>
    <col min="9742" max="9742" width="9.140625" style="459"/>
    <col min="9743" max="9744" width="10.5703125" style="459" customWidth="1"/>
    <col min="9745" max="9745" width="9.42578125" style="459" customWidth="1"/>
    <col min="9746" max="9984" width="9.140625" style="459"/>
    <col min="9985" max="9985" width="5" style="459" customWidth="1"/>
    <col min="9986" max="9986" width="43" style="459" customWidth="1"/>
    <col min="9987" max="9987" width="10.140625" style="459" customWidth="1"/>
    <col min="9988" max="9988" width="45" style="459" customWidth="1"/>
    <col min="9989" max="9989" width="34.5703125" style="459" customWidth="1"/>
    <col min="9990" max="9990" width="20.42578125" style="459" customWidth="1"/>
    <col min="9991" max="9991" width="36" style="459" customWidth="1"/>
    <col min="9992" max="9994" width="9.140625" style="459"/>
    <col min="9995" max="9996" width="9.5703125" style="459" customWidth="1"/>
    <col min="9997" max="9997" width="9.42578125" style="459" customWidth="1"/>
    <col min="9998" max="9998" width="9.140625" style="459"/>
    <col min="9999" max="10000" width="10.5703125" style="459" customWidth="1"/>
    <col min="10001" max="10001" width="9.42578125" style="459" customWidth="1"/>
    <col min="10002" max="10240" width="9.140625" style="459"/>
    <col min="10241" max="10241" width="5" style="459" customWidth="1"/>
    <col min="10242" max="10242" width="43" style="459" customWidth="1"/>
    <col min="10243" max="10243" width="10.140625" style="459" customWidth="1"/>
    <col min="10244" max="10244" width="45" style="459" customWidth="1"/>
    <col min="10245" max="10245" width="34.5703125" style="459" customWidth="1"/>
    <col min="10246" max="10246" width="20.42578125" style="459" customWidth="1"/>
    <col min="10247" max="10247" width="36" style="459" customWidth="1"/>
    <col min="10248" max="10250" width="9.140625" style="459"/>
    <col min="10251" max="10252" width="9.5703125" style="459" customWidth="1"/>
    <col min="10253" max="10253" width="9.42578125" style="459" customWidth="1"/>
    <col min="10254" max="10254" width="9.140625" style="459"/>
    <col min="10255" max="10256" width="10.5703125" style="459" customWidth="1"/>
    <col min="10257" max="10257" width="9.42578125" style="459" customWidth="1"/>
    <col min="10258" max="10496" width="9.140625" style="459"/>
    <col min="10497" max="10497" width="5" style="459" customWidth="1"/>
    <col min="10498" max="10498" width="43" style="459" customWidth="1"/>
    <col min="10499" max="10499" width="10.140625" style="459" customWidth="1"/>
    <col min="10500" max="10500" width="45" style="459" customWidth="1"/>
    <col min="10501" max="10501" width="34.5703125" style="459" customWidth="1"/>
    <col min="10502" max="10502" width="20.42578125" style="459" customWidth="1"/>
    <col min="10503" max="10503" width="36" style="459" customWidth="1"/>
    <col min="10504" max="10506" width="9.140625" style="459"/>
    <col min="10507" max="10508" width="9.5703125" style="459" customWidth="1"/>
    <col min="10509" max="10509" width="9.42578125" style="459" customWidth="1"/>
    <col min="10510" max="10510" width="9.140625" style="459"/>
    <col min="10511" max="10512" width="10.5703125" style="459" customWidth="1"/>
    <col min="10513" max="10513" width="9.42578125" style="459" customWidth="1"/>
    <col min="10514" max="10752" width="9.140625" style="459"/>
    <col min="10753" max="10753" width="5" style="459" customWidth="1"/>
    <col min="10754" max="10754" width="43" style="459" customWidth="1"/>
    <col min="10755" max="10755" width="10.140625" style="459" customWidth="1"/>
    <col min="10756" max="10756" width="45" style="459" customWidth="1"/>
    <col min="10757" max="10757" width="34.5703125" style="459" customWidth="1"/>
    <col min="10758" max="10758" width="20.42578125" style="459" customWidth="1"/>
    <col min="10759" max="10759" width="36" style="459" customWidth="1"/>
    <col min="10760" max="10762" width="9.140625" style="459"/>
    <col min="10763" max="10764" width="9.5703125" style="459" customWidth="1"/>
    <col min="10765" max="10765" width="9.42578125" style="459" customWidth="1"/>
    <col min="10766" max="10766" width="9.140625" style="459"/>
    <col min="10767" max="10768" width="10.5703125" style="459" customWidth="1"/>
    <col min="10769" max="10769" width="9.42578125" style="459" customWidth="1"/>
    <col min="10770" max="11008" width="9.140625" style="459"/>
    <col min="11009" max="11009" width="5" style="459" customWidth="1"/>
    <col min="11010" max="11010" width="43" style="459" customWidth="1"/>
    <col min="11011" max="11011" width="10.140625" style="459" customWidth="1"/>
    <col min="11012" max="11012" width="45" style="459" customWidth="1"/>
    <col min="11013" max="11013" width="34.5703125" style="459" customWidth="1"/>
    <col min="11014" max="11014" width="20.42578125" style="459" customWidth="1"/>
    <col min="11015" max="11015" width="36" style="459" customWidth="1"/>
    <col min="11016" max="11018" width="9.140625" style="459"/>
    <col min="11019" max="11020" width="9.5703125" style="459" customWidth="1"/>
    <col min="11021" max="11021" width="9.42578125" style="459" customWidth="1"/>
    <col min="11022" max="11022" width="9.140625" style="459"/>
    <col min="11023" max="11024" width="10.5703125" style="459" customWidth="1"/>
    <col min="11025" max="11025" width="9.42578125" style="459" customWidth="1"/>
    <col min="11026" max="11264" width="9.140625" style="459"/>
    <col min="11265" max="11265" width="5" style="459" customWidth="1"/>
    <col min="11266" max="11266" width="43" style="459" customWidth="1"/>
    <col min="11267" max="11267" width="10.140625" style="459" customWidth="1"/>
    <col min="11268" max="11268" width="45" style="459" customWidth="1"/>
    <col min="11269" max="11269" width="34.5703125" style="459" customWidth="1"/>
    <col min="11270" max="11270" width="20.42578125" style="459" customWidth="1"/>
    <col min="11271" max="11271" width="36" style="459" customWidth="1"/>
    <col min="11272" max="11274" width="9.140625" style="459"/>
    <col min="11275" max="11276" width="9.5703125" style="459" customWidth="1"/>
    <col min="11277" max="11277" width="9.42578125" style="459" customWidth="1"/>
    <col min="11278" max="11278" width="9.140625" style="459"/>
    <col min="11279" max="11280" width="10.5703125" style="459" customWidth="1"/>
    <col min="11281" max="11281" width="9.42578125" style="459" customWidth="1"/>
    <col min="11282" max="11520" width="9.140625" style="459"/>
    <col min="11521" max="11521" width="5" style="459" customWidth="1"/>
    <col min="11522" max="11522" width="43" style="459" customWidth="1"/>
    <col min="11523" max="11523" width="10.140625" style="459" customWidth="1"/>
    <col min="11524" max="11524" width="45" style="459" customWidth="1"/>
    <col min="11525" max="11525" width="34.5703125" style="459" customWidth="1"/>
    <col min="11526" max="11526" width="20.42578125" style="459" customWidth="1"/>
    <col min="11527" max="11527" width="36" style="459" customWidth="1"/>
    <col min="11528" max="11530" width="9.140625" style="459"/>
    <col min="11531" max="11532" width="9.5703125" style="459" customWidth="1"/>
    <col min="11533" max="11533" width="9.42578125" style="459" customWidth="1"/>
    <col min="11534" max="11534" width="9.140625" style="459"/>
    <col min="11535" max="11536" width="10.5703125" style="459" customWidth="1"/>
    <col min="11537" max="11537" width="9.42578125" style="459" customWidth="1"/>
    <col min="11538" max="11776" width="9.140625" style="459"/>
    <col min="11777" max="11777" width="5" style="459" customWidth="1"/>
    <col min="11778" max="11778" width="43" style="459" customWidth="1"/>
    <col min="11779" max="11779" width="10.140625" style="459" customWidth="1"/>
    <col min="11780" max="11780" width="45" style="459" customWidth="1"/>
    <col min="11781" max="11781" width="34.5703125" style="459" customWidth="1"/>
    <col min="11782" max="11782" width="20.42578125" style="459" customWidth="1"/>
    <col min="11783" max="11783" width="36" style="459" customWidth="1"/>
    <col min="11784" max="11786" width="9.140625" style="459"/>
    <col min="11787" max="11788" width="9.5703125" style="459" customWidth="1"/>
    <col min="11789" max="11789" width="9.42578125" style="459" customWidth="1"/>
    <col min="11790" max="11790" width="9.140625" style="459"/>
    <col min="11791" max="11792" width="10.5703125" style="459" customWidth="1"/>
    <col min="11793" max="11793" width="9.42578125" style="459" customWidth="1"/>
    <col min="11794" max="12032" width="9.140625" style="459"/>
    <col min="12033" max="12033" width="5" style="459" customWidth="1"/>
    <col min="12034" max="12034" width="43" style="459" customWidth="1"/>
    <col min="12035" max="12035" width="10.140625" style="459" customWidth="1"/>
    <col min="12036" max="12036" width="45" style="459" customWidth="1"/>
    <col min="12037" max="12037" width="34.5703125" style="459" customWidth="1"/>
    <col min="12038" max="12038" width="20.42578125" style="459" customWidth="1"/>
    <col min="12039" max="12039" width="36" style="459" customWidth="1"/>
    <col min="12040" max="12042" width="9.140625" style="459"/>
    <col min="12043" max="12044" width="9.5703125" style="459" customWidth="1"/>
    <col min="12045" max="12045" width="9.42578125" style="459" customWidth="1"/>
    <col min="12046" max="12046" width="9.140625" style="459"/>
    <col min="12047" max="12048" width="10.5703125" style="459" customWidth="1"/>
    <col min="12049" max="12049" width="9.42578125" style="459" customWidth="1"/>
    <col min="12050" max="12288" width="9.140625" style="459"/>
    <col min="12289" max="12289" width="5" style="459" customWidth="1"/>
    <col min="12290" max="12290" width="43" style="459" customWidth="1"/>
    <col min="12291" max="12291" width="10.140625" style="459" customWidth="1"/>
    <col min="12292" max="12292" width="45" style="459" customWidth="1"/>
    <col min="12293" max="12293" width="34.5703125" style="459" customWidth="1"/>
    <col min="12294" max="12294" width="20.42578125" style="459" customWidth="1"/>
    <col min="12295" max="12295" width="36" style="459" customWidth="1"/>
    <col min="12296" max="12298" width="9.140625" style="459"/>
    <col min="12299" max="12300" width="9.5703125" style="459" customWidth="1"/>
    <col min="12301" max="12301" width="9.42578125" style="459" customWidth="1"/>
    <col min="12302" max="12302" width="9.140625" style="459"/>
    <col min="12303" max="12304" width="10.5703125" style="459" customWidth="1"/>
    <col min="12305" max="12305" width="9.42578125" style="459" customWidth="1"/>
    <col min="12306" max="12544" width="9.140625" style="459"/>
    <col min="12545" max="12545" width="5" style="459" customWidth="1"/>
    <col min="12546" max="12546" width="43" style="459" customWidth="1"/>
    <col min="12547" max="12547" width="10.140625" style="459" customWidth="1"/>
    <col min="12548" max="12548" width="45" style="459" customWidth="1"/>
    <col min="12549" max="12549" width="34.5703125" style="459" customWidth="1"/>
    <col min="12550" max="12550" width="20.42578125" style="459" customWidth="1"/>
    <col min="12551" max="12551" width="36" style="459" customWidth="1"/>
    <col min="12552" max="12554" width="9.140625" style="459"/>
    <col min="12555" max="12556" width="9.5703125" style="459" customWidth="1"/>
    <col min="12557" max="12557" width="9.42578125" style="459" customWidth="1"/>
    <col min="12558" max="12558" width="9.140625" style="459"/>
    <col min="12559" max="12560" width="10.5703125" style="459" customWidth="1"/>
    <col min="12561" max="12561" width="9.42578125" style="459" customWidth="1"/>
    <col min="12562" max="12800" width="9.140625" style="459"/>
    <col min="12801" max="12801" width="5" style="459" customWidth="1"/>
    <col min="12802" max="12802" width="43" style="459" customWidth="1"/>
    <col min="12803" max="12803" width="10.140625" style="459" customWidth="1"/>
    <col min="12804" max="12804" width="45" style="459" customWidth="1"/>
    <col min="12805" max="12805" width="34.5703125" style="459" customWidth="1"/>
    <col min="12806" max="12806" width="20.42578125" style="459" customWidth="1"/>
    <col min="12807" max="12807" width="36" style="459" customWidth="1"/>
    <col min="12808" max="12810" width="9.140625" style="459"/>
    <col min="12811" max="12812" width="9.5703125" style="459" customWidth="1"/>
    <col min="12813" max="12813" width="9.42578125" style="459" customWidth="1"/>
    <col min="12814" max="12814" width="9.140625" style="459"/>
    <col min="12815" max="12816" width="10.5703125" style="459" customWidth="1"/>
    <col min="12817" max="12817" width="9.42578125" style="459" customWidth="1"/>
    <col min="12818" max="13056" width="9.140625" style="459"/>
    <col min="13057" max="13057" width="5" style="459" customWidth="1"/>
    <col min="13058" max="13058" width="43" style="459" customWidth="1"/>
    <col min="13059" max="13059" width="10.140625" style="459" customWidth="1"/>
    <col min="13060" max="13060" width="45" style="459" customWidth="1"/>
    <col min="13061" max="13061" width="34.5703125" style="459" customWidth="1"/>
    <col min="13062" max="13062" width="20.42578125" style="459" customWidth="1"/>
    <col min="13063" max="13063" width="36" style="459" customWidth="1"/>
    <col min="13064" max="13066" width="9.140625" style="459"/>
    <col min="13067" max="13068" width="9.5703125" style="459" customWidth="1"/>
    <col min="13069" max="13069" width="9.42578125" style="459" customWidth="1"/>
    <col min="13070" max="13070" width="9.140625" style="459"/>
    <col min="13071" max="13072" width="10.5703125" style="459" customWidth="1"/>
    <col min="13073" max="13073" width="9.42578125" style="459" customWidth="1"/>
    <col min="13074" max="13312" width="9.140625" style="459"/>
    <col min="13313" max="13313" width="5" style="459" customWidth="1"/>
    <col min="13314" max="13314" width="43" style="459" customWidth="1"/>
    <col min="13315" max="13315" width="10.140625" style="459" customWidth="1"/>
    <col min="13316" max="13316" width="45" style="459" customWidth="1"/>
    <col min="13317" max="13317" width="34.5703125" style="459" customWidth="1"/>
    <col min="13318" max="13318" width="20.42578125" style="459" customWidth="1"/>
    <col min="13319" max="13319" width="36" style="459" customWidth="1"/>
    <col min="13320" max="13322" width="9.140625" style="459"/>
    <col min="13323" max="13324" width="9.5703125" style="459" customWidth="1"/>
    <col min="13325" max="13325" width="9.42578125" style="459" customWidth="1"/>
    <col min="13326" max="13326" width="9.140625" style="459"/>
    <col min="13327" max="13328" width="10.5703125" style="459" customWidth="1"/>
    <col min="13329" max="13329" width="9.42578125" style="459" customWidth="1"/>
    <col min="13330" max="13568" width="9.140625" style="459"/>
    <col min="13569" max="13569" width="5" style="459" customWidth="1"/>
    <col min="13570" max="13570" width="43" style="459" customWidth="1"/>
    <col min="13571" max="13571" width="10.140625" style="459" customWidth="1"/>
    <col min="13572" max="13572" width="45" style="459" customWidth="1"/>
    <col min="13573" max="13573" width="34.5703125" style="459" customWidth="1"/>
    <col min="13574" max="13574" width="20.42578125" style="459" customWidth="1"/>
    <col min="13575" max="13575" width="36" style="459" customWidth="1"/>
    <col min="13576" max="13578" width="9.140625" style="459"/>
    <col min="13579" max="13580" width="9.5703125" style="459" customWidth="1"/>
    <col min="13581" max="13581" width="9.42578125" style="459" customWidth="1"/>
    <col min="13582" max="13582" width="9.140625" style="459"/>
    <col min="13583" max="13584" width="10.5703125" style="459" customWidth="1"/>
    <col min="13585" max="13585" width="9.42578125" style="459" customWidth="1"/>
    <col min="13586" max="13824" width="9.140625" style="459"/>
    <col min="13825" max="13825" width="5" style="459" customWidth="1"/>
    <col min="13826" max="13826" width="43" style="459" customWidth="1"/>
    <col min="13827" max="13827" width="10.140625" style="459" customWidth="1"/>
    <col min="13828" max="13828" width="45" style="459" customWidth="1"/>
    <col min="13829" max="13829" width="34.5703125" style="459" customWidth="1"/>
    <col min="13830" max="13830" width="20.42578125" style="459" customWidth="1"/>
    <col min="13831" max="13831" width="36" style="459" customWidth="1"/>
    <col min="13832" max="13834" width="9.140625" style="459"/>
    <col min="13835" max="13836" width="9.5703125" style="459" customWidth="1"/>
    <col min="13837" max="13837" width="9.42578125" style="459" customWidth="1"/>
    <col min="13838" max="13838" width="9.140625" style="459"/>
    <col min="13839" max="13840" width="10.5703125" style="459" customWidth="1"/>
    <col min="13841" max="13841" width="9.42578125" style="459" customWidth="1"/>
    <col min="13842" max="14080" width="9.140625" style="459"/>
    <col min="14081" max="14081" width="5" style="459" customWidth="1"/>
    <col min="14082" max="14082" width="43" style="459" customWidth="1"/>
    <col min="14083" max="14083" width="10.140625" style="459" customWidth="1"/>
    <col min="14084" max="14084" width="45" style="459" customWidth="1"/>
    <col min="14085" max="14085" width="34.5703125" style="459" customWidth="1"/>
    <col min="14086" max="14086" width="20.42578125" style="459" customWidth="1"/>
    <col min="14087" max="14087" width="36" style="459" customWidth="1"/>
    <col min="14088" max="14090" width="9.140625" style="459"/>
    <col min="14091" max="14092" width="9.5703125" style="459" customWidth="1"/>
    <col min="14093" max="14093" width="9.42578125" style="459" customWidth="1"/>
    <col min="14094" max="14094" width="9.140625" style="459"/>
    <col min="14095" max="14096" width="10.5703125" style="459" customWidth="1"/>
    <col min="14097" max="14097" width="9.42578125" style="459" customWidth="1"/>
    <col min="14098" max="14336" width="9.140625" style="459"/>
    <col min="14337" max="14337" width="5" style="459" customWidth="1"/>
    <col min="14338" max="14338" width="43" style="459" customWidth="1"/>
    <col min="14339" max="14339" width="10.140625" style="459" customWidth="1"/>
    <col min="14340" max="14340" width="45" style="459" customWidth="1"/>
    <col min="14341" max="14341" width="34.5703125" style="459" customWidth="1"/>
    <col min="14342" max="14342" width="20.42578125" style="459" customWidth="1"/>
    <col min="14343" max="14343" width="36" style="459" customWidth="1"/>
    <col min="14344" max="14346" width="9.140625" style="459"/>
    <col min="14347" max="14348" width="9.5703125" style="459" customWidth="1"/>
    <col min="14349" max="14349" width="9.42578125" style="459" customWidth="1"/>
    <col min="14350" max="14350" width="9.140625" style="459"/>
    <col min="14351" max="14352" width="10.5703125" style="459" customWidth="1"/>
    <col min="14353" max="14353" width="9.42578125" style="459" customWidth="1"/>
    <col min="14354" max="14592" width="9.140625" style="459"/>
    <col min="14593" max="14593" width="5" style="459" customWidth="1"/>
    <col min="14594" max="14594" width="43" style="459" customWidth="1"/>
    <col min="14595" max="14595" width="10.140625" style="459" customWidth="1"/>
    <col min="14596" max="14596" width="45" style="459" customWidth="1"/>
    <col min="14597" max="14597" width="34.5703125" style="459" customWidth="1"/>
    <col min="14598" max="14598" width="20.42578125" style="459" customWidth="1"/>
    <col min="14599" max="14599" width="36" style="459" customWidth="1"/>
    <col min="14600" max="14602" width="9.140625" style="459"/>
    <col min="14603" max="14604" width="9.5703125" style="459" customWidth="1"/>
    <col min="14605" max="14605" width="9.42578125" style="459" customWidth="1"/>
    <col min="14606" max="14606" width="9.140625" style="459"/>
    <col min="14607" max="14608" width="10.5703125" style="459" customWidth="1"/>
    <col min="14609" max="14609" width="9.42578125" style="459" customWidth="1"/>
    <col min="14610" max="14848" width="9.140625" style="459"/>
    <col min="14849" max="14849" width="5" style="459" customWidth="1"/>
    <col min="14850" max="14850" width="43" style="459" customWidth="1"/>
    <col min="14851" max="14851" width="10.140625" style="459" customWidth="1"/>
    <col min="14852" max="14852" width="45" style="459" customWidth="1"/>
    <col min="14853" max="14853" width="34.5703125" style="459" customWidth="1"/>
    <col min="14854" max="14854" width="20.42578125" style="459" customWidth="1"/>
    <col min="14855" max="14855" width="36" style="459" customWidth="1"/>
    <col min="14856" max="14858" width="9.140625" style="459"/>
    <col min="14859" max="14860" width="9.5703125" style="459" customWidth="1"/>
    <col min="14861" max="14861" width="9.42578125" style="459" customWidth="1"/>
    <col min="14862" max="14862" width="9.140625" style="459"/>
    <col min="14863" max="14864" width="10.5703125" style="459" customWidth="1"/>
    <col min="14865" max="14865" width="9.42578125" style="459" customWidth="1"/>
    <col min="14866" max="15104" width="9.140625" style="459"/>
    <col min="15105" max="15105" width="5" style="459" customWidth="1"/>
    <col min="15106" max="15106" width="43" style="459" customWidth="1"/>
    <col min="15107" max="15107" width="10.140625" style="459" customWidth="1"/>
    <col min="15108" max="15108" width="45" style="459" customWidth="1"/>
    <col min="15109" max="15109" width="34.5703125" style="459" customWidth="1"/>
    <col min="15110" max="15110" width="20.42578125" style="459" customWidth="1"/>
    <col min="15111" max="15111" width="36" style="459" customWidth="1"/>
    <col min="15112" max="15114" width="9.140625" style="459"/>
    <col min="15115" max="15116" width="9.5703125" style="459" customWidth="1"/>
    <col min="15117" max="15117" width="9.42578125" style="459" customWidth="1"/>
    <col min="15118" max="15118" width="9.140625" style="459"/>
    <col min="15119" max="15120" width="10.5703125" style="459" customWidth="1"/>
    <col min="15121" max="15121" width="9.42578125" style="459" customWidth="1"/>
    <col min="15122" max="15360" width="9.140625" style="459"/>
    <col min="15361" max="15361" width="5" style="459" customWidth="1"/>
    <col min="15362" max="15362" width="43" style="459" customWidth="1"/>
    <col min="15363" max="15363" width="10.140625" style="459" customWidth="1"/>
    <col min="15364" max="15364" width="45" style="459" customWidth="1"/>
    <col min="15365" max="15365" width="34.5703125" style="459" customWidth="1"/>
    <col min="15366" max="15366" width="20.42578125" style="459" customWidth="1"/>
    <col min="15367" max="15367" width="36" style="459" customWidth="1"/>
    <col min="15368" max="15370" width="9.140625" style="459"/>
    <col min="15371" max="15372" width="9.5703125" style="459" customWidth="1"/>
    <col min="15373" max="15373" width="9.42578125" style="459" customWidth="1"/>
    <col min="15374" max="15374" width="9.140625" style="459"/>
    <col min="15375" max="15376" width="10.5703125" style="459" customWidth="1"/>
    <col min="15377" max="15377" width="9.42578125" style="459" customWidth="1"/>
    <col min="15378" max="15616" width="9.140625" style="459"/>
    <col min="15617" max="15617" width="5" style="459" customWidth="1"/>
    <col min="15618" max="15618" width="43" style="459" customWidth="1"/>
    <col min="15619" max="15619" width="10.140625" style="459" customWidth="1"/>
    <col min="15620" max="15620" width="45" style="459" customWidth="1"/>
    <col min="15621" max="15621" width="34.5703125" style="459" customWidth="1"/>
    <col min="15622" max="15622" width="20.42578125" style="459" customWidth="1"/>
    <col min="15623" max="15623" width="36" style="459" customWidth="1"/>
    <col min="15624" max="15626" width="9.140625" style="459"/>
    <col min="15627" max="15628" width="9.5703125" style="459" customWidth="1"/>
    <col min="15629" max="15629" width="9.42578125" style="459" customWidth="1"/>
    <col min="15630" max="15630" width="9.140625" style="459"/>
    <col min="15631" max="15632" width="10.5703125" style="459" customWidth="1"/>
    <col min="15633" max="15633" width="9.42578125" style="459" customWidth="1"/>
    <col min="15634" max="15872" width="9.140625" style="459"/>
    <col min="15873" max="15873" width="5" style="459" customWidth="1"/>
    <col min="15874" max="15874" width="43" style="459" customWidth="1"/>
    <col min="15875" max="15875" width="10.140625" style="459" customWidth="1"/>
    <col min="15876" max="15876" width="45" style="459" customWidth="1"/>
    <col min="15877" max="15877" width="34.5703125" style="459" customWidth="1"/>
    <col min="15878" max="15878" width="20.42578125" style="459" customWidth="1"/>
    <col min="15879" max="15879" width="36" style="459" customWidth="1"/>
    <col min="15880" max="15882" width="9.140625" style="459"/>
    <col min="15883" max="15884" width="9.5703125" style="459" customWidth="1"/>
    <col min="15885" max="15885" width="9.42578125" style="459" customWidth="1"/>
    <col min="15886" max="15886" width="9.140625" style="459"/>
    <col min="15887" max="15888" width="10.5703125" style="459" customWidth="1"/>
    <col min="15889" max="15889" width="9.42578125" style="459" customWidth="1"/>
    <col min="15890" max="16128" width="9.140625" style="459"/>
    <col min="16129" max="16129" width="5" style="459" customWidth="1"/>
    <col min="16130" max="16130" width="43" style="459" customWidth="1"/>
    <col min="16131" max="16131" width="10.140625" style="459" customWidth="1"/>
    <col min="16132" max="16132" width="45" style="459" customWidth="1"/>
    <col min="16133" max="16133" width="34.5703125" style="459" customWidth="1"/>
    <col min="16134" max="16134" width="20.42578125" style="459" customWidth="1"/>
    <col min="16135" max="16135" width="36" style="459" customWidth="1"/>
    <col min="16136" max="16138" width="9.140625" style="459"/>
    <col min="16139" max="16140" width="9.5703125" style="459" customWidth="1"/>
    <col min="16141" max="16141" width="9.42578125" style="459" customWidth="1"/>
    <col min="16142" max="16142" width="9.140625" style="459"/>
    <col min="16143" max="16144" width="10.5703125" style="459" customWidth="1"/>
    <col min="16145" max="16145" width="9.42578125" style="459" customWidth="1"/>
    <col min="16146" max="16384" width="9.140625" style="459"/>
  </cols>
  <sheetData>
    <row r="1" spans="1:252" ht="127.5" x14ac:dyDescent="0.2">
      <c r="A1" s="494"/>
      <c r="B1" s="495"/>
      <c r="C1" s="495"/>
      <c r="D1" s="495"/>
      <c r="E1" s="495"/>
      <c r="F1" s="495"/>
      <c r="G1" s="495"/>
      <c r="H1" s="495"/>
      <c r="I1" s="495"/>
      <c r="J1" s="495"/>
      <c r="K1" s="496"/>
      <c r="L1" s="496"/>
      <c r="M1" s="496"/>
      <c r="N1" s="495"/>
      <c r="O1" s="523" t="s">
        <v>15</v>
      </c>
      <c r="P1" s="523"/>
      <c r="Q1" s="523"/>
      <c r="R1" s="524"/>
      <c r="S1" s="524"/>
      <c r="T1" s="524"/>
      <c r="U1" s="524"/>
      <c r="V1" s="524"/>
      <c r="W1" s="524"/>
      <c r="X1" s="524"/>
      <c r="Y1" s="524"/>
      <c r="Z1" s="524"/>
      <c r="AA1" s="524"/>
      <c r="AB1" s="524"/>
      <c r="AC1" s="524"/>
      <c r="AD1" s="524"/>
      <c r="AE1" s="524"/>
      <c r="AF1" s="524"/>
      <c r="AG1" s="524"/>
      <c r="AH1" s="524"/>
      <c r="AI1" s="524"/>
      <c r="AJ1" s="524"/>
      <c r="AK1" s="524"/>
      <c r="AL1" s="524"/>
      <c r="AM1" s="524"/>
      <c r="AN1" s="524"/>
      <c r="AO1" s="524"/>
      <c r="AP1" s="524"/>
      <c r="AQ1" s="524"/>
      <c r="AR1" s="524"/>
      <c r="AS1" s="524"/>
      <c r="AT1" s="524"/>
      <c r="AU1" s="524"/>
      <c r="AV1" s="524"/>
      <c r="AW1" s="524"/>
      <c r="AX1" s="524"/>
      <c r="AY1" s="524"/>
      <c r="AZ1" s="524"/>
      <c r="BA1" s="524"/>
      <c r="BB1" s="524"/>
      <c r="BC1" s="524"/>
      <c r="BD1" s="524"/>
      <c r="BE1" s="524"/>
      <c r="BF1" s="524"/>
      <c r="BG1" s="524"/>
      <c r="BH1" s="524"/>
      <c r="BI1" s="524"/>
      <c r="BJ1" s="524"/>
      <c r="BK1" s="524"/>
      <c r="BL1" s="524"/>
      <c r="BM1" s="524"/>
      <c r="BN1" s="524"/>
      <c r="BO1" s="524"/>
      <c r="BP1" s="524"/>
      <c r="BQ1" s="524"/>
      <c r="BR1" s="524"/>
      <c r="BS1" s="524"/>
      <c r="BT1" s="524"/>
      <c r="BU1" s="524"/>
      <c r="BV1" s="524"/>
      <c r="BW1" s="524"/>
      <c r="BX1" s="524"/>
      <c r="BY1" s="524"/>
      <c r="BZ1" s="524"/>
      <c r="CA1" s="524"/>
      <c r="CB1" s="524"/>
      <c r="CC1" s="524"/>
      <c r="CD1" s="524"/>
      <c r="CE1" s="524"/>
      <c r="CF1" s="524"/>
      <c r="CG1" s="524"/>
      <c r="CH1" s="524"/>
      <c r="CI1" s="524"/>
      <c r="CJ1" s="524"/>
      <c r="CK1" s="524"/>
      <c r="CL1" s="524"/>
      <c r="CM1" s="524"/>
      <c r="CN1" s="524"/>
      <c r="CO1" s="524"/>
      <c r="CP1" s="524"/>
      <c r="CQ1" s="524"/>
      <c r="CR1" s="524"/>
      <c r="CS1" s="524"/>
      <c r="CT1" s="524"/>
      <c r="CU1" s="524"/>
      <c r="CV1" s="524"/>
      <c r="CW1" s="524"/>
      <c r="CX1" s="524"/>
      <c r="CY1" s="524"/>
      <c r="CZ1" s="524"/>
      <c r="DA1" s="524"/>
      <c r="DB1" s="524"/>
      <c r="DC1" s="524"/>
      <c r="DD1" s="524"/>
      <c r="DE1" s="524"/>
      <c r="DF1" s="524"/>
      <c r="DG1" s="524"/>
      <c r="DH1" s="524"/>
      <c r="DI1" s="524"/>
      <c r="DJ1" s="524"/>
      <c r="DK1" s="524"/>
      <c r="DL1" s="524"/>
      <c r="DM1" s="524"/>
      <c r="DN1" s="524"/>
      <c r="DO1" s="524"/>
      <c r="DP1" s="524"/>
      <c r="DQ1" s="524"/>
      <c r="DR1" s="524"/>
      <c r="DS1" s="524"/>
      <c r="DT1" s="524"/>
      <c r="DU1" s="524"/>
      <c r="DV1" s="524"/>
      <c r="DW1" s="524"/>
      <c r="DX1" s="524"/>
      <c r="DY1" s="524"/>
      <c r="DZ1" s="524"/>
      <c r="EA1" s="524"/>
      <c r="EB1" s="524"/>
      <c r="EC1" s="524"/>
      <c r="ED1" s="524"/>
      <c r="EE1" s="524"/>
      <c r="EF1" s="524"/>
      <c r="EG1" s="524"/>
      <c r="EH1" s="524"/>
      <c r="EI1" s="524"/>
      <c r="EJ1" s="524"/>
      <c r="EK1" s="524"/>
      <c r="EL1" s="524"/>
      <c r="EM1" s="524"/>
      <c r="EN1" s="524"/>
      <c r="EO1" s="524"/>
      <c r="EP1" s="524"/>
      <c r="EQ1" s="524"/>
      <c r="ER1" s="524"/>
      <c r="ES1" s="524"/>
      <c r="ET1" s="524"/>
      <c r="EU1" s="524"/>
      <c r="EV1" s="524"/>
      <c r="EW1" s="524"/>
      <c r="EX1" s="524"/>
      <c r="EY1" s="524"/>
      <c r="EZ1" s="524"/>
      <c r="FA1" s="524"/>
      <c r="FB1" s="524"/>
      <c r="FC1" s="524"/>
      <c r="FD1" s="524"/>
      <c r="FE1" s="524"/>
      <c r="FF1" s="524"/>
      <c r="FG1" s="524"/>
      <c r="FH1" s="524"/>
      <c r="FI1" s="524"/>
      <c r="FJ1" s="524"/>
      <c r="FK1" s="524"/>
      <c r="FL1" s="524"/>
      <c r="FM1" s="524"/>
      <c r="FN1" s="524"/>
      <c r="FO1" s="524"/>
      <c r="FP1" s="524"/>
      <c r="FQ1" s="524"/>
      <c r="FR1" s="524"/>
      <c r="FS1" s="524"/>
      <c r="FT1" s="524"/>
      <c r="FU1" s="524"/>
      <c r="FV1" s="524"/>
      <c r="FW1" s="524"/>
      <c r="FX1" s="524"/>
      <c r="FY1" s="524"/>
      <c r="FZ1" s="524"/>
      <c r="GA1" s="524"/>
      <c r="GB1" s="524"/>
      <c r="GC1" s="524"/>
      <c r="GD1" s="524"/>
      <c r="GE1" s="524"/>
      <c r="GF1" s="524"/>
      <c r="GG1" s="524"/>
      <c r="GH1" s="524"/>
      <c r="GI1" s="524"/>
      <c r="GJ1" s="524"/>
      <c r="GK1" s="524"/>
      <c r="GL1" s="524"/>
      <c r="GM1" s="524"/>
      <c r="GN1" s="524"/>
      <c r="GO1" s="524"/>
      <c r="GP1" s="524"/>
      <c r="GQ1" s="524"/>
      <c r="GR1" s="524"/>
      <c r="GS1" s="524"/>
      <c r="GT1" s="524"/>
      <c r="GU1" s="524"/>
      <c r="GV1" s="524"/>
      <c r="GW1" s="524"/>
      <c r="GX1" s="524"/>
      <c r="GY1" s="524"/>
      <c r="GZ1" s="524"/>
      <c r="HA1" s="524"/>
      <c r="HB1" s="524"/>
      <c r="HC1" s="524"/>
      <c r="HD1" s="524"/>
      <c r="HE1" s="524"/>
      <c r="HF1" s="524"/>
      <c r="HG1" s="524"/>
      <c r="HH1" s="524"/>
      <c r="HI1" s="524"/>
      <c r="HJ1" s="524"/>
      <c r="HK1" s="524"/>
      <c r="HL1" s="524"/>
      <c r="HM1" s="524"/>
      <c r="HN1" s="524"/>
      <c r="HO1" s="524"/>
      <c r="HP1" s="524"/>
      <c r="HQ1" s="524"/>
      <c r="HR1" s="524"/>
      <c r="HS1" s="524"/>
      <c r="HT1" s="524"/>
      <c r="HU1" s="524"/>
      <c r="HV1" s="524"/>
      <c r="HW1" s="524"/>
      <c r="HX1" s="524"/>
      <c r="HY1" s="524"/>
      <c r="HZ1" s="524"/>
      <c r="IA1" s="524"/>
      <c r="IB1" s="524"/>
      <c r="IC1" s="524"/>
      <c r="ID1" s="524"/>
      <c r="IE1" s="524"/>
      <c r="IF1" s="524"/>
      <c r="IG1" s="524"/>
      <c r="IH1" s="524"/>
      <c r="II1" s="524"/>
      <c r="IJ1" s="524"/>
      <c r="IK1" s="524"/>
      <c r="IL1" s="524"/>
      <c r="IM1" s="524"/>
      <c r="IN1" s="524"/>
      <c r="IO1" s="524"/>
      <c r="IP1" s="524"/>
      <c r="IQ1" s="524"/>
      <c r="IR1" s="524"/>
    </row>
    <row r="2" spans="1:252" x14ac:dyDescent="0.2">
      <c r="A2" s="494"/>
      <c r="B2" s="495"/>
      <c r="C2" s="495"/>
      <c r="D2" s="495"/>
      <c r="E2" s="495"/>
      <c r="F2" s="495"/>
      <c r="G2" s="495"/>
      <c r="H2" s="495"/>
      <c r="I2" s="495"/>
      <c r="J2" s="495"/>
      <c r="K2" s="496"/>
      <c r="L2" s="496"/>
      <c r="M2" s="496"/>
      <c r="N2" s="495"/>
      <c r="O2" s="496"/>
      <c r="P2" s="496"/>
      <c r="Q2" s="496"/>
      <c r="R2" s="524"/>
      <c r="S2" s="524"/>
      <c r="T2" s="524"/>
      <c r="U2" s="524"/>
      <c r="V2" s="524"/>
      <c r="W2" s="524"/>
      <c r="X2" s="524"/>
      <c r="Y2" s="524"/>
      <c r="Z2" s="524"/>
      <c r="AA2" s="524"/>
      <c r="AB2" s="524"/>
      <c r="AC2" s="524"/>
      <c r="AD2" s="524"/>
      <c r="AE2" s="524"/>
      <c r="AF2" s="524"/>
      <c r="AG2" s="524"/>
      <c r="AH2" s="524"/>
      <c r="AI2" s="524"/>
      <c r="AJ2" s="524"/>
      <c r="AK2" s="524"/>
      <c r="AL2" s="524"/>
      <c r="AM2" s="524"/>
      <c r="AN2" s="524"/>
      <c r="AO2" s="524"/>
      <c r="AP2" s="524"/>
      <c r="AQ2" s="524"/>
      <c r="AR2" s="524"/>
      <c r="AS2" s="524"/>
      <c r="AT2" s="524"/>
      <c r="AU2" s="524"/>
      <c r="AV2" s="524"/>
      <c r="AW2" s="524"/>
      <c r="AX2" s="524"/>
      <c r="AY2" s="524"/>
      <c r="AZ2" s="524"/>
      <c r="BA2" s="524"/>
      <c r="BB2" s="524"/>
      <c r="BC2" s="524"/>
      <c r="BD2" s="524"/>
      <c r="BE2" s="524"/>
      <c r="BF2" s="524"/>
      <c r="BG2" s="524"/>
      <c r="BH2" s="524"/>
      <c r="BI2" s="524"/>
      <c r="BJ2" s="524"/>
      <c r="BK2" s="524"/>
      <c r="BL2" s="524"/>
      <c r="BM2" s="524"/>
      <c r="BN2" s="524"/>
      <c r="BO2" s="524"/>
      <c r="BP2" s="524"/>
      <c r="BQ2" s="524"/>
      <c r="BR2" s="524"/>
      <c r="BS2" s="524"/>
      <c r="BT2" s="524"/>
      <c r="BU2" s="524"/>
      <c r="BV2" s="524"/>
      <c r="BW2" s="524"/>
      <c r="BX2" s="524"/>
      <c r="BY2" s="524"/>
      <c r="BZ2" s="524"/>
      <c r="CA2" s="524"/>
      <c r="CB2" s="524"/>
      <c r="CC2" s="524"/>
      <c r="CD2" s="524"/>
      <c r="CE2" s="524"/>
      <c r="CF2" s="524"/>
      <c r="CG2" s="524"/>
      <c r="CH2" s="524"/>
      <c r="CI2" s="524"/>
      <c r="CJ2" s="524"/>
      <c r="CK2" s="524"/>
      <c r="CL2" s="524"/>
      <c r="CM2" s="524"/>
      <c r="CN2" s="524"/>
      <c r="CO2" s="524"/>
      <c r="CP2" s="524"/>
      <c r="CQ2" s="524"/>
      <c r="CR2" s="524"/>
      <c r="CS2" s="524"/>
      <c r="CT2" s="524"/>
      <c r="CU2" s="524"/>
      <c r="CV2" s="524"/>
      <c r="CW2" s="524"/>
      <c r="CX2" s="524"/>
      <c r="CY2" s="524"/>
      <c r="CZ2" s="524"/>
      <c r="DA2" s="524"/>
      <c r="DB2" s="524"/>
      <c r="DC2" s="524"/>
      <c r="DD2" s="524"/>
      <c r="DE2" s="524"/>
      <c r="DF2" s="524"/>
      <c r="DG2" s="524"/>
      <c r="DH2" s="524"/>
      <c r="DI2" s="524"/>
      <c r="DJ2" s="524"/>
      <c r="DK2" s="524"/>
      <c r="DL2" s="524"/>
      <c r="DM2" s="524"/>
      <c r="DN2" s="524"/>
      <c r="DO2" s="524"/>
      <c r="DP2" s="524"/>
      <c r="DQ2" s="524"/>
      <c r="DR2" s="524"/>
      <c r="DS2" s="524"/>
      <c r="DT2" s="524"/>
      <c r="DU2" s="524"/>
      <c r="DV2" s="524"/>
      <c r="DW2" s="524"/>
      <c r="DX2" s="524"/>
      <c r="DY2" s="524"/>
      <c r="DZ2" s="524"/>
      <c r="EA2" s="524"/>
      <c r="EB2" s="524"/>
      <c r="EC2" s="524"/>
      <c r="ED2" s="524"/>
      <c r="EE2" s="524"/>
      <c r="EF2" s="524"/>
      <c r="EG2" s="524"/>
      <c r="EH2" s="524"/>
      <c r="EI2" s="524"/>
      <c r="EJ2" s="524"/>
      <c r="EK2" s="524"/>
      <c r="EL2" s="524"/>
      <c r="EM2" s="524"/>
      <c r="EN2" s="524"/>
      <c r="EO2" s="524"/>
      <c r="EP2" s="524"/>
      <c r="EQ2" s="524"/>
      <c r="ER2" s="524"/>
      <c r="ES2" s="524"/>
      <c r="ET2" s="524"/>
      <c r="EU2" s="524"/>
      <c r="EV2" s="524"/>
      <c r="EW2" s="524"/>
      <c r="EX2" s="524"/>
      <c r="EY2" s="524"/>
      <c r="EZ2" s="524"/>
      <c r="FA2" s="524"/>
      <c r="FB2" s="524"/>
      <c r="FC2" s="524"/>
      <c r="FD2" s="524"/>
      <c r="FE2" s="524"/>
      <c r="FF2" s="524"/>
      <c r="FG2" s="524"/>
      <c r="FH2" s="524"/>
      <c r="FI2" s="524"/>
      <c r="FJ2" s="524"/>
      <c r="FK2" s="524"/>
      <c r="FL2" s="524"/>
      <c r="FM2" s="524"/>
      <c r="FN2" s="524"/>
      <c r="FO2" s="524"/>
      <c r="FP2" s="524"/>
      <c r="FQ2" s="524"/>
      <c r="FR2" s="524"/>
      <c r="FS2" s="524"/>
      <c r="FT2" s="524"/>
      <c r="FU2" s="524"/>
      <c r="FV2" s="524"/>
      <c r="FW2" s="524"/>
      <c r="FX2" s="524"/>
      <c r="FY2" s="524"/>
      <c r="FZ2" s="524"/>
      <c r="GA2" s="524"/>
      <c r="GB2" s="524"/>
      <c r="GC2" s="524"/>
      <c r="GD2" s="524"/>
      <c r="GE2" s="524"/>
      <c r="GF2" s="524"/>
      <c r="GG2" s="524"/>
      <c r="GH2" s="524"/>
      <c r="GI2" s="524"/>
      <c r="GJ2" s="524"/>
      <c r="GK2" s="524"/>
      <c r="GL2" s="524"/>
      <c r="GM2" s="524"/>
      <c r="GN2" s="524"/>
      <c r="GO2" s="524"/>
      <c r="GP2" s="524"/>
      <c r="GQ2" s="524"/>
      <c r="GR2" s="524"/>
      <c r="GS2" s="524"/>
      <c r="GT2" s="524"/>
      <c r="GU2" s="524"/>
      <c r="GV2" s="524"/>
      <c r="GW2" s="524"/>
      <c r="GX2" s="524"/>
      <c r="GY2" s="524"/>
      <c r="GZ2" s="524"/>
      <c r="HA2" s="524"/>
      <c r="HB2" s="524"/>
      <c r="HC2" s="524"/>
      <c r="HD2" s="524"/>
      <c r="HE2" s="524"/>
      <c r="HF2" s="524"/>
      <c r="HG2" s="524"/>
      <c r="HH2" s="524"/>
      <c r="HI2" s="524"/>
      <c r="HJ2" s="524"/>
      <c r="HK2" s="524"/>
      <c r="HL2" s="524"/>
      <c r="HM2" s="524"/>
      <c r="HN2" s="524"/>
      <c r="HO2" s="524"/>
      <c r="HP2" s="524"/>
      <c r="HQ2" s="524"/>
      <c r="HR2" s="524"/>
      <c r="HS2" s="524"/>
      <c r="HT2" s="524"/>
      <c r="HU2" s="524"/>
      <c r="HV2" s="524"/>
      <c r="HW2" s="524"/>
      <c r="HX2" s="524"/>
      <c r="HY2" s="524"/>
      <c r="HZ2" s="524"/>
      <c r="IA2" s="524"/>
      <c r="IB2" s="524"/>
      <c r="IC2" s="524"/>
      <c r="ID2" s="524"/>
      <c r="IE2" s="524"/>
      <c r="IF2" s="524"/>
      <c r="IG2" s="524"/>
      <c r="IH2" s="524"/>
      <c r="II2" s="524"/>
      <c r="IJ2" s="524"/>
      <c r="IK2" s="524"/>
      <c r="IL2" s="524"/>
      <c r="IM2" s="524"/>
      <c r="IN2" s="524"/>
      <c r="IO2" s="524"/>
      <c r="IP2" s="524"/>
      <c r="IQ2" s="524"/>
      <c r="IR2" s="524"/>
    </row>
    <row r="3" spans="1:252" ht="15" x14ac:dyDescent="0.2">
      <c r="A3" s="497" t="s">
        <v>669</v>
      </c>
      <c r="B3" s="497"/>
      <c r="C3" s="497"/>
      <c r="D3" s="497"/>
      <c r="E3" s="497"/>
      <c r="F3" s="497"/>
      <c r="G3" s="497"/>
      <c r="H3" s="497"/>
      <c r="I3" s="497"/>
      <c r="J3" s="497"/>
      <c r="K3" s="497"/>
      <c r="L3" s="497"/>
      <c r="M3" s="497"/>
      <c r="N3" s="497"/>
      <c r="O3" s="497"/>
      <c r="P3" s="497"/>
      <c r="Q3" s="497"/>
      <c r="R3" s="524"/>
      <c r="S3" s="524"/>
      <c r="T3" s="524"/>
      <c r="U3" s="524"/>
      <c r="V3" s="524"/>
      <c r="W3" s="524"/>
      <c r="X3" s="524"/>
      <c r="Y3" s="524"/>
      <c r="Z3" s="524"/>
      <c r="AA3" s="524"/>
      <c r="AB3" s="524"/>
      <c r="AC3" s="524"/>
      <c r="AD3" s="524"/>
      <c r="AE3" s="524"/>
      <c r="AF3" s="524"/>
      <c r="AG3" s="524"/>
      <c r="AH3" s="524"/>
      <c r="AI3" s="524"/>
      <c r="AJ3" s="524"/>
      <c r="AK3" s="524"/>
      <c r="AL3" s="524"/>
      <c r="AM3" s="524"/>
      <c r="AN3" s="524"/>
      <c r="AO3" s="524"/>
      <c r="AP3" s="524"/>
      <c r="AQ3" s="524"/>
      <c r="AR3" s="524"/>
      <c r="AS3" s="524"/>
      <c r="AT3" s="524"/>
      <c r="AU3" s="524"/>
      <c r="AV3" s="524"/>
      <c r="AW3" s="524"/>
      <c r="AX3" s="524"/>
      <c r="AY3" s="524"/>
      <c r="AZ3" s="524"/>
      <c r="BA3" s="524"/>
      <c r="BB3" s="524"/>
      <c r="BC3" s="524"/>
      <c r="BD3" s="524"/>
      <c r="BE3" s="524"/>
      <c r="BF3" s="524"/>
      <c r="BG3" s="524"/>
      <c r="BH3" s="524"/>
      <c r="BI3" s="524"/>
      <c r="BJ3" s="524"/>
      <c r="BK3" s="524"/>
      <c r="BL3" s="524"/>
      <c r="BM3" s="524"/>
      <c r="BN3" s="524"/>
      <c r="BO3" s="524"/>
      <c r="BP3" s="524"/>
      <c r="BQ3" s="524"/>
      <c r="BR3" s="524"/>
      <c r="BS3" s="524"/>
      <c r="BT3" s="524"/>
      <c r="BU3" s="524"/>
      <c r="BV3" s="524"/>
      <c r="BW3" s="524"/>
      <c r="BX3" s="524"/>
      <c r="BY3" s="524"/>
      <c r="BZ3" s="524"/>
      <c r="CA3" s="524"/>
      <c r="CB3" s="524"/>
      <c r="CC3" s="524"/>
      <c r="CD3" s="524"/>
      <c r="CE3" s="524"/>
      <c r="CF3" s="524"/>
      <c r="CG3" s="524"/>
      <c r="CH3" s="524"/>
      <c r="CI3" s="524"/>
      <c r="CJ3" s="524"/>
      <c r="CK3" s="524"/>
      <c r="CL3" s="524"/>
      <c r="CM3" s="524"/>
      <c r="CN3" s="524"/>
      <c r="CO3" s="524"/>
      <c r="CP3" s="524"/>
      <c r="CQ3" s="524"/>
      <c r="CR3" s="524"/>
      <c r="CS3" s="524"/>
      <c r="CT3" s="524"/>
      <c r="CU3" s="524"/>
      <c r="CV3" s="524"/>
      <c r="CW3" s="524"/>
      <c r="CX3" s="524"/>
      <c r="CY3" s="524"/>
      <c r="CZ3" s="524"/>
      <c r="DA3" s="524"/>
      <c r="DB3" s="524"/>
      <c r="DC3" s="524"/>
      <c r="DD3" s="524"/>
      <c r="DE3" s="524"/>
      <c r="DF3" s="524"/>
      <c r="DG3" s="524"/>
      <c r="DH3" s="524"/>
      <c r="DI3" s="524"/>
      <c r="DJ3" s="524"/>
      <c r="DK3" s="524"/>
      <c r="DL3" s="524"/>
      <c r="DM3" s="524"/>
      <c r="DN3" s="524"/>
      <c r="DO3" s="524"/>
      <c r="DP3" s="524"/>
      <c r="DQ3" s="524"/>
      <c r="DR3" s="524"/>
      <c r="DS3" s="524"/>
      <c r="DT3" s="524"/>
      <c r="DU3" s="524"/>
      <c r="DV3" s="524"/>
      <c r="DW3" s="524"/>
      <c r="DX3" s="524"/>
      <c r="DY3" s="524"/>
      <c r="DZ3" s="524"/>
      <c r="EA3" s="524"/>
      <c r="EB3" s="524"/>
      <c r="EC3" s="524"/>
      <c r="ED3" s="524"/>
      <c r="EE3" s="524"/>
      <c r="EF3" s="524"/>
      <c r="EG3" s="524"/>
      <c r="EH3" s="524"/>
      <c r="EI3" s="524"/>
      <c r="EJ3" s="524"/>
      <c r="EK3" s="524"/>
      <c r="EL3" s="524"/>
      <c r="EM3" s="524"/>
      <c r="EN3" s="524"/>
      <c r="EO3" s="524"/>
      <c r="EP3" s="524"/>
      <c r="EQ3" s="524"/>
      <c r="ER3" s="524"/>
      <c r="ES3" s="524"/>
      <c r="ET3" s="524"/>
      <c r="EU3" s="524"/>
      <c r="EV3" s="524"/>
      <c r="EW3" s="524"/>
      <c r="EX3" s="524"/>
      <c r="EY3" s="524"/>
      <c r="EZ3" s="524"/>
      <c r="FA3" s="524"/>
      <c r="FB3" s="524"/>
      <c r="FC3" s="524"/>
      <c r="FD3" s="524"/>
      <c r="FE3" s="524"/>
      <c r="FF3" s="524"/>
      <c r="FG3" s="524"/>
      <c r="FH3" s="524"/>
      <c r="FI3" s="524"/>
      <c r="FJ3" s="524"/>
      <c r="FK3" s="524"/>
      <c r="FL3" s="524"/>
      <c r="FM3" s="524"/>
      <c r="FN3" s="524"/>
      <c r="FO3" s="524"/>
      <c r="FP3" s="524"/>
      <c r="FQ3" s="524"/>
      <c r="FR3" s="524"/>
      <c r="FS3" s="524"/>
      <c r="FT3" s="524"/>
      <c r="FU3" s="524"/>
      <c r="FV3" s="524"/>
      <c r="FW3" s="524"/>
      <c r="FX3" s="524"/>
      <c r="FY3" s="524"/>
      <c r="FZ3" s="524"/>
      <c r="GA3" s="524"/>
      <c r="GB3" s="524"/>
      <c r="GC3" s="524"/>
      <c r="GD3" s="524"/>
      <c r="GE3" s="524"/>
      <c r="GF3" s="524"/>
      <c r="GG3" s="524"/>
      <c r="GH3" s="524"/>
      <c r="GI3" s="524"/>
      <c r="GJ3" s="524"/>
      <c r="GK3" s="524"/>
      <c r="GL3" s="524"/>
      <c r="GM3" s="524"/>
      <c r="GN3" s="524"/>
      <c r="GO3" s="524"/>
      <c r="GP3" s="524"/>
      <c r="GQ3" s="524"/>
      <c r="GR3" s="524"/>
      <c r="GS3" s="524"/>
      <c r="GT3" s="524"/>
      <c r="GU3" s="524"/>
      <c r="GV3" s="524"/>
      <c r="GW3" s="524"/>
      <c r="GX3" s="524"/>
      <c r="GY3" s="524"/>
      <c r="GZ3" s="524"/>
      <c r="HA3" s="524"/>
      <c r="HB3" s="524"/>
      <c r="HC3" s="524"/>
      <c r="HD3" s="524"/>
      <c r="HE3" s="524"/>
      <c r="HF3" s="524"/>
      <c r="HG3" s="524"/>
      <c r="HH3" s="524"/>
      <c r="HI3" s="524"/>
      <c r="HJ3" s="524"/>
      <c r="HK3" s="524"/>
      <c r="HL3" s="524"/>
      <c r="HM3" s="524"/>
      <c r="HN3" s="524"/>
      <c r="HO3" s="524"/>
      <c r="HP3" s="524"/>
      <c r="HQ3" s="524"/>
      <c r="HR3" s="524"/>
      <c r="HS3" s="524"/>
      <c r="HT3" s="524"/>
      <c r="HU3" s="524"/>
      <c r="HV3" s="524"/>
      <c r="HW3" s="524"/>
      <c r="HX3" s="524"/>
      <c r="HY3" s="524"/>
      <c r="HZ3" s="524"/>
      <c r="IA3" s="524"/>
      <c r="IB3" s="524"/>
      <c r="IC3" s="524"/>
      <c r="ID3" s="524"/>
      <c r="IE3" s="524"/>
      <c r="IF3" s="524"/>
      <c r="IG3" s="524"/>
      <c r="IH3" s="524"/>
      <c r="II3" s="524"/>
      <c r="IJ3" s="524"/>
      <c r="IK3" s="524"/>
      <c r="IL3" s="524"/>
      <c r="IM3" s="524"/>
      <c r="IN3" s="524"/>
      <c r="IO3" s="524"/>
      <c r="IP3" s="524"/>
      <c r="IQ3" s="524"/>
      <c r="IR3" s="524"/>
    </row>
    <row r="4" spans="1:252" ht="18.75" x14ac:dyDescent="0.2">
      <c r="A4" s="498" t="s">
        <v>16</v>
      </c>
      <c r="B4" s="498"/>
      <c r="C4" s="498"/>
      <c r="D4" s="498"/>
      <c r="E4" s="498"/>
      <c r="F4" s="498"/>
      <c r="G4" s="498"/>
      <c r="H4" s="498"/>
      <c r="I4" s="498"/>
      <c r="J4" s="498"/>
      <c r="K4" s="498"/>
      <c r="L4" s="498"/>
      <c r="M4" s="498"/>
      <c r="N4" s="498"/>
      <c r="O4" s="498"/>
      <c r="P4" s="498"/>
      <c r="Q4" s="498"/>
      <c r="R4" s="524"/>
      <c r="S4" s="524"/>
      <c r="T4" s="524"/>
      <c r="U4" s="524"/>
      <c r="V4" s="524"/>
      <c r="W4" s="524"/>
      <c r="X4" s="524"/>
      <c r="Y4" s="524"/>
      <c r="Z4" s="524"/>
      <c r="AA4" s="524"/>
      <c r="AB4" s="524"/>
      <c r="AC4" s="524"/>
      <c r="AD4" s="524"/>
      <c r="AE4" s="524"/>
      <c r="AF4" s="524"/>
      <c r="AG4" s="524"/>
      <c r="AH4" s="524"/>
      <c r="AI4" s="524"/>
      <c r="AJ4" s="524"/>
      <c r="AK4" s="524"/>
      <c r="AL4" s="524"/>
      <c r="AM4" s="524"/>
      <c r="AN4" s="524"/>
      <c r="AO4" s="524"/>
      <c r="AP4" s="524"/>
      <c r="AQ4" s="524"/>
      <c r="AR4" s="524"/>
      <c r="AS4" s="524"/>
      <c r="AT4" s="524"/>
      <c r="AU4" s="524"/>
      <c r="AV4" s="524"/>
      <c r="AW4" s="524"/>
      <c r="AX4" s="524"/>
      <c r="AY4" s="524"/>
      <c r="AZ4" s="524"/>
      <c r="BA4" s="524"/>
      <c r="BB4" s="524"/>
      <c r="BC4" s="524"/>
      <c r="BD4" s="524"/>
      <c r="BE4" s="524"/>
      <c r="BF4" s="524"/>
      <c r="BG4" s="524"/>
      <c r="BH4" s="524"/>
      <c r="BI4" s="524"/>
      <c r="BJ4" s="524"/>
      <c r="BK4" s="524"/>
      <c r="BL4" s="524"/>
      <c r="BM4" s="524"/>
      <c r="BN4" s="524"/>
      <c r="BO4" s="524"/>
      <c r="BP4" s="524"/>
      <c r="BQ4" s="524"/>
      <c r="BR4" s="524"/>
      <c r="BS4" s="524"/>
      <c r="BT4" s="524"/>
      <c r="BU4" s="524"/>
      <c r="BV4" s="524"/>
      <c r="BW4" s="524"/>
      <c r="BX4" s="524"/>
      <c r="BY4" s="524"/>
      <c r="BZ4" s="524"/>
      <c r="CA4" s="524"/>
      <c r="CB4" s="524"/>
      <c r="CC4" s="524"/>
      <c r="CD4" s="524"/>
      <c r="CE4" s="524"/>
      <c r="CF4" s="524"/>
      <c r="CG4" s="524"/>
      <c r="CH4" s="524"/>
      <c r="CI4" s="524"/>
      <c r="CJ4" s="524"/>
      <c r="CK4" s="524"/>
      <c r="CL4" s="524"/>
      <c r="CM4" s="524"/>
      <c r="CN4" s="524"/>
      <c r="CO4" s="524"/>
      <c r="CP4" s="524"/>
      <c r="CQ4" s="524"/>
      <c r="CR4" s="524"/>
      <c r="CS4" s="524"/>
      <c r="CT4" s="524"/>
      <c r="CU4" s="524"/>
      <c r="CV4" s="524"/>
      <c r="CW4" s="524"/>
      <c r="CX4" s="524"/>
      <c r="CY4" s="524"/>
      <c r="CZ4" s="524"/>
      <c r="DA4" s="524"/>
      <c r="DB4" s="524"/>
      <c r="DC4" s="524"/>
      <c r="DD4" s="524"/>
      <c r="DE4" s="524"/>
      <c r="DF4" s="524"/>
      <c r="DG4" s="524"/>
      <c r="DH4" s="524"/>
      <c r="DI4" s="524"/>
      <c r="DJ4" s="524"/>
      <c r="DK4" s="524"/>
      <c r="DL4" s="524"/>
      <c r="DM4" s="524"/>
      <c r="DN4" s="524"/>
      <c r="DO4" s="524"/>
      <c r="DP4" s="524"/>
      <c r="DQ4" s="524"/>
      <c r="DR4" s="524"/>
      <c r="DS4" s="524"/>
      <c r="DT4" s="524"/>
      <c r="DU4" s="524"/>
      <c r="DV4" s="524"/>
      <c r="DW4" s="524"/>
      <c r="DX4" s="524"/>
      <c r="DY4" s="524"/>
      <c r="DZ4" s="524"/>
      <c r="EA4" s="524"/>
      <c r="EB4" s="524"/>
      <c r="EC4" s="524"/>
      <c r="ED4" s="524"/>
      <c r="EE4" s="524"/>
      <c r="EF4" s="524"/>
      <c r="EG4" s="524"/>
      <c r="EH4" s="524"/>
      <c r="EI4" s="524"/>
      <c r="EJ4" s="524"/>
      <c r="EK4" s="524"/>
      <c r="EL4" s="524"/>
      <c r="EM4" s="524"/>
      <c r="EN4" s="524"/>
      <c r="EO4" s="524"/>
      <c r="EP4" s="524"/>
      <c r="EQ4" s="524"/>
      <c r="ER4" s="524"/>
      <c r="ES4" s="524"/>
      <c r="ET4" s="524"/>
      <c r="EU4" s="524"/>
      <c r="EV4" s="524"/>
      <c r="EW4" s="524"/>
      <c r="EX4" s="524"/>
      <c r="EY4" s="524"/>
      <c r="EZ4" s="524"/>
      <c r="FA4" s="524"/>
      <c r="FB4" s="524"/>
      <c r="FC4" s="524"/>
      <c r="FD4" s="524"/>
      <c r="FE4" s="524"/>
      <c r="FF4" s="524"/>
      <c r="FG4" s="524"/>
      <c r="FH4" s="524"/>
      <c r="FI4" s="524"/>
      <c r="FJ4" s="524"/>
      <c r="FK4" s="524"/>
      <c r="FL4" s="524"/>
      <c r="FM4" s="524"/>
      <c r="FN4" s="524"/>
      <c r="FO4" s="524"/>
      <c r="FP4" s="524"/>
      <c r="FQ4" s="524"/>
      <c r="FR4" s="524"/>
      <c r="FS4" s="524"/>
      <c r="FT4" s="524"/>
      <c r="FU4" s="524"/>
      <c r="FV4" s="524"/>
      <c r="FW4" s="524"/>
      <c r="FX4" s="524"/>
      <c r="FY4" s="524"/>
      <c r="FZ4" s="524"/>
      <c r="GA4" s="524"/>
      <c r="GB4" s="524"/>
      <c r="GC4" s="524"/>
      <c r="GD4" s="524"/>
      <c r="GE4" s="524"/>
      <c r="GF4" s="524"/>
      <c r="GG4" s="524"/>
      <c r="GH4" s="524"/>
      <c r="GI4" s="524"/>
      <c r="GJ4" s="524"/>
      <c r="GK4" s="524"/>
      <c r="GL4" s="524"/>
      <c r="GM4" s="524"/>
      <c r="GN4" s="524"/>
      <c r="GO4" s="524"/>
      <c r="GP4" s="524"/>
      <c r="GQ4" s="524"/>
      <c r="GR4" s="524"/>
      <c r="GS4" s="524"/>
      <c r="GT4" s="524"/>
      <c r="GU4" s="524"/>
      <c r="GV4" s="524"/>
      <c r="GW4" s="524"/>
      <c r="GX4" s="524"/>
      <c r="GY4" s="524"/>
      <c r="GZ4" s="524"/>
      <c r="HA4" s="524"/>
      <c r="HB4" s="524"/>
      <c r="HC4" s="524"/>
      <c r="HD4" s="524"/>
      <c r="HE4" s="524"/>
      <c r="HF4" s="524"/>
      <c r="HG4" s="524"/>
      <c r="HH4" s="524"/>
      <c r="HI4" s="524"/>
      <c r="HJ4" s="524"/>
      <c r="HK4" s="524"/>
      <c r="HL4" s="524"/>
      <c r="HM4" s="524"/>
      <c r="HN4" s="524"/>
      <c r="HO4" s="524"/>
      <c r="HP4" s="524"/>
      <c r="HQ4" s="524"/>
      <c r="HR4" s="524"/>
      <c r="HS4" s="524"/>
      <c r="HT4" s="524"/>
      <c r="HU4" s="524"/>
      <c r="HV4" s="524"/>
      <c r="HW4" s="524"/>
      <c r="HX4" s="524"/>
      <c r="HY4" s="524"/>
      <c r="HZ4" s="524"/>
      <c r="IA4" s="524"/>
      <c r="IB4" s="524"/>
      <c r="IC4" s="524"/>
      <c r="ID4" s="524"/>
      <c r="IE4" s="524"/>
      <c r="IF4" s="524"/>
      <c r="IG4" s="524"/>
      <c r="IH4" s="524"/>
      <c r="II4" s="524"/>
      <c r="IJ4" s="524"/>
      <c r="IK4" s="524"/>
      <c r="IL4" s="524"/>
      <c r="IM4" s="524"/>
      <c r="IN4" s="524"/>
      <c r="IO4" s="524"/>
      <c r="IP4" s="524"/>
      <c r="IQ4" s="524"/>
      <c r="IR4" s="524"/>
    </row>
    <row r="5" spans="1:252" x14ac:dyDescent="0.2">
      <c r="A5" s="499" t="s">
        <v>14</v>
      </c>
      <c r="B5" s="499"/>
      <c r="C5" s="499"/>
      <c r="D5" s="499"/>
      <c r="E5" s="499"/>
      <c r="F5" s="499"/>
      <c r="G5" s="499"/>
      <c r="H5" s="499"/>
      <c r="I5" s="499"/>
      <c r="J5" s="499"/>
      <c r="K5" s="499"/>
      <c r="L5" s="499"/>
      <c r="M5" s="499"/>
      <c r="N5" s="499"/>
      <c r="O5" s="499"/>
      <c r="P5" s="499"/>
      <c r="Q5" s="499"/>
      <c r="R5" s="524"/>
      <c r="S5" s="524"/>
      <c r="T5" s="524"/>
      <c r="U5" s="524"/>
      <c r="V5" s="524"/>
      <c r="W5" s="524"/>
      <c r="X5" s="524"/>
      <c r="Y5" s="524"/>
      <c r="Z5" s="524"/>
      <c r="AA5" s="524"/>
      <c r="AB5" s="524"/>
      <c r="AC5" s="524"/>
      <c r="AD5" s="524"/>
      <c r="AE5" s="524"/>
      <c r="AF5" s="524"/>
      <c r="AG5" s="524"/>
      <c r="AH5" s="524"/>
      <c r="AI5" s="524"/>
      <c r="AJ5" s="524"/>
      <c r="AK5" s="524"/>
      <c r="AL5" s="524"/>
      <c r="AM5" s="524"/>
      <c r="AN5" s="524"/>
      <c r="AO5" s="524"/>
      <c r="AP5" s="524"/>
      <c r="AQ5" s="524"/>
      <c r="AR5" s="524"/>
      <c r="AS5" s="524"/>
      <c r="AT5" s="524"/>
      <c r="AU5" s="524"/>
      <c r="AV5" s="524"/>
      <c r="AW5" s="524"/>
      <c r="AX5" s="524"/>
      <c r="AY5" s="524"/>
      <c r="AZ5" s="524"/>
      <c r="BA5" s="524"/>
      <c r="BB5" s="524"/>
      <c r="BC5" s="524"/>
      <c r="BD5" s="524"/>
      <c r="BE5" s="524"/>
      <c r="BF5" s="524"/>
      <c r="BG5" s="524"/>
      <c r="BH5" s="524"/>
      <c r="BI5" s="524"/>
      <c r="BJ5" s="524"/>
      <c r="BK5" s="524"/>
      <c r="BL5" s="524"/>
      <c r="BM5" s="524"/>
      <c r="BN5" s="524"/>
      <c r="BO5" s="524"/>
      <c r="BP5" s="524"/>
      <c r="BQ5" s="524"/>
      <c r="BR5" s="524"/>
      <c r="BS5" s="524"/>
      <c r="BT5" s="524"/>
      <c r="BU5" s="524"/>
      <c r="BV5" s="524"/>
      <c r="BW5" s="524"/>
      <c r="BX5" s="524"/>
      <c r="BY5" s="524"/>
      <c r="BZ5" s="524"/>
      <c r="CA5" s="524"/>
      <c r="CB5" s="524"/>
      <c r="CC5" s="524"/>
      <c r="CD5" s="524"/>
      <c r="CE5" s="524"/>
      <c r="CF5" s="524"/>
      <c r="CG5" s="524"/>
      <c r="CH5" s="524"/>
      <c r="CI5" s="524"/>
      <c r="CJ5" s="524"/>
      <c r="CK5" s="524"/>
      <c r="CL5" s="524"/>
      <c r="CM5" s="524"/>
      <c r="CN5" s="524"/>
      <c r="CO5" s="524"/>
      <c r="CP5" s="524"/>
      <c r="CQ5" s="524"/>
      <c r="CR5" s="524"/>
      <c r="CS5" s="524"/>
      <c r="CT5" s="524"/>
      <c r="CU5" s="524"/>
      <c r="CV5" s="524"/>
      <c r="CW5" s="524"/>
      <c r="CX5" s="524"/>
      <c r="CY5" s="524"/>
      <c r="CZ5" s="524"/>
      <c r="DA5" s="524"/>
      <c r="DB5" s="524"/>
      <c r="DC5" s="524"/>
      <c r="DD5" s="524"/>
      <c r="DE5" s="524"/>
      <c r="DF5" s="524"/>
      <c r="DG5" s="524"/>
      <c r="DH5" s="524"/>
      <c r="DI5" s="524"/>
      <c r="DJ5" s="524"/>
      <c r="DK5" s="524"/>
      <c r="DL5" s="524"/>
      <c r="DM5" s="524"/>
      <c r="DN5" s="524"/>
      <c r="DO5" s="524"/>
      <c r="DP5" s="524"/>
      <c r="DQ5" s="524"/>
      <c r="DR5" s="524"/>
      <c r="DS5" s="524"/>
      <c r="DT5" s="524"/>
      <c r="DU5" s="524"/>
      <c r="DV5" s="524"/>
      <c r="DW5" s="524"/>
      <c r="DX5" s="524"/>
      <c r="DY5" s="524"/>
      <c r="DZ5" s="524"/>
      <c r="EA5" s="524"/>
      <c r="EB5" s="524"/>
      <c r="EC5" s="524"/>
      <c r="ED5" s="524"/>
      <c r="EE5" s="524"/>
      <c r="EF5" s="524"/>
      <c r="EG5" s="524"/>
      <c r="EH5" s="524"/>
      <c r="EI5" s="524"/>
      <c r="EJ5" s="524"/>
      <c r="EK5" s="524"/>
      <c r="EL5" s="524"/>
      <c r="EM5" s="524"/>
      <c r="EN5" s="524"/>
      <c r="EO5" s="524"/>
      <c r="EP5" s="524"/>
      <c r="EQ5" s="524"/>
      <c r="ER5" s="524"/>
      <c r="ES5" s="524"/>
      <c r="ET5" s="524"/>
      <c r="EU5" s="524"/>
      <c r="EV5" s="524"/>
      <c r="EW5" s="524"/>
      <c r="EX5" s="524"/>
      <c r="EY5" s="524"/>
      <c r="EZ5" s="524"/>
      <c r="FA5" s="524"/>
      <c r="FB5" s="524"/>
      <c r="FC5" s="524"/>
      <c r="FD5" s="524"/>
      <c r="FE5" s="524"/>
      <c r="FF5" s="524"/>
      <c r="FG5" s="524"/>
      <c r="FH5" s="524"/>
      <c r="FI5" s="524"/>
      <c r="FJ5" s="524"/>
      <c r="FK5" s="524"/>
      <c r="FL5" s="524"/>
      <c r="FM5" s="524"/>
      <c r="FN5" s="524"/>
      <c r="FO5" s="524"/>
      <c r="FP5" s="524"/>
      <c r="FQ5" s="524"/>
      <c r="FR5" s="524"/>
      <c r="FS5" s="524"/>
      <c r="FT5" s="524"/>
      <c r="FU5" s="524"/>
      <c r="FV5" s="524"/>
      <c r="FW5" s="524"/>
      <c r="FX5" s="524"/>
      <c r="FY5" s="524"/>
      <c r="FZ5" s="524"/>
      <c r="GA5" s="524"/>
      <c r="GB5" s="524"/>
      <c r="GC5" s="524"/>
      <c r="GD5" s="524"/>
      <c r="GE5" s="524"/>
      <c r="GF5" s="524"/>
      <c r="GG5" s="524"/>
      <c r="GH5" s="524"/>
      <c r="GI5" s="524"/>
      <c r="GJ5" s="524"/>
      <c r="GK5" s="524"/>
      <c r="GL5" s="524"/>
      <c r="GM5" s="524"/>
      <c r="GN5" s="524"/>
      <c r="GO5" s="524"/>
      <c r="GP5" s="524"/>
      <c r="GQ5" s="524"/>
      <c r="GR5" s="524"/>
      <c r="GS5" s="524"/>
      <c r="GT5" s="524"/>
      <c r="GU5" s="524"/>
      <c r="GV5" s="524"/>
      <c r="GW5" s="524"/>
      <c r="GX5" s="524"/>
      <c r="GY5" s="524"/>
      <c r="GZ5" s="524"/>
      <c r="HA5" s="524"/>
      <c r="HB5" s="524"/>
      <c r="HC5" s="524"/>
      <c r="HD5" s="524"/>
      <c r="HE5" s="524"/>
      <c r="HF5" s="524"/>
      <c r="HG5" s="524"/>
      <c r="HH5" s="524"/>
      <c r="HI5" s="524"/>
      <c r="HJ5" s="524"/>
      <c r="HK5" s="524"/>
      <c r="HL5" s="524"/>
      <c r="HM5" s="524"/>
      <c r="HN5" s="524"/>
      <c r="HO5" s="524"/>
      <c r="HP5" s="524"/>
      <c r="HQ5" s="524"/>
      <c r="HR5" s="524"/>
      <c r="HS5" s="524"/>
      <c r="HT5" s="524"/>
      <c r="HU5" s="524"/>
      <c r="HV5" s="524"/>
      <c r="HW5" s="524"/>
      <c r="HX5" s="524"/>
      <c r="HY5" s="524"/>
      <c r="HZ5" s="524"/>
      <c r="IA5" s="524"/>
      <c r="IB5" s="524"/>
      <c r="IC5" s="524"/>
      <c r="ID5" s="524"/>
      <c r="IE5" s="524"/>
      <c r="IF5" s="524"/>
      <c r="IG5" s="524"/>
      <c r="IH5" s="524"/>
      <c r="II5" s="524"/>
      <c r="IJ5" s="524"/>
      <c r="IK5" s="524"/>
      <c r="IL5" s="524"/>
      <c r="IM5" s="524"/>
      <c r="IN5" s="524"/>
      <c r="IO5" s="524"/>
      <c r="IP5" s="524"/>
      <c r="IQ5" s="524"/>
      <c r="IR5" s="524"/>
    </row>
    <row r="6" spans="1:252" ht="21" x14ac:dyDescent="0.2">
      <c r="A6" s="525" t="s">
        <v>17</v>
      </c>
      <c r="B6" s="525"/>
      <c r="C6" s="525"/>
      <c r="D6" s="525"/>
      <c r="E6" s="525"/>
      <c r="F6" s="525"/>
      <c r="G6" s="525"/>
      <c r="H6" s="525"/>
      <c r="I6" s="525"/>
      <c r="J6" s="525"/>
      <c r="K6" s="525"/>
      <c r="L6" s="525"/>
      <c r="M6" s="525"/>
      <c r="N6" s="525"/>
      <c r="O6" s="525"/>
      <c r="P6" s="525"/>
      <c r="Q6" s="525"/>
      <c r="R6" s="524"/>
      <c r="S6" s="524"/>
      <c r="T6" s="524"/>
      <c r="U6" s="524"/>
      <c r="V6" s="524"/>
      <c r="W6" s="524"/>
      <c r="X6" s="524"/>
      <c r="Y6" s="524"/>
      <c r="Z6" s="524"/>
      <c r="AA6" s="524"/>
      <c r="AB6" s="524"/>
      <c r="AC6" s="524"/>
      <c r="AD6" s="524"/>
      <c r="AE6" s="524"/>
      <c r="AF6" s="524"/>
      <c r="AG6" s="524"/>
      <c r="AH6" s="524"/>
      <c r="AI6" s="524"/>
      <c r="AJ6" s="524"/>
      <c r="AK6" s="524"/>
      <c r="AL6" s="524"/>
      <c r="AM6" s="524"/>
      <c r="AN6" s="524"/>
      <c r="AO6" s="524"/>
      <c r="AP6" s="524"/>
      <c r="AQ6" s="524"/>
      <c r="AR6" s="524"/>
      <c r="AS6" s="524"/>
      <c r="AT6" s="524"/>
      <c r="AU6" s="524"/>
      <c r="AV6" s="524"/>
      <c r="AW6" s="524"/>
      <c r="AX6" s="524"/>
      <c r="AY6" s="524"/>
      <c r="AZ6" s="524"/>
      <c r="BA6" s="524"/>
      <c r="BB6" s="524"/>
      <c r="BC6" s="524"/>
      <c r="BD6" s="524"/>
      <c r="BE6" s="524"/>
      <c r="BF6" s="524"/>
      <c r="BG6" s="524"/>
      <c r="BH6" s="524"/>
      <c r="BI6" s="524"/>
      <c r="BJ6" s="524"/>
      <c r="BK6" s="524"/>
      <c r="BL6" s="524"/>
      <c r="BM6" s="524"/>
      <c r="BN6" s="524"/>
      <c r="BO6" s="524"/>
      <c r="BP6" s="524"/>
      <c r="BQ6" s="524"/>
      <c r="BR6" s="524"/>
      <c r="BS6" s="524"/>
      <c r="BT6" s="524"/>
      <c r="BU6" s="524"/>
      <c r="BV6" s="524"/>
      <c r="BW6" s="524"/>
      <c r="BX6" s="524"/>
      <c r="BY6" s="524"/>
      <c r="BZ6" s="524"/>
      <c r="CA6" s="524"/>
      <c r="CB6" s="524"/>
      <c r="CC6" s="524"/>
      <c r="CD6" s="524"/>
      <c r="CE6" s="524"/>
      <c r="CF6" s="524"/>
      <c r="CG6" s="524"/>
      <c r="CH6" s="524"/>
      <c r="CI6" s="524"/>
      <c r="CJ6" s="524"/>
      <c r="CK6" s="524"/>
      <c r="CL6" s="524"/>
      <c r="CM6" s="524"/>
      <c r="CN6" s="524"/>
      <c r="CO6" s="524"/>
      <c r="CP6" s="524"/>
      <c r="CQ6" s="524"/>
      <c r="CR6" s="524"/>
      <c r="CS6" s="524"/>
      <c r="CT6" s="524"/>
      <c r="CU6" s="524"/>
      <c r="CV6" s="524"/>
      <c r="CW6" s="524"/>
      <c r="CX6" s="524"/>
      <c r="CY6" s="524"/>
      <c r="CZ6" s="524"/>
      <c r="DA6" s="524"/>
      <c r="DB6" s="524"/>
      <c r="DC6" s="524"/>
      <c r="DD6" s="524"/>
      <c r="DE6" s="524"/>
      <c r="DF6" s="524"/>
      <c r="DG6" s="524"/>
      <c r="DH6" s="524"/>
      <c r="DI6" s="524"/>
      <c r="DJ6" s="524"/>
      <c r="DK6" s="524"/>
      <c r="DL6" s="524"/>
      <c r="DM6" s="524"/>
      <c r="DN6" s="524"/>
      <c r="DO6" s="524"/>
      <c r="DP6" s="524"/>
      <c r="DQ6" s="524"/>
      <c r="DR6" s="524"/>
      <c r="DS6" s="524"/>
      <c r="DT6" s="524"/>
      <c r="DU6" s="524"/>
      <c r="DV6" s="524"/>
      <c r="DW6" s="524"/>
      <c r="DX6" s="524"/>
      <c r="DY6" s="524"/>
      <c r="DZ6" s="524"/>
      <c r="EA6" s="524"/>
      <c r="EB6" s="524"/>
      <c r="EC6" s="524"/>
      <c r="ED6" s="524"/>
      <c r="EE6" s="524"/>
      <c r="EF6" s="524"/>
      <c r="EG6" s="524"/>
      <c r="EH6" s="524"/>
      <c r="EI6" s="524"/>
      <c r="EJ6" s="524"/>
      <c r="EK6" s="524"/>
      <c r="EL6" s="524"/>
      <c r="EM6" s="524"/>
      <c r="EN6" s="524"/>
      <c r="EO6" s="524"/>
      <c r="EP6" s="524"/>
      <c r="EQ6" s="524"/>
      <c r="ER6" s="524"/>
      <c r="ES6" s="524"/>
      <c r="ET6" s="524"/>
      <c r="EU6" s="524"/>
      <c r="EV6" s="524"/>
      <c r="EW6" s="524"/>
      <c r="EX6" s="524"/>
      <c r="EY6" s="524"/>
      <c r="EZ6" s="524"/>
      <c r="FA6" s="524"/>
      <c r="FB6" s="524"/>
      <c r="FC6" s="524"/>
      <c r="FD6" s="524"/>
      <c r="FE6" s="524"/>
      <c r="FF6" s="524"/>
      <c r="FG6" s="524"/>
      <c r="FH6" s="524"/>
      <c r="FI6" s="524"/>
      <c r="FJ6" s="524"/>
      <c r="FK6" s="524"/>
      <c r="FL6" s="524"/>
      <c r="FM6" s="524"/>
      <c r="FN6" s="524"/>
      <c r="FO6" s="524"/>
      <c r="FP6" s="524"/>
      <c r="FQ6" s="524"/>
      <c r="FR6" s="524"/>
      <c r="FS6" s="524"/>
      <c r="FT6" s="524"/>
      <c r="FU6" s="524"/>
      <c r="FV6" s="524"/>
      <c r="FW6" s="524"/>
      <c r="FX6" s="524"/>
      <c r="FY6" s="524"/>
      <c r="FZ6" s="524"/>
      <c r="GA6" s="524"/>
      <c r="GB6" s="524"/>
      <c r="GC6" s="524"/>
      <c r="GD6" s="524"/>
      <c r="GE6" s="524"/>
      <c r="GF6" s="524"/>
      <c r="GG6" s="524"/>
      <c r="GH6" s="524"/>
      <c r="GI6" s="524"/>
      <c r="GJ6" s="524"/>
      <c r="GK6" s="524"/>
      <c r="GL6" s="524"/>
      <c r="GM6" s="524"/>
      <c r="GN6" s="524"/>
      <c r="GO6" s="524"/>
      <c r="GP6" s="524"/>
      <c r="GQ6" s="524"/>
      <c r="GR6" s="524"/>
      <c r="GS6" s="524"/>
      <c r="GT6" s="524"/>
      <c r="GU6" s="524"/>
      <c r="GV6" s="524"/>
      <c r="GW6" s="524"/>
      <c r="GX6" s="524"/>
      <c r="GY6" s="524"/>
      <c r="GZ6" s="524"/>
      <c r="HA6" s="524"/>
      <c r="HB6" s="524"/>
      <c r="HC6" s="524"/>
      <c r="HD6" s="524"/>
      <c r="HE6" s="524"/>
      <c r="HF6" s="524"/>
      <c r="HG6" s="524"/>
      <c r="HH6" s="524"/>
      <c r="HI6" s="524"/>
      <c r="HJ6" s="524"/>
      <c r="HK6" s="524"/>
      <c r="HL6" s="524"/>
      <c r="HM6" s="524"/>
      <c r="HN6" s="524"/>
      <c r="HO6" s="524"/>
      <c r="HP6" s="524"/>
      <c r="HQ6" s="524"/>
      <c r="HR6" s="524"/>
      <c r="HS6" s="524"/>
      <c r="HT6" s="524"/>
      <c r="HU6" s="524"/>
      <c r="HV6" s="524"/>
      <c r="HW6" s="524"/>
      <c r="HX6" s="524"/>
      <c r="HY6" s="524"/>
      <c r="HZ6" s="524"/>
      <c r="IA6" s="524"/>
      <c r="IB6" s="524"/>
      <c r="IC6" s="524"/>
      <c r="ID6" s="524"/>
      <c r="IE6" s="524"/>
      <c r="IF6" s="524"/>
      <c r="IG6" s="524"/>
      <c r="IH6" s="524"/>
      <c r="II6" s="524"/>
      <c r="IJ6" s="524"/>
      <c r="IK6" s="524"/>
      <c r="IL6" s="524"/>
      <c r="IM6" s="524"/>
      <c r="IN6" s="524"/>
      <c r="IO6" s="524"/>
      <c r="IP6" s="524"/>
      <c r="IQ6" s="524"/>
      <c r="IR6" s="524"/>
    </row>
    <row r="7" spans="1:252" ht="51" x14ac:dyDescent="0.2">
      <c r="A7" s="501" t="s">
        <v>0</v>
      </c>
      <c r="B7" s="502" t="s">
        <v>10</v>
      </c>
      <c r="C7" s="595"/>
      <c r="D7" s="503"/>
      <c r="E7" s="503"/>
      <c r="F7" s="503"/>
      <c r="G7" s="504"/>
      <c r="H7" s="502" t="s">
        <v>322</v>
      </c>
      <c r="I7" s="503"/>
      <c r="J7" s="503"/>
      <c r="K7" s="503"/>
      <c r="L7" s="503"/>
      <c r="M7" s="503"/>
      <c r="N7" s="502" t="s">
        <v>324</v>
      </c>
      <c r="O7" s="503"/>
      <c r="P7" s="503"/>
      <c r="Q7" s="504"/>
      <c r="R7" s="524"/>
      <c r="S7" s="524"/>
      <c r="T7" s="524"/>
      <c r="U7" s="524"/>
      <c r="V7" s="524"/>
      <c r="W7" s="524"/>
      <c r="X7" s="524"/>
      <c r="Y7" s="524"/>
      <c r="Z7" s="524"/>
      <c r="AA7" s="524"/>
      <c r="AB7" s="524"/>
      <c r="AC7" s="524"/>
      <c r="AD7" s="524"/>
      <c r="AE7" s="524"/>
      <c r="AF7" s="524"/>
      <c r="AG7" s="524"/>
      <c r="AH7" s="524"/>
      <c r="AI7" s="524"/>
      <c r="AJ7" s="524"/>
      <c r="AK7" s="524"/>
      <c r="AL7" s="524"/>
      <c r="AM7" s="524"/>
      <c r="AN7" s="524"/>
      <c r="AO7" s="524"/>
      <c r="AP7" s="524"/>
      <c r="AQ7" s="524"/>
      <c r="AR7" s="524"/>
      <c r="AS7" s="524"/>
      <c r="AT7" s="524"/>
      <c r="AU7" s="524"/>
      <c r="AV7" s="524"/>
      <c r="AW7" s="524"/>
      <c r="AX7" s="524"/>
      <c r="AY7" s="524"/>
      <c r="AZ7" s="524"/>
      <c r="BA7" s="524"/>
      <c r="BB7" s="524"/>
      <c r="BC7" s="524"/>
      <c r="BD7" s="524"/>
      <c r="BE7" s="524"/>
      <c r="BF7" s="524"/>
      <c r="BG7" s="524"/>
      <c r="BH7" s="524"/>
      <c r="BI7" s="524"/>
      <c r="BJ7" s="524"/>
      <c r="BK7" s="524"/>
      <c r="BL7" s="524"/>
      <c r="BM7" s="524"/>
      <c r="BN7" s="524"/>
      <c r="BO7" s="524"/>
      <c r="BP7" s="524"/>
      <c r="BQ7" s="524"/>
      <c r="BR7" s="524"/>
      <c r="BS7" s="524"/>
      <c r="BT7" s="524"/>
      <c r="BU7" s="524"/>
      <c r="BV7" s="524"/>
      <c r="BW7" s="524"/>
      <c r="BX7" s="524"/>
      <c r="BY7" s="524"/>
      <c r="BZ7" s="524"/>
      <c r="CA7" s="524"/>
      <c r="CB7" s="524"/>
      <c r="CC7" s="524"/>
      <c r="CD7" s="524"/>
      <c r="CE7" s="524"/>
      <c r="CF7" s="524"/>
      <c r="CG7" s="524"/>
      <c r="CH7" s="524"/>
      <c r="CI7" s="524"/>
      <c r="CJ7" s="524"/>
      <c r="CK7" s="524"/>
      <c r="CL7" s="524"/>
      <c r="CM7" s="524"/>
      <c r="CN7" s="524"/>
      <c r="CO7" s="524"/>
      <c r="CP7" s="524"/>
      <c r="CQ7" s="524"/>
      <c r="CR7" s="524"/>
      <c r="CS7" s="524"/>
      <c r="CT7" s="524"/>
      <c r="CU7" s="524"/>
      <c r="CV7" s="524"/>
      <c r="CW7" s="524"/>
      <c r="CX7" s="524"/>
      <c r="CY7" s="524"/>
      <c r="CZ7" s="524"/>
      <c r="DA7" s="524"/>
      <c r="DB7" s="524"/>
      <c r="DC7" s="524"/>
      <c r="DD7" s="524"/>
      <c r="DE7" s="524"/>
      <c r="DF7" s="524"/>
      <c r="DG7" s="524"/>
      <c r="DH7" s="524"/>
      <c r="DI7" s="524"/>
      <c r="DJ7" s="524"/>
      <c r="DK7" s="524"/>
      <c r="DL7" s="524"/>
      <c r="DM7" s="524"/>
      <c r="DN7" s="524"/>
      <c r="DO7" s="524"/>
      <c r="DP7" s="524"/>
      <c r="DQ7" s="524"/>
      <c r="DR7" s="524"/>
      <c r="DS7" s="524"/>
      <c r="DT7" s="524"/>
      <c r="DU7" s="524"/>
      <c r="DV7" s="524"/>
      <c r="DW7" s="524"/>
      <c r="DX7" s="524"/>
      <c r="DY7" s="524"/>
      <c r="DZ7" s="524"/>
      <c r="EA7" s="524"/>
      <c r="EB7" s="524"/>
      <c r="EC7" s="524"/>
      <c r="ED7" s="524"/>
      <c r="EE7" s="524"/>
      <c r="EF7" s="524"/>
      <c r="EG7" s="524"/>
      <c r="EH7" s="524"/>
      <c r="EI7" s="524"/>
      <c r="EJ7" s="524"/>
      <c r="EK7" s="524"/>
      <c r="EL7" s="524"/>
      <c r="EM7" s="524"/>
      <c r="EN7" s="524"/>
      <c r="EO7" s="524"/>
      <c r="EP7" s="524"/>
      <c r="EQ7" s="524"/>
      <c r="ER7" s="524"/>
      <c r="ES7" s="524"/>
      <c r="ET7" s="524"/>
      <c r="EU7" s="524"/>
      <c r="EV7" s="524"/>
      <c r="EW7" s="524"/>
      <c r="EX7" s="524"/>
      <c r="EY7" s="524"/>
      <c r="EZ7" s="524"/>
      <c r="FA7" s="524"/>
      <c r="FB7" s="524"/>
      <c r="FC7" s="524"/>
      <c r="FD7" s="524"/>
      <c r="FE7" s="524"/>
      <c r="FF7" s="524"/>
      <c r="FG7" s="524"/>
      <c r="FH7" s="524"/>
      <c r="FI7" s="524"/>
      <c r="FJ7" s="524"/>
      <c r="FK7" s="524"/>
      <c r="FL7" s="524"/>
      <c r="FM7" s="524"/>
      <c r="FN7" s="524"/>
      <c r="FO7" s="524"/>
      <c r="FP7" s="524"/>
      <c r="FQ7" s="524"/>
      <c r="FR7" s="524"/>
      <c r="FS7" s="524"/>
      <c r="FT7" s="524"/>
      <c r="FU7" s="524"/>
      <c r="FV7" s="524"/>
      <c r="FW7" s="524"/>
      <c r="FX7" s="524"/>
      <c r="FY7" s="524"/>
      <c r="FZ7" s="524"/>
      <c r="GA7" s="524"/>
      <c r="GB7" s="524"/>
      <c r="GC7" s="524"/>
      <c r="GD7" s="524"/>
      <c r="GE7" s="524"/>
      <c r="GF7" s="524"/>
      <c r="GG7" s="524"/>
      <c r="GH7" s="524"/>
      <c r="GI7" s="524"/>
      <c r="GJ7" s="524"/>
      <c r="GK7" s="524"/>
      <c r="GL7" s="524"/>
      <c r="GM7" s="524"/>
      <c r="GN7" s="524"/>
      <c r="GO7" s="524"/>
      <c r="GP7" s="524"/>
      <c r="GQ7" s="524"/>
      <c r="GR7" s="524"/>
      <c r="GS7" s="524"/>
      <c r="GT7" s="524"/>
      <c r="GU7" s="524"/>
      <c r="GV7" s="524"/>
      <c r="GW7" s="524"/>
      <c r="GX7" s="524"/>
      <c r="GY7" s="524"/>
      <c r="GZ7" s="524"/>
      <c r="HA7" s="524"/>
      <c r="HB7" s="524"/>
      <c r="HC7" s="524"/>
      <c r="HD7" s="524"/>
      <c r="HE7" s="524"/>
      <c r="HF7" s="524"/>
      <c r="HG7" s="524"/>
      <c r="HH7" s="524"/>
      <c r="HI7" s="524"/>
      <c r="HJ7" s="524"/>
      <c r="HK7" s="524"/>
      <c r="HL7" s="524"/>
      <c r="HM7" s="524"/>
      <c r="HN7" s="524"/>
      <c r="HO7" s="524"/>
      <c r="HP7" s="524"/>
      <c r="HQ7" s="524"/>
      <c r="HR7" s="524"/>
      <c r="HS7" s="524"/>
      <c r="HT7" s="524"/>
      <c r="HU7" s="524"/>
      <c r="HV7" s="524"/>
      <c r="HW7" s="524"/>
      <c r="HX7" s="524"/>
      <c r="HY7" s="524"/>
      <c r="HZ7" s="524"/>
      <c r="IA7" s="524"/>
      <c r="IB7" s="524"/>
      <c r="IC7" s="524"/>
      <c r="ID7" s="524"/>
      <c r="IE7" s="524"/>
      <c r="IF7" s="524"/>
      <c r="IG7" s="524"/>
      <c r="IH7" s="524"/>
      <c r="II7" s="524"/>
      <c r="IJ7" s="524"/>
      <c r="IK7" s="524"/>
      <c r="IL7" s="524"/>
      <c r="IM7" s="524"/>
      <c r="IN7" s="524"/>
      <c r="IO7" s="524"/>
      <c r="IP7" s="524"/>
      <c r="IQ7" s="524"/>
      <c r="IR7" s="524"/>
    </row>
    <row r="8" spans="1:252" ht="204" x14ac:dyDescent="0.2">
      <c r="A8" s="505"/>
      <c r="B8" s="506" t="s">
        <v>4</v>
      </c>
      <c r="C8" s="506" t="s">
        <v>1</v>
      </c>
      <c r="D8" s="506" t="s">
        <v>3</v>
      </c>
      <c r="E8" s="506" t="s">
        <v>2</v>
      </c>
      <c r="F8" s="506" t="s">
        <v>6</v>
      </c>
      <c r="G8" s="506" t="s">
        <v>5</v>
      </c>
      <c r="H8" s="506" t="s">
        <v>7</v>
      </c>
      <c r="I8" s="507" t="s">
        <v>8</v>
      </c>
      <c r="J8" s="507" t="s">
        <v>9</v>
      </c>
      <c r="K8" s="508" t="s">
        <v>11</v>
      </c>
      <c r="L8" s="508" t="s">
        <v>12</v>
      </c>
      <c r="M8" s="508" t="s">
        <v>13</v>
      </c>
      <c r="N8" s="507" t="s">
        <v>9</v>
      </c>
      <c r="O8" s="508" t="s">
        <v>11</v>
      </c>
      <c r="P8" s="508" t="s">
        <v>12</v>
      </c>
      <c r="Q8" s="509" t="s">
        <v>13</v>
      </c>
      <c r="R8" s="524"/>
      <c r="S8" s="524"/>
      <c r="T8" s="524"/>
      <c r="U8" s="524"/>
      <c r="V8" s="524"/>
      <c r="W8" s="524"/>
      <c r="X8" s="524"/>
      <c r="Y8" s="524"/>
      <c r="Z8" s="524"/>
      <c r="AA8" s="524"/>
      <c r="AB8" s="524"/>
      <c r="AC8" s="524"/>
      <c r="AD8" s="524"/>
      <c r="AE8" s="524"/>
      <c r="AF8" s="524"/>
      <c r="AG8" s="524"/>
      <c r="AH8" s="524"/>
      <c r="AI8" s="524"/>
      <c r="AJ8" s="524"/>
      <c r="AK8" s="524"/>
      <c r="AL8" s="524"/>
      <c r="AM8" s="524"/>
      <c r="AN8" s="524"/>
      <c r="AO8" s="524"/>
      <c r="AP8" s="524"/>
      <c r="AQ8" s="524"/>
      <c r="AR8" s="524"/>
      <c r="AS8" s="524"/>
      <c r="AT8" s="524"/>
      <c r="AU8" s="524"/>
      <c r="AV8" s="524"/>
      <c r="AW8" s="524"/>
      <c r="AX8" s="524"/>
      <c r="AY8" s="524"/>
      <c r="AZ8" s="524"/>
      <c r="BA8" s="524"/>
      <c r="BB8" s="524"/>
      <c r="BC8" s="524"/>
      <c r="BD8" s="524"/>
      <c r="BE8" s="524"/>
      <c r="BF8" s="524"/>
      <c r="BG8" s="524"/>
      <c r="BH8" s="524"/>
      <c r="BI8" s="524"/>
      <c r="BJ8" s="524"/>
      <c r="BK8" s="524"/>
      <c r="BL8" s="524"/>
      <c r="BM8" s="524"/>
      <c r="BN8" s="524"/>
      <c r="BO8" s="524"/>
      <c r="BP8" s="524"/>
      <c r="BQ8" s="524"/>
      <c r="BR8" s="524"/>
      <c r="BS8" s="524"/>
      <c r="BT8" s="524"/>
      <c r="BU8" s="524"/>
      <c r="BV8" s="524"/>
      <c r="BW8" s="524"/>
      <c r="BX8" s="524"/>
      <c r="BY8" s="524"/>
      <c r="BZ8" s="524"/>
      <c r="CA8" s="524"/>
      <c r="CB8" s="524"/>
      <c r="CC8" s="524"/>
      <c r="CD8" s="524"/>
      <c r="CE8" s="524"/>
      <c r="CF8" s="524"/>
      <c r="CG8" s="524"/>
      <c r="CH8" s="524"/>
      <c r="CI8" s="524"/>
      <c r="CJ8" s="524"/>
      <c r="CK8" s="524"/>
      <c r="CL8" s="524"/>
      <c r="CM8" s="524"/>
      <c r="CN8" s="524"/>
      <c r="CO8" s="524"/>
      <c r="CP8" s="524"/>
      <c r="CQ8" s="524"/>
      <c r="CR8" s="524"/>
      <c r="CS8" s="524"/>
      <c r="CT8" s="524"/>
      <c r="CU8" s="524"/>
      <c r="CV8" s="524"/>
      <c r="CW8" s="524"/>
      <c r="CX8" s="524"/>
      <c r="CY8" s="524"/>
      <c r="CZ8" s="524"/>
      <c r="DA8" s="524"/>
      <c r="DB8" s="524"/>
      <c r="DC8" s="524"/>
      <c r="DD8" s="524"/>
      <c r="DE8" s="524"/>
      <c r="DF8" s="524"/>
      <c r="DG8" s="524"/>
      <c r="DH8" s="524"/>
      <c r="DI8" s="524"/>
      <c r="DJ8" s="524"/>
      <c r="DK8" s="524"/>
      <c r="DL8" s="524"/>
      <c r="DM8" s="524"/>
      <c r="DN8" s="524"/>
      <c r="DO8" s="524"/>
      <c r="DP8" s="524"/>
      <c r="DQ8" s="524"/>
      <c r="DR8" s="524"/>
      <c r="DS8" s="524"/>
      <c r="DT8" s="524"/>
      <c r="DU8" s="524"/>
      <c r="DV8" s="524"/>
      <c r="DW8" s="524"/>
      <c r="DX8" s="524"/>
      <c r="DY8" s="524"/>
      <c r="DZ8" s="524"/>
      <c r="EA8" s="524"/>
      <c r="EB8" s="524"/>
      <c r="EC8" s="524"/>
      <c r="ED8" s="524"/>
      <c r="EE8" s="524"/>
      <c r="EF8" s="524"/>
      <c r="EG8" s="524"/>
      <c r="EH8" s="524"/>
      <c r="EI8" s="524"/>
      <c r="EJ8" s="524"/>
      <c r="EK8" s="524"/>
      <c r="EL8" s="524"/>
      <c r="EM8" s="524"/>
      <c r="EN8" s="524"/>
      <c r="EO8" s="524"/>
      <c r="EP8" s="524"/>
      <c r="EQ8" s="524"/>
      <c r="ER8" s="524"/>
      <c r="ES8" s="524"/>
      <c r="ET8" s="524"/>
      <c r="EU8" s="524"/>
      <c r="EV8" s="524"/>
      <c r="EW8" s="524"/>
      <c r="EX8" s="524"/>
      <c r="EY8" s="524"/>
      <c r="EZ8" s="524"/>
      <c r="FA8" s="524"/>
      <c r="FB8" s="524"/>
      <c r="FC8" s="524"/>
      <c r="FD8" s="524"/>
      <c r="FE8" s="524"/>
      <c r="FF8" s="524"/>
      <c r="FG8" s="524"/>
      <c r="FH8" s="524"/>
      <c r="FI8" s="524"/>
      <c r="FJ8" s="524"/>
      <c r="FK8" s="524"/>
      <c r="FL8" s="524"/>
      <c r="FM8" s="524"/>
      <c r="FN8" s="524"/>
      <c r="FO8" s="524"/>
      <c r="FP8" s="524"/>
      <c r="FQ8" s="524"/>
      <c r="FR8" s="524"/>
      <c r="FS8" s="524"/>
      <c r="FT8" s="524"/>
      <c r="FU8" s="524"/>
      <c r="FV8" s="524"/>
      <c r="FW8" s="524"/>
      <c r="FX8" s="524"/>
      <c r="FY8" s="524"/>
      <c r="FZ8" s="524"/>
      <c r="GA8" s="524"/>
      <c r="GB8" s="524"/>
      <c r="GC8" s="524"/>
      <c r="GD8" s="524"/>
      <c r="GE8" s="524"/>
      <c r="GF8" s="524"/>
      <c r="GG8" s="524"/>
      <c r="GH8" s="524"/>
      <c r="GI8" s="524"/>
      <c r="GJ8" s="524"/>
      <c r="GK8" s="524"/>
      <c r="GL8" s="524"/>
      <c r="GM8" s="524"/>
      <c r="GN8" s="524"/>
      <c r="GO8" s="524"/>
      <c r="GP8" s="524"/>
      <c r="GQ8" s="524"/>
      <c r="GR8" s="524"/>
      <c r="GS8" s="524"/>
      <c r="GT8" s="524"/>
      <c r="GU8" s="524"/>
      <c r="GV8" s="524"/>
      <c r="GW8" s="524"/>
      <c r="GX8" s="524"/>
      <c r="GY8" s="524"/>
      <c r="GZ8" s="524"/>
      <c r="HA8" s="524"/>
      <c r="HB8" s="524"/>
      <c r="HC8" s="524"/>
      <c r="HD8" s="524"/>
      <c r="HE8" s="524"/>
      <c r="HF8" s="524"/>
      <c r="HG8" s="524"/>
      <c r="HH8" s="524"/>
      <c r="HI8" s="524"/>
      <c r="HJ8" s="524"/>
      <c r="HK8" s="524"/>
      <c r="HL8" s="524"/>
      <c r="HM8" s="524"/>
      <c r="HN8" s="524"/>
      <c r="HO8" s="524"/>
      <c r="HP8" s="524"/>
      <c r="HQ8" s="524"/>
      <c r="HR8" s="524"/>
      <c r="HS8" s="524"/>
      <c r="HT8" s="524"/>
      <c r="HU8" s="524"/>
      <c r="HV8" s="524"/>
      <c r="HW8" s="524"/>
      <c r="HX8" s="524"/>
      <c r="HY8" s="524"/>
      <c r="HZ8" s="524"/>
      <c r="IA8" s="524"/>
      <c r="IB8" s="524"/>
      <c r="IC8" s="524"/>
      <c r="ID8" s="524"/>
      <c r="IE8" s="524"/>
      <c r="IF8" s="524"/>
      <c r="IG8" s="524"/>
      <c r="IH8" s="524"/>
      <c r="II8" s="524"/>
      <c r="IJ8" s="524"/>
      <c r="IK8" s="524"/>
      <c r="IL8" s="524"/>
      <c r="IM8" s="524"/>
      <c r="IN8" s="524"/>
      <c r="IO8" s="524"/>
      <c r="IP8" s="524"/>
      <c r="IQ8" s="524"/>
      <c r="IR8" s="524"/>
    </row>
    <row r="9" spans="1:252" ht="15.75" customHeight="1" x14ac:dyDescent="0.2">
      <c r="A9" s="529">
        <v>1</v>
      </c>
      <c r="B9" s="529" t="s">
        <v>159</v>
      </c>
      <c r="C9" s="516" t="s">
        <v>62</v>
      </c>
      <c r="D9" s="529" t="s">
        <v>63</v>
      </c>
      <c r="E9" s="529" t="s">
        <v>121</v>
      </c>
      <c r="F9" s="529" t="s">
        <v>160</v>
      </c>
      <c r="G9" s="510" t="s">
        <v>670</v>
      </c>
      <c r="H9" s="529">
        <v>3</v>
      </c>
      <c r="I9" s="529">
        <v>3</v>
      </c>
      <c r="J9" s="529">
        <v>3</v>
      </c>
      <c r="K9" s="529">
        <v>1493.3</v>
      </c>
      <c r="L9" s="529">
        <v>1493.3</v>
      </c>
      <c r="M9" s="529">
        <v>0</v>
      </c>
      <c r="N9" s="529">
        <v>9</v>
      </c>
      <c r="O9" s="529">
        <v>26421.62</v>
      </c>
      <c r="P9" s="529">
        <v>26421.62</v>
      </c>
      <c r="Q9" s="529">
        <v>0</v>
      </c>
    </row>
    <row r="10" spans="1:252" ht="15.75" customHeight="1" x14ac:dyDescent="0.2">
      <c r="A10" s="529">
        <v>2</v>
      </c>
      <c r="B10" s="529" t="s">
        <v>95</v>
      </c>
      <c r="C10" s="516" t="s">
        <v>62</v>
      </c>
      <c r="D10" s="529" t="s">
        <v>63</v>
      </c>
      <c r="E10" s="529" t="s">
        <v>74</v>
      </c>
      <c r="F10" s="529" t="s">
        <v>161</v>
      </c>
      <c r="G10" s="510" t="s">
        <v>670</v>
      </c>
      <c r="H10" s="529">
        <v>54</v>
      </c>
      <c r="I10" s="529">
        <v>49</v>
      </c>
      <c r="J10" s="529">
        <v>66</v>
      </c>
      <c r="K10" s="529">
        <v>77731.58</v>
      </c>
      <c r="L10" s="529">
        <v>75145.89</v>
      </c>
      <c r="M10" s="529">
        <v>2585.69</v>
      </c>
      <c r="N10" s="529">
        <v>31</v>
      </c>
      <c r="O10" s="529">
        <v>98356.77</v>
      </c>
      <c r="P10" s="529">
        <v>93401.69</v>
      </c>
      <c r="Q10" s="529">
        <v>4955.08</v>
      </c>
    </row>
    <row r="11" spans="1:252" ht="15.75" customHeight="1" x14ac:dyDescent="0.2">
      <c r="A11" s="529">
        <v>3</v>
      </c>
      <c r="B11" s="529" t="s">
        <v>684</v>
      </c>
      <c r="C11" s="516" t="s">
        <v>64</v>
      </c>
      <c r="D11" s="529" t="s">
        <v>486</v>
      </c>
      <c r="E11" s="529" t="s">
        <v>174</v>
      </c>
      <c r="F11" s="529" t="s">
        <v>685</v>
      </c>
      <c r="G11" s="510" t="s">
        <v>670</v>
      </c>
      <c r="H11" s="529">
        <v>9</v>
      </c>
      <c r="I11" s="529">
        <v>4</v>
      </c>
      <c r="J11" s="529">
        <v>4</v>
      </c>
      <c r="K11" s="529">
        <v>0</v>
      </c>
      <c r="L11" s="529">
        <v>0</v>
      </c>
      <c r="M11" s="529">
        <v>0</v>
      </c>
      <c r="N11" s="529">
        <v>0</v>
      </c>
      <c r="O11" s="529">
        <v>0</v>
      </c>
      <c r="P11" s="529">
        <v>0</v>
      </c>
      <c r="Q11" s="529">
        <v>0</v>
      </c>
    </row>
    <row r="12" spans="1:252" ht="15.75" customHeight="1" x14ac:dyDescent="0.2">
      <c r="A12" s="529">
        <v>4</v>
      </c>
      <c r="B12" s="529" t="s">
        <v>541</v>
      </c>
      <c r="C12" s="516" t="s">
        <v>62</v>
      </c>
      <c r="D12" s="529"/>
      <c r="E12" s="529" t="s">
        <v>177</v>
      </c>
      <c r="F12" s="529" t="s">
        <v>542</v>
      </c>
      <c r="G12" s="510" t="s">
        <v>670</v>
      </c>
      <c r="H12" s="529">
        <v>30</v>
      </c>
      <c r="I12" s="529">
        <v>24</v>
      </c>
      <c r="J12" s="529">
        <v>34</v>
      </c>
      <c r="K12" s="529">
        <v>16190.58</v>
      </c>
      <c r="L12" s="529">
        <v>16190.58</v>
      </c>
      <c r="M12" s="529">
        <v>0</v>
      </c>
      <c r="N12" s="529">
        <v>0</v>
      </c>
      <c r="O12" s="529">
        <v>0</v>
      </c>
      <c r="P12" s="529">
        <v>0</v>
      </c>
      <c r="Q12" s="529">
        <v>0</v>
      </c>
    </row>
    <row r="13" spans="1:252" ht="15.75" customHeight="1" x14ac:dyDescent="0.2">
      <c r="A13" s="529">
        <v>5</v>
      </c>
      <c r="B13" s="529" t="s">
        <v>628</v>
      </c>
      <c r="C13" s="516" t="s">
        <v>62</v>
      </c>
      <c r="D13" s="529"/>
      <c r="E13" s="529" t="s">
        <v>174</v>
      </c>
      <c r="F13" s="529" t="s">
        <v>653</v>
      </c>
      <c r="G13" s="510" t="s">
        <v>670</v>
      </c>
      <c r="H13" s="529">
        <v>10</v>
      </c>
      <c r="I13" s="529">
        <v>9</v>
      </c>
      <c r="J13" s="529">
        <v>10</v>
      </c>
      <c r="K13" s="529">
        <v>0</v>
      </c>
      <c r="L13" s="529">
        <v>0</v>
      </c>
      <c r="M13" s="529">
        <v>0</v>
      </c>
      <c r="N13" s="529">
        <v>0</v>
      </c>
      <c r="O13" s="529">
        <v>0</v>
      </c>
      <c r="P13" s="529">
        <v>0</v>
      </c>
      <c r="Q13" s="529">
        <v>0</v>
      </c>
    </row>
    <row r="14" spans="1:252" ht="15.75" customHeight="1" x14ac:dyDescent="0.2">
      <c r="A14" s="529">
        <v>6</v>
      </c>
      <c r="B14" s="529" t="s">
        <v>18</v>
      </c>
      <c r="C14" s="516" t="s">
        <v>62</v>
      </c>
      <c r="D14" s="529" t="s">
        <v>63</v>
      </c>
      <c r="E14" s="529" t="s">
        <v>70</v>
      </c>
      <c r="F14" s="529" t="s">
        <v>565</v>
      </c>
      <c r="G14" s="510" t="s">
        <v>670</v>
      </c>
      <c r="H14" s="529">
        <v>6</v>
      </c>
      <c r="I14" s="529">
        <v>1</v>
      </c>
      <c r="J14" s="529">
        <v>1</v>
      </c>
      <c r="K14" s="529">
        <v>3936.79</v>
      </c>
      <c r="L14" s="529">
        <v>3936.79</v>
      </c>
      <c r="M14" s="529">
        <v>0</v>
      </c>
      <c r="N14" s="529">
        <v>2</v>
      </c>
      <c r="O14" s="529">
        <v>3205.88</v>
      </c>
      <c r="P14" s="529">
        <v>3205.88</v>
      </c>
      <c r="Q14" s="529">
        <v>0</v>
      </c>
    </row>
    <row r="15" spans="1:252" ht="15.75" customHeight="1" x14ac:dyDescent="0.2">
      <c r="A15" s="529">
        <v>7</v>
      </c>
      <c r="B15" s="529" t="s">
        <v>19</v>
      </c>
      <c r="C15" s="516" t="s">
        <v>62</v>
      </c>
      <c r="D15" s="529" t="s">
        <v>63</v>
      </c>
      <c r="E15" s="529" t="s">
        <v>71</v>
      </c>
      <c r="F15" s="529" t="s">
        <v>162</v>
      </c>
      <c r="G15" s="510" t="s">
        <v>670</v>
      </c>
      <c r="H15" s="529">
        <v>123</v>
      </c>
      <c r="I15" s="529">
        <v>107</v>
      </c>
      <c r="J15" s="529">
        <v>141</v>
      </c>
      <c r="K15" s="529">
        <v>139338.70000000001</v>
      </c>
      <c r="L15" s="529">
        <v>127395.25</v>
      </c>
      <c r="M15" s="529">
        <v>11943.45</v>
      </c>
      <c r="N15" s="529">
        <v>32</v>
      </c>
      <c r="O15" s="529">
        <v>69551</v>
      </c>
      <c r="P15" s="529">
        <v>63610.01</v>
      </c>
      <c r="Q15" s="529">
        <v>5940.99</v>
      </c>
    </row>
    <row r="16" spans="1:252" ht="15.75" customHeight="1" x14ac:dyDescent="0.2">
      <c r="A16" s="529">
        <v>8</v>
      </c>
      <c r="B16" s="529" t="s">
        <v>672</v>
      </c>
      <c r="C16" s="516" t="s">
        <v>62</v>
      </c>
      <c r="D16" s="529"/>
      <c r="E16" s="529" t="s">
        <v>158</v>
      </c>
      <c r="F16" s="529" t="s">
        <v>673</v>
      </c>
      <c r="G16" s="510" t="s">
        <v>670</v>
      </c>
      <c r="H16" s="529">
        <v>0</v>
      </c>
      <c r="I16" s="529">
        <v>0</v>
      </c>
      <c r="J16" s="529">
        <v>0</v>
      </c>
      <c r="K16" s="529">
        <v>0</v>
      </c>
      <c r="L16" s="529">
        <v>0</v>
      </c>
      <c r="M16" s="529">
        <v>0</v>
      </c>
      <c r="N16" s="529">
        <v>1</v>
      </c>
      <c r="O16" s="529">
        <v>5462.2</v>
      </c>
      <c r="P16" s="529">
        <v>5462.2</v>
      </c>
      <c r="Q16" s="529">
        <v>0</v>
      </c>
    </row>
    <row r="17" spans="1:17" ht="15.75" customHeight="1" x14ac:dyDescent="0.2">
      <c r="A17" s="529">
        <v>9</v>
      </c>
      <c r="B17" s="529" t="s">
        <v>20</v>
      </c>
      <c r="C17" s="516" t="s">
        <v>62</v>
      </c>
      <c r="D17" s="529" t="s">
        <v>63</v>
      </c>
      <c r="E17" s="529" t="s">
        <v>72</v>
      </c>
      <c r="F17" s="529" t="s">
        <v>163</v>
      </c>
      <c r="G17" s="510" t="s">
        <v>670</v>
      </c>
      <c r="H17" s="529">
        <v>0</v>
      </c>
      <c r="I17" s="529">
        <v>0</v>
      </c>
      <c r="J17" s="529">
        <v>0</v>
      </c>
      <c r="K17" s="529">
        <v>0</v>
      </c>
      <c r="L17" s="529">
        <v>0</v>
      </c>
      <c r="M17" s="529">
        <v>0</v>
      </c>
      <c r="N17" s="529">
        <v>0</v>
      </c>
      <c r="O17" s="529">
        <v>6138.73</v>
      </c>
      <c r="P17" s="529">
        <v>6138.73</v>
      </c>
      <c r="Q17" s="529">
        <v>0</v>
      </c>
    </row>
    <row r="18" spans="1:17" ht="15.75" customHeight="1" x14ac:dyDescent="0.2">
      <c r="A18" s="529">
        <v>10</v>
      </c>
      <c r="B18" s="529" t="s">
        <v>100</v>
      </c>
      <c r="C18" s="516" t="s">
        <v>62</v>
      </c>
      <c r="D18" s="529" t="s">
        <v>63</v>
      </c>
      <c r="E18" s="529" t="s">
        <v>101</v>
      </c>
      <c r="F18" s="529" t="s">
        <v>164</v>
      </c>
      <c r="G18" s="510" t="s">
        <v>670</v>
      </c>
      <c r="H18" s="529">
        <v>18</v>
      </c>
      <c r="I18" s="529">
        <v>14</v>
      </c>
      <c r="J18" s="529">
        <v>20</v>
      </c>
      <c r="K18" s="529">
        <v>28244.77</v>
      </c>
      <c r="L18" s="529">
        <v>28244.77</v>
      </c>
      <c r="M18" s="529">
        <v>0</v>
      </c>
      <c r="N18" s="529">
        <v>13</v>
      </c>
      <c r="O18" s="529">
        <v>40292.959999999999</v>
      </c>
      <c r="P18" s="529">
        <v>40292.959999999999</v>
      </c>
      <c r="Q18" s="529">
        <v>0</v>
      </c>
    </row>
    <row r="19" spans="1:17" ht="15.75" customHeight="1" x14ac:dyDescent="0.2">
      <c r="A19" s="529">
        <v>11</v>
      </c>
      <c r="B19" s="529" t="s">
        <v>86</v>
      </c>
      <c r="C19" s="516" t="s">
        <v>62</v>
      </c>
      <c r="D19" s="529" t="s">
        <v>63</v>
      </c>
      <c r="E19" s="529" t="s">
        <v>74</v>
      </c>
      <c r="F19" s="529" t="s">
        <v>165</v>
      </c>
      <c r="G19" s="510" t="s">
        <v>670</v>
      </c>
      <c r="H19" s="529">
        <v>53</v>
      </c>
      <c r="I19" s="529">
        <v>33</v>
      </c>
      <c r="J19" s="529">
        <v>36</v>
      </c>
      <c r="K19" s="529">
        <v>26897.93</v>
      </c>
      <c r="L19" s="529">
        <v>26897.93</v>
      </c>
      <c r="M19" s="529">
        <v>0</v>
      </c>
      <c r="N19" s="529">
        <v>23</v>
      </c>
      <c r="O19" s="529">
        <v>58714.67</v>
      </c>
      <c r="P19" s="529">
        <v>58714.67</v>
      </c>
      <c r="Q19" s="529">
        <v>0</v>
      </c>
    </row>
    <row r="20" spans="1:17" ht="15.75" customHeight="1" x14ac:dyDescent="0.2">
      <c r="A20" s="529">
        <v>12</v>
      </c>
      <c r="B20" s="529" t="s">
        <v>166</v>
      </c>
      <c r="C20" s="516" t="s">
        <v>62</v>
      </c>
      <c r="D20" s="529"/>
      <c r="E20" s="529" t="s">
        <v>63</v>
      </c>
      <c r="F20" s="529" t="s">
        <v>167</v>
      </c>
      <c r="G20" s="510" t="s">
        <v>670</v>
      </c>
      <c r="H20" s="529">
        <v>21</v>
      </c>
      <c r="I20" s="529">
        <v>16</v>
      </c>
      <c r="J20" s="529">
        <v>17</v>
      </c>
      <c r="K20" s="529">
        <v>12377.17</v>
      </c>
      <c r="L20" s="529">
        <v>12377.17</v>
      </c>
      <c r="M20" s="529">
        <v>0</v>
      </c>
      <c r="N20" s="529">
        <v>0</v>
      </c>
      <c r="O20" s="529">
        <v>0</v>
      </c>
      <c r="P20" s="529">
        <v>0</v>
      </c>
      <c r="Q20" s="529">
        <v>0</v>
      </c>
    </row>
    <row r="21" spans="1:17" ht="15.75" customHeight="1" x14ac:dyDescent="0.2">
      <c r="A21" s="529">
        <v>13</v>
      </c>
      <c r="B21" s="529" t="s">
        <v>168</v>
      </c>
      <c r="C21" s="516" t="s">
        <v>62</v>
      </c>
      <c r="D21" s="529"/>
      <c r="E21" s="529" t="s">
        <v>63</v>
      </c>
      <c r="F21" s="529" t="s">
        <v>169</v>
      </c>
      <c r="G21" s="510" t="s">
        <v>670</v>
      </c>
      <c r="H21" s="529">
        <v>49</v>
      </c>
      <c r="I21" s="529">
        <v>44</v>
      </c>
      <c r="J21" s="529">
        <v>54</v>
      </c>
      <c r="K21" s="529">
        <v>35849.160000000003</v>
      </c>
      <c r="L21" s="529">
        <v>35849.160000000003</v>
      </c>
      <c r="M21" s="529">
        <v>0</v>
      </c>
      <c r="N21" s="529">
        <v>0</v>
      </c>
      <c r="O21" s="529">
        <v>0</v>
      </c>
      <c r="P21" s="529">
        <v>0</v>
      </c>
      <c r="Q21" s="529">
        <v>0</v>
      </c>
    </row>
    <row r="22" spans="1:17" ht="15.75" customHeight="1" x14ac:dyDescent="0.2">
      <c r="A22" s="529">
        <v>14</v>
      </c>
      <c r="B22" s="529" t="s">
        <v>21</v>
      </c>
      <c r="C22" s="516" t="s">
        <v>62</v>
      </c>
      <c r="D22" s="529" t="s">
        <v>63</v>
      </c>
      <c r="E22" s="529" t="s">
        <v>73</v>
      </c>
      <c r="F22" s="529" t="s">
        <v>170</v>
      </c>
      <c r="G22" s="510" t="s">
        <v>670</v>
      </c>
      <c r="H22" s="529">
        <v>56</v>
      </c>
      <c r="I22" s="529">
        <v>51</v>
      </c>
      <c r="J22" s="529">
        <v>60</v>
      </c>
      <c r="K22" s="529">
        <v>63779.16</v>
      </c>
      <c r="L22" s="529">
        <v>63779.16</v>
      </c>
      <c r="M22" s="529">
        <v>0</v>
      </c>
      <c r="N22" s="529">
        <v>42</v>
      </c>
      <c r="O22" s="529">
        <v>148889.4</v>
      </c>
      <c r="P22" s="529">
        <v>148889.4</v>
      </c>
      <c r="Q22" s="529">
        <v>0</v>
      </c>
    </row>
    <row r="23" spans="1:17" ht="15.75" customHeight="1" x14ac:dyDescent="0.2">
      <c r="A23" s="529">
        <v>15</v>
      </c>
      <c r="B23" s="529" t="s">
        <v>22</v>
      </c>
      <c r="C23" s="516" t="s">
        <v>62</v>
      </c>
      <c r="D23" s="529" t="s">
        <v>63</v>
      </c>
      <c r="E23" s="529" t="s">
        <v>74</v>
      </c>
      <c r="F23" s="529" t="s">
        <v>171</v>
      </c>
      <c r="G23" s="510" t="s">
        <v>670</v>
      </c>
      <c r="H23" s="529">
        <v>47</v>
      </c>
      <c r="I23" s="529">
        <v>39</v>
      </c>
      <c r="J23" s="529">
        <v>54</v>
      </c>
      <c r="K23" s="529">
        <v>53100.33</v>
      </c>
      <c r="L23" s="529">
        <v>53100.33</v>
      </c>
      <c r="M23" s="529">
        <v>0</v>
      </c>
      <c r="N23" s="529">
        <v>45</v>
      </c>
      <c r="O23" s="529">
        <v>101080.14</v>
      </c>
      <c r="P23" s="529">
        <v>101080.14</v>
      </c>
      <c r="Q23" s="529">
        <v>0</v>
      </c>
    </row>
    <row r="24" spans="1:17" ht="15.75" customHeight="1" x14ac:dyDescent="0.2">
      <c r="A24" s="529">
        <v>16</v>
      </c>
      <c r="B24" s="529" t="s">
        <v>24</v>
      </c>
      <c r="C24" s="516" t="s">
        <v>62</v>
      </c>
      <c r="D24" s="529" t="s">
        <v>63</v>
      </c>
      <c r="E24" s="529" t="s">
        <v>74</v>
      </c>
      <c r="F24" s="529" t="s">
        <v>172</v>
      </c>
      <c r="G24" s="510" t="s">
        <v>670</v>
      </c>
      <c r="H24" s="529">
        <v>63</v>
      </c>
      <c r="I24" s="529">
        <v>55</v>
      </c>
      <c r="J24" s="529">
        <v>70</v>
      </c>
      <c r="K24" s="529">
        <v>43142.82</v>
      </c>
      <c r="L24" s="529">
        <v>43142.82</v>
      </c>
      <c r="M24" s="529">
        <v>0</v>
      </c>
      <c r="N24" s="529">
        <v>32</v>
      </c>
      <c r="O24" s="529">
        <v>91426.1</v>
      </c>
      <c r="P24" s="529">
        <v>91426.1</v>
      </c>
      <c r="Q24" s="529">
        <v>0</v>
      </c>
    </row>
    <row r="25" spans="1:17" ht="15.75" customHeight="1" x14ac:dyDescent="0.2">
      <c r="A25" s="529">
        <v>17</v>
      </c>
      <c r="B25" s="529" t="s">
        <v>102</v>
      </c>
      <c r="C25" s="516" t="s">
        <v>67</v>
      </c>
      <c r="D25" s="529" t="s">
        <v>594</v>
      </c>
      <c r="E25" s="529" t="s">
        <v>74</v>
      </c>
      <c r="F25" s="529" t="s">
        <v>477</v>
      </c>
      <c r="G25" s="510" t="s">
        <v>670</v>
      </c>
      <c r="H25" s="529">
        <v>5</v>
      </c>
      <c r="I25" s="529">
        <v>1</v>
      </c>
      <c r="J25" s="529">
        <v>1</v>
      </c>
      <c r="K25" s="529">
        <v>528.6</v>
      </c>
      <c r="L25" s="529">
        <v>528.6</v>
      </c>
      <c r="M25" s="529">
        <v>0</v>
      </c>
      <c r="N25" s="529">
        <v>4</v>
      </c>
      <c r="O25" s="529">
        <v>9770.18</v>
      </c>
      <c r="P25" s="529">
        <v>9770.18</v>
      </c>
      <c r="Q25" s="529">
        <v>0</v>
      </c>
    </row>
    <row r="26" spans="1:17" ht="15.75" customHeight="1" x14ac:dyDescent="0.2">
      <c r="A26" s="529">
        <v>18</v>
      </c>
      <c r="B26" s="529" t="s">
        <v>173</v>
      </c>
      <c r="C26" s="516" t="s">
        <v>67</v>
      </c>
      <c r="D26" s="529" t="s">
        <v>478</v>
      </c>
      <c r="E26" s="529" t="s">
        <v>174</v>
      </c>
      <c r="F26" s="529" t="s">
        <v>175</v>
      </c>
      <c r="G26" s="510" t="s">
        <v>670</v>
      </c>
      <c r="H26" s="529">
        <v>32</v>
      </c>
      <c r="I26" s="529">
        <v>24</v>
      </c>
      <c r="J26" s="529">
        <v>28</v>
      </c>
      <c r="K26" s="529">
        <v>19933.77</v>
      </c>
      <c r="L26" s="529">
        <v>19933.77</v>
      </c>
      <c r="M26" s="529">
        <v>0</v>
      </c>
      <c r="N26" s="529">
        <v>0</v>
      </c>
      <c r="O26" s="529">
        <v>0</v>
      </c>
      <c r="P26" s="529">
        <v>0</v>
      </c>
      <c r="Q26" s="529">
        <v>0</v>
      </c>
    </row>
    <row r="27" spans="1:17" ht="15.75" customHeight="1" x14ac:dyDescent="0.2">
      <c r="A27" s="529">
        <v>19</v>
      </c>
      <c r="B27" s="529" t="s">
        <v>25</v>
      </c>
      <c r="C27" s="516" t="s">
        <v>62</v>
      </c>
      <c r="D27" s="529" t="s">
        <v>63</v>
      </c>
      <c r="E27" s="529" t="s">
        <v>76</v>
      </c>
      <c r="F27" s="529" t="s">
        <v>584</v>
      </c>
      <c r="G27" s="510" t="s">
        <v>670</v>
      </c>
      <c r="H27" s="529">
        <v>65</v>
      </c>
      <c r="I27" s="529">
        <v>0</v>
      </c>
      <c r="J27" s="529">
        <v>0</v>
      </c>
      <c r="K27" s="529">
        <v>0</v>
      </c>
      <c r="L27" s="529">
        <v>0</v>
      </c>
      <c r="M27" s="529">
        <v>0</v>
      </c>
      <c r="N27" s="529">
        <v>0</v>
      </c>
      <c r="O27" s="529">
        <v>0</v>
      </c>
      <c r="P27" s="529">
        <v>0</v>
      </c>
      <c r="Q27" s="529">
        <v>0</v>
      </c>
    </row>
    <row r="28" spans="1:17" ht="15.75" customHeight="1" x14ac:dyDescent="0.2">
      <c r="A28" s="529">
        <v>20</v>
      </c>
      <c r="B28" s="529" t="s">
        <v>600</v>
      </c>
      <c r="C28" s="516" t="s">
        <v>62</v>
      </c>
      <c r="D28" s="529" t="s">
        <v>63</v>
      </c>
      <c r="E28" s="529" t="s">
        <v>75</v>
      </c>
      <c r="F28" s="529" t="s">
        <v>103</v>
      </c>
      <c r="G28" s="510" t="s">
        <v>670</v>
      </c>
      <c r="H28" s="529">
        <v>0</v>
      </c>
      <c r="I28" s="529">
        <v>0</v>
      </c>
      <c r="J28" s="529">
        <v>0</v>
      </c>
      <c r="K28" s="529">
        <v>0</v>
      </c>
      <c r="L28" s="529">
        <v>0</v>
      </c>
      <c r="M28" s="529">
        <v>0</v>
      </c>
      <c r="N28" s="529">
        <v>19</v>
      </c>
      <c r="O28" s="529">
        <v>62481.86</v>
      </c>
      <c r="P28" s="529">
        <v>62481.86</v>
      </c>
      <c r="Q28" s="529">
        <v>0</v>
      </c>
    </row>
    <row r="29" spans="1:17" ht="15.75" customHeight="1" x14ac:dyDescent="0.2">
      <c r="A29" s="529">
        <v>21</v>
      </c>
      <c r="B29" s="529" t="s">
        <v>479</v>
      </c>
      <c r="C29" s="516" t="s">
        <v>67</v>
      </c>
      <c r="D29" s="529" t="s">
        <v>480</v>
      </c>
      <c r="E29" s="529" t="s">
        <v>271</v>
      </c>
      <c r="F29" s="529" t="s">
        <v>481</v>
      </c>
      <c r="G29" s="510" t="s">
        <v>670</v>
      </c>
      <c r="H29" s="529">
        <v>16</v>
      </c>
      <c r="I29" s="529">
        <v>12</v>
      </c>
      <c r="J29" s="529">
        <v>12</v>
      </c>
      <c r="K29" s="529">
        <v>3449.4</v>
      </c>
      <c r="L29" s="529">
        <v>3449.4</v>
      </c>
      <c r="M29" s="529">
        <v>0</v>
      </c>
      <c r="N29" s="529">
        <v>0</v>
      </c>
      <c r="O29" s="529">
        <v>0</v>
      </c>
      <c r="P29" s="529">
        <v>0</v>
      </c>
      <c r="Q29" s="529">
        <v>0</v>
      </c>
    </row>
    <row r="30" spans="1:17" ht="15.75" customHeight="1" x14ac:dyDescent="0.2">
      <c r="A30" s="529">
        <v>22</v>
      </c>
      <c r="B30" s="529" t="s">
        <v>176</v>
      </c>
      <c r="C30" s="516" t="s">
        <v>62</v>
      </c>
      <c r="D30" s="529"/>
      <c r="E30" s="529" t="s">
        <v>177</v>
      </c>
      <c r="F30" s="529" t="s">
        <v>178</v>
      </c>
      <c r="G30" s="510" t="s">
        <v>670</v>
      </c>
      <c r="H30" s="529">
        <v>21</v>
      </c>
      <c r="I30" s="529">
        <v>15</v>
      </c>
      <c r="J30" s="529">
        <v>16</v>
      </c>
      <c r="K30" s="529">
        <v>14354.65</v>
      </c>
      <c r="L30" s="529">
        <v>14354.65</v>
      </c>
      <c r="M30" s="529">
        <v>0</v>
      </c>
      <c r="N30" s="529">
        <v>0</v>
      </c>
      <c r="O30" s="529">
        <v>0</v>
      </c>
      <c r="P30" s="529">
        <v>0</v>
      </c>
      <c r="Q30" s="529">
        <v>0</v>
      </c>
    </row>
    <row r="31" spans="1:17" ht="15.75" customHeight="1" x14ac:dyDescent="0.2">
      <c r="A31" s="529">
        <v>23</v>
      </c>
      <c r="B31" s="529" t="s">
        <v>152</v>
      </c>
      <c r="C31" s="516" t="s">
        <v>62</v>
      </c>
      <c r="D31" s="529" t="s">
        <v>63</v>
      </c>
      <c r="E31" s="529" t="s">
        <v>63</v>
      </c>
      <c r="F31" s="529" t="s">
        <v>179</v>
      </c>
      <c r="G31" s="510" t="s">
        <v>670</v>
      </c>
      <c r="H31" s="529">
        <v>31</v>
      </c>
      <c r="I31" s="529">
        <v>19</v>
      </c>
      <c r="J31" s="529">
        <v>22</v>
      </c>
      <c r="K31" s="529">
        <v>38119.06</v>
      </c>
      <c r="L31" s="529">
        <v>38119.06</v>
      </c>
      <c r="M31" s="529">
        <v>0</v>
      </c>
      <c r="N31" s="529">
        <v>17</v>
      </c>
      <c r="O31" s="529">
        <v>10875.99</v>
      </c>
      <c r="P31" s="529">
        <v>10875.99</v>
      </c>
      <c r="Q31" s="529">
        <v>0</v>
      </c>
    </row>
    <row r="32" spans="1:17" ht="15.75" customHeight="1" x14ac:dyDescent="0.2">
      <c r="A32" s="529">
        <v>24</v>
      </c>
      <c r="B32" s="529" t="s">
        <v>88</v>
      </c>
      <c r="C32" s="516" t="s">
        <v>62</v>
      </c>
      <c r="D32" s="529" t="s">
        <v>63</v>
      </c>
      <c r="E32" s="529" t="s">
        <v>74</v>
      </c>
      <c r="F32" s="529" t="s">
        <v>180</v>
      </c>
      <c r="G32" s="510" t="s">
        <v>670</v>
      </c>
      <c r="H32" s="529">
        <v>9</v>
      </c>
      <c r="I32" s="529">
        <v>6</v>
      </c>
      <c r="J32" s="529">
        <v>6</v>
      </c>
      <c r="K32" s="529">
        <v>7768.25</v>
      </c>
      <c r="L32" s="529">
        <v>7768.25</v>
      </c>
      <c r="M32" s="529">
        <v>0</v>
      </c>
      <c r="N32" s="529">
        <v>3</v>
      </c>
      <c r="O32" s="529">
        <v>22884.99</v>
      </c>
      <c r="P32" s="529">
        <v>22884.99</v>
      </c>
      <c r="Q32" s="529">
        <v>0</v>
      </c>
    </row>
    <row r="33" spans="1:17" ht="15.75" customHeight="1" x14ac:dyDescent="0.2">
      <c r="A33" s="529">
        <v>25</v>
      </c>
      <c r="B33" s="529" t="s">
        <v>26</v>
      </c>
      <c r="C33" s="516" t="s">
        <v>62</v>
      </c>
      <c r="D33" s="529" t="s">
        <v>63</v>
      </c>
      <c r="E33" s="529" t="s">
        <v>74</v>
      </c>
      <c r="F33" s="529" t="s">
        <v>181</v>
      </c>
      <c r="G33" s="510" t="s">
        <v>670</v>
      </c>
      <c r="H33" s="529">
        <v>31</v>
      </c>
      <c r="I33" s="529">
        <v>28</v>
      </c>
      <c r="J33" s="529">
        <v>38</v>
      </c>
      <c r="K33" s="529">
        <v>65045.440000000002</v>
      </c>
      <c r="L33" s="529">
        <v>65045.440000000002</v>
      </c>
      <c r="M33" s="529">
        <v>0</v>
      </c>
      <c r="N33" s="529">
        <v>20</v>
      </c>
      <c r="O33" s="529">
        <v>27881.98</v>
      </c>
      <c r="P33" s="529">
        <v>27881.98</v>
      </c>
      <c r="Q33" s="529">
        <v>0</v>
      </c>
    </row>
    <row r="34" spans="1:17" ht="15.75" customHeight="1" x14ac:dyDescent="0.2">
      <c r="A34" s="529">
        <v>26</v>
      </c>
      <c r="B34" s="529" t="s">
        <v>182</v>
      </c>
      <c r="C34" s="516" t="s">
        <v>62</v>
      </c>
      <c r="D34" s="529" t="s">
        <v>63</v>
      </c>
      <c r="E34" s="529" t="s">
        <v>174</v>
      </c>
      <c r="F34" s="529" t="s">
        <v>183</v>
      </c>
      <c r="G34" s="510" t="s">
        <v>670</v>
      </c>
      <c r="H34" s="529">
        <v>43</v>
      </c>
      <c r="I34" s="529">
        <v>23</v>
      </c>
      <c r="J34" s="529">
        <v>28</v>
      </c>
      <c r="K34" s="529">
        <v>23283.040000000001</v>
      </c>
      <c r="L34" s="529">
        <v>23283.040000000001</v>
      </c>
      <c r="M34" s="529">
        <v>0</v>
      </c>
      <c r="N34" s="529">
        <v>0</v>
      </c>
      <c r="O34" s="529">
        <v>0</v>
      </c>
      <c r="P34" s="529">
        <v>0</v>
      </c>
      <c r="Q34" s="529">
        <v>0</v>
      </c>
    </row>
    <row r="35" spans="1:17" ht="15.75" customHeight="1" x14ac:dyDescent="0.2">
      <c r="A35" s="529">
        <v>27</v>
      </c>
      <c r="B35" s="529" t="s">
        <v>601</v>
      </c>
      <c r="C35" s="516" t="s">
        <v>62</v>
      </c>
      <c r="D35" s="529" t="s">
        <v>63</v>
      </c>
      <c r="E35" s="529" t="s">
        <v>366</v>
      </c>
      <c r="F35" s="529" t="s">
        <v>602</v>
      </c>
      <c r="G35" s="510" t="s">
        <v>670</v>
      </c>
      <c r="H35" s="529">
        <v>5</v>
      </c>
      <c r="I35" s="529">
        <v>0</v>
      </c>
      <c r="J35" s="529">
        <v>0</v>
      </c>
      <c r="K35" s="529">
        <v>0</v>
      </c>
      <c r="L35" s="529">
        <v>0</v>
      </c>
      <c r="M35" s="529">
        <v>0</v>
      </c>
      <c r="N35" s="529">
        <v>0</v>
      </c>
      <c r="O35" s="529">
        <v>0</v>
      </c>
      <c r="P35" s="529">
        <v>0</v>
      </c>
      <c r="Q35" s="529">
        <v>0</v>
      </c>
    </row>
    <row r="36" spans="1:17" ht="15.75" customHeight="1" x14ac:dyDescent="0.2">
      <c r="A36" s="529">
        <v>28</v>
      </c>
      <c r="B36" s="529" t="s">
        <v>137</v>
      </c>
      <c r="C36" s="516" t="s">
        <v>62</v>
      </c>
      <c r="D36" s="529" t="s">
        <v>63</v>
      </c>
      <c r="E36" s="529" t="s">
        <v>78</v>
      </c>
      <c r="F36" s="529" t="s">
        <v>184</v>
      </c>
      <c r="G36" s="510" t="s">
        <v>670</v>
      </c>
      <c r="H36" s="529">
        <v>11</v>
      </c>
      <c r="I36" s="529">
        <v>6</v>
      </c>
      <c r="J36" s="529">
        <v>6</v>
      </c>
      <c r="K36" s="529">
        <v>8691.83</v>
      </c>
      <c r="L36" s="529">
        <v>8691.83</v>
      </c>
      <c r="M36" s="529">
        <v>0</v>
      </c>
      <c r="N36" s="529">
        <v>5</v>
      </c>
      <c r="O36" s="529">
        <v>9148.83</v>
      </c>
      <c r="P36" s="529">
        <v>9148.83</v>
      </c>
      <c r="Q36" s="529">
        <v>0</v>
      </c>
    </row>
    <row r="37" spans="1:17" ht="15.75" customHeight="1" x14ac:dyDescent="0.2">
      <c r="A37" s="529">
        <v>29</v>
      </c>
      <c r="B37" s="529" t="s">
        <v>335</v>
      </c>
      <c r="C37" s="516" t="s">
        <v>62</v>
      </c>
      <c r="D37" s="529" t="s">
        <v>63</v>
      </c>
      <c r="E37" s="529" t="s">
        <v>74</v>
      </c>
      <c r="F37" s="529" t="s">
        <v>748</v>
      </c>
      <c r="G37" s="510" t="s">
        <v>670</v>
      </c>
      <c r="H37" s="529">
        <v>5</v>
      </c>
      <c r="I37" s="529">
        <v>0</v>
      </c>
      <c r="J37" s="529">
        <v>0</v>
      </c>
      <c r="K37" s="529">
        <v>0</v>
      </c>
      <c r="L37" s="529">
        <v>0</v>
      </c>
      <c r="M37" s="529">
        <v>0</v>
      </c>
      <c r="N37" s="529">
        <v>0</v>
      </c>
      <c r="O37" s="529">
        <v>0</v>
      </c>
      <c r="P37" s="529">
        <v>0</v>
      </c>
      <c r="Q37" s="529">
        <v>0</v>
      </c>
    </row>
    <row r="38" spans="1:17" ht="15.75" customHeight="1" x14ac:dyDescent="0.2">
      <c r="A38" s="529">
        <v>30</v>
      </c>
      <c r="B38" s="529" t="s">
        <v>185</v>
      </c>
      <c r="C38" s="516" t="s">
        <v>62</v>
      </c>
      <c r="D38" s="529" t="s">
        <v>63</v>
      </c>
      <c r="E38" s="529" t="s">
        <v>186</v>
      </c>
      <c r="F38" s="529" t="s">
        <v>463</v>
      </c>
      <c r="G38" s="510" t="s">
        <v>670</v>
      </c>
      <c r="H38" s="529">
        <v>15</v>
      </c>
      <c r="I38" s="529">
        <v>12</v>
      </c>
      <c r="J38" s="529">
        <v>14</v>
      </c>
      <c r="K38" s="529">
        <v>2746.17</v>
      </c>
      <c r="L38" s="529">
        <v>2746.17</v>
      </c>
      <c r="M38" s="529">
        <v>0</v>
      </c>
      <c r="N38" s="529">
        <v>0</v>
      </c>
      <c r="O38" s="529">
        <v>0</v>
      </c>
      <c r="P38" s="529">
        <v>0</v>
      </c>
      <c r="Q38" s="529">
        <v>0</v>
      </c>
    </row>
    <row r="39" spans="1:17" ht="15.75" customHeight="1" x14ac:dyDescent="0.2">
      <c r="A39" s="529">
        <v>31</v>
      </c>
      <c r="B39" s="529" t="s">
        <v>27</v>
      </c>
      <c r="C39" s="516" t="s">
        <v>62</v>
      </c>
      <c r="D39" s="529" t="s">
        <v>63</v>
      </c>
      <c r="E39" s="529" t="s">
        <v>74</v>
      </c>
      <c r="F39" s="529" t="s">
        <v>187</v>
      </c>
      <c r="G39" s="510" t="s">
        <v>670</v>
      </c>
      <c r="H39" s="529">
        <v>19</v>
      </c>
      <c r="I39" s="529">
        <v>13</v>
      </c>
      <c r="J39" s="529">
        <v>14</v>
      </c>
      <c r="K39" s="529">
        <v>13050.84</v>
      </c>
      <c r="L39" s="529">
        <v>13050.84</v>
      </c>
      <c r="M39" s="529">
        <v>0</v>
      </c>
      <c r="N39" s="529">
        <v>7</v>
      </c>
      <c r="O39" s="529">
        <v>35186.089999999997</v>
      </c>
      <c r="P39" s="529">
        <v>35186.089999999997</v>
      </c>
      <c r="Q39" s="529">
        <v>0</v>
      </c>
    </row>
    <row r="40" spans="1:17" ht="15.75" customHeight="1" x14ac:dyDescent="0.2">
      <c r="A40" s="529">
        <v>32</v>
      </c>
      <c r="B40" s="529" t="s">
        <v>654</v>
      </c>
      <c r="C40" s="516" t="s">
        <v>67</v>
      </c>
      <c r="D40" s="529" t="s">
        <v>680</v>
      </c>
      <c r="E40" s="529" t="s">
        <v>655</v>
      </c>
      <c r="F40" s="529" t="s">
        <v>656</v>
      </c>
      <c r="G40" s="510" t="s">
        <v>670</v>
      </c>
      <c r="H40" s="529">
        <v>7</v>
      </c>
      <c r="I40" s="529">
        <v>2</v>
      </c>
      <c r="J40" s="529">
        <v>2</v>
      </c>
      <c r="K40" s="529">
        <v>0</v>
      </c>
      <c r="L40" s="529">
        <v>0</v>
      </c>
      <c r="M40" s="529">
        <v>0</v>
      </c>
      <c r="N40" s="529">
        <v>0</v>
      </c>
      <c r="O40" s="529">
        <v>0</v>
      </c>
      <c r="P40" s="529">
        <v>0</v>
      </c>
      <c r="Q40" s="529">
        <v>0</v>
      </c>
    </row>
    <row r="41" spans="1:17" ht="15.75" customHeight="1" x14ac:dyDescent="0.2">
      <c r="A41" s="529">
        <v>33</v>
      </c>
      <c r="B41" s="529" t="s">
        <v>482</v>
      </c>
      <c r="C41" s="516" t="s">
        <v>64</v>
      </c>
      <c r="D41" s="529" t="s">
        <v>483</v>
      </c>
      <c r="E41" s="529" t="s">
        <v>313</v>
      </c>
      <c r="F41" s="529" t="s">
        <v>484</v>
      </c>
      <c r="G41" s="510" t="s">
        <v>670</v>
      </c>
      <c r="H41" s="529">
        <v>12</v>
      </c>
      <c r="I41" s="529">
        <v>2</v>
      </c>
      <c r="J41" s="529">
        <v>2</v>
      </c>
      <c r="K41" s="529">
        <v>0</v>
      </c>
      <c r="L41" s="529">
        <v>0</v>
      </c>
      <c r="M41" s="529">
        <v>0</v>
      </c>
      <c r="N41" s="529">
        <v>0</v>
      </c>
      <c r="O41" s="529">
        <v>0</v>
      </c>
      <c r="P41" s="529">
        <v>0</v>
      </c>
      <c r="Q41" s="529">
        <v>0</v>
      </c>
    </row>
    <row r="42" spans="1:17" ht="15.75" customHeight="1" x14ac:dyDescent="0.2">
      <c r="A42" s="529">
        <v>34</v>
      </c>
      <c r="B42" s="529" t="s">
        <v>104</v>
      </c>
      <c r="C42" s="516" t="s">
        <v>62</v>
      </c>
      <c r="D42" s="529" t="s">
        <v>63</v>
      </c>
      <c r="E42" s="529" t="s">
        <v>105</v>
      </c>
      <c r="F42" s="529" t="s">
        <v>188</v>
      </c>
      <c r="G42" s="510" t="s">
        <v>670</v>
      </c>
      <c r="H42" s="529">
        <v>9</v>
      </c>
      <c r="I42" s="529">
        <v>7</v>
      </c>
      <c r="J42" s="529">
        <v>9</v>
      </c>
      <c r="K42" s="529">
        <v>19587.169999999998</v>
      </c>
      <c r="L42" s="529">
        <v>19587.169999999998</v>
      </c>
      <c r="M42" s="529">
        <v>0</v>
      </c>
      <c r="N42" s="529">
        <v>26</v>
      </c>
      <c r="O42" s="529">
        <v>55727.91</v>
      </c>
      <c r="P42" s="529">
        <v>55727.91</v>
      </c>
      <c r="Q42" s="529">
        <v>0</v>
      </c>
    </row>
    <row r="43" spans="1:17" ht="15.75" customHeight="1" x14ac:dyDescent="0.2">
      <c r="A43" s="529">
        <v>35</v>
      </c>
      <c r="B43" s="529" t="s">
        <v>517</v>
      </c>
      <c r="C43" s="516" t="s">
        <v>62</v>
      </c>
      <c r="D43" s="529" t="s">
        <v>63</v>
      </c>
      <c r="E43" s="529" t="s">
        <v>239</v>
      </c>
      <c r="F43" s="529" t="s">
        <v>567</v>
      </c>
      <c r="G43" s="510" t="s">
        <v>670</v>
      </c>
      <c r="H43" s="529">
        <v>23</v>
      </c>
      <c r="I43" s="529">
        <v>18</v>
      </c>
      <c r="J43" s="529">
        <v>19</v>
      </c>
      <c r="K43" s="529">
        <v>8593.74</v>
      </c>
      <c r="L43" s="529">
        <v>8593.74</v>
      </c>
      <c r="M43" s="529">
        <v>0</v>
      </c>
      <c r="N43" s="529">
        <v>0</v>
      </c>
      <c r="O43" s="529">
        <v>0</v>
      </c>
      <c r="P43" s="529">
        <v>0</v>
      </c>
      <c r="Q43" s="529">
        <v>0</v>
      </c>
    </row>
    <row r="44" spans="1:17" ht="15.75" customHeight="1" x14ac:dyDescent="0.2">
      <c r="A44" s="529">
        <v>36</v>
      </c>
      <c r="B44" s="529" t="s">
        <v>28</v>
      </c>
      <c r="C44" s="516" t="s">
        <v>62</v>
      </c>
      <c r="D44" s="529" t="s">
        <v>63</v>
      </c>
      <c r="E44" s="529" t="s">
        <v>74</v>
      </c>
      <c r="F44" s="529" t="s">
        <v>189</v>
      </c>
      <c r="G44" s="510" t="s">
        <v>670</v>
      </c>
      <c r="H44" s="529">
        <v>14</v>
      </c>
      <c r="I44" s="529">
        <v>10</v>
      </c>
      <c r="J44" s="529">
        <v>11</v>
      </c>
      <c r="K44" s="529">
        <v>13276.34</v>
      </c>
      <c r="L44" s="529">
        <v>13276.34</v>
      </c>
      <c r="M44" s="529">
        <v>0</v>
      </c>
      <c r="N44" s="529">
        <v>8</v>
      </c>
      <c r="O44" s="529">
        <v>18393.25</v>
      </c>
      <c r="P44" s="529">
        <v>18393.25</v>
      </c>
      <c r="Q44" s="529">
        <v>0</v>
      </c>
    </row>
    <row r="45" spans="1:17" ht="15.75" customHeight="1" x14ac:dyDescent="0.2">
      <c r="A45" s="529">
        <v>37</v>
      </c>
      <c r="B45" s="529" t="s">
        <v>190</v>
      </c>
      <c r="C45" s="516" t="s">
        <v>62</v>
      </c>
      <c r="D45" s="529" t="s">
        <v>63</v>
      </c>
      <c r="E45" s="529" t="s">
        <v>63</v>
      </c>
      <c r="F45" s="529" t="s">
        <v>191</v>
      </c>
      <c r="G45" s="510" t="s">
        <v>670</v>
      </c>
      <c r="H45" s="529">
        <v>20</v>
      </c>
      <c r="I45" s="529">
        <v>17</v>
      </c>
      <c r="J45" s="529">
        <v>17</v>
      </c>
      <c r="K45" s="529">
        <v>15430.42</v>
      </c>
      <c r="L45" s="529">
        <v>15430.42</v>
      </c>
      <c r="M45" s="529">
        <v>0</v>
      </c>
      <c r="N45" s="529">
        <v>0</v>
      </c>
      <c r="O45" s="529">
        <v>0</v>
      </c>
      <c r="P45" s="529">
        <v>0</v>
      </c>
      <c r="Q45" s="529">
        <v>0</v>
      </c>
    </row>
    <row r="46" spans="1:17" ht="15.75" customHeight="1" x14ac:dyDescent="0.2">
      <c r="A46" s="529">
        <v>38</v>
      </c>
      <c r="B46" s="529" t="s">
        <v>89</v>
      </c>
      <c r="C46" s="516" t="s">
        <v>62</v>
      </c>
      <c r="D46" s="529" t="s">
        <v>63</v>
      </c>
      <c r="E46" s="529" t="s">
        <v>74</v>
      </c>
      <c r="F46" s="529" t="s">
        <v>195</v>
      </c>
      <c r="G46" s="510" t="s">
        <v>670</v>
      </c>
      <c r="H46" s="529">
        <v>42</v>
      </c>
      <c r="I46" s="529">
        <v>37</v>
      </c>
      <c r="J46" s="529">
        <v>40</v>
      </c>
      <c r="K46" s="529">
        <v>34420.629999999997</v>
      </c>
      <c r="L46" s="529">
        <v>34420.629999999997</v>
      </c>
      <c r="M46" s="529">
        <v>0</v>
      </c>
      <c r="N46" s="529">
        <v>7</v>
      </c>
      <c r="O46" s="529">
        <v>39298.120000000003</v>
      </c>
      <c r="P46" s="529">
        <v>39298.120000000003</v>
      </c>
      <c r="Q46" s="529">
        <v>0</v>
      </c>
    </row>
    <row r="47" spans="1:17" ht="15.75" customHeight="1" x14ac:dyDescent="0.2">
      <c r="A47" s="529">
        <v>39</v>
      </c>
      <c r="B47" s="529" t="s">
        <v>196</v>
      </c>
      <c r="C47" s="516" t="s">
        <v>62</v>
      </c>
      <c r="D47" s="529" t="s">
        <v>63</v>
      </c>
      <c r="E47" s="529" t="s">
        <v>197</v>
      </c>
      <c r="F47" s="529" t="s">
        <v>198</v>
      </c>
      <c r="G47" s="510" t="s">
        <v>670</v>
      </c>
      <c r="H47" s="529">
        <v>28</v>
      </c>
      <c r="I47" s="529">
        <v>18</v>
      </c>
      <c r="J47" s="529">
        <v>19</v>
      </c>
      <c r="K47" s="529">
        <v>29345.31</v>
      </c>
      <c r="L47" s="529">
        <v>24634.21</v>
      </c>
      <c r="M47" s="529">
        <v>4711.1000000000004</v>
      </c>
      <c r="N47" s="529">
        <v>0</v>
      </c>
      <c r="O47" s="529">
        <v>0</v>
      </c>
      <c r="P47" s="529">
        <v>0</v>
      </c>
      <c r="Q47" s="529">
        <v>0</v>
      </c>
    </row>
    <row r="48" spans="1:17" ht="15.75" customHeight="1" x14ac:dyDescent="0.2">
      <c r="A48" s="529">
        <v>40</v>
      </c>
      <c r="B48" s="529" t="s">
        <v>106</v>
      </c>
      <c r="C48" s="516" t="s">
        <v>62</v>
      </c>
      <c r="D48" s="529" t="s">
        <v>63</v>
      </c>
      <c r="E48" s="529" t="s">
        <v>74</v>
      </c>
      <c r="F48" s="529" t="s">
        <v>199</v>
      </c>
      <c r="G48" s="510" t="s">
        <v>670</v>
      </c>
      <c r="H48" s="529">
        <v>56</v>
      </c>
      <c r="I48" s="529">
        <v>47</v>
      </c>
      <c r="J48" s="529">
        <v>68</v>
      </c>
      <c r="K48" s="529">
        <v>86009.18</v>
      </c>
      <c r="L48" s="529">
        <v>86009.18</v>
      </c>
      <c r="M48" s="529">
        <v>0</v>
      </c>
      <c r="N48" s="529">
        <v>28</v>
      </c>
      <c r="O48" s="529">
        <v>150774.95000000001</v>
      </c>
      <c r="P48" s="529">
        <v>150774.95000000001</v>
      </c>
      <c r="Q48" s="529">
        <v>0</v>
      </c>
    </row>
    <row r="49" spans="1:17" ht="15.75" customHeight="1" x14ac:dyDescent="0.2">
      <c r="A49" s="529">
        <v>41</v>
      </c>
      <c r="B49" s="529" t="s">
        <v>750</v>
      </c>
      <c r="C49" s="516" t="s">
        <v>62</v>
      </c>
      <c r="D49" s="529" t="s">
        <v>63</v>
      </c>
      <c r="E49" s="529" t="s">
        <v>313</v>
      </c>
      <c r="F49" s="529" t="s">
        <v>751</v>
      </c>
      <c r="G49" s="510" t="s">
        <v>670</v>
      </c>
      <c r="H49" s="529">
        <v>1</v>
      </c>
      <c r="I49" s="529">
        <v>0</v>
      </c>
      <c r="J49" s="529">
        <v>0</v>
      </c>
      <c r="K49" s="529">
        <v>0</v>
      </c>
      <c r="L49" s="529">
        <v>0</v>
      </c>
      <c r="M49" s="529">
        <v>0</v>
      </c>
      <c r="N49" s="529">
        <v>0</v>
      </c>
      <c r="O49" s="529">
        <v>0</v>
      </c>
      <c r="P49" s="529">
        <v>0</v>
      </c>
      <c r="Q49" s="529">
        <v>0</v>
      </c>
    </row>
    <row r="50" spans="1:17" ht="15.75" customHeight="1" x14ac:dyDescent="0.2">
      <c r="A50" s="529">
        <v>42</v>
      </c>
      <c r="B50" s="529" t="s">
        <v>107</v>
      </c>
      <c r="C50" s="516" t="s">
        <v>62</v>
      </c>
      <c r="D50" s="529" t="s">
        <v>63</v>
      </c>
      <c r="E50" s="529" t="s">
        <v>74</v>
      </c>
      <c r="F50" s="529" t="s">
        <v>752</v>
      </c>
      <c r="G50" s="510" t="s">
        <v>670</v>
      </c>
      <c r="H50" s="529">
        <v>10</v>
      </c>
      <c r="I50" s="529">
        <v>2</v>
      </c>
      <c r="J50" s="529">
        <v>2</v>
      </c>
      <c r="K50" s="529">
        <v>0</v>
      </c>
      <c r="L50" s="529">
        <v>0</v>
      </c>
      <c r="M50" s="529">
        <v>0</v>
      </c>
      <c r="N50" s="529">
        <v>3</v>
      </c>
      <c r="O50" s="529">
        <v>0</v>
      </c>
      <c r="P50" s="529">
        <v>0</v>
      </c>
      <c r="Q50" s="529">
        <v>0</v>
      </c>
    </row>
    <row r="51" spans="1:17" ht="15.75" customHeight="1" x14ac:dyDescent="0.2">
      <c r="A51" s="529">
        <v>43</v>
      </c>
      <c r="B51" s="529" t="s">
        <v>29</v>
      </c>
      <c r="C51" s="516" t="s">
        <v>62</v>
      </c>
      <c r="D51" s="529" t="s">
        <v>63</v>
      </c>
      <c r="E51" s="529" t="s">
        <v>74</v>
      </c>
      <c r="F51" s="529" t="s">
        <v>200</v>
      </c>
      <c r="G51" s="510" t="s">
        <v>670</v>
      </c>
      <c r="H51" s="529">
        <v>34</v>
      </c>
      <c r="I51" s="529">
        <v>30</v>
      </c>
      <c r="J51" s="529">
        <v>44</v>
      </c>
      <c r="K51" s="529">
        <v>40540.85</v>
      </c>
      <c r="L51" s="529">
        <v>40540.85</v>
      </c>
      <c r="M51" s="529">
        <v>0</v>
      </c>
      <c r="N51" s="529">
        <v>21</v>
      </c>
      <c r="O51" s="529">
        <v>29336.76</v>
      </c>
      <c r="P51" s="529">
        <v>29336.76</v>
      </c>
      <c r="Q51" s="529">
        <v>0</v>
      </c>
    </row>
    <row r="52" spans="1:17" ht="15.75" customHeight="1" x14ac:dyDescent="0.2">
      <c r="A52" s="529">
        <v>44</v>
      </c>
      <c r="B52" s="529" t="s">
        <v>201</v>
      </c>
      <c r="C52" s="516" t="s">
        <v>67</v>
      </c>
      <c r="D52" s="529" t="s">
        <v>485</v>
      </c>
      <c r="E52" s="529" t="s">
        <v>74</v>
      </c>
      <c r="F52" s="529" t="s">
        <v>202</v>
      </c>
      <c r="G52" s="510" t="s">
        <v>670</v>
      </c>
      <c r="H52" s="529">
        <v>32</v>
      </c>
      <c r="I52" s="529">
        <v>26</v>
      </c>
      <c r="J52" s="529">
        <v>29</v>
      </c>
      <c r="K52" s="529">
        <v>42330.61</v>
      </c>
      <c r="L52" s="529">
        <v>42330.61</v>
      </c>
      <c r="M52" s="529">
        <v>0</v>
      </c>
      <c r="N52" s="529">
        <v>1</v>
      </c>
      <c r="O52" s="529">
        <v>1717.95</v>
      </c>
      <c r="P52" s="529">
        <v>1717.95</v>
      </c>
      <c r="Q52" s="529">
        <v>0</v>
      </c>
    </row>
    <row r="53" spans="1:17" ht="15.75" customHeight="1" x14ac:dyDescent="0.2">
      <c r="A53" s="529">
        <v>45</v>
      </c>
      <c r="B53" s="529" t="s">
        <v>30</v>
      </c>
      <c r="C53" s="516" t="s">
        <v>62</v>
      </c>
      <c r="D53" s="529" t="s">
        <v>63</v>
      </c>
      <c r="E53" s="529" t="s">
        <v>203</v>
      </c>
      <c r="F53" s="529" t="s">
        <v>204</v>
      </c>
      <c r="G53" s="510" t="s">
        <v>670</v>
      </c>
      <c r="H53" s="529">
        <v>28</v>
      </c>
      <c r="I53" s="529">
        <v>20</v>
      </c>
      <c r="J53" s="529">
        <v>28</v>
      </c>
      <c r="K53" s="529">
        <v>65292.95</v>
      </c>
      <c r="L53" s="529">
        <v>65292.95</v>
      </c>
      <c r="M53" s="529">
        <v>0</v>
      </c>
      <c r="N53" s="529">
        <v>20</v>
      </c>
      <c r="O53" s="529">
        <v>85051.08</v>
      </c>
      <c r="P53" s="529">
        <v>85051.08</v>
      </c>
      <c r="Q53" s="529">
        <v>0</v>
      </c>
    </row>
    <row r="54" spans="1:17" ht="15.75" customHeight="1" x14ac:dyDescent="0.2">
      <c r="A54" s="529">
        <v>46</v>
      </c>
      <c r="B54" s="529" t="s">
        <v>90</v>
      </c>
      <c r="C54" s="516" t="s">
        <v>62</v>
      </c>
      <c r="D54" s="529" t="s">
        <v>63</v>
      </c>
      <c r="E54" s="529" t="s">
        <v>205</v>
      </c>
      <c r="F54" s="529" t="s">
        <v>464</v>
      </c>
      <c r="G54" s="510" t="s">
        <v>670</v>
      </c>
      <c r="H54" s="529">
        <v>29</v>
      </c>
      <c r="I54" s="529">
        <v>18</v>
      </c>
      <c r="J54" s="529">
        <v>25</v>
      </c>
      <c r="K54" s="529">
        <v>36149.81</v>
      </c>
      <c r="L54" s="529">
        <v>36149.81</v>
      </c>
      <c r="M54" s="529">
        <v>0</v>
      </c>
      <c r="N54" s="529">
        <v>18</v>
      </c>
      <c r="O54" s="529">
        <v>23475.1</v>
      </c>
      <c r="P54" s="529">
        <v>23475.1</v>
      </c>
      <c r="Q54" s="529">
        <v>0</v>
      </c>
    </row>
    <row r="55" spans="1:17" ht="15.75" customHeight="1" x14ac:dyDescent="0.2">
      <c r="A55" s="529">
        <v>47</v>
      </c>
      <c r="B55" s="529" t="s">
        <v>31</v>
      </c>
      <c r="C55" s="516" t="s">
        <v>62</v>
      </c>
      <c r="D55" s="529" t="s">
        <v>63</v>
      </c>
      <c r="E55" s="529" t="s">
        <v>74</v>
      </c>
      <c r="F55" s="529" t="s">
        <v>206</v>
      </c>
      <c r="G55" s="510" t="s">
        <v>670</v>
      </c>
      <c r="H55" s="529">
        <v>65</v>
      </c>
      <c r="I55" s="529">
        <v>57</v>
      </c>
      <c r="J55" s="529">
        <v>68</v>
      </c>
      <c r="K55" s="529">
        <v>112192.49</v>
      </c>
      <c r="L55" s="529">
        <v>112192.49</v>
      </c>
      <c r="M55" s="529">
        <v>0</v>
      </c>
      <c r="N55" s="529">
        <v>23</v>
      </c>
      <c r="O55" s="529">
        <v>88399.12</v>
      </c>
      <c r="P55" s="529">
        <v>88399.12</v>
      </c>
      <c r="Q55" s="529">
        <v>0</v>
      </c>
    </row>
    <row r="56" spans="1:17" ht="15.75" customHeight="1" x14ac:dyDescent="0.2">
      <c r="A56" s="529">
        <v>48</v>
      </c>
      <c r="B56" s="529" t="s">
        <v>631</v>
      </c>
      <c r="C56" s="516" t="s">
        <v>62</v>
      </c>
      <c r="D56" s="529" t="s">
        <v>63</v>
      </c>
      <c r="E56" s="529" t="s">
        <v>63</v>
      </c>
      <c r="F56" s="529" t="s">
        <v>732</v>
      </c>
      <c r="G56" s="510" t="s">
        <v>670</v>
      </c>
      <c r="H56" s="529">
        <v>14</v>
      </c>
      <c r="I56" s="529">
        <v>5</v>
      </c>
      <c r="J56" s="529">
        <v>5</v>
      </c>
      <c r="K56" s="529">
        <v>589.12</v>
      </c>
      <c r="L56" s="529">
        <v>589.12</v>
      </c>
      <c r="M56" s="529">
        <v>0</v>
      </c>
      <c r="N56" s="529">
        <v>0</v>
      </c>
      <c r="O56" s="529">
        <v>0</v>
      </c>
      <c r="P56" s="529">
        <v>0</v>
      </c>
      <c r="Q56" s="529">
        <v>0</v>
      </c>
    </row>
    <row r="57" spans="1:17" ht="15.75" customHeight="1" x14ac:dyDescent="0.2">
      <c r="A57" s="529">
        <v>49</v>
      </c>
      <c r="B57" s="529" t="s">
        <v>605</v>
      </c>
      <c r="C57" s="516" t="s">
        <v>62</v>
      </c>
      <c r="D57" s="529" t="s">
        <v>63</v>
      </c>
      <c r="E57" s="529" t="s">
        <v>108</v>
      </c>
      <c r="F57" s="529" t="s">
        <v>606</v>
      </c>
      <c r="G57" s="510" t="s">
        <v>670</v>
      </c>
      <c r="H57" s="529">
        <v>5</v>
      </c>
      <c r="I57" s="529">
        <v>2</v>
      </c>
      <c r="J57" s="529">
        <v>2</v>
      </c>
      <c r="K57" s="529">
        <v>0</v>
      </c>
      <c r="L57" s="529">
        <v>0</v>
      </c>
      <c r="M57" s="529">
        <v>0</v>
      </c>
      <c r="N57" s="529">
        <v>0</v>
      </c>
      <c r="O57" s="529">
        <v>1200.69</v>
      </c>
      <c r="P57" s="529">
        <v>1200.69</v>
      </c>
      <c r="Q57" s="529">
        <v>0</v>
      </c>
    </row>
    <row r="58" spans="1:17" ht="15.75" customHeight="1" x14ac:dyDescent="0.2">
      <c r="A58" s="529">
        <v>50</v>
      </c>
      <c r="B58" s="529" t="s">
        <v>32</v>
      </c>
      <c r="C58" s="516" t="s">
        <v>62</v>
      </c>
      <c r="D58" s="529" t="s">
        <v>63</v>
      </c>
      <c r="E58" s="529" t="s">
        <v>74</v>
      </c>
      <c r="F58" s="529" t="s">
        <v>207</v>
      </c>
      <c r="G58" s="510" t="s">
        <v>670</v>
      </c>
      <c r="H58" s="529">
        <v>56</v>
      </c>
      <c r="I58" s="529">
        <v>47</v>
      </c>
      <c r="J58" s="529">
        <v>52</v>
      </c>
      <c r="K58" s="529">
        <v>34934.46</v>
      </c>
      <c r="L58" s="529">
        <v>34934.46</v>
      </c>
      <c r="M58" s="529">
        <v>0</v>
      </c>
      <c r="N58" s="529">
        <v>40</v>
      </c>
      <c r="O58" s="529">
        <v>99653.31</v>
      </c>
      <c r="P58" s="529">
        <v>99653.31</v>
      </c>
      <c r="Q58" s="529">
        <v>0</v>
      </c>
    </row>
    <row r="59" spans="1:17" ht="15.75" customHeight="1" x14ac:dyDescent="0.2">
      <c r="A59" s="529">
        <v>51</v>
      </c>
      <c r="B59" s="529" t="s">
        <v>91</v>
      </c>
      <c r="C59" s="516" t="s">
        <v>62</v>
      </c>
      <c r="D59" s="529" t="s">
        <v>63</v>
      </c>
      <c r="E59" s="529" t="s">
        <v>63</v>
      </c>
      <c r="F59" s="529" t="s">
        <v>208</v>
      </c>
      <c r="G59" s="510" t="s">
        <v>670</v>
      </c>
      <c r="H59" s="529">
        <v>23</v>
      </c>
      <c r="I59" s="529">
        <v>13</v>
      </c>
      <c r="J59" s="529">
        <v>13</v>
      </c>
      <c r="K59" s="529">
        <v>7911.39</v>
      </c>
      <c r="L59" s="529">
        <v>7911.39</v>
      </c>
      <c r="M59" s="529">
        <v>0</v>
      </c>
      <c r="N59" s="529">
        <v>2</v>
      </c>
      <c r="O59" s="529">
        <v>17381.23</v>
      </c>
      <c r="P59" s="529">
        <v>17381.23</v>
      </c>
      <c r="Q59" s="529">
        <v>0</v>
      </c>
    </row>
    <row r="60" spans="1:17" ht="15.75" customHeight="1" x14ac:dyDescent="0.2">
      <c r="A60" s="529">
        <v>52</v>
      </c>
      <c r="B60" s="529" t="s">
        <v>33</v>
      </c>
      <c r="C60" s="516" t="s">
        <v>62</v>
      </c>
      <c r="D60" s="529" t="s">
        <v>63</v>
      </c>
      <c r="E60" s="529" t="s">
        <v>74</v>
      </c>
      <c r="F60" s="529" t="s">
        <v>209</v>
      </c>
      <c r="G60" s="510" t="s">
        <v>670</v>
      </c>
      <c r="H60" s="529">
        <v>43</v>
      </c>
      <c r="I60" s="529">
        <v>35</v>
      </c>
      <c r="J60" s="529">
        <v>50</v>
      </c>
      <c r="K60" s="529">
        <v>75311.38</v>
      </c>
      <c r="L60" s="529">
        <v>75311.38</v>
      </c>
      <c r="M60" s="529">
        <v>0</v>
      </c>
      <c r="N60" s="529">
        <v>42</v>
      </c>
      <c r="O60" s="529">
        <v>115656.4</v>
      </c>
      <c r="P60" s="529">
        <v>115656.4</v>
      </c>
      <c r="Q60" s="529">
        <v>0</v>
      </c>
    </row>
    <row r="61" spans="1:17" ht="15.75" customHeight="1" x14ac:dyDescent="0.2">
      <c r="A61" s="529">
        <v>53</v>
      </c>
      <c r="B61" s="529" t="s">
        <v>153</v>
      </c>
      <c r="C61" s="516" t="s">
        <v>62</v>
      </c>
      <c r="D61" s="529" t="s">
        <v>63</v>
      </c>
      <c r="E61" s="529" t="s">
        <v>74</v>
      </c>
      <c r="F61" s="529" t="s">
        <v>210</v>
      </c>
      <c r="G61" s="510" t="s">
        <v>670</v>
      </c>
      <c r="H61" s="529">
        <v>0</v>
      </c>
      <c r="I61" s="529">
        <v>0</v>
      </c>
      <c r="J61" s="529">
        <v>0</v>
      </c>
      <c r="K61" s="529">
        <v>0</v>
      </c>
      <c r="L61" s="529">
        <v>0</v>
      </c>
      <c r="M61" s="529">
        <v>0</v>
      </c>
      <c r="N61" s="529">
        <v>3</v>
      </c>
      <c r="O61" s="529">
        <v>35991.79</v>
      </c>
      <c r="P61" s="529">
        <v>35991.79</v>
      </c>
      <c r="Q61" s="529">
        <v>0</v>
      </c>
    </row>
    <row r="62" spans="1:17" ht="15.75" customHeight="1" x14ac:dyDescent="0.2">
      <c r="A62" s="529">
        <v>54</v>
      </c>
      <c r="B62" s="529" t="s">
        <v>34</v>
      </c>
      <c r="C62" s="516" t="s">
        <v>62</v>
      </c>
      <c r="D62" s="529" t="s">
        <v>63</v>
      </c>
      <c r="E62" s="529" t="s">
        <v>74</v>
      </c>
      <c r="F62" s="529" t="s">
        <v>211</v>
      </c>
      <c r="G62" s="510" t="s">
        <v>670</v>
      </c>
      <c r="H62" s="529">
        <v>24</v>
      </c>
      <c r="I62" s="529">
        <v>19</v>
      </c>
      <c r="J62" s="529">
        <v>22</v>
      </c>
      <c r="K62" s="529">
        <v>7566.68</v>
      </c>
      <c r="L62" s="529">
        <v>7566.68</v>
      </c>
      <c r="M62" s="529">
        <v>0</v>
      </c>
      <c r="N62" s="529">
        <v>26</v>
      </c>
      <c r="O62" s="529">
        <v>106055.76</v>
      </c>
      <c r="P62" s="529">
        <v>106055.76</v>
      </c>
      <c r="Q62" s="529">
        <v>0</v>
      </c>
    </row>
    <row r="63" spans="1:17" ht="15.75" customHeight="1" x14ac:dyDescent="0.2">
      <c r="A63" s="529">
        <v>55</v>
      </c>
      <c r="B63" s="529" t="s">
        <v>154</v>
      </c>
      <c r="C63" s="516" t="s">
        <v>62</v>
      </c>
      <c r="D63" s="529" t="s">
        <v>63</v>
      </c>
      <c r="E63" s="529" t="s">
        <v>72</v>
      </c>
      <c r="F63" s="529" t="s">
        <v>212</v>
      </c>
      <c r="G63" s="510" t="s">
        <v>670</v>
      </c>
      <c r="H63" s="529">
        <v>6</v>
      </c>
      <c r="I63" s="529">
        <v>2</v>
      </c>
      <c r="J63" s="529">
        <v>2</v>
      </c>
      <c r="K63" s="529">
        <v>2172.77</v>
      </c>
      <c r="L63" s="529">
        <v>2172.77</v>
      </c>
      <c r="M63" s="529">
        <v>0</v>
      </c>
      <c r="N63" s="529">
        <v>2</v>
      </c>
      <c r="O63" s="529">
        <v>10016.969999999999</v>
      </c>
      <c r="P63" s="529">
        <v>10016.969999999999</v>
      </c>
      <c r="Q63" s="529">
        <v>0</v>
      </c>
    </row>
    <row r="64" spans="1:17" ht="15.75" customHeight="1" x14ac:dyDescent="0.2">
      <c r="A64" s="529">
        <v>56</v>
      </c>
      <c r="B64" s="529" t="s">
        <v>109</v>
      </c>
      <c r="C64" s="516" t="s">
        <v>62</v>
      </c>
      <c r="D64" s="529" t="s">
        <v>63</v>
      </c>
      <c r="E64" s="529" t="s">
        <v>74</v>
      </c>
      <c r="F64" s="529" t="s">
        <v>213</v>
      </c>
      <c r="G64" s="510" t="s">
        <v>670</v>
      </c>
      <c r="H64" s="529">
        <v>0</v>
      </c>
      <c r="I64" s="529">
        <v>0</v>
      </c>
      <c r="J64" s="529">
        <v>0</v>
      </c>
      <c r="K64" s="529">
        <v>0</v>
      </c>
      <c r="L64" s="529">
        <v>0</v>
      </c>
      <c r="M64" s="529">
        <v>0</v>
      </c>
      <c r="N64" s="529">
        <v>2</v>
      </c>
      <c r="O64" s="529">
        <v>3812.68</v>
      </c>
      <c r="P64" s="529">
        <v>3812.68</v>
      </c>
      <c r="Q64" s="529">
        <v>0</v>
      </c>
    </row>
    <row r="65" spans="1:17" ht="15.75" customHeight="1" x14ac:dyDescent="0.2">
      <c r="A65" s="529">
        <v>57</v>
      </c>
      <c r="B65" s="529" t="s">
        <v>110</v>
      </c>
      <c r="C65" s="516" t="s">
        <v>62</v>
      </c>
      <c r="D65" s="529" t="s">
        <v>63</v>
      </c>
      <c r="E65" s="529" t="s">
        <v>74</v>
      </c>
      <c r="F65" s="529" t="s">
        <v>214</v>
      </c>
      <c r="G65" s="510" t="s">
        <v>670</v>
      </c>
      <c r="H65" s="529">
        <v>0</v>
      </c>
      <c r="I65" s="529">
        <v>0</v>
      </c>
      <c r="J65" s="529">
        <v>0</v>
      </c>
      <c r="K65" s="529">
        <v>0</v>
      </c>
      <c r="L65" s="529">
        <v>0</v>
      </c>
      <c r="M65" s="529">
        <v>0</v>
      </c>
      <c r="N65" s="529">
        <v>0</v>
      </c>
      <c r="O65" s="529">
        <v>12489.14</v>
      </c>
      <c r="P65" s="529">
        <v>12489.14</v>
      </c>
      <c r="Q65" s="529">
        <v>0</v>
      </c>
    </row>
    <row r="66" spans="1:17" ht="15.75" customHeight="1" x14ac:dyDescent="0.2">
      <c r="A66" s="529">
        <v>58</v>
      </c>
      <c r="B66" s="529" t="s">
        <v>92</v>
      </c>
      <c r="C66" s="516" t="s">
        <v>62</v>
      </c>
      <c r="D66" s="529" t="s">
        <v>63</v>
      </c>
      <c r="E66" s="529" t="s">
        <v>74</v>
      </c>
      <c r="F66" s="529" t="s">
        <v>215</v>
      </c>
      <c r="G66" s="510" t="s">
        <v>670</v>
      </c>
      <c r="H66" s="529">
        <v>41</v>
      </c>
      <c r="I66" s="529">
        <v>37</v>
      </c>
      <c r="J66" s="529">
        <v>49</v>
      </c>
      <c r="K66" s="529">
        <v>55173.48</v>
      </c>
      <c r="L66" s="529">
        <v>55173.48</v>
      </c>
      <c r="M66" s="529">
        <v>0</v>
      </c>
      <c r="N66" s="529">
        <v>16</v>
      </c>
      <c r="O66" s="529">
        <v>47264.21</v>
      </c>
      <c r="P66" s="529">
        <v>47264.21</v>
      </c>
      <c r="Q66" s="529">
        <v>0</v>
      </c>
    </row>
    <row r="67" spans="1:17" ht="15.75" customHeight="1" x14ac:dyDescent="0.2">
      <c r="A67" s="529">
        <v>59</v>
      </c>
      <c r="B67" s="529" t="s">
        <v>216</v>
      </c>
      <c r="C67" s="516" t="s">
        <v>67</v>
      </c>
      <c r="D67" s="529" t="s">
        <v>436</v>
      </c>
      <c r="E67" s="529" t="s">
        <v>217</v>
      </c>
      <c r="F67" s="529" t="s">
        <v>218</v>
      </c>
      <c r="G67" s="510" t="s">
        <v>670</v>
      </c>
      <c r="H67" s="529">
        <v>17</v>
      </c>
      <c r="I67" s="529">
        <v>12</v>
      </c>
      <c r="J67" s="529">
        <v>12</v>
      </c>
      <c r="K67" s="529">
        <v>8808.74</v>
      </c>
      <c r="L67" s="529">
        <v>8808.74</v>
      </c>
      <c r="M67" s="529">
        <v>0</v>
      </c>
      <c r="N67" s="529">
        <v>0</v>
      </c>
      <c r="O67" s="529">
        <v>0</v>
      </c>
      <c r="P67" s="529">
        <v>0</v>
      </c>
      <c r="Q67" s="529">
        <v>0</v>
      </c>
    </row>
    <row r="68" spans="1:17" ht="15.75" customHeight="1" x14ac:dyDescent="0.2">
      <c r="A68" s="529">
        <v>60</v>
      </c>
      <c r="B68" s="529" t="s">
        <v>35</v>
      </c>
      <c r="C68" s="516" t="s">
        <v>62</v>
      </c>
      <c r="D68" s="529" t="s">
        <v>63</v>
      </c>
      <c r="E68" s="529" t="s">
        <v>219</v>
      </c>
      <c r="F68" s="529" t="s">
        <v>220</v>
      </c>
      <c r="G68" s="510" t="s">
        <v>670</v>
      </c>
      <c r="H68" s="529">
        <v>60</v>
      </c>
      <c r="I68" s="529">
        <v>56</v>
      </c>
      <c r="J68" s="529">
        <v>63</v>
      </c>
      <c r="K68" s="529">
        <v>82511.28</v>
      </c>
      <c r="L68" s="529">
        <v>82511.28</v>
      </c>
      <c r="M68" s="529">
        <v>0</v>
      </c>
      <c r="N68" s="529">
        <v>34</v>
      </c>
      <c r="O68" s="529">
        <v>88743.22</v>
      </c>
      <c r="P68" s="529">
        <v>88743.22</v>
      </c>
      <c r="Q68" s="529">
        <v>0</v>
      </c>
    </row>
    <row r="69" spans="1:17" ht="15.75" customHeight="1" x14ac:dyDescent="0.2">
      <c r="A69" s="529">
        <v>61</v>
      </c>
      <c r="B69" s="529" t="s">
        <v>114</v>
      </c>
      <c r="C69" s="516" t="s">
        <v>62</v>
      </c>
      <c r="D69" s="529" t="s">
        <v>63</v>
      </c>
      <c r="E69" s="529" t="s">
        <v>115</v>
      </c>
      <c r="F69" s="529" t="s">
        <v>221</v>
      </c>
      <c r="G69" s="510" t="s">
        <v>670</v>
      </c>
      <c r="H69" s="529">
        <v>18</v>
      </c>
      <c r="I69" s="529">
        <v>11</v>
      </c>
      <c r="J69" s="529">
        <v>11</v>
      </c>
      <c r="K69" s="529">
        <v>21498.44</v>
      </c>
      <c r="L69" s="529">
        <v>16638.2</v>
      </c>
      <c r="M69" s="529">
        <v>4860.24</v>
      </c>
      <c r="N69" s="529">
        <v>1</v>
      </c>
      <c r="O69" s="529">
        <v>1108.48</v>
      </c>
      <c r="P69" s="529">
        <v>1108.48</v>
      </c>
      <c r="Q69" s="529">
        <v>0</v>
      </c>
    </row>
    <row r="70" spans="1:17" ht="15.75" customHeight="1" x14ac:dyDescent="0.2">
      <c r="A70" s="529">
        <v>62</v>
      </c>
      <c r="B70" s="529" t="s">
        <v>222</v>
      </c>
      <c r="C70" s="516" t="s">
        <v>64</v>
      </c>
      <c r="D70" s="529" t="s">
        <v>486</v>
      </c>
      <c r="E70" s="529" t="s">
        <v>223</v>
      </c>
      <c r="F70" s="529" t="s">
        <v>224</v>
      </c>
      <c r="G70" s="510" t="s">
        <v>670</v>
      </c>
      <c r="H70" s="529">
        <v>24</v>
      </c>
      <c r="I70" s="529">
        <v>20</v>
      </c>
      <c r="J70" s="529">
        <v>25</v>
      </c>
      <c r="K70" s="529">
        <v>31179.34</v>
      </c>
      <c r="L70" s="529">
        <v>31179.34</v>
      </c>
      <c r="M70" s="529">
        <v>0</v>
      </c>
      <c r="N70" s="529">
        <v>0</v>
      </c>
      <c r="O70" s="529">
        <v>0</v>
      </c>
      <c r="P70" s="529">
        <v>0</v>
      </c>
      <c r="Q70" s="529">
        <v>0</v>
      </c>
    </row>
    <row r="71" spans="1:17" ht="15.75" customHeight="1" x14ac:dyDescent="0.2">
      <c r="A71" s="529">
        <v>63</v>
      </c>
      <c r="B71" s="529" t="s">
        <v>93</v>
      </c>
      <c r="C71" s="516" t="s">
        <v>62</v>
      </c>
      <c r="D71" s="529" t="s">
        <v>63</v>
      </c>
      <c r="E71" s="529" t="s">
        <v>74</v>
      </c>
      <c r="F71" s="529" t="s">
        <v>225</v>
      </c>
      <c r="G71" s="510" t="s">
        <v>670</v>
      </c>
      <c r="H71" s="529">
        <v>14</v>
      </c>
      <c r="I71" s="529">
        <v>6</v>
      </c>
      <c r="J71" s="529">
        <v>7</v>
      </c>
      <c r="K71" s="529">
        <v>11798.3</v>
      </c>
      <c r="L71" s="529">
        <v>11798.3</v>
      </c>
      <c r="M71" s="529">
        <v>0</v>
      </c>
      <c r="N71" s="529">
        <v>7</v>
      </c>
      <c r="O71" s="529">
        <v>10672.71</v>
      </c>
      <c r="P71" s="529">
        <v>10672.71</v>
      </c>
      <c r="Q71" s="529">
        <v>0</v>
      </c>
    </row>
    <row r="72" spans="1:17" ht="15.75" customHeight="1" x14ac:dyDescent="0.2">
      <c r="A72" s="529">
        <v>64</v>
      </c>
      <c r="B72" s="529" t="s">
        <v>226</v>
      </c>
      <c r="C72" s="516" t="s">
        <v>62</v>
      </c>
      <c r="D72" s="529" t="s">
        <v>63</v>
      </c>
      <c r="E72" s="529" t="s">
        <v>174</v>
      </c>
      <c r="F72" s="529" t="s">
        <v>227</v>
      </c>
      <c r="G72" s="510" t="s">
        <v>670</v>
      </c>
      <c r="H72" s="529">
        <v>43</v>
      </c>
      <c r="I72" s="529">
        <v>17</v>
      </c>
      <c r="J72" s="529">
        <v>20</v>
      </c>
      <c r="K72" s="529">
        <v>59599.24</v>
      </c>
      <c r="L72" s="529">
        <v>59599.24</v>
      </c>
      <c r="M72" s="529">
        <v>0</v>
      </c>
      <c r="N72" s="529">
        <v>0</v>
      </c>
      <c r="O72" s="529">
        <v>0</v>
      </c>
      <c r="P72" s="529">
        <v>0</v>
      </c>
      <c r="Q72" s="529">
        <v>0</v>
      </c>
    </row>
    <row r="73" spans="1:17" ht="15.75" customHeight="1" x14ac:dyDescent="0.2">
      <c r="A73" s="529">
        <v>65</v>
      </c>
      <c r="B73" s="529" t="s">
        <v>228</v>
      </c>
      <c r="C73" s="516" t="s">
        <v>62</v>
      </c>
      <c r="D73" s="529" t="s">
        <v>63</v>
      </c>
      <c r="E73" s="529" t="s">
        <v>229</v>
      </c>
      <c r="F73" s="529" t="s">
        <v>230</v>
      </c>
      <c r="G73" s="510" t="s">
        <v>670</v>
      </c>
      <c r="H73" s="529">
        <v>51</v>
      </c>
      <c r="I73" s="529">
        <v>30</v>
      </c>
      <c r="J73" s="529">
        <v>38</v>
      </c>
      <c r="K73" s="529">
        <v>34002.400000000001</v>
      </c>
      <c r="L73" s="529">
        <v>34002.400000000001</v>
      </c>
      <c r="M73" s="529">
        <v>0</v>
      </c>
      <c r="N73" s="529">
        <v>0</v>
      </c>
      <c r="O73" s="529">
        <v>0</v>
      </c>
      <c r="P73" s="529">
        <v>0</v>
      </c>
      <c r="Q73" s="529">
        <v>0</v>
      </c>
    </row>
    <row r="74" spans="1:17" ht="15.75" customHeight="1" x14ac:dyDescent="0.2">
      <c r="A74" s="529">
        <v>66</v>
      </c>
      <c r="B74" s="529" t="s">
        <v>116</v>
      </c>
      <c r="C74" s="516" t="s">
        <v>62</v>
      </c>
      <c r="D74" s="529" t="s">
        <v>63</v>
      </c>
      <c r="E74" s="529" t="s">
        <v>74</v>
      </c>
      <c r="F74" s="529" t="s">
        <v>231</v>
      </c>
      <c r="G74" s="510" t="s">
        <v>670</v>
      </c>
      <c r="H74" s="529">
        <v>39</v>
      </c>
      <c r="I74" s="529">
        <v>30</v>
      </c>
      <c r="J74" s="529">
        <v>36</v>
      </c>
      <c r="K74" s="529">
        <v>42164.54</v>
      </c>
      <c r="L74" s="529">
        <v>42164.54</v>
      </c>
      <c r="M74" s="529">
        <v>0</v>
      </c>
      <c r="N74" s="529">
        <v>3</v>
      </c>
      <c r="O74" s="529">
        <v>5058.49</v>
      </c>
      <c r="P74" s="529">
        <v>5058.49</v>
      </c>
      <c r="Q74" s="529">
        <v>0</v>
      </c>
    </row>
    <row r="75" spans="1:17" ht="15.75" customHeight="1" x14ac:dyDescent="0.2">
      <c r="A75" s="529">
        <v>67</v>
      </c>
      <c r="B75" s="529" t="s">
        <v>232</v>
      </c>
      <c r="C75" s="516" t="s">
        <v>62</v>
      </c>
      <c r="D75" s="529" t="s">
        <v>63</v>
      </c>
      <c r="E75" s="529" t="s">
        <v>174</v>
      </c>
      <c r="F75" s="529" t="s">
        <v>233</v>
      </c>
      <c r="G75" s="510" t="s">
        <v>670</v>
      </c>
      <c r="H75" s="529">
        <v>18</v>
      </c>
      <c r="I75" s="529">
        <v>14</v>
      </c>
      <c r="J75" s="529">
        <v>17</v>
      </c>
      <c r="K75" s="529">
        <v>9716.0300000000007</v>
      </c>
      <c r="L75" s="529">
        <v>9716.0300000000007</v>
      </c>
      <c r="M75" s="529">
        <v>0</v>
      </c>
      <c r="N75" s="529">
        <v>0</v>
      </c>
      <c r="O75" s="529">
        <v>0</v>
      </c>
      <c r="P75" s="529">
        <v>0</v>
      </c>
      <c r="Q75" s="529">
        <v>0</v>
      </c>
    </row>
    <row r="76" spans="1:17" ht="15.75" customHeight="1" x14ac:dyDescent="0.2">
      <c r="A76" s="529">
        <v>68</v>
      </c>
      <c r="B76" s="529" t="s">
        <v>487</v>
      </c>
      <c r="C76" s="516" t="s">
        <v>62</v>
      </c>
      <c r="D76" s="529" t="s">
        <v>63</v>
      </c>
      <c r="E76" s="529" t="s">
        <v>282</v>
      </c>
      <c r="F76" s="529" t="s">
        <v>488</v>
      </c>
      <c r="G76" s="510" t="s">
        <v>670</v>
      </c>
      <c r="H76" s="529">
        <v>10</v>
      </c>
      <c r="I76" s="529">
        <v>3</v>
      </c>
      <c r="J76" s="529">
        <v>3</v>
      </c>
      <c r="K76" s="529">
        <v>1999.87</v>
      </c>
      <c r="L76" s="529">
        <v>1999.87</v>
      </c>
      <c r="M76" s="529">
        <v>0</v>
      </c>
      <c r="N76" s="529">
        <v>0</v>
      </c>
      <c r="O76" s="529">
        <v>0</v>
      </c>
      <c r="P76" s="529">
        <v>0</v>
      </c>
      <c r="Q76" s="529">
        <v>0</v>
      </c>
    </row>
    <row r="77" spans="1:17" ht="15.75" customHeight="1" x14ac:dyDescent="0.2">
      <c r="A77" s="529">
        <v>69</v>
      </c>
      <c r="B77" s="529" t="s">
        <v>357</v>
      </c>
      <c r="C77" s="516" t="s">
        <v>64</v>
      </c>
      <c r="D77" s="529" t="s">
        <v>585</v>
      </c>
      <c r="E77" s="529" t="s">
        <v>74</v>
      </c>
      <c r="F77" s="529" t="s">
        <v>586</v>
      </c>
      <c r="G77" s="510" t="s">
        <v>670</v>
      </c>
      <c r="H77" s="529">
        <v>6</v>
      </c>
      <c r="I77" s="529">
        <v>0</v>
      </c>
      <c r="J77" s="529">
        <v>0</v>
      </c>
      <c r="K77" s="529">
        <v>0</v>
      </c>
      <c r="L77" s="529">
        <v>0</v>
      </c>
      <c r="M77" s="529">
        <v>0</v>
      </c>
      <c r="N77" s="529">
        <v>1</v>
      </c>
      <c r="O77" s="529">
        <v>6753.85</v>
      </c>
      <c r="P77" s="529">
        <v>6753.85</v>
      </c>
      <c r="Q77" s="529">
        <v>0</v>
      </c>
    </row>
    <row r="78" spans="1:17" ht="15.75" customHeight="1" x14ac:dyDescent="0.2">
      <c r="A78" s="529">
        <v>70</v>
      </c>
      <c r="B78" s="529" t="s">
        <v>36</v>
      </c>
      <c r="C78" s="516" t="s">
        <v>62</v>
      </c>
      <c r="D78" s="529" t="s">
        <v>63</v>
      </c>
      <c r="E78" s="529" t="s">
        <v>74</v>
      </c>
      <c r="F78" s="529" t="s">
        <v>465</v>
      </c>
      <c r="G78" s="510" t="s">
        <v>670</v>
      </c>
      <c r="H78" s="529">
        <v>8</v>
      </c>
      <c r="I78" s="529">
        <v>4</v>
      </c>
      <c r="J78" s="529">
        <v>4</v>
      </c>
      <c r="K78" s="529">
        <v>352.4</v>
      </c>
      <c r="L78" s="529">
        <v>352.4</v>
      </c>
      <c r="M78" s="529">
        <v>0</v>
      </c>
      <c r="N78" s="529">
        <v>7</v>
      </c>
      <c r="O78" s="529">
        <v>20309.48</v>
      </c>
      <c r="P78" s="529">
        <v>20309.48</v>
      </c>
      <c r="Q78" s="529">
        <v>0</v>
      </c>
    </row>
    <row r="79" spans="1:17" ht="15.75" customHeight="1" x14ac:dyDescent="0.2">
      <c r="A79" s="529">
        <v>71</v>
      </c>
      <c r="B79" s="529" t="s">
        <v>658</v>
      </c>
      <c r="C79" s="516" t="s">
        <v>62</v>
      </c>
      <c r="D79" s="529" t="s">
        <v>63</v>
      </c>
      <c r="E79" s="529" t="s">
        <v>223</v>
      </c>
      <c r="F79" s="529" t="s">
        <v>659</v>
      </c>
      <c r="G79" s="510" t="s">
        <v>670</v>
      </c>
      <c r="H79" s="529">
        <v>13</v>
      </c>
      <c r="I79" s="529">
        <v>0</v>
      </c>
      <c r="J79" s="529">
        <v>0</v>
      </c>
      <c r="K79" s="529">
        <v>0</v>
      </c>
      <c r="L79" s="529">
        <v>0</v>
      </c>
      <c r="M79" s="529">
        <v>0</v>
      </c>
      <c r="N79" s="529">
        <v>0</v>
      </c>
      <c r="O79" s="529">
        <v>0</v>
      </c>
      <c r="P79" s="529">
        <v>0</v>
      </c>
      <c r="Q79" s="529">
        <v>0</v>
      </c>
    </row>
    <row r="80" spans="1:17" ht="15.75" customHeight="1" x14ac:dyDescent="0.2">
      <c r="A80" s="529">
        <v>72</v>
      </c>
      <c r="B80" s="529" t="s">
        <v>37</v>
      </c>
      <c r="C80" s="516" t="s">
        <v>62</v>
      </c>
      <c r="D80" s="529" t="s">
        <v>63</v>
      </c>
      <c r="E80" s="529" t="s">
        <v>70</v>
      </c>
      <c r="F80" s="529" t="s">
        <v>234</v>
      </c>
      <c r="G80" s="510" t="s">
        <v>670</v>
      </c>
      <c r="H80" s="529">
        <v>17</v>
      </c>
      <c r="I80" s="529">
        <v>10</v>
      </c>
      <c r="J80" s="529">
        <v>11</v>
      </c>
      <c r="K80" s="529">
        <v>11914.75</v>
      </c>
      <c r="L80" s="529">
        <v>11914.75</v>
      </c>
      <c r="M80" s="529">
        <v>0</v>
      </c>
      <c r="N80" s="529">
        <v>3</v>
      </c>
      <c r="O80" s="529">
        <v>19390.900000000001</v>
      </c>
      <c r="P80" s="529">
        <v>19390.900000000001</v>
      </c>
      <c r="Q80" s="529">
        <v>0</v>
      </c>
    </row>
    <row r="81" spans="1:17" ht="15.75" customHeight="1" x14ac:dyDescent="0.2">
      <c r="A81" s="529">
        <v>73</v>
      </c>
      <c r="B81" s="529" t="s">
        <v>235</v>
      </c>
      <c r="C81" s="516" t="s">
        <v>62</v>
      </c>
      <c r="D81" s="529" t="s">
        <v>63</v>
      </c>
      <c r="E81" s="529" t="s">
        <v>236</v>
      </c>
      <c r="F81" s="529" t="s">
        <v>237</v>
      </c>
      <c r="G81" s="510" t="s">
        <v>670</v>
      </c>
      <c r="H81" s="529">
        <v>16</v>
      </c>
      <c r="I81" s="529">
        <v>13</v>
      </c>
      <c r="J81" s="529">
        <v>20</v>
      </c>
      <c r="K81" s="529">
        <v>23840.49</v>
      </c>
      <c r="L81" s="529">
        <v>23840.49</v>
      </c>
      <c r="M81" s="529">
        <v>0</v>
      </c>
      <c r="N81" s="529">
        <v>0</v>
      </c>
      <c r="O81" s="529">
        <v>0</v>
      </c>
      <c r="P81" s="529">
        <v>0</v>
      </c>
      <c r="Q81" s="529">
        <v>0</v>
      </c>
    </row>
    <row r="82" spans="1:17" ht="15.75" customHeight="1" x14ac:dyDescent="0.2">
      <c r="A82" s="529">
        <v>74</v>
      </c>
      <c r="B82" s="529" t="s">
        <v>238</v>
      </c>
      <c r="C82" s="516" t="s">
        <v>62</v>
      </c>
      <c r="D82" s="529" t="s">
        <v>63</v>
      </c>
      <c r="E82" s="529" t="s">
        <v>239</v>
      </c>
      <c r="F82" s="529" t="s">
        <v>240</v>
      </c>
      <c r="G82" s="510" t="s">
        <v>670</v>
      </c>
      <c r="H82" s="529">
        <v>16</v>
      </c>
      <c r="I82" s="529">
        <v>11</v>
      </c>
      <c r="J82" s="529">
        <v>13</v>
      </c>
      <c r="K82" s="529">
        <v>9410.77</v>
      </c>
      <c r="L82" s="529">
        <v>9410.77</v>
      </c>
      <c r="M82" s="529">
        <v>0</v>
      </c>
      <c r="N82" s="529">
        <v>0</v>
      </c>
      <c r="O82" s="529">
        <v>0</v>
      </c>
      <c r="P82" s="529">
        <v>0</v>
      </c>
      <c r="Q82" s="529">
        <v>0</v>
      </c>
    </row>
    <row r="83" spans="1:17" ht="15.75" customHeight="1" x14ac:dyDescent="0.2">
      <c r="A83" s="529">
        <v>75</v>
      </c>
      <c r="B83" s="529" t="s">
        <v>587</v>
      </c>
      <c r="C83" s="516" t="s">
        <v>62</v>
      </c>
      <c r="D83" s="529" t="s">
        <v>63</v>
      </c>
      <c r="E83" s="529" t="s">
        <v>63</v>
      </c>
      <c r="F83" s="529" t="s">
        <v>609</v>
      </c>
      <c r="G83" s="510" t="s">
        <v>670</v>
      </c>
      <c r="H83" s="529">
        <v>0</v>
      </c>
      <c r="I83" s="529">
        <v>0</v>
      </c>
      <c r="J83" s="529">
        <v>0</v>
      </c>
      <c r="K83" s="529">
        <v>0</v>
      </c>
      <c r="L83" s="529">
        <v>0</v>
      </c>
      <c r="M83" s="529">
        <v>0</v>
      </c>
      <c r="N83" s="529">
        <v>2</v>
      </c>
      <c r="O83" s="529">
        <v>3658.79</v>
      </c>
      <c r="P83" s="529">
        <v>3658.79</v>
      </c>
      <c r="Q83" s="529">
        <v>0</v>
      </c>
    </row>
    <row r="84" spans="1:17" ht="15.75" customHeight="1" x14ac:dyDescent="0.2">
      <c r="A84" s="529">
        <v>76</v>
      </c>
      <c r="B84" s="529" t="s">
        <v>241</v>
      </c>
      <c r="C84" s="516" t="s">
        <v>62</v>
      </c>
      <c r="D84" s="529" t="s">
        <v>63</v>
      </c>
      <c r="E84" s="529" t="s">
        <v>242</v>
      </c>
      <c r="F84" s="529" t="s">
        <v>243</v>
      </c>
      <c r="G84" s="510" t="s">
        <v>670</v>
      </c>
      <c r="H84" s="529">
        <v>9</v>
      </c>
      <c r="I84" s="529">
        <v>9</v>
      </c>
      <c r="J84" s="529">
        <v>14</v>
      </c>
      <c r="K84" s="529">
        <v>26884.58</v>
      </c>
      <c r="L84" s="529">
        <v>26884.58</v>
      </c>
      <c r="M84" s="529">
        <v>0</v>
      </c>
      <c r="N84" s="529">
        <v>0</v>
      </c>
      <c r="O84" s="529">
        <v>0</v>
      </c>
      <c r="P84" s="529">
        <v>0</v>
      </c>
      <c r="Q84" s="529">
        <v>0</v>
      </c>
    </row>
    <row r="85" spans="1:17" ht="15.75" customHeight="1" x14ac:dyDescent="0.2">
      <c r="A85" s="529">
        <v>77</v>
      </c>
      <c r="B85" s="529" t="s">
        <v>38</v>
      </c>
      <c r="C85" s="516" t="s">
        <v>62</v>
      </c>
      <c r="D85" s="529" t="s">
        <v>63</v>
      </c>
      <c r="E85" s="529" t="s">
        <v>244</v>
      </c>
      <c r="F85" s="529" t="s">
        <v>245</v>
      </c>
      <c r="G85" s="510" t="s">
        <v>670</v>
      </c>
      <c r="H85" s="529">
        <v>118</v>
      </c>
      <c r="I85" s="529">
        <v>103</v>
      </c>
      <c r="J85" s="529">
        <v>161</v>
      </c>
      <c r="K85" s="529">
        <v>177826.79</v>
      </c>
      <c r="L85" s="529">
        <v>177826.79</v>
      </c>
      <c r="M85" s="529">
        <v>0</v>
      </c>
      <c r="N85" s="529">
        <v>96</v>
      </c>
      <c r="O85" s="529">
        <v>272452.59000000003</v>
      </c>
      <c r="P85" s="529">
        <v>272452.59000000003</v>
      </c>
      <c r="Q85" s="529">
        <v>0</v>
      </c>
    </row>
    <row r="86" spans="1:17" ht="15.75" customHeight="1" x14ac:dyDescent="0.2">
      <c r="A86" s="529">
        <v>78</v>
      </c>
      <c r="B86" s="529" t="s">
        <v>246</v>
      </c>
      <c r="C86" s="516" t="s">
        <v>62</v>
      </c>
      <c r="D86" s="529" t="s">
        <v>63</v>
      </c>
      <c r="E86" s="529" t="s">
        <v>247</v>
      </c>
      <c r="F86" s="529" t="s">
        <v>248</v>
      </c>
      <c r="G86" s="510" t="s">
        <v>670</v>
      </c>
      <c r="H86" s="529">
        <v>53</v>
      </c>
      <c r="I86" s="529">
        <v>37</v>
      </c>
      <c r="J86" s="529">
        <v>46</v>
      </c>
      <c r="K86" s="529">
        <v>26416.06</v>
      </c>
      <c r="L86" s="529">
        <v>26416.06</v>
      </c>
      <c r="M86" s="529">
        <v>0</v>
      </c>
      <c r="N86" s="529">
        <v>0</v>
      </c>
      <c r="O86" s="529">
        <v>0</v>
      </c>
      <c r="P86" s="529">
        <v>0</v>
      </c>
      <c r="Q86" s="529">
        <v>0</v>
      </c>
    </row>
    <row r="87" spans="1:17" ht="15.75" customHeight="1" x14ac:dyDescent="0.2">
      <c r="A87" s="529">
        <v>79</v>
      </c>
      <c r="B87" s="529" t="s">
        <v>39</v>
      </c>
      <c r="C87" s="516" t="s">
        <v>62</v>
      </c>
      <c r="D87" s="529" t="s">
        <v>63</v>
      </c>
      <c r="E87" s="529" t="s">
        <v>77</v>
      </c>
      <c r="F87" s="529" t="s">
        <v>466</v>
      </c>
      <c r="G87" s="510" t="s">
        <v>670</v>
      </c>
      <c r="H87" s="529">
        <v>131</v>
      </c>
      <c r="I87" s="529">
        <v>109</v>
      </c>
      <c r="J87" s="529">
        <v>116</v>
      </c>
      <c r="K87" s="529">
        <v>62619.199999999997</v>
      </c>
      <c r="L87" s="529">
        <v>62619.199999999997</v>
      </c>
      <c r="M87" s="529">
        <v>0</v>
      </c>
      <c r="N87" s="529">
        <v>11</v>
      </c>
      <c r="O87" s="529">
        <v>18898.939999999999</v>
      </c>
      <c r="P87" s="529">
        <v>18898.939999999999</v>
      </c>
      <c r="Q87" s="529">
        <v>0</v>
      </c>
    </row>
    <row r="88" spans="1:17" ht="15.75" customHeight="1" x14ac:dyDescent="0.2">
      <c r="A88" s="529">
        <v>80</v>
      </c>
      <c r="B88" s="529" t="s">
        <v>40</v>
      </c>
      <c r="C88" s="516" t="s">
        <v>62</v>
      </c>
      <c r="D88" s="529" t="s">
        <v>63</v>
      </c>
      <c r="E88" s="529" t="s">
        <v>249</v>
      </c>
      <c r="F88" s="529" t="s">
        <v>250</v>
      </c>
      <c r="G88" s="510" t="s">
        <v>670</v>
      </c>
      <c r="H88" s="529">
        <v>34</v>
      </c>
      <c r="I88" s="529">
        <v>31</v>
      </c>
      <c r="J88" s="529">
        <v>51</v>
      </c>
      <c r="K88" s="529">
        <v>77676.240000000005</v>
      </c>
      <c r="L88" s="529">
        <v>77676.240000000005</v>
      </c>
      <c r="M88" s="529">
        <v>0</v>
      </c>
      <c r="N88" s="529">
        <v>19</v>
      </c>
      <c r="O88" s="529">
        <v>51901.91</v>
      </c>
      <c r="P88" s="529">
        <v>51901.91</v>
      </c>
      <c r="Q88" s="529">
        <v>0</v>
      </c>
    </row>
    <row r="89" spans="1:17" ht="15.75" customHeight="1" x14ac:dyDescent="0.2">
      <c r="A89" s="529">
        <v>81</v>
      </c>
      <c r="B89" s="529" t="s">
        <v>660</v>
      </c>
      <c r="C89" s="516" t="s">
        <v>67</v>
      </c>
      <c r="D89" s="529" t="s">
        <v>661</v>
      </c>
      <c r="E89" s="529" t="s">
        <v>313</v>
      </c>
      <c r="F89" s="529" t="s">
        <v>662</v>
      </c>
      <c r="G89" s="510" t="s">
        <v>670</v>
      </c>
      <c r="H89" s="529">
        <v>7</v>
      </c>
      <c r="I89" s="529">
        <v>4</v>
      </c>
      <c r="J89" s="529">
        <v>4</v>
      </c>
      <c r="K89" s="529">
        <v>0</v>
      </c>
      <c r="L89" s="529">
        <v>0</v>
      </c>
      <c r="M89" s="529">
        <v>0</v>
      </c>
      <c r="N89" s="529">
        <v>0</v>
      </c>
      <c r="O89" s="529">
        <v>0</v>
      </c>
      <c r="P89" s="529">
        <v>0</v>
      </c>
      <c r="Q89" s="529">
        <v>0</v>
      </c>
    </row>
    <row r="90" spans="1:17" ht="15.75" customHeight="1" x14ac:dyDescent="0.2">
      <c r="A90" s="529">
        <v>82</v>
      </c>
      <c r="B90" s="529" t="s">
        <v>251</v>
      </c>
      <c r="C90" s="516" t="s">
        <v>62</v>
      </c>
      <c r="D90" s="529"/>
      <c r="E90" s="529" t="s">
        <v>177</v>
      </c>
      <c r="F90" s="529" t="s">
        <v>252</v>
      </c>
      <c r="G90" s="510" t="s">
        <v>670</v>
      </c>
      <c r="H90" s="529">
        <v>68</v>
      </c>
      <c r="I90" s="529">
        <v>51</v>
      </c>
      <c r="J90" s="529">
        <v>76</v>
      </c>
      <c r="K90" s="529">
        <v>85263.69</v>
      </c>
      <c r="L90" s="529">
        <v>77010.77</v>
      </c>
      <c r="M90" s="529">
        <v>8252.92</v>
      </c>
      <c r="N90" s="529">
        <v>0</v>
      </c>
      <c r="O90" s="529">
        <v>0</v>
      </c>
      <c r="P90" s="529">
        <v>0</v>
      </c>
      <c r="Q90" s="529">
        <v>0</v>
      </c>
    </row>
    <row r="91" spans="1:17" ht="15.75" customHeight="1" x14ac:dyDescent="0.2">
      <c r="A91" s="529">
        <v>83</v>
      </c>
      <c r="B91" s="529" t="s">
        <v>117</v>
      </c>
      <c r="C91" s="516" t="s">
        <v>62</v>
      </c>
      <c r="D91" s="529" t="s">
        <v>63</v>
      </c>
      <c r="E91" s="529" t="s">
        <v>74</v>
      </c>
      <c r="F91" s="529" t="s">
        <v>520</v>
      </c>
      <c r="G91" s="510" t="s">
        <v>670</v>
      </c>
      <c r="H91" s="529">
        <v>7</v>
      </c>
      <c r="I91" s="529">
        <v>2</v>
      </c>
      <c r="J91" s="529">
        <v>2</v>
      </c>
      <c r="K91" s="529">
        <v>3618.99</v>
      </c>
      <c r="L91" s="529">
        <v>3618.99</v>
      </c>
      <c r="M91" s="529">
        <v>0</v>
      </c>
      <c r="N91" s="529">
        <v>3</v>
      </c>
      <c r="O91" s="529">
        <v>9677.56</v>
      </c>
      <c r="P91" s="529">
        <v>9677.56</v>
      </c>
      <c r="Q91" s="529">
        <v>0</v>
      </c>
    </row>
    <row r="92" spans="1:17" ht="15.75" customHeight="1" x14ac:dyDescent="0.2">
      <c r="A92" s="529">
        <v>84</v>
      </c>
      <c r="B92" s="529" t="s">
        <v>41</v>
      </c>
      <c r="C92" s="516" t="s">
        <v>64</v>
      </c>
      <c r="D92" s="529" t="s">
        <v>65</v>
      </c>
      <c r="E92" s="529" t="s">
        <v>72</v>
      </c>
      <c r="F92" s="529" t="s">
        <v>253</v>
      </c>
      <c r="G92" s="510" t="s">
        <v>670</v>
      </c>
      <c r="H92" s="529">
        <v>2</v>
      </c>
      <c r="I92" s="529">
        <v>2</v>
      </c>
      <c r="J92" s="529">
        <v>2</v>
      </c>
      <c r="K92" s="529">
        <v>1575.23</v>
      </c>
      <c r="L92" s="529">
        <v>1575.23</v>
      </c>
      <c r="M92" s="529">
        <v>0</v>
      </c>
      <c r="N92" s="529">
        <v>12</v>
      </c>
      <c r="O92" s="529">
        <v>33315.620000000003</v>
      </c>
      <c r="P92" s="529">
        <v>33315.620000000003</v>
      </c>
      <c r="Q92" s="529">
        <v>0</v>
      </c>
    </row>
    <row r="93" spans="1:17" ht="15.75" customHeight="1" x14ac:dyDescent="0.2">
      <c r="A93" s="529">
        <v>85</v>
      </c>
      <c r="B93" s="529" t="s">
        <v>118</v>
      </c>
      <c r="C93" s="516" t="s">
        <v>62</v>
      </c>
      <c r="D93" s="529" t="s">
        <v>63</v>
      </c>
      <c r="E93" s="529" t="s">
        <v>63</v>
      </c>
      <c r="F93" s="529" t="s">
        <v>467</v>
      </c>
      <c r="G93" s="510" t="s">
        <v>670</v>
      </c>
      <c r="H93" s="529">
        <v>7</v>
      </c>
      <c r="I93" s="529">
        <v>2</v>
      </c>
      <c r="J93" s="529">
        <v>2</v>
      </c>
      <c r="K93" s="529">
        <v>939.94</v>
      </c>
      <c r="L93" s="529">
        <v>939.94</v>
      </c>
      <c r="M93" s="529">
        <v>0</v>
      </c>
      <c r="N93" s="529">
        <v>2</v>
      </c>
      <c r="O93" s="529">
        <v>23833.22</v>
      </c>
      <c r="P93" s="529">
        <v>23833.22</v>
      </c>
      <c r="Q93" s="529">
        <v>0</v>
      </c>
    </row>
    <row r="94" spans="1:17" ht="15.75" customHeight="1" x14ac:dyDescent="0.2">
      <c r="A94" s="529">
        <v>86</v>
      </c>
      <c r="B94" s="529" t="s">
        <v>548</v>
      </c>
      <c r="C94" s="516" t="s">
        <v>62</v>
      </c>
      <c r="D94" s="529" t="s">
        <v>63</v>
      </c>
      <c r="E94" s="529" t="s">
        <v>549</v>
      </c>
      <c r="F94" s="529" t="s">
        <v>550</v>
      </c>
      <c r="G94" s="510" t="s">
        <v>670</v>
      </c>
      <c r="H94" s="529">
        <v>7</v>
      </c>
      <c r="I94" s="529">
        <v>4</v>
      </c>
      <c r="J94" s="529">
        <v>4</v>
      </c>
      <c r="K94" s="529">
        <v>0</v>
      </c>
      <c r="L94" s="529">
        <v>0</v>
      </c>
      <c r="M94" s="529">
        <v>0</v>
      </c>
      <c r="N94" s="529">
        <v>0</v>
      </c>
      <c r="O94" s="529">
        <v>0</v>
      </c>
      <c r="P94" s="529">
        <v>0</v>
      </c>
      <c r="Q94" s="529">
        <v>0</v>
      </c>
    </row>
    <row r="95" spans="1:17" ht="15.75" customHeight="1" x14ac:dyDescent="0.2">
      <c r="A95" s="529">
        <v>87</v>
      </c>
      <c r="B95" s="529" t="s">
        <v>254</v>
      </c>
      <c r="C95" s="516" t="s">
        <v>62</v>
      </c>
      <c r="D95" s="529" t="s">
        <v>63</v>
      </c>
      <c r="E95" s="529" t="s">
        <v>239</v>
      </c>
      <c r="F95" s="529" t="s">
        <v>255</v>
      </c>
      <c r="G95" s="510" t="s">
        <v>670</v>
      </c>
      <c r="H95" s="529">
        <v>11</v>
      </c>
      <c r="I95" s="529">
        <v>9</v>
      </c>
      <c r="J95" s="529">
        <v>12</v>
      </c>
      <c r="K95" s="529">
        <v>11766.59</v>
      </c>
      <c r="L95" s="529">
        <v>11766.59</v>
      </c>
      <c r="M95" s="529">
        <v>0</v>
      </c>
      <c r="N95" s="529">
        <v>0</v>
      </c>
      <c r="O95" s="529">
        <v>0</v>
      </c>
      <c r="P95" s="529">
        <v>0</v>
      </c>
      <c r="Q95" s="529">
        <v>0</v>
      </c>
    </row>
    <row r="96" spans="1:17" ht="15.75" customHeight="1" x14ac:dyDescent="0.2">
      <c r="A96" s="529">
        <v>88</v>
      </c>
      <c r="B96" s="529" t="s">
        <v>256</v>
      </c>
      <c r="C96" s="516" t="s">
        <v>62</v>
      </c>
      <c r="D96" s="529" t="s">
        <v>63</v>
      </c>
      <c r="E96" s="529" t="s">
        <v>158</v>
      </c>
      <c r="F96" s="529" t="s">
        <v>257</v>
      </c>
      <c r="G96" s="510" t="s">
        <v>670</v>
      </c>
      <c r="H96" s="529">
        <v>19</v>
      </c>
      <c r="I96" s="529">
        <v>10</v>
      </c>
      <c r="J96" s="529">
        <v>10</v>
      </c>
      <c r="K96" s="529">
        <v>7885.09</v>
      </c>
      <c r="L96" s="529">
        <v>7885.09</v>
      </c>
      <c r="M96" s="529">
        <v>0</v>
      </c>
      <c r="N96" s="529">
        <v>0</v>
      </c>
      <c r="O96" s="529">
        <v>0</v>
      </c>
      <c r="P96" s="529">
        <v>0</v>
      </c>
      <c r="Q96" s="529">
        <v>0</v>
      </c>
    </row>
    <row r="97" spans="1:17" ht="15.75" customHeight="1" x14ac:dyDescent="0.2">
      <c r="A97" s="529">
        <v>89</v>
      </c>
      <c r="B97" s="529" t="s">
        <v>643</v>
      </c>
      <c r="C97" s="516" t="s">
        <v>62</v>
      </c>
      <c r="D97" s="529" t="s">
        <v>63</v>
      </c>
      <c r="E97" s="529" t="s">
        <v>313</v>
      </c>
      <c r="F97" s="529" t="s">
        <v>663</v>
      </c>
      <c r="G97" s="510" t="s">
        <v>670</v>
      </c>
      <c r="H97" s="529">
        <v>11</v>
      </c>
      <c r="I97" s="529">
        <v>6</v>
      </c>
      <c r="J97" s="529">
        <v>7</v>
      </c>
      <c r="K97" s="529">
        <v>1723.18</v>
      </c>
      <c r="L97" s="529">
        <v>1723.18</v>
      </c>
      <c r="M97" s="529">
        <v>0</v>
      </c>
      <c r="N97" s="529">
        <v>0</v>
      </c>
      <c r="O97" s="529">
        <v>0</v>
      </c>
      <c r="P97" s="529">
        <v>0</v>
      </c>
      <c r="Q97" s="529">
        <v>0</v>
      </c>
    </row>
    <row r="98" spans="1:17" ht="15.75" customHeight="1" x14ac:dyDescent="0.2">
      <c r="A98" s="529">
        <v>90</v>
      </c>
      <c r="B98" s="529" t="s">
        <v>258</v>
      </c>
      <c r="C98" s="516" t="s">
        <v>62</v>
      </c>
      <c r="D98" s="529" t="s">
        <v>63</v>
      </c>
      <c r="E98" s="529" t="s">
        <v>239</v>
      </c>
      <c r="F98" s="529" t="s">
        <v>259</v>
      </c>
      <c r="G98" s="510" t="s">
        <v>670</v>
      </c>
      <c r="H98" s="529">
        <v>40</v>
      </c>
      <c r="I98" s="529">
        <v>30</v>
      </c>
      <c r="J98" s="529">
        <v>35</v>
      </c>
      <c r="K98" s="529">
        <v>42977.760000000002</v>
      </c>
      <c r="L98" s="529">
        <v>42977.760000000002</v>
      </c>
      <c r="M98" s="529">
        <v>0</v>
      </c>
      <c r="N98" s="529">
        <v>0</v>
      </c>
      <c r="O98" s="529">
        <v>0</v>
      </c>
      <c r="P98" s="529">
        <v>0</v>
      </c>
      <c r="Q98" s="529">
        <v>0</v>
      </c>
    </row>
    <row r="99" spans="1:17" ht="15.75" customHeight="1" x14ac:dyDescent="0.2">
      <c r="A99" s="529">
        <v>91</v>
      </c>
      <c r="B99" s="529" t="s">
        <v>42</v>
      </c>
      <c r="C99" s="516" t="s">
        <v>62</v>
      </c>
      <c r="D99" s="529" t="s">
        <v>63</v>
      </c>
      <c r="E99" s="529" t="s">
        <v>78</v>
      </c>
      <c r="F99" s="529" t="s">
        <v>260</v>
      </c>
      <c r="G99" s="510" t="s">
        <v>670</v>
      </c>
      <c r="H99" s="529">
        <v>53</v>
      </c>
      <c r="I99" s="529">
        <v>42</v>
      </c>
      <c r="J99" s="529">
        <v>52</v>
      </c>
      <c r="K99" s="529">
        <v>105749.62</v>
      </c>
      <c r="L99" s="529">
        <v>102029.77</v>
      </c>
      <c r="M99" s="529">
        <v>3719.85</v>
      </c>
      <c r="N99" s="529">
        <v>38</v>
      </c>
      <c r="O99" s="529">
        <v>157669.39000000001</v>
      </c>
      <c r="P99" s="529">
        <v>157669.39000000001</v>
      </c>
      <c r="Q99" s="529">
        <v>0</v>
      </c>
    </row>
    <row r="100" spans="1:17" ht="15.75" customHeight="1" x14ac:dyDescent="0.2">
      <c r="A100" s="529">
        <v>92</v>
      </c>
      <c r="B100" s="529" t="s">
        <v>43</v>
      </c>
      <c r="C100" s="516" t="s">
        <v>62</v>
      </c>
      <c r="D100" s="529" t="s">
        <v>63</v>
      </c>
      <c r="E100" s="529" t="s">
        <v>72</v>
      </c>
      <c r="F100" s="529" t="s">
        <v>261</v>
      </c>
      <c r="G100" s="510" t="s">
        <v>670</v>
      </c>
      <c r="H100" s="529">
        <v>32</v>
      </c>
      <c r="I100" s="529">
        <v>23</v>
      </c>
      <c r="J100" s="529">
        <v>30</v>
      </c>
      <c r="K100" s="529">
        <v>43931.31</v>
      </c>
      <c r="L100" s="529">
        <v>43931.31</v>
      </c>
      <c r="M100" s="529">
        <v>0</v>
      </c>
      <c r="N100" s="529">
        <v>53</v>
      </c>
      <c r="O100" s="529">
        <v>199828.54</v>
      </c>
      <c r="P100" s="529">
        <v>199828.54</v>
      </c>
      <c r="Q100" s="529">
        <v>0</v>
      </c>
    </row>
    <row r="101" spans="1:17" ht="15.75" customHeight="1" x14ac:dyDescent="0.2">
      <c r="A101" s="529">
        <v>93</v>
      </c>
      <c r="B101" s="529" t="s">
        <v>44</v>
      </c>
      <c r="C101" s="516" t="s">
        <v>62</v>
      </c>
      <c r="D101" s="529" t="s">
        <v>63</v>
      </c>
      <c r="E101" s="529" t="s">
        <v>74</v>
      </c>
      <c r="F101" s="529" t="s">
        <v>262</v>
      </c>
      <c r="G101" s="510" t="s">
        <v>670</v>
      </c>
      <c r="H101" s="529">
        <v>55</v>
      </c>
      <c r="I101" s="529">
        <v>39</v>
      </c>
      <c r="J101" s="529">
        <v>45</v>
      </c>
      <c r="K101" s="529">
        <v>33316.980000000003</v>
      </c>
      <c r="L101" s="529">
        <v>33316.980000000003</v>
      </c>
      <c r="M101" s="529">
        <v>0</v>
      </c>
      <c r="N101" s="529">
        <v>44</v>
      </c>
      <c r="O101" s="529">
        <v>148820.37</v>
      </c>
      <c r="P101" s="529">
        <v>148820.37</v>
      </c>
      <c r="Q101" s="529">
        <v>0</v>
      </c>
    </row>
    <row r="102" spans="1:17" ht="15.75" customHeight="1" x14ac:dyDescent="0.2">
      <c r="A102" s="529">
        <v>94</v>
      </c>
      <c r="B102" s="529" t="s">
        <v>45</v>
      </c>
      <c r="C102" s="516" t="s">
        <v>62</v>
      </c>
      <c r="D102" s="529" t="s">
        <v>63</v>
      </c>
      <c r="E102" s="529" t="s">
        <v>79</v>
      </c>
      <c r="F102" s="529" t="s">
        <v>263</v>
      </c>
      <c r="G102" s="510" t="s">
        <v>670</v>
      </c>
      <c r="H102" s="529">
        <v>16</v>
      </c>
      <c r="I102" s="529">
        <v>12</v>
      </c>
      <c r="J102" s="529">
        <v>19</v>
      </c>
      <c r="K102" s="529">
        <v>32539.22</v>
      </c>
      <c r="L102" s="529">
        <v>32539.22</v>
      </c>
      <c r="M102" s="529">
        <v>0</v>
      </c>
      <c r="N102" s="529">
        <v>6</v>
      </c>
      <c r="O102" s="529">
        <v>25980.78</v>
      </c>
      <c r="P102" s="529">
        <v>25980.78</v>
      </c>
      <c r="Q102" s="529">
        <v>0</v>
      </c>
    </row>
    <row r="103" spans="1:17" ht="15.75" customHeight="1" x14ac:dyDescent="0.2">
      <c r="A103" s="529">
        <v>95</v>
      </c>
      <c r="B103" s="529" t="s">
        <v>264</v>
      </c>
      <c r="C103" s="516" t="s">
        <v>62</v>
      </c>
      <c r="D103" s="529" t="s">
        <v>63</v>
      </c>
      <c r="E103" s="529" t="s">
        <v>74</v>
      </c>
      <c r="F103" s="529" t="s">
        <v>265</v>
      </c>
      <c r="G103" s="510" t="s">
        <v>670</v>
      </c>
      <c r="H103" s="529">
        <v>27</v>
      </c>
      <c r="I103" s="529">
        <v>21</v>
      </c>
      <c r="J103" s="529">
        <v>25</v>
      </c>
      <c r="K103" s="529">
        <v>18935.36</v>
      </c>
      <c r="L103" s="529">
        <v>18935.36</v>
      </c>
      <c r="M103" s="529">
        <v>0</v>
      </c>
      <c r="N103" s="529">
        <v>0</v>
      </c>
      <c r="O103" s="529">
        <v>0</v>
      </c>
      <c r="P103" s="529">
        <v>0</v>
      </c>
      <c r="Q103" s="529">
        <v>0</v>
      </c>
    </row>
    <row r="104" spans="1:17" ht="15.75" customHeight="1" x14ac:dyDescent="0.2">
      <c r="A104" s="529">
        <v>96</v>
      </c>
      <c r="B104" s="529" t="s">
        <v>119</v>
      </c>
      <c r="C104" s="516" t="s">
        <v>62</v>
      </c>
      <c r="D104" s="529" t="s">
        <v>63</v>
      </c>
      <c r="E104" s="529" t="s">
        <v>108</v>
      </c>
      <c r="F104" s="529" t="s">
        <v>266</v>
      </c>
      <c r="G104" s="510" t="s">
        <v>670</v>
      </c>
      <c r="H104" s="529">
        <v>22</v>
      </c>
      <c r="I104" s="529">
        <v>17</v>
      </c>
      <c r="J104" s="529">
        <v>20</v>
      </c>
      <c r="K104" s="529">
        <v>20121.990000000002</v>
      </c>
      <c r="L104" s="529">
        <v>20121.990000000002</v>
      </c>
      <c r="M104" s="529">
        <v>0</v>
      </c>
      <c r="N104" s="529">
        <v>6</v>
      </c>
      <c r="O104" s="529">
        <v>1881.62</v>
      </c>
      <c r="P104" s="529">
        <v>1881.62</v>
      </c>
      <c r="Q104" s="529">
        <v>0</v>
      </c>
    </row>
    <row r="105" spans="1:17" ht="15.75" customHeight="1" x14ac:dyDescent="0.2">
      <c r="A105" s="529">
        <v>97</v>
      </c>
      <c r="B105" s="529" t="s">
        <v>46</v>
      </c>
      <c r="C105" s="516" t="s">
        <v>62</v>
      </c>
      <c r="D105" s="529" t="s">
        <v>63</v>
      </c>
      <c r="E105" s="529" t="s">
        <v>267</v>
      </c>
      <c r="F105" s="529" t="s">
        <v>268</v>
      </c>
      <c r="G105" s="510" t="s">
        <v>670</v>
      </c>
      <c r="H105" s="529">
        <v>29</v>
      </c>
      <c r="I105" s="529">
        <v>21</v>
      </c>
      <c r="J105" s="529">
        <v>33</v>
      </c>
      <c r="K105" s="529">
        <v>60965.35</v>
      </c>
      <c r="L105" s="529">
        <v>60965.35</v>
      </c>
      <c r="M105" s="529">
        <v>0</v>
      </c>
      <c r="N105" s="529">
        <v>28</v>
      </c>
      <c r="O105" s="529">
        <v>125896.58</v>
      </c>
      <c r="P105" s="529">
        <v>125896.58</v>
      </c>
      <c r="Q105" s="529">
        <v>0</v>
      </c>
    </row>
    <row r="106" spans="1:17" ht="15.75" customHeight="1" x14ac:dyDescent="0.2">
      <c r="A106" s="529">
        <v>98</v>
      </c>
      <c r="B106" s="529" t="s">
        <v>47</v>
      </c>
      <c r="C106" s="516" t="s">
        <v>62</v>
      </c>
      <c r="D106" s="529" t="s">
        <v>63</v>
      </c>
      <c r="E106" s="529" t="s">
        <v>80</v>
      </c>
      <c r="F106" s="529" t="s">
        <v>269</v>
      </c>
      <c r="G106" s="510" t="s">
        <v>670</v>
      </c>
      <c r="H106" s="529">
        <v>99</v>
      </c>
      <c r="I106" s="529">
        <v>81</v>
      </c>
      <c r="J106" s="529">
        <v>127</v>
      </c>
      <c r="K106" s="529">
        <v>235508.95</v>
      </c>
      <c r="L106" s="529">
        <v>201196.12</v>
      </c>
      <c r="M106" s="529">
        <v>34312.83</v>
      </c>
      <c r="N106" s="529">
        <v>128</v>
      </c>
      <c r="O106" s="529">
        <v>480608.94</v>
      </c>
      <c r="P106" s="529">
        <v>377678.74</v>
      </c>
      <c r="Q106" s="529">
        <v>102930.2</v>
      </c>
    </row>
    <row r="107" spans="1:17" ht="15.75" customHeight="1" x14ac:dyDescent="0.2">
      <c r="A107" s="529">
        <v>99</v>
      </c>
      <c r="B107" s="529" t="s">
        <v>270</v>
      </c>
      <c r="C107" s="516" t="s">
        <v>62</v>
      </c>
      <c r="D107" s="529" t="s">
        <v>63</v>
      </c>
      <c r="E107" s="529" t="s">
        <v>271</v>
      </c>
      <c r="F107" s="529" t="s">
        <v>272</v>
      </c>
      <c r="G107" s="510" t="s">
        <v>670</v>
      </c>
      <c r="H107" s="529">
        <v>18</v>
      </c>
      <c r="I107" s="529">
        <v>11</v>
      </c>
      <c r="J107" s="529">
        <v>17</v>
      </c>
      <c r="K107" s="529">
        <v>23603.22</v>
      </c>
      <c r="L107" s="529">
        <v>23603.22</v>
      </c>
      <c r="M107" s="529">
        <v>0</v>
      </c>
      <c r="N107" s="529">
        <v>0</v>
      </c>
      <c r="O107" s="529">
        <v>0</v>
      </c>
      <c r="P107" s="529">
        <v>0</v>
      </c>
      <c r="Q107" s="529">
        <v>0</v>
      </c>
    </row>
    <row r="108" spans="1:17" ht="15.75" customHeight="1" x14ac:dyDescent="0.2">
      <c r="A108" s="529">
        <v>100</v>
      </c>
      <c r="B108" s="529" t="s">
        <v>621</v>
      </c>
      <c r="C108" s="516" t="s">
        <v>62</v>
      </c>
      <c r="D108" s="529" t="s">
        <v>63</v>
      </c>
      <c r="E108" s="529" t="s">
        <v>239</v>
      </c>
      <c r="F108" s="529" t="s">
        <v>664</v>
      </c>
      <c r="G108" s="510" t="s">
        <v>670</v>
      </c>
      <c r="H108" s="529">
        <v>16</v>
      </c>
      <c r="I108" s="529">
        <v>11</v>
      </c>
      <c r="J108" s="529">
        <v>11</v>
      </c>
      <c r="K108" s="529">
        <v>0</v>
      </c>
      <c r="L108" s="529">
        <v>0</v>
      </c>
      <c r="M108" s="529">
        <v>0</v>
      </c>
      <c r="N108" s="529">
        <v>0</v>
      </c>
      <c r="O108" s="529">
        <v>0</v>
      </c>
      <c r="P108" s="529">
        <v>0</v>
      </c>
      <c r="Q108" s="529">
        <v>0</v>
      </c>
    </row>
    <row r="109" spans="1:17" ht="15.75" customHeight="1" x14ac:dyDescent="0.2">
      <c r="A109" s="529">
        <v>101</v>
      </c>
      <c r="B109" s="529" t="s">
        <v>723</v>
      </c>
      <c r="C109" s="516" t="s">
        <v>62</v>
      </c>
      <c r="D109" s="529" t="s">
        <v>63</v>
      </c>
      <c r="E109" s="529" t="s">
        <v>242</v>
      </c>
      <c r="F109" s="529" t="s">
        <v>775</v>
      </c>
      <c r="G109" s="510" t="s">
        <v>670</v>
      </c>
      <c r="H109" s="529">
        <v>4</v>
      </c>
      <c r="I109" s="529">
        <v>0</v>
      </c>
      <c r="J109" s="529">
        <v>0</v>
      </c>
      <c r="K109" s="529">
        <v>0</v>
      </c>
      <c r="L109" s="529">
        <v>0</v>
      </c>
      <c r="M109" s="529">
        <v>0</v>
      </c>
      <c r="N109" s="529">
        <v>0</v>
      </c>
      <c r="O109" s="529">
        <v>0</v>
      </c>
      <c r="P109" s="529">
        <v>0</v>
      </c>
      <c r="Q109" s="529">
        <v>0</v>
      </c>
    </row>
    <row r="110" spans="1:17" ht="15.75" customHeight="1" x14ac:dyDescent="0.2">
      <c r="A110" s="529">
        <v>102</v>
      </c>
      <c r="B110" s="529" t="s">
        <v>273</v>
      </c>
      <c r="C110" s="516" t="s">
        <v>62</v>
      </c>
      <c r="D110" s="529" t="s">
        <v>63</v>
      </c>
      <c r="E110" s="529" t="s">
        <v>186</v>
      </c>
      <c r="F110" s="529" t="s">
        <v>511</v>
      </c>
      <c r="G110" s="510" t="s">
        <v>670</v>
      </c>
      <c r="H110" s="529">
        <v>11</v>
      </c>
      <c r="I110" s="529">
        <v>0</v>
      </c>
      <c r="J110" s="529">
        <v>0</v>
      </c>
      <c r="K110" s="529">
        <v>0</v>
      </c>
      <c r="L110" s="529">
        <v>0</v>
      </c>
      <c r="M110" s="529">
        <v>0</v>
      </c>
      <c r="N110" s="529">
        <v>0</v>
      </c>
      <c r="O110" s="529">
        <v>0</v>
      </c>
      <c r="P110" s="529">
        <v>0</v>
      </c>
      <c r="Q110" s="529">
        <v>0</v>
      </c>
    </row>
    <row r="111" spans="1:17" ht="15.75" customHeight="1" x14ac:dyDescent="0.2">
      <c r="A111" s="529">
        <v>103</v>
      </c>
      <c r="B111" s="529" t="s">
        <v>490</v>
      </c>
      <c r="C111" s="516" t="s">
        <v>62</v>
      </c>
      <c r="D111" s="529" t="s">
        <v>63</v>
      </c>
      <c r="E111" s="529" t="s">
        <v>491</v>
      </c>
      <c r="F111" s="529" t="s">
        <v>492</v>
      </c>
      <c r="G111" s="510" t="s">
        <v>670</v>
      </c>
      <c r="H111" s="529">
        <v>18</v>
      </c>
      <c r="I111" s="529">
        <v>10</v>
      </c>
      <c r="J111" s="529">
        <v>12</v>
      </c>
      <c r="K111" s="529">
        <v>10195.18</v>
      </c>
      <c r="L111" s="529">
        <v>10195.18</v>
      </c>
      <c r="M111" s="529">
        <v>0</v>
      </c>
      <c r="N111" s="529">
        <v>0</v>
      </c>
      <c r="O111" s="529">
        <v>0</v>
      </c>
      <c r="P111" s="529">
        <v>0</v>
      </c>
      <c r="Q111" s="529">
        <v>0</v>
      </c>
    </row>
    <row r="112" spans="1:17" ht="15.75" customHeight="1" x14ac:dyDescent="0.2">
      <c r="A112" s="529">
        <v>104</v>
      </c>
      <c r="B112" s="529" t="s">
        <v>94</v>
      </c>
      <c r="C112" s="516" t="s">
        <v>62</v>
      </c>
      <c r="D112" s="529" t="s">
        <v>63</v>
      </c>
      <c r="E112" s="529" t="s">
        <v>74</v>
      </c>
      <c r="F112" s="529" t="s">
        <v>274</v>
      </c>
      <c r="G112" s="510" t="s">
        <v>670</v>
      </c>
      <c r="H112" s="529">
        <v>22</v>
      </c>
      <c r="I112" s="529">
        <v>7</v>
      </c>
      <c r="J112" s="529">
        <v>7</v>
      </c>
      <c r="K112" s="529">
        <v>9135.6200000000008</v>
      </c>
      <c r="L112" s="529">
        <v>9135.6200000000008</v>
      </c>
      <c r="M112" s="529">
        <v>0</v>
      </c>
      <c r="N112" s="529">
        <v>7</v>
      </c>
      <c r="O112" s="529">
        <v>9361.67</v>
      </c>
      <c r="P112" s="529">
        <v>9361.67</v>
      </c>
      <c r="Q112" s="529">
        <v>0</v>
      </c>
    </row>
    <row r="113" spans="1:17" ht="15.75" customHeight="1" x14ac:dyDescent="0.2">
      <c r="A113" s="529">
        <v>105</v>
      </c>
      <c r="B113" s="529" t="s">
        <v>120</v>
      </c>
      <c r="C113" s="516" t="s">
        <v>67</v>
      </c>
      <c r="D113" s="529" t="s">
        <v>493</v>
      </c>
      <c r="E113" s="529" t="s">
        <v>121</v>
      </c>
      <c r="F113" s="529" t="s">
        <v>468</v>
      </c>
      <c r="G113" s="510" t="s">
        <v>670</v>
      </c>
      <c r="H113" s="529">
        <v>16</v>
      </c>
      <c r="I113" s="529">
        <v>12</v>
      </c>
      <c r="J113" s="529">
        <v>14</v>
      </c>
      <c r="K113" s="529">
        <v>11996.24</v>
      </c>
      <c r="L113" s="529">
        <v>11996.24</v>
      </c>
      <c r="M113" s="529">
        <v>0</v>
      </c>
      <c r="N113" s="529">
        <v>0</v>
      </c>
      <c r="O113" s="529">
        <v>0</v>
      </c>
      <c r="P113" s="529">
        <v>0</v>
      </c>
      <c r="Q113" s="529">
        <v>0</v>
      </c>
    </row>
    <row r="114" spans="1:17" ht="15.75" customHeight="1" x14ac:dyDescent="0.2">
      <c r="A114" s="529">
        <v>106</v>
      </c>
      <c r="B114" s="529" t="s">
        <v>407</v>
      </c>
      <c r="C114" s="516" t="s">
        <v>62</v>
      </c>
      <c r="D114" s="529"/>
      <c r="E114" s="529" t="s">
        <v>186</v>
      </c>
      <c r="F114" s="529" t="s">
        <v>512</v>
      </c>
      <c r="G114" s="510" t="s">
        <v>670</v>
      </c>
      <c r="H114" s="529">
        <v>10</v>
      </c>
      <c r="I114" s="529">
        <v>5</v>
      </c>
      <c r="J114" s="529">
        <v>6</v>
      </c>
      <c r="K114" s="529">
        <v>4577.1000000000004</v>
      </c>
      <c r="L114" s="529">
        <v>4577.1000000000004</v>
      </c>
      <c r="M114" s="529">
        <v>0</v>
      </c>
      <c r="N114" s="529">
        <v>0</v>
      </c>
      <c r="O114" s="529">
        <v>0</v>
      </c>
      <c r="P114" s="529">
        <v>0</v>
      </c>
      <c r="Q114" s="529">
        <v>0</v>
      </c>
    </row>
    <row r="115" spans="1:17" ht="15.75" customHeight="1" x14ac:dyDescent="0.2">
      <c r="A115" s="529">
        <v>107</v>
      </c>
      <c r="B115" s="529" t="s">
        <v>754</v>
      </c>
      <c r="C115" s="516" t="s">
        <v>62</v>
      </c>
      <c r="D115" s="529" t="s">
        <v>63</v>
      </c>
      <c r="E115" s="529" t="s">
        <v>121</v>
      </c>
      <c r="F115" s="529" t="s">
        <v>755</v>
      </c>
      <c r="G115" s="510" t="s">
        <v>670</v>
      </c>
      <c r="H115" s="529">
        <v>2</v>
      </c>
      <c r="I115" s="529">
        <v>0</v>
      </c>
      <c r="J115" s="529">
        <v>0</v>
      </c>
      <c r="K115" s="529">
        <v>0</v>
      </c>
      <c r="L115" s="529">
        <v>0</v>
      </c>
      <c r="M115" s="529">
        <v>0</v>
      </c>
      <c r="N115" s="529">
        <v>0</v>
      </c>
      <c r="O115" s="529">
        <v>0</v>
      </c>
      <c r="P115" s="529">
        <v>0</v>
      </c>
      <c r="Q115" s="529">
        <v>0</v>
      </c>
    </row>
    <row r="116" spans="1:17" ht="15.75" customHeight="1" x14ac:dyDescent="0.2">
      <c r="A116" s="529">
        <v>108</v>
      </c>
      <c r="B116" s="529" t="s">
        <v>122</v>
      </c>
      <c r="C116" s="516" t="s">
        <v>62</v>
      </c>
      <c r="D116" s="529" t="s">
        <v>63</v>
      </c>
      <c r="E116" s="529" t="s">
        <v>275</v>
      </c>
      <c r="F116" s="529" t="s">
        <v>276</v>
      </c>
      <c r="G116" s="510" t="s">
        <v>670</v>
      </c>
      <c r="H116" s="529">
        <v>15</v>
      </c>
      <c r="I116" s="529">
        <v>15</v>
      </c>
      <c r="J116" s="529">
        <v>23</v>
      </c>
      <c r="K116" s="529">
        <v>18022.7</v>
      </c>
      <c r="L116" s="529">
        <v>18022.7</v>
      </c>
      <c r="M116" s="529">
        <v>0</v>
      </c>
      <c r="N116" s="529">
        <v>5</v>
      </c>
      <c r="O116" s="529">
        <v>9159.1299999999992</v>
      </c>
      <c r="P116" s="529">
        <v>9159.1299999999992</v>
      </c>
      <c r="Q116" s="529">
        <v>0</v>
      </c>
    </row>
    <row r="117" spans="1:17" ht="15.75" customHeight="1" x14ac:dyDescent="0.2">
      <c r="A117" s="529">
        <v>109</v>
      </c>
      <c r="B117" s="529" t="s">
        <v>133</v>
      </c>
      <c r="C117" s="516" t="s">
        <v>67</v>
      </c>
      <c r="D117" s="529" t="s">
        <v>494</v>
      </c>
      <c r="E117" s="529" t="s">
        <v>74</v>
      </c>
      <c r="F117" s="529" t="s">
        <v>577</v>
      </c>
      <c r="G117" s="510" t="s">
        <v>670</v>
      </c>
      <c r="H117" s="529">
        <v>14</v>
      </c>
      <c r="I117" s="529">
        <v>10</v>
      </c>
      <c r="J117" s="529">
        <v>14</v>
      </c>
      <c r="K117" s="529">
        <v>24017.200000000001</v>
      </c>
      <c r="L117" s="529">
        <v>24017.200000000001</v>
      </c>
      <c r="M117" s="529">
        <v>0</v>
      </c>
      <c r="N117" s="529">
        <v>0</v>
      </c>
      <c r="O117" s="529">
        <v>0</v>
      </c>
      <c r="P117" s="529">
        <v>0</v>
      </c>
      <c r="Q117" s="529">
        <v>0</v>
      </c>
    </row>
    <row r="118" spans="1:17" ht="15.75" customHeight="1" x14ac:dyDescent="0.2">
      <c r="A118" s="529">
        <v>110</v>
      </c>
      <c r="B118" s="529" t="s">
        <v>96</v>
      </c>
      <c r="C118" s="516" t="s">
        <v>62</v>
      </c>
      <c r="D118" s="529" t="s">
        <v>63</v>
      </c>
      <c r="E118" s="529" t="s">
        <v>98</v>
      </c>
      <c r="F118" s="529" t="s">
        <v>277</v>
      </c>
      <c r="G118" s="510" t="s">
        <v>670</v>
      </c>
      <c r="H118" s="529">
        <v>42</v>
      </c>
      <c r="I118" s="529">
        <v>10</v>
      </c>
      <c r="J118" s="529">
        <v>12</v>
      </c>
      <c r="K118" s="529">
        <v>22080.639999999999</v>
      </c>
      <c r="L118" s="529">
        <v>22080.639999999999</v>
      </c>
      <c r="M118" s="529">
        <v>0</v>
      </c>
      <c r="N118" s="529">
        <v>11</v>
      </c>
      <c r="O118" s="529">
        <v>47171.47</v>
      </c>
      <c r="P118" s="529">
        <v>47171.47</v>
      </c>
      <c r="Q118" s="529">
        <v>0</v>
      </c>
    </row>
    <row r="119" spans="1:17" ht="15.75" customHeight="1" x14ac:dyDescent="0.2">
      <c r="A119" s="529">
        <v>111</v>
      </c>
      <c r="B119" s="529" t="s">
        <v>48</v>
      </c>
      <c r="C119" s="516" t="s">
        <v>62</v>
      </c>
      <c r="D119" s="529" t="s">
        <v>63</v>
      </c>
      <c r="E119" s="529" t="s">
        <v>81</v>
      </c>
      <c r="F119" s="529" t="s">
        <v>278</v>
      </c>
      <c r="G119" s="510" t="s">
        <v>670</v>
      </c>
      <c r="H119" s="529">
        <v>61</v>
      </c>
      <c r="I119" s="529">
        <v>47</v>
      </c>
      <c r="J119" s="529">
        <v>74</v>
      </c>
      <c r="K119" s="529">
        <v>87897.82</v>
      </c>
      <c r="L119" s="529">
        <v>87897.82</v>
      </c>
      <c r="M119" s="529">
        <v>0</v>
      </c>
      <c r="N119" s="529">
        <v>21</v>
      </c>
      <c r="O119" s="529">
        <v>79680.25</v>
      </c>
      <c r="P119" s="529">
        <v>79680.25</v>
      </c>
      <c r="Q119" s="529">
        <v>0</v>
      </c>
    </row>
    <row r="120" spans="1:17" ht="15.75" customHeight="1" x14ac:dyDescent="0.2">
      <c r="A120" s="529">
        <v>112</v>
      </c>
      <c r="B120" s="529" t="s">
        <v>49</v>
      </c>
      <c r="C120" s="516" t="s">
        <v>62</v>
      </c>
      <c r="D120" s="529" t="s">
        <v>63</v>
      </c>
      <c r="E120" s="529" t="s">
        <v>74</v>
      </c>
      <c r="F120" s="529" t="s">
        <v>279</v>
      </c>
      <c r="G120" s="510" t="s">
        <v>670</v>
      </c>
      <c r="H120" s="529">
        <v>29</v>
      </c>
      <c r="I120" s="529">
        <v>23</v>
      </c>
      <c r="J120" s="529">
        <v>28</v>
      </c>
      <c r="K120" s="529">
        <v>44048.7</v>
      </c>
      <c r="L120" s="529">
        <v>44048.7</v>
      </c>
      <c r="M120" s="529">
        <v>0</v>
      </c>
      <c r="N120" s="529">
        <v>7</v>
      </c>
      <c r="O120" s="529">
        <v>40198.959999999999</v>
      </c>
      <c r="P120" s="529">
        <v>40198.959999999999</v>
      </c>
      <c r="Q120" s="529">
        <v>0</v>
      </c>
    </row>
    <row r="121" spans="1:17" ht="15.75" customHeight="1" x14ac:dyDescent="0.2">
      <c r="A121" s="529">
        <v>113</v>
      </c>
      <c r="B121" s="529" t="s">
        <v>50</v>
      </c>
      <c r="C121" s="516" t="s">
        <v>67</v>
      </c>
      <c r="D121" s="529" t="s">
        <v>123</v>
      </c>
      <c r="E121" s="529" t="s">
        <v>82</v>
      </c>
      <c r="F121" s="529" t="s">
        <v>280</v>
      </c>
      <c r="G121" s="510" t="s">
        <v>670</v>
      </c>
      <c r="H121" s="529">
        <v>8</v>
      </c>
      <c r="I121" s="529">
        <v>4</v>
      </c>
      <c r="J121" s="529">
        <v>4</v>
      </c>
      <c r="K121" s="529">
        <v>12811.52</v>
      </c>
      <c r="L121" s="529">
        <v>12811.52</v>
      </c>
      <c r="M121" s="529">
        <v>0</v>
      </c>
      <c r="N121" s="529">
        <v>5</v>
      </c>
      <c r="O121" s="529">
        <v>21689.57</v>
      </c>
      <c r="P121" s="529">
        <v>21689.57</v>
      </c>
      <c r="Q121" s="529">
        <v>0</v>
      </c>
    </row>
    <row r="122" spans="1:17" ht="15.75" customHeight="1" x14ac:dyDescent="0.2">
      <c r="A122" s="529">
        <v>114</v>
      </c>
      <c r="B122" s="529" t="s">
        <v>281</v>
      </c>
      <c r="C122" s="516" t="s">
        <v>62</v>
      </c>
      <c r="D122" s="529"/>
      <c r="E122" s="529" t="s">
        <v>282</v>
      </c>
      <c r="F122" s="529" t="s">
        <v>283</v>
      </c>
      <c r="G122" s="510" t="s">
        <v>670</v>
      </c>
      <c r="H122" s="529">
        <v>28</v>
      </c>
      <c r="I122" s="529">
        <v>5</v>
      </c>
      <c r="J122" s="529">
        <v>5</v>
      </c>
      <c r="K122" s="529">
        <v>2685.29</v>
      </c>
      <c r="L122" s="529">
        <v>2685.29</v>
      </c>
      <c r="M122" s="529">
        <v>0</v>
      </c>
      <c r="N122" s="529">
        <v>0</v>
      </c>
      <c r="O122" s="529">
        <v>0</v>
      </c>
      <c r="P122" s="529">
        <v>0</v>
      </c>
      <c r="Q122" s="529">
        <v>0</v>
      </c>
    </row>
    <row r="123" spans="1:17" ht="15.75" customHeight="1" x14ac:dyDescent="0.2">
      <c r="A123" s="529">
        <v>115</v>
      </c>
      <c r="B123" s="529" t="s">
        <v>124</v>
      </c>
      <c r="C123" s="516" t="s">
        <v>62</v>
      </c>
      <c r="D123" s="529" t="s">
        <v>63</v>
      </c>
      <c r="E123" s="529" t="s">
        <v>63</v>
      </c>
      <c r="F123" s="529" t="s">
        <v>284</v>
      </c>
      <c r="G123" s="510" t="s">
        <v>670</v>
      </c>
      <c r="H123" s="529">
        <v>38</v>
      </c>
      <c r="I123" s="529">
        <v>34</v>
      </c>
      <c r="J123" s="529">
        <v>47</v>
      </c>
      <c r="K123" s="529">
        <v>58265.41</v>
      </c>
      <c r="L123" s="529">
        <v>58265.41</v>
      </c>
      <c r="M123" s="529">
        <v>0</v>
      </c>
      <c r="N123" s="529">
        <v>17</v>
      </c>
      <c r="O123" s="529">
        <v>21019.74</v>
      </c>
      <c r="P123" s="529">
        <v>21019.74</v>
      </c>
      <c r="Q123" s="529">
        <v>0</v>
      </c>
    </row>
    <row r="124" spans="1:17" ht="15.75" customHeight="1" x14ac:dyDescent="0.2">
      <c r="A124" s="529">
        <v>116</v>
      </c>
      <c r="B124" s="529" t="s">
        <v>51</v>
      </c>
      <c r="C124" s="516" t="s">
        <v>62</v>
      </c>
      <c r="D124" s="529" t="s">
        <v>63</v>
      </c>
      <c r="E124" s="529" t="s">
        <v>74</v>
      </c>
      <c r="F124" s="529" t="s">
        <v>285</v>
      </c>
      <c r="G124" s="510" t="s">
        <v>670</v>
      </c>
      <c r="H124" s="529">
        <v>23</v>
      </c>
      <c r="I124" s="529">
        <v>15</v>
      </c>
      <c r="J124" s="529">
        <v>15</v>
      </c>
      <c r="K124" s="529">
        <v>5873.82</v>
      </c>
      <c r="L124" s="529">
        <v>5873.82</v>
      </c>
      <c r="M124" s="529">
        <v>0</v>
      </c>
      <c r="N124" s="529">
        <v>10</v>
      </c>
      <c r="O124" s="529">
        <v>1797.24</v>
      </c>
      <c r="P124" s="529">
        <v>1797.24</v>
      </c>
      <c r="Q124" s="529">
        <v>0</v>
      </c>
    </row>
    <row r="125" spans="1:17" ht="15.75" customHeight="1" x14ac:dyDescent="0.2">
      <c r="A125" s="529">
        <v>117</v>
      </c>
      <c r="B125" s="529" t="s">
        <v>756</v>
      </c>
      <c r="C125" s="516" t="s">
        <v>62</v>
      </c>
      <c r="D125" s="529" t="s">
        <v>63</v>
      </c>
      <c r="E125" s="529" t="s">
        <v>74</v>
      </c>
      <c r="F125" s="529" t="s">
        <v>666</v>
      </c>
      <c r="G125" s="510" t="s">
        <v>670</v>
      </c>
      <c r="H125" s="529">
        <v>0</v>
      </c>
      <c r="I125" s="529">
        <v>0</v>
      </c>
      <c r="J125" s="529">
        <v>0</v>
      </c>
      <c r="K125" s="529">
        <v>0</v>
      </c>
      <c r="L125" s="529">
        <v>0</v>
      </c>
      <c r="M125" s="529">
        <v>0</v>
      </c>
      <c r="N125" s="529">
        <v>1</v>
      </c>
      <c r="O125" s="529">
        <v>1516.12</v>
      </c>
      <c r="P125" s="529">
        <v>1516.12</v>
      </c>
      <c r="Q125" s="529">
        <v>0</v>
      </c>
    </row>
    <row r="126" spans="1:17" ht="15.75" customHeight="1" x14ac:dyDescent="0.2">
      <c r="A126" s="529">
        <v>118</v>
      </c>
      <c r="B126" s="529" t="s">
        <v>286</v>
      </c>
      <c r="C126" s="516" t="s">
        <v>62</v>
      </c>
      <c r="D126" s="529" t="s">
        <v>63</v>
      </c>
      <c r="E126" s="529" t="s">
        <v>174</v>
      </c>
      <c r="F126" s="529" t="s">
        <v>287</v>
      </c>
      <c r="G126" s="510" t="s">
        <v>670</v>
      </c>
      <c r="H126" s="529">
        <v>21</v>
      </c>
      <c r="I126" s="529">
        <v>17</v>
      </c>
      <c r="J126" s="529">
        <v>21</v>
      </c>
      <c r="K126" s="529">
        <v>16457.87</v>
      </c>
      <c r="L126" s="529">
        <v>16457.87</v>
      </c>
      <c r="M126" s="529">
        <v>0</v>
      </c>
      <c r="N126" s="529">
        <v>0</v>
      </c>
      <c r="O126" s="529">
        <v>0</v>
      </c>
      <c r="P126" s="529">
        <v>0</v>
      </c>
      <c r="Q126" s="529">
        <v>0</v>
      </c>
    </row>
    <row r="127" spans="1:17" ht="15.75" customHeight="1" x14ac:dyDescent="0.2">
      <c r="A127" s="529">
        <v>119</v>
      </c>
      <c r="B127" s="529" t="s">
        <v>469</v>
      </c>
      <c r="C127" s="516" t="s">
        <v>62</v>
      </c>
      <c r="D127" s="529" t="s">
        <v>63</v>
      </c>
      <c r="E127" s="529" t="s">
        <v>74</v>
      </c>
      <c r="F127" s="529" t="s">
        <v>470</v>
      </c>
      <c r="G127" s="510" t="s">
        <v>670</v>
      </c>
      <c r="H127" s="529">
        <v>2</v>
      </c>
      <c r="I127" s="529">
        <v>0</v>
      </c>
      <c r="J127" s="529">
        <v>0</v>
      </c>
      <c r="K127" s="529">
        <v>0</v>
      </c>
      <c r="L127" s="529">
        <v>0</v>
      </c>
      <c r="M127" s="529">
        <v>0</v>
      </c>
      <c r="N127" s="529">
        <v>0</v>
      </c>
      <c r="O127" s="529">
        <v>0</v>
      </c>
      <c r="P127" s="529">
        <v>0</v>
      </c>
      <c r="Q127" s="529">
        <v>0</v>
      </c>
    </row>
    <row r="128" spans="1:17" ht="15.75" customHeight="1" x14ac:dyDescent="0.2">
      <c r="A128" s="529">
        <v>120</v>
      </c>
      <c r="B128" s="529" t="s">
        <v>151</v>
      </c>
      <c r="C128" s="516" t="s">
        <v>62</v>
      </c>
      <c r="D128" s="529" t="s">
        <v>63</v>
      </c>
      <c r="E128" s="529" t="s">
        <v>74</v>
      </c>
      <c r="F128" s="529" t="s">
        <v>288</v>
      </c>
      <c r="G128" s="510" t="s">
        <v>670</v>
      </c>
      <c r="H128" s="529">
        <v>10</v>
      </c>
      <c r="I128" s="529">
        <v>8</v>
      </c>
      <c r="J128" s="529">
        <v>10</v>
      </c>
      <c r="K128" s="529">
        <v>15560.06</v>
      </c>
      <c r="L128" s="529">
        <v>15560.06</v>
      </c>
      <c r="M128" s="529">
        <v>0</v>
      </c>
      <c r="N128" s="529">
        <v>7</v>
      </c>
      <c r="O128" s="529">
        <v>14253.5</v>
      </c>
      <c r="P128" s="529">
        <v>14253.5</v>
      </c>
      <c r="Q128" s="529">
        <v>0</v>
      </c>
    </row>
    <row r="129" spans="1:17" ht="15.75" customHeight="1" x14ac:dyDescent="0.2">
      <c r="A129" s="529">
        <v>121</v>
      </c>
      <c r="B129" s="529" t="s">
        <v>155</v>
      </c>
      <c r="C129" s="516" t="s">
        <v>62</v>
      </c>
      <c r="D129" s="529" t="s">
        <v>63</v>
      </c>
      <c r="E129" s="529" t="s">
        <v>74</v>
      </c>
      <c r="F129" s="529" t="s">
        <v>289</v>
      </c>
      <c r="G129" s="510" t="s">
        <v>670</v>
      </c>
      <c r="H129" s="529">
        <v>18</v>
      </c>
      <c r="I129" s="529">
        <v>10</v>
      </c>
      <c r="J129" s="529">
        <v>16</v>
      </c>
      <c r="K129" s="529">
        <v>40408.04</v>
      </c>
      <c r="L129" s="529">
        <v>40408.04</v>
      </c>
      <c r="M129" s="529">
        <v>0</v>
      </c>
      <c r="N129" s="529">
        <v>4</v>
      </c>
      <c r="O129" s="529">
        <v>36500.199999999997</v>
      </c>
      <c r="P129" s="529">
        <v>36500.199999999997</v>
      </c>
      <c r="Q129" s="529">
        <v>0</v>
      </c>
    </row>
    <row r="130" spans="1:17" ht="15.75" customHeight="1" x14ac:dyDescent="0.2">
      <c r="A130" s="529">
        <v>122</v>
      </c>
      <c r="B130" s="529" t="s">
        <v>290</v>
      </c>
      <c r="C130" s="516" t="s">
        <v>62</v>
      </c>
      <c r="D130" s="529" t="s">
        <v>63</v>
      </c>
      <c r="E130" s="529" t="s">
        <v>291</v>
      </c>
      <c r="F130" s="529" t="s">
        <v>292</v>
      </c>
      <c r="G130" s="510" t="s">
        <v>670</v>
      </c>
      <c r="H130" s="529">
        <v>41</v>
      </c>
      <c r="I130" s="529">
        <v>29</v>
      </c>
      <c r="J130" s="529">
        <v>41</v>
      </c>
      <c r="K130" s="529">
        <v>34384.86</v>
      </c>
      <c r="L130" s="529">
        <v>34384.86</v>
      </c>
      <c r="M130" s="529">
        <v>0</v>
      </c>
      <c r="N130" s="529">
        <v>0</v>
      </c>
      <c r="O130" s="529">
        <v>0</v>
      </c>
      <c r="P130" s="529">
        <v>0</v>
      </c>
      <c r="Q130" s="529">
        <v>0</v>
      </c>
    </row>
    <row r="131" spans="1:17" ht="15.75" customHeight="1" x14ac:dyDescent="0.2">
      <c r="A131" s="529">
        <v>123</v>
      </c>
      <c r="B131" s="529" t="s">
        <v>495</v>
      </c>
      <c r="C131" s="516" t="s">
        <v>62</v>
      </c>
      <c r="D131" s="529" t="s">
        <v>63</v>
      </c>
      <c r="E131" s="529" t="s">
        <v>313</v>
      </c>
      <c r="F131" s="529" t="s">
        <v>496</v>
      </c>
      <c r="G131" s="510" t="s">
        <v>670</v>
      </c>
      <c r="H131" s="529">
        <v>31</v>
      </c>
      <c r="I131" s="529">
        <v>7</v>
      </c>
      <c r="J131" s="529">
        <v>7</v>
      </c>
      <c r="K131" s="529">
        <v>9234.7099999999991</v>
      </c>
      <c r="L131" s="529">
        <v>9234.7099999999991</v>
      </c>
      <c r="M131" s="529">
        <v>0</v>
      </c>
      <c r="N131" s="529">
        <v>0</v>
      </c>
      <c r="O131" s="529">
        <v>0</v>
      </c>
      <c r="P131" s="529">
        <v>0</v>
      </c>
      <c r="Q131" s="529">
        <v>0</v>
      </c>
    </row>
    <row r="132" spans="1:17" ht="15.75" customHeight="1" x14ac:dyDescent="0.2">
      <c r="A132" s="529">
        <v>124</v>
      </c>
      <c r="B132" s="529" t="s">
        <v>134</v>
      </c>
      <c r="C132" s="516" t="s">
        <v>62</v>
      </c>
      <c r="D132" s="529" t="s">
        <v>63</v>
      </c>
      <c r="E132" s="529" t="s">
        <v>74</v>
      </c>
      <c r="F132" s="529" t="s">
        <v>293</v>
      </c>
      <c r="G132" s="510" t="s">
        <v>670</v>
      </c>
      <c r="H132" s="529">
        <v>11</v>
      </c>
      <c r="I132" s="529">
        <v>6</v>
      </c>
      <c r="J132" s="529">
        <v>7</v>
      </c>
      <c r="K132" s="529">
        <v>10480.76</v>
      </c>
      <c r="L132" s="529">
        <v>10480.76</v>
      </c>
      <c r="M132" s="529">
        <v>0</v>
      </c>
      <c r="N132" s="529">
        <v>2</v>
      </c>
      <c r="O132" s="529">
        <v>10990.78</v>
      </c>
      <c r="P132" s="529">
        <v>10990.78</v>
      </c>
      <c r="Q132" s="529">
        <v>0</v>
      </c>
    </row>
    <row r="133" spans="1:17" ht="15.75" customHeight="1" x14ac:dyDescent="0.2">
      <c r="A133" s="529">
        <v>125</v>
      </c>
      <c r="B133" s="529" t="s">
        <v>127</v>
      </c>
      <c r="C133" s="516" t="s">
        <v>62</v>
      </c>
      <c r="D133" s="529" t="s">
        <v>63</v>
      </c>
      <c r="E133" s="529" t="s">
        <v>74</v>
      </c>
      <c r="F133" s="529" t="s">
        <v>294</v>
      </c>
      <c r="G133" s="510" t="s">
        <v>670</v>
      </c>
      <c r="H133" s="529">
        <v>10</v>
      </c>
      <c r="I133" s="529">
        <v>6</v>
      </c>
      <c r="J133" s="529">
        <v>7</v>
      </c>
      <c r="K133" s="529">
        <v>5794.74</v>
      </c>
      <c r="L133" s="529">
        <v>5794.74</v>
      </c>
      <c r="M133" s="529">
        <v>0</v>
      </c>
      <c r="N133" s="529">
        <v>2</v>
      </c>
      <c r="O133" s="529">
        <v>3267.6</v>
      </c>
      <c r="P133" s="529">
        <v>3267.6</v>
      </c>
      <c r="Q133" s="529">
        <v>0</v>
      </c>
    </row>
    <row r="134" spans="1:17" ht="15.75" customHeight="1" x14ac:dyDescent="0.2">
      <c r="A134" s="529">
        <v>126</v>
      </c>
      <c r="B134" s="529" t="s">
        <v>55</v>
      </c>
      <c r="C134" s="516" t="s">
        <v>64</v>
      </c>
      <c r="D134" s="529" t="s">
        <v>66</v>
      </c>
      <c r="E134" s="529" t="s">
        <v>80</v>
      </c>
      <c r="F134" s="529" t="s">
        <v>295</v>
      </c>
      <c r="G134" s="510" t="s">
        <v>670</v>
      </c>
      <c r="H134" s="529">
        <v>11</v>
      </c>
      <c r="I134" s="529">
        <v>8</v>
      </c>
      <c r="J134" s="529">
        <v>8</v>
      </c>
      <c r="K134" s="529">
        <v>1989.43</v>
      </c>
      <c r="L134" s="529">
        <v>1989.43</v>
      </c>
      <c r="M134" s="529">
        <v>0</v>
      </c>
      <c r="N134" s="529">
        <v>4</v>
      </c>
      <c r="O134" s="529">
        <v>17287.61</v>
      </c>
      <c r="P134" s="529">
        <v>17287.61</v>
      </c>
      <c r="Q134" s="529">
        <v>0</v>
      </c>
    </row>
    <row r="135" spans="1:17" ht="15.75" customHeight="1" x14ac:dyDescent="0.2">
      <c r="A135" s="529">
        <v>127</v>
      </c>
      <c r="B135" s="529" t="s">
        <v>135</v>
      </c>
      <c r="C135" s="516" t="s">
        <v>62</v>
      </c>
      <c r="D135" s="529" t="s">
        <v>63</v>
      </c>
      <c r="E135" s="529" t="s">
        <v>63</v>
      </c>
      <c r="F135" s="529" t="s">
        <v>296</v>
      </c>
      <c r="G135" s="510" t="s">
        <v>670</v>
      </c>
      <c r="H135" s="529">
        <v>8</v>
      </c>
      <c r="I135" s="529">
        <v>3</v>
      </c>
      <c r="J135" s="529">
        <v>3</v>
      </c>
      <c r="K135" s="529">
        <v>1786.07</v>
      </c>
      <c r="L135" s="529">
        <v>1786.07</v>
      </c>
      <c r="M135" s="529">
        <v>0</v>
      </c>
      <c r="N135" s="529">
        <v>10</v>
      </c>
      <c r="O135" s="529">
        <v>18103.34</v>
      </c>
      <c r="P135" s="529">
        <v>18103.34</v>
      </c>
      <c r="Q135" s="529">
        <v>0</v>
      </c>
    </row>
    <row r="136" spans="1:17" ht="15.75" customHeight="1" x14ac:dyDescent="0.2">
      <c r="A136" s="529">
        <v>128</v>
      </c>
      <c r="B136" s="529" t="s">
        <v>128</v>
      </c>
      <c r="C136" s="516" t="s">
        <v>62</v>
      </c>
      <c r="D136" s="529" t="s">
        <v>63</v>
      </c>
      <c r="E136" s="529" t="s">
        <v>74</v>
      </c>
      <c r="F136" s="529" t="s">
        <v>297</v>
      </c>
      <c r="G136" s="510" t="s">
        <v>670</v>
      </c>
      <c r="H136" s="529">
        <v>2</v>
      </c>
      <c r="I136" s="529">
        <v>2</v>
      </c>
      <c r="J136" s="529">
        <v>2</v>
      </c>
      <c r="K136" s="529">
        <v>1303.8499999999999</v>
      </c>
      <c r="L136" s="529">
        <v>1303.8499999999999</v>
      </c>
      <c r="M136" s="529">
        <v>0</v>
      </c>
      <c r="N136" s="529">
        <v>1</v>
      </c>
      <c r="O136" s="529">
        <v>264.3</v>
      </c>
      <c r="P136" s="529">
        <v>264.3</v>
      </c>
      <c r="Q136" s="529">
        <v>0</v>
      </c>
    </row>
    <row r="137" spans="1:17" ht="15.75" customHeight="1" x14ac:dyDescent="0.2">
      <c r="A137" s="529">
        <v>129</v>
      </c>
      <c r="B137" s="529" t="s">
        <v>508</v>
      </c>
      <c r="C137" s="516" t="s">
        <v>64</v>
      </c>
      <c r="D137" s="529" t="s">
        <v>551</v>
      </c>
      <c r="E137" s="529" t="s">
        <v>313</v>
      </c>
      <c r="F137" s="529" t="s">
        <v>552</v>
      </c>
      <c r="G137" s="510" t="s">
        <v>670</v>
      </c>
      <c r="H137" s="529">
        <v>33</v>
      </c>
      <c r="I137" s="529">
        <v>24</v>
      </c>
      <c r="J137" s="529">
        <v>27</v>
      </c>
      <c r="K137" s="529">
        <v>11219.42</v>
      </c>
      <c r="L137" s="529">
        <v>11219.42</v>
      </c>
      <c r="M137" s="529">
        <v>0</v>
      </c>
      <c r="N137" s="529">
        <v>0</v>
      </c>
      <c r="O137" s="529">
        <v>0</v>
      </c>
      <c r="P137" s="529">
        <v>0</v>
      </c>
      <c r="Q137" s="529">
        <v>0</v>
      </c>
    </row>
    <row r="138" spans="1:17" ht="15.75" customHeight="1" x14ac:dyDescent="0.2">
      <c r="A138" s="529">
        <v>130</v>
      </c>
      <c r="B138" s="529" t="s">
        <v>497</v>
      </c>
      <c r="C138" s="516" t="s">
        <v>62</v>
      </c>
      <c r="D138" s="529"/>
      <c r="E138" s="529" t="s">
        <v>313</v>
      </c>
      <c r="F138" s="529" t="s">
        <v>498</v>
      </c>
      <c r="G138" s="510" t="s">
        <v>670</v>
      </c>
      <c r="H138" s="529">
        <v>71</v>
      </c>
      <c r="I138" s="529">
        <v>44</v>
      </c>
      <c r="J138" s="529">
        <v>46</v>
      </c>
      <c r="K138" s="529">
        <v>29545.75</v>
      </c>
      <c r="L138" s="529">
        <v>29545.75</v>
      </c>
      <c r="M138" s="529">
        <v>0</v>
      </c>
      <c r="N138" s="529">
        <v>0</v>
      </c>
      <c r="O138" s="529">
        <v>0</v>
      </c>
      <c r="P138" s="529">
        <v>0</v>
      </c>
      <c r="Q138" s="529">
        <v>0</v>
      </c>
    </row>
    <row r="139" spans="1:17" ht="15.75" customHeight="1" x14ac:dyDescent="0.2">
      <c r="A139" s="529">
        <v>131</v>
      </c>
      <c r="B139" s="529" t="s">
        <v>646</v>
      </c>
      <c r="C139" s="516" t="s">
        <v>62</v>
      </c>
      <c r="D139" s="529" t="s">
        <v>63</v>
      </c>
      <c r="E139" s="529" t="s">
        <v>74</v>
      </c>
      <c r="F139" s="529" t="s">
        <v>757</v>
      </c>
      <c r="G139" s="510" t="s">
        <v>670</v>
      </c>
      <c r="H139" s="529">
        <v>4</v>
      </c>
      <c r="I139" s="529">
        <v>0</v>
      </c>
      <c r="J139" s="529">
        <v>0</v>
      </c>
      <c r="K139" s="529">
        <v>0</v>
      </c>
      <c r="L139" s="529">
        <v>0</v>
      </c>
      <c r="M139" s="529">
        <v>0</v>
      </c>
      <c r="N139" s="529">
        <v>0</v>
      </c>
      <c r="O139" s="529">
        <v>0</v>
      </c>
      <c r="P139" s="529">
        <v>0</v>
      </c>
      <c r="Q139" s="529">
        <v>0</v>
      </c>
    </row>
    <row r="140" spans="1:17" ht="15.75" customHeight="1" x14ac:dyDescent="0.2">
      <c r="A140" s="529">
        <v>132</v>
      </c>
      <c r="B140" s="529" t="s">
        <v>56</v>
      </c>
      <c r="C140" s="516" t="s">
        <v>62</v>
      </c>
      <c r="D140" s="529" t="s">
        <v>63</v>
      </c>
      <c r="E140" s="529" t="s">
        <v>83</v>
      </c>
      <c r="F140" s="529" t="s">
        <v>298</v>
      </c>
      <c r="G140" s="510" t="s">
        <v>670</v>
      </c>
      <c r="H140" s="529">
        <v>109</v>
      </c>
      <c r="I140" s="529">
        <v>95</v>
      </c>
      <c r="J140" s="529">
        <v>141</v>
      </c>
      <c r="K140" s="529">
        <v>141659.84</v>
      </c>
      <c r="L140" s="529">
        <v>132938.70000000001</v>
      </c>
      <c r="M140" s="529">
        <v>8721.14</v>
      </c>
      <c r="N140" s="529">
        <v>35</v>
      </c>
      <c r="O140" s="529">
        <v>96660.36</v>
      </c>
      <c r="P140" s="529">
        <v>96660.36</v>
      </c>
      <c r="Q140" s="529">
        <v>0</v>
      </c>
    </row>
    <row r="141" spans="1:17" ht="15.75" customHeight="1" x14ac:dyDescent="0.2">
      <c r="A141" s="529">
        <v>133</v>
      </c>
      <c r="B141" s="529" t="s">
        <v>638</v>
      </c>
      <c r="C141" s="516" t="s">
        <v>67</v>
      </c>
      <c r="D141" s="529" t="s">
        <v>639</v>
      </c>
      <c r="E141" s="529" t="s">
        <v>640</v>
      </c>
      <c r="F141" s="529" t="s">
        <v>641</v>
      </c>
      <c r="G141" s="510" t="s">
        <v>670</v>
      </c>
      <c r="H141" s="529">
        <v>10</v>
      </c>
      <c r="I141" s="529">
        <v>1</v>
      </c>
      <c r="J141" s="529">
        <v>1</v>
      </c>
      <c r="K141" s="529">
        <v>0</v>
      </c>
      <c r="L141" s="529">
        <v>0</v>
      </c>
      <c r="M141" s="529">
        <v>0</v>
      </c>
      <c r="N141" s="529">
        <v>0</v>
      </c>
      <c r="O141" s="529">
        <v>0</v>
      </c>
      <c r="P141" s="529">
        <v>0</v>
      </c>
      <c r="Q141" s="529">
        <v>0</v>
      </c>
    </row>
    <row r="142" spans="1:17" ht="15.75" customHeight="1" x14ac:dyDescent="0.2">
      <c r="A142" s="529">
        <v>134</v>
      </c>
      <c r="B142" s="529" t="s">
        <v>299</v>
      </c>
      <c r="C142" s="516" t="s">
        <v>62</v>
      </c>
      <c r="D142" s="529"/>
      <c r="E142" s="529" t="s">
        <v>174</v>
      </c>
      <c r="F142" s="529" t="s">
        <v>300</v>
      </c>
      <c r="G142" s="510" t="s">
        <v>670</v>
      </c>
      <c r="H142" s="529">
        <v>25</v>
      </c>
      <c r="I142" s="529">
        <v>22</v>
      </c>
      <c r="J142" s="529">
        <v>27</v>
      </c>
      <c r="K142" s="529">
        <v>18541.13</v>
      </c>
      <c r="L142" s="529">
        <v>18541.13</v>
      </c>
      <c r="M142" s="529">
        <v>0</v>
      </c>
      <c r="N142" s="529">
        <v>0</v>
      </c>
      <c r="O142" s="529">
        <v>0</v>
      </c>
      <c r="P142" s="529">
        <v>0</v>
      </c>
      <c r="Q142" s="529">
        <v>0</v>
      </c>
    </row>
    <row r="143" spans="1:17" ht="15.75" customHeight="1" x14ac:dyDescent="0.2">
      <c r="A143" s="529">
        <v>135</v>
      </c>
      <c r="B143" s="529" t="s">
        <v>156</v>
      </c>
      <c r="C143" s="516" t="s">
        <v>67</v>
      </c>
      <c r="D143" s="529" t="s">
        <v>499</v>
      </c>
      <c r="E143" s="529" t="s">
        <v>74</v>
      </c>
      <c r="F143" s="529" t="s">
        <v>301</v>
      </c>
      <c r="G143" s="510" t="s">
        <v>670</v>
      </c>
      <c r="H143" s="529">
        <v>42</v>
      </c>
      <c r="I143" s="529">
        <v>35</v>
      </c>
      <c r="J143" s="529">
        <v>43</v>
      </c>
      <c r="K143" s="529">
        <v>37665.79</v>
      </c>
      <c r="L143" s="529">
        <v>37665.79</v>
      </c>
      <c r="M143" s="529">
        <v>0</v>
      </c>
      <c r="N143" s="529">
        <v>41</v>
      </c>
      <c r="O143" s="529">
        <v>66837.119999999995</v>
      </c>
      <c r="P143" s="529">
        <v>66837.119999999995</v>
      </c>
      <c r="Q143" s="529">
        <v>0</v>
      </c>
    </row>
    <row r="144" spans="1:17" ht="15.75" customHeight="1" x14ac:dyDescent="0.2">
      <c r="A144" s="529">
        <v>136</v>
      </c>
      <c r="B144" s="529" t="s">
        <v>302</v>
      </c>
      <c r="C144" s="516" t="s">
        <v>62</v>
      </c>
      <c r="D144" s="529"/>
      <c r="E144" s="529" t="s">
        <v>63</v>
      </c>
      <c r="F144" s="529" t="s">
        <v>303</v>
      </c>
      <c r="G144" s="510" t="s">
        <v>670</v>
      </c>
      <c r="H144" s="529">
        <v>22</v>
      </c>
      <c r="I144" s="529">
        <v>19</v>
      </c>
      <c r="J144" s="529">
        <v>23</v>
      </c>
      <c r="K144" s="529">
        <v>9697.18</v>
      </c>
      <c r="L144" s="529">
        <v>9697.18</v>
      </c>
      <c r="M144" s="529">
        <v>0</v>
      </c>
      <c r="N144" s="529">
        <v>0</v>
      </c>
      <c r="O144" s="529">
        <v>0</v>
      </c>
      <c r="P144" s="529">
        <v>0</v>
      </c>
      <c r="Q144" s="529">
        <v>0</v>
      </c>
    </row>
    <row r="145" spans="1:17" ht="15.75" customHeight="1" x14ac:dyDescent="0.2">
      <c r="A145" s="529">
        <v>137</v>
      </c>
      <c r="B145" s="529" t="s">
        <v>140</v>
      </c>
      <c r="C145" s="516" t="s">
        <v>62</v>
      </c>
      <c r="D145" s="529" t="s">
        <v>63</v>
      </c>
      <c r="E145" s="529" t="s">
        <v>74</v>
      </c>
      <c r="F145" s="529" t="s">
        <v>304</v>
      </c>
      <c r="G145" s="510" t="s">
        <v>670</v>
      </c>
      <c r="H145" s="529">
        <v>70</v>
      </c>
      <c r="I145" s="529">
        <v>59</v>
      </c>
      <c r="J145" s="529">
        <v>64</v>
      </c>
      <c r="K145" s="529">
        <v>49113.38</v>
      </c>
      <c r="L145" s="529">
        <v>49113.38</v>
      </c>
      <c r="M145" s="529">
        <v>0</v>
      </c>
      <c r="N145" s="529">
        <v>20</v>
      </c>
      <c r="O145" s="529">
        <v>43411.7</v>
      </c>
      <c r="P145" s="529">
        <v>43411.7</v>
      </c>
      <c r="Q145" s="529">
        <v>0</v>
      </c>
    </row>
    <row r="146" spans="1:17" ht="15.75" customHeight="1" x14ac:dyDescent="0.2">
      <c r="A146" s="529">
        <v>138</v>
      </c>
      <c r="B146" s="529" t="s">
        <v>305</v>
      </c>
      <c r="C146" s="516" t="s">
        <v>62</v>
      </c>
      <c r="D146" s="529" t="s">
        <v>63</v>
      </c>
      <c r="E146" s="529" t="s">
        <v>186</v>
      </c>
      <c r="F146" s="529" t="s">
        <v>513</v>
      </c>
      <c r="G146" s="510" t="s">
        <v>670</v>
      </c>
      <c r="H146" s="529">
        <v>17</v>
      </c>
      <c r="I146" s="529">
        <v>12</v>
      </c>
      <c r="J146" s="529">
        <v>13</v>
      </c>
      <c r="K146" s="529">
        <v>6542.9</v>
      </c>
      <c r="L146" s="529">
        <v>6542.9</v>
      </c>
      <c r="M146" s="529">
        <v>0</v>
      </c>
      <c r="N146" s="529">
        <v>0</v>
      </c>
      <c r="O146" s="529">
        <v>0</v>
      </c>
      <c r="P146" s="529">
        <v>0</v>
      </c>
      <c r="Q146" s="529">
        <v>0</v>
      </c>
    </row>
    <row r="147" spans="1:17" ht="15.75" customHeight="1" x14ac:dyDescent="0.2">
      <c r="A147" s="529">
        <v>139</v>
      </c>
      <c r="B147" s="529" t="s">
        <v>702</v>
      </c>
      <c r="C147" s="516" t="s">
        <v>62</v>
      </c>
      <c r="D147" s="529" t="s">
        <v>63</v>
      </c>
      <c r="E147" s="529" t="s">
        <v>239</v>
      </c>
      <c r="F147" s="529" t="s">
        <v>733</v>
      </c>
      <c r="G147" s="510" t="s">
        <v>670</v>
      </c>
      <c r="H147" s="529">
        <v>7</v>
      </c>
      <c r="I147" s="529">
        <v>1</v>
      </c>
      <c r="J147" s="529">
        <v>1</v>
      </c>
      <c r="K147" s="529">
        <v>649.87</v>
      </c>
      <c r="L147" s="529">
        <v>649.87</v>
      </c>
      <c r="M147" s="529">
        <v>0</v>
      </c>
      <c r="N147" s="529">
        <v>0</v>
      </c>
      <c r="O147" s="529">
        <v>0</v>
      </c>
      <c r="P147" s="529">
        <v>0</v>
      </c>
      <c r="Q147" s="529">
        <v>0</v>
      </c>
    </row>
    <row r="148" spans="1:17" ht="15.75" customHeight="1" x14ac:dyDescent="0.2">
      <c r="A148" s="529">
        <v>140</v>
      </c>
      <c r="B148" s="529" t="s">
        <v>471</v>
      </c>
      <c r="C148" s="516" t="s">
        <v>64</v>
      </c>
      <c r="D148" s="529" t="s">
        <v>65</v>
      </c>
      <c r="E148" s="529" t="s">
        <v>74</v>
      </c>
      <c r="F148" s="529" t="s">
        <v>472</v>
      </c>
      <c r="G148" s="510" t="s">
        <v>670</v>
      </c>
      <c r="H148" s="529">
        <v>0</v>
      </c>
      <c r="I148" s="529">
        <v>0</v>
      </c>
      <c r="J148" s="529">
        <v>0</v>
      </c>
      <c r="K148" s="529">
        <v>0</v>
      </c>
      <c r="L148" s="529">
        <v>0</v>
      </c>
      <c r="M148" s="529">
        <v>0</v>
      </c>
      <c r="N148" s="529">
        <v>1</v>
      </c>
      <c r="O148" s="529">
        <v>0</v>
      </c>
      <c r="P148" s="529">
        <v>0</v>
      </c>
      <c r="Q148" s="529">
        <v>0</v>
      </c>
    </row>
    <row r="149" spans="1:17" ht="15.75" customHeight="1" x14ac:dyDescent="0.2">
      <c r="A149" s="529">
        <v>141</v>
      </c>
      <c r="B149" s="529" t="s">
        <v>57</v>
      </c>
      <c r="C149" s="516" t="s">
        <v>62</v>
      </c>
      <c r="D149" s="529" t="s">
        <v>63</v>
      </c>
      <c r="E149" s="529" t="s">
        <v>244</v>
      </c>
      <c r="F149" s="529" t="s">
        <v>306</v>
      </c>
      <c r="G149" s="510" t="s">
        <v>670</v>
      </c>
      <c r="H149" s="529">
        <v>41</v>
      </c>
      <c r="I149" s="529">
        <v>20</v>
      </c>
      <c r="J149" s="529">
        <v>23</v>
      </c>
      <c r="K149" s="529">
        <v>28660.53</v>
      </c>
      <c r="L149" s="529">
        <v>28660.53</v>
      </c>
      <c r="M149" s="529">
        <v>0</v>
      </c>
      <c r="N149" s="529">
        <v>22</v>
      </c>
      <c r="O149" s="529">
        <v>99963.18</v>
      </c>
      <c r="P149" s="529">
        <v>92362.92</v>
      </c>
      <c r="Q149" s="529">
        <v>7600.26</v>
      </c>
    </row>
    <row r="150" spans="1:17" ht="15.75" customHeight="1" x14ac:dyDescent="0.2">
      <c r="A150" s="529">
        <v>142</v>
      </c>
      <c r="B150" s="529" t="s">
        <v>648</v>
      </c>
      <c r="C150" s="516" t="s">
        <v>62</v>
      </c>
      <c r="D150" s="529" t="s">
        <v>63</v>
      </c>
      <c r="E150" s="529" t="s">
        <v>313</v>
      </c>
      <c r="F150" s="529" t="s">
        <v>650</v>
      </c>
      <c r="G150" s="510" t="s">
        <v>670</v>
      </c>
      <c r="H150" s="529">
        <v>14</v>
      </c>
      <c r="I150" s="529">
        <v>8</v>
      </c>
      <c r="J150" s="529">
        <v>9</v>
      </c>
      <c r="K150" s="529">
        <v>4135.99</v>
      </c>
      <c r="L150" s="529">
        <v>4135.99</v>
      </c>
      <c r="M150" s="529">
        <v>0</v>
      </c>
      <c r="N150" s="529">
        <v>0</v>
      </c>
      <c r="O150" s="529">
        <v>0</v>
      </c>
      <c r="P150" s="529">
        <v>0</v>
      </c>
      <c r="Q150" s="529">
        <v>0</v>
      </c>
    </row>
    <row r="151" spans="1:17" ht="15.75" customHeight="1" x14ac:dyDescent="0.2">
      <c r="A151" s="529">
        <v>143</v>
      </c>
      <c r="B151" s="529" t="s">
        <v>473</v>
      </c>
      <c r="C151" s="516" t="s">
        <v>62</v>
      </c>
      <c r="D151" s="529" t="s">
        <v>63</v>
      </c>
      <c r="E151" s="529" t="s">
        <v>63</v>
      </c>
      <c r="F151" s="529" t="s">
        <v>500</v>
      </c>
      <c r="G151" s="510" t="s">
        <v>670</v>
      </c>
      <c r="H151" s="529">
        <v>21</v>
      </c>
      <c r="I151" s="529">
        <v>12</v>
      </c>
      <c r="J151" s="529">
        <v>14</v>
      </c>
      <c r="K151" s="529">
        <v>9948.68</v>
      </c>
      <c r="L151" s="529">
        <v>9948.68</v>
      </c>
      <c r="M151" s="529">
        <v>0</v>
      </c>
      <c r="N151" s="529">
        <v>4</v>
      </c>
      <c r="O151" s="529">
        <v>22242.99</v>
      </c>
      <c r="P151" s="529">
        <v>22242.99</v>
      </c>
      <c r="Q151" s="529">
        <v>0</v>
      </c>
    </row>
    <row r="152" spans="1:17" ht="15.75" customHeight="1" x14ac:dyDescent="0.2">
      <c r="A152" s="529">
        <v>144</v>
      </c>
      <c r="B152" s="529" t="s">
        <v>129</v>
      </c>
      <c r="C152" s="516" t="s">
        <v>62</v>
      </c>
      <c r="D152" s="529" t="s">
        <v>63</v>
      </c>
      <c r="E152" s="529" t="s">
        <v>74</v>
      </c>
      <c r="F152" s="529" t="s">
        <v>307</v>
      </c>
      <c r="G152" s="510" t="s">
        <v>670</v>
      </c>
      <c r="H152" s="529">
        <v>0</v>
      </c>
      <c r="I152" s="529">
        <v>0</v>
      </c>
      <c r="J152" s="529">
        <v>0</v>
      </c>
      <c r="K152" s="529">
        <v>0</v>
      </c>
      <c r="L152" s="529">
        <v>0</v>
      </c>
      <c r="M152" s="529">
        <v>0</v>
      </c>
      <c r="N152" s="529">
        <v>2</v>
      </c>
      <c r="O152" s="529">
        <v>12997.88</v>
      </c>
      <c r="P152" s="529">
        <v>12997.88</v>
      </c>
      <c r="Q152" s="529">
        <v>0</v>
      </c>
    </row>
    <row r="153" spans="1:17" ht="15.75" customHeight="1" x14ac:dyDescent="0.2">
      <c r="A153" s="529">
        <v>145</v>
      </c>
      <c r="B153" s="529" t="s">
        <v>58</v>
      </c>
      <c r="C153" s="516" t="s">
        <v>62</v>
      </c>
      <c r="D153" s="529" t="s">
        <v>63</v>
      </c>
      <c r="E153" s="529" t="s">
        <v>84</v>
      </c>
      <c r="F153" s="529" t="s">
        <v>308</v>
      </c>
      <c r="G153" s="510" t="s">
        <v>670</v>
      </c>
      <c r="H153" s="529">
        <v>252</v>
      </c>
      <c r="I153" s="529">
        <v>239</v>
      </c>
      <c r="J153" s="529">
        <v>272</v>
      </c>
      <c r="K153" s="529">
        <v>247950.68</v>
      </c>
      <c r="L153" s="529">
        <v>233975.56</v>
      </c>
      <c r="M153" s="529">
        <v>13975.12</v>
      </c>
      <c r="N153" s="529">
        <v>66</v>
      </c>
      <c r="O153" s="529">
        <v>216301.07</v>
      </c>
      <c r="P153" s="529">
        <v>216301.07</v>
      </c>
      <c r="Q153" s="529">
        <v>0</v>
      </c>
    </row>
    <row r="154" spans="1:17" ht="15.75" customHeight="1" x14ac:dyDescent="0.2">
      <c r="A154" s="529">
        <v>146</v>
      </c>
      <c r="B154" s="529" t="s">
        <v>59</v>
      </c>
      <c r="C154" s="516" t="s">
        <v>64</v>
      </c>
      <c r="D154" s="529" t="s">
        <v>66</v>
      </c>
      <c r="E154" s="529" t="s">
        <v>80</v>
      </c>
      <c r="F154" s="529" t="s">
        <v>309</v>
      </c>
      <c r="G154" s="510" t="s">
        <v>670</v>
      </c>
      <c r="H154" s="529">
        <v>44</v>
      </c>
      <c r="I154" s="529">
        <v>35</v>
      </c>
      <c r="J154" s="529">
        <v>55</v>
      </c>
      <c r="K154" s="529">
        <v>109498.5</v>
      </c>
      <c r="L154" s="529">
        <v>100074.76</v>
      </c>
      <c r="M154" s="529">
        <v>9423.74</v>
      </c>
      <c r="N154" s="529">
        <v>33</v>
      </c>
      <c r="O154" s="529">
        <v>108860.27</v>
      </c>
      <c r="P154" s="529">
        <v>108860.27</v>
      </c>
      <c r="Q154" s="529">
        <v>0</v>
      </c>
    </row>
    <row r="155" spans="1:17" ht="15.75" customHeight="1" x14ac:dyDescent="0.2">
      <c r="A155" s="529">
        <v>147</v>
      </c>
      <c r="B155" s="529" t="s">
        <v>130</v>
      </c>
      <c r="C155" s="516" t="s">
        <v>62</v>
      </c>
      <c r="D155" s="529" t="s">
        <v>63</v>
      </c>
      <c r="E155" s="529" t="s">
        <v>74</v>
      </c>
      <c r="F155" s="529" t="s">
        <v>553</v>
      </c>
      <c r="G155" s="510" t="s">
        <v>670</v>
      </c>
      <c r="H155" s="529">
        <v>7</v>
      </c>
      <c r="I155" s="529">
        <v>2</v>
      </c>
      <c r="J155" s="529">
        <v>2</v>
      </c>
      <c r="K155" s="529">
        <v>1772.34</v>
      </c>
      <c r="L155" s="529">
        <v>1772.34</v>
      </c>
      <c r="M155" s="529">
        <v>0</v>
      </c>
      <c r="N155" s="529">
        <v>4</v>
      </c>
      <c r="O155" s="529">
        <v>20018.759999999998</v>
      </c>
      <c r="P155" s="529">
        <v>20018.759999999998</v>
      </c>
      <c r="Q155" s="529">
        <v>0</v>
      </c>
    </row>
    <row r="156" spans="1:17" ht="15.75" customHeight="1" x14ac:dyDescent="0.2">
      <c r="A156" s="529">
        <v>148</v>
      </c>
      <c r="B156" s="529" t="s">
        <v>97</v>
      </c>
      <c r="C156" s="516" t="s">
        <v>62</v>
      </c>
      <c r="D156" s="529" t="s">
        <v>63</v>
      </c>
      <c r="E156" s="529" t="s">
        <v>74</v>
      </c>
      <c r="F156" s="529" t="s">
        <v>310</v>
      </c>
      <c r="G156" s="510" t="s">
        <v>670</v>
      </c>
      <c r="H156" s="529">
        <v>7</v>
      </c>
      <c r="I156" s="529">
        <v>4</v>
      </c>
      <c r="J156" s="529">
        <v>4</v>
      </c>
      <c r="K156" s="529">
        <v>5524.96</v>
      </c>
      <c r="L156" s="529">
        <v>5524.96</v>
      </c>
      <c r="M156" s="529">
        <v>0</v>
      </c>
      <c r="N156" s="529">
        <v>1</v>
      </c>
      <c r="O156" s="529">
        <v>3782.14</v>
      </c>
      <c r="P156" s="529">
        <v>3782.14</v>
      </c>
      <c r="Q156" s="529">
        <v>0</v>
      </c>
    </row>
    <row r="157" spans="1:17" ht="15.75" customHeight="1" x14ac:dyDescent="0.2">
      <c r="A157" s="529">
        <v>149</v>
      </c>
      <c r="B157" s="529" t="s">
        <v>667</v>
      </c>
      <c r="C157" s="516" t="s">
        <v>62</v>
      </c>
      <c r="D157" s="529" t="s">
        <v>63</v>
      </c>
      <c r="E157" s="529" t="s">
        <v>174</v>
      </c>
      <c r="F157" s="529" t="s">
        <v>668</v>
      </c>
      <c r="G157" s="510" t="s">
        <v>670</v>
      </c>
      <c r="H157" s="529">
        <v>8</v>
      </c>
      <c r="I157" s="529">
        <v>4</v>
      </c>
      <c r="J157" s="529">
        <v>4</v>
      </c>
      <c r="K157" s="529">
        <v>0</v>
      </c>
      <c r="L157" s="529">
        <v>0</v>
      </c>
      <c r="M157" s="529">
        <v>0</v>
      </c>
      <c r="N157" s="529">
        <v>0</v>
      </c>
      <c r="O157" s="529">
        <v>0</v>
      </c>
      <c r="P157" s="529">
        <v>0</v>
      </c>
      <c r="Q157" s="529">
        <v>0</v>
      </c>
    </row>
    <row r="158" spans="1:17" ht="15.75" customHeight="1" x14ac:dyDescent="0.2">
      <c r="A158" s="529">
        <v>150</v>
      </c>
      <c r="B158" s="529" t="s">
        <v>514</v>
      </c>
      <c r="C158" s="516" t="s">
        <v>62</v>
      </c>
      <c r="D158" s="529" t="s">
        <v>63</v>
      </c>
      <c r="E158" s="529" t="s">
        <v>223</v>
      </c>
      <c r="F158" s="529" t="s">
        <v>515</v>
      </c>
      <c r="G158" s="510" t="s">
        <v>670</v>
      </c>
      <c r="H158" s="529">
        <v>24</v>
      </c>
      <c r="I158" s="529">
        <v>17</v>
      </c>
      <c r="J158" s="529">
        <v>24</v>
      </c>
      <c r="K158" s="529">
        <v>25840.53</v>
      </c>
      <c r="L158" s="529">
        <v>25840.53</v>
      </c>
      <c r="M158" s="529"/>
      <c r="N158" s="529">
        <v>0</v>
      </c>
      <c r="O158" s="529">
        <v>0</v>
      </c>
      <c r="P158" s="529">
        <v>0</v>
      </c>
      <c r="Q158" s="529">
        <v>0</v>
      </c>
    </row>
    <row r="159" spans="1:17" ht="15.75" customHeight="1" x14ac:dyDescent="0.2">
      <c r="A159" s="529">
        <v>151</v>
      </c>
      <c r="B159" s="529" t="s">
        <v>132</v>
      </c>
      <c r="C159" s="516" t="s">
        <v>62</v>
      </c>
      <c r="D159" s="529" t="s">
        <v>63</v>
      </c>
      <c r="E159" s="529" t="s">
        <v>74</v>
      </c>
      <c r="F159" s="529" t="s">
        <v>311</v>
      </c>
      <c r="G159" s="510" t="s">
        <v>670</v>
      </c>
      <c r="H159" s="529">
        <v>21</v>
      </c>
      <c r="I159" s="529">
        <v>7</v>
      </c>
      <c r="J159" s="529">
        <v>8</v>
      </c>
      <c r="K159" s="529">
        <v>7071.18</v>
      </c>
      <c r="L159" s="529">
        <v>7071.18</v>
      </c>
      <c r="M159" s="529">
        <v>0</v>
      </c>
      <c r="N159" s="529">
        <v>11</v>
      </c>
      <c r="O159" s="529">
        <v>7200.72</v>
      </c>
      <c r="P159" s="529">
        <v>7200.72</v>
      </c>
      <c r="Q159" s="529">
        <v>0</v>
      </c>
    </row>
    <row r="160" spans="1:17" ht="15.75" customHeight="1" x14ac:dyDescent="0.2">
      <c r="A160" s="529">
        <v>152</v>
      </c>
      <c r="B160" s="529" t="s">
        <v>312</v>
      </c>
      <c r="C160" s="516" t="s">
        <v>62</v>
      </c>
      <c r="D160" s="529" t="s">
        <v>63</v>
      </c>
      <c r="E160" s="529" t="s">
        <v>313</v>
      </c>
      <c r="F160" s="529" t="s">
        <v>314</v>
      </c>
      <c r="G160" s="510" t="s">
        <v>670</v>
      </c>
      <c r="H160" s="529">
        <v>67</v>
      </c>
      <c r="I160" s="529">
        <v>1</v>
      </c>
      <c r="J160" s="529">
        <v>1</v>
      </c>
      <c r="K160" s="529">
        <v>0</v>
      </c>
      <c r="L160" s="529">
        <v>0</v>
      </c>
      <c r="M160" s="529">
        <v>0</v>
      </c>
      <c r="N160" s="529">
        <v>0</v>
      </c>
      <c r="O160" s="529">
        <v>0</v>
      </c>
      <c r="P160" s="529">
        <v>0</v>
      </c>
      <c r="Q160" s="529">
        <v>0</v>
      </c>
    </row>
    <row r="161" spans="1:17" ht="15.75" customHeight="1" x14ac:dyDescent="0.2">
      <c r="A161" s="529">
        <v>153</v>
      </c>
      <c r="B161" s="529" t="s">
        <v>505</v>
      </c>
      <c r="C161" s="516" t="s">
        <v>62</v>
      </c>
      <c r="D161" s="529" t="s">
        <v>63</v>
      </c>
      <c r="E161" s="529" t="s">
        <v>759</v>
      </c>
      <c r="F161" s="529" t="s">
        <v>704</v>
      </c>
      <c r="G161" s="510" t="s">
        <v>670</v>
      </c>
      <c r="H161" s="529">
        <v>8</v>
      </c>
      <c r="I161" s="529">
        <v>3</v>
      </c>
      <c r="J161" s="529">
        <v>3</v>
      </c>
      <c r="K161" s="529">
        <v>0</v>
      </c>
      <c r="L161" s="529">
        <v>0</v>
      </c>
      <c r="M161" s="529">
        <v>0</v>
      </c>
      <c r="N161" s="529">
        <v>0</v>
      </c>
      <c r="O161" s="529">
        <v>0</v>
      </c>
      <c r="P161" s="529">
        <v>0</v>
      </c>
      <c r="Q161" s="529">
        <v>0</v>
      </c>
    </row>
    <row r="162" spans="1:17" ht="15.75" customHeight="1" x14ac:dyDescent="0.2">
      <c r="A162" s="529">
        <v>154</v>
      </c>
      <c r="B162" s="529" t="s">
        <v>315</v>
      </c>
      <c r="C162" s="516" t="s">
        <v>62</v>
      </c>
      <c r="D162" s="529" t="s">
        <v>63</v>
      </c>
      <c r="E162" s="529" t="s">
        <v>74</v>
      </c>
      <c r="F162" s="529" t="s">
        <v>316</v>
      </c>
      <c r="G162" s="510" t="s">
        <v>670</v>
      </c>
      <c r="H162" s="529">
        <v>19</v>
      </c>
      <c r="I162" s="529">
        <v>11</v>
      </c>
      <c r="J162" s="529">
        <v>13</v>
      </c>
      <c r="K162" s="529">
        <v>11020.91</v>
      </c>
      <c r="L162" s="529">
        <v>11020.91</v>
      </c>
      <c r="M162" s="529">
        <v>0</v>
      </c>
      <c r="N162" s="529">
        <v>6</v>
      </c>
      <c r="O162" s="529">
        <v>3889.02</v>
      </c>
      <c r="P162" s="529">
        <v>3889.02</v>
      </c>
      <c r="Q162" s="529">
        <v>0</v>
      </c>
    </row>
    <row r="163" spans="1:17" ht="15.75" customHeight="1" x14ac:dyDescent="0.2">
      <c r="A163" s="529">
        <v>155</v>
      </c>
      <c r="B163" s="529" t="s">
        <v>317</v>
      </c>
      <c r="C163" s="516" t="s">
        <v>62</v>
      </c>
      <c r="D163" s="529" t="s">
        <v>63</v>
      </c>
      <c r="E163" s="529" t="s">
        <v>158</v>
      </c>
      <c r="F163" s="529" t="s">
        <v>474</v>
      </c>
      <c r="G163" s="510" t="s">
        <v>670</v>
      </c>
      <c r="H163" s="529">
        <v>13</v>
      </c>
      <c r="I163" s="529">
        <v>11</v>
      </c>
      <c r="J163" s="529">
        <v>12</v>
      </c>
      <c r="K163" s="529">
        <v>4210.97</v>
      </c>
      <c r="L163" s="529">
        <v>4210.97</v>
      </c>
      <c r="M163" s="529">
        <v>0</v>
      </c>
      <c r="N163" s="529">
        <v>0</v>
      </c>
      <c r="O163" s="529">
        <v>0</v>
      </c>
      <c r="P163" s="529">
        <v>0</v>
      </c>
      <c r="Q163" s="529">
        <v>0</v>
      </c>
    </row>
    <row r="164" spans="1:17" ht="15.75" customHeight="1" x14ac:dyDescent="0.2">
      <c r="A164" s="529">
        <v>156</v>
      </c>
      <c r="B164" s="529" t="s">
        <v>318</v>
      </c>
      <c r="C164" s="516" t="s">
        <v>62</v>
      </c>
      <c r="D164" s="529" t="s">
        <v>63</v>
      </c>
      <c r="E164" s="529" t="s">
        <v>174</v>
      </c>
      <c r="F164" s="529" t="s">
        <v>319</v>
      </c>
      <c r="G164" s="510" t="s">
        <v>670</v>
      </c>
      <c r="H164" s="529">
        <v>35</v>
      </c>
      <c r="I164" s="529">
        <v>29</v>
      </c>
      <c r="J164" s="529">
        <v>35</v>
      </c>
      <c r="K164" s="529">
        <v>24890.68</v>
      </c>
      <c r="L164" s="529">
        <v>24890.68</v>
      </c>
      <c r="M164" s="529">
        <v>0</v>
      </c>
      <c r="N164" s="529">
        <v>0</v>
      </c>
      <c r="O164" s="529">
        <v>0</v>
      </c>
      <c r="P164" s="529">
        <v>0</v>
      </c>
      <c r="Q164" s="529">
        <v>0</v>
      </c>
    </row>
    <row r="165" spans="1:17" ht="15.75" customHeight="1" x14ac:dyDescent="0.2">
      <c r="A165" s="529">
        <v>157</v>
      </c>
      <c r="B165" s="529" t="s">
        <v>60</v>
      </c>
      <c r="C165" s="516" t="s">
        <v>67</v>
      </c>
      <c r="D165" s="529" t="s">
        <v>68</v>
      </c>
      <c r="E165" s="529" t="s">
        <v>74</v>
      </c>
      <c r="F165" s="529" t="s">
        <v>320</v>
      </c>
      <c r="G165" s="510" t="s">
        <v>670</v>
      </c>
      <c r="H165" s="529">
        <v>78</v>
      </c>
      <c r="I165" s="529">
        <v>63</v>
      </c>
      <c r="J165" s="529">
        <v>92</v>
      </c>
      <c r="K165" s="529">
        <v>159674.60999999999</v>
      </c>
      <c r="L165" s="529">
        <v>159674.60999999999</v>
      </c>
      <c r="M165" s="529">
        <v>0</v>
      </c>
      <c r="N165" s="529">
        <v>44</v>
      </c>
      <c r="O165" s="529">
        <v>113566.75</v>
      </c>
      <c r="P165" s="529">
        <v>113566.75</v>
      </c>
      <c r="Q165" s="529">
        <v>0</v>
      </c>
    </row>
    <row r="166" spans="1:17" ht="15.75" customHeight="1" x14ac:dyDescent="0.2">
      <c r="A166" s="529">
        <v>158</v>
      </c>
      <c r="B166" s="529" t="s">
        <v>61</v>
      </c>
      <c r="C166" s="516" t="s">
        <v>67</v>
      </c>
      <c r="D166" s="529" t="s">
        <v>69</v>
      </c>
      <c r="E166" s="529" t="s">
        <v>74</v>
      </c>
      <c r="F166" s="529" t="s">
        <v>321</v>
      </c>
      <c r="G166" s="510" t="s">
        <v>670</v>
      </c>
      <c r="H166" s="529">
        <v>11</v>
      </c>
      <c r="I166" s="529">
        <v>5</v>
      </c>
      <c r="J166" s="529">
        <v>6</v>
      </c>
      <c r="K166" s="529">
        <v>12993.1</v>
      </c>
      <c r="L166" s="529">
        <v>12993.1</v>
      </c>
      <c r="M166" s="529">
        <v>0</v>
      </c>
      <c r="N166" s="529">
        <v>7</v>
      </c>
      <c r="O166" s="529">
        <v>7602.26</v>
      </c>
      <c r="P166" s="529">
        <v>7602.26</v>
      </c>
      <c r="Q166" s="529">
        <v>0</v>
      </c>
    </row>
    <row r="167" spans="1:17" ht="15.75" customHeight="1" x14ac:dyDescent="0.2">
      <c r="A167" s="526">
        <v>159</v>
      </c>
      <c r="B167" s="532" t="s">
        <v>21</v>
      </c>
      <c r="C167" s="533" t="s">
        <v>62</v>
      </c>
      <c r="D167" s="534"/>
      <c r="E167" s="532" t="s">
        <v>674</v>
      </c>
      <c r="F167" s="532" t="s">
        <v>734</v>
      </c>
      <c r="G167" s="532" t="s">
        <v>524</v>
      </c>
      <c r="H167" s="596">
        <v>1</v>
      </c>
      <c r="I167" s="596">
        <v>0</v>
      </c>
      <c r="J167" s="596">
        <v>0</v>
      </c>
      <c r="K167" s="597">
        <v>0</v>
      </c>
      <c r="L167" s="597">
        <v>0</v>
      </c>
      <c r="M167" s="597">
        <v>0</v>
      </c>
      <c r="N167" s="596">
        <v>3</v>
      </c>
      <c r="O167" s="597">
        <v>18538.8</v>
      </c>
      <c r="P167" s="597">
        <v>18538.8</v>
      </c>
      <c r="Q167" s="597">
        <v>0</v>
      </c>
    </row>
    <row r="168" spans="1:17" ht="15.75" customHeight="1" x14ac:dyDescent="0.2">
      <c r="A168" s="526">
        <v>160</v>
      </c>
      <c r="B168" s="532" t="s">
        <v>147</v>
      </c>
      <c r="C168" s="533" t="s">
        <v>62</v>
      </c>
      <c r="D168" s="534"/>
      <c r="E168" s="486" t="s">
        <v>158</v>
      </c>
      <c r="F168" s="532" t="s">
        <v>736</v>
      </c>
      <c r="G168" s="532" t="s">
        <v>524</v>
      </c>
      <c r="H168" s="596">
        <v>1</v>
      </c>
      <c r="I168" s="596">
        <v>1</v>
      </c>
      <c r="J168" s="596">
        <v>1</v>
      </c>
      <c r="K168" s="597">
        <v>1762</v>
      </c>
      <c r="L168" s="597">
        <v>1762</v>
      </c>
      <c r="M168" s="597">
        <v>0</v>
      </c>
      <c r="N168" s="596">
        <v>4</v>
      </c>
      <c r="O168" s="597">
        <v>12040</v>
      </c>
      <c r="P168" s="597">
        <v>12040</v>
      </c>
      <c r="Q168" s="597">
        <v>0</v>
      </c>
    </row>
    <row r="169" spans="1:17" ht="15.75" customHeight="1" x14ac:dyDescent="0.2">
      <c r="A169" s="526">
        <v>161</v>
      </c>
      <c r="B169" s="532" t="s">
        <v>526</v>
      </c>
      <c r="C169" s="533" t="s">
        <v>62</v>
      </c>
      <c r="D169" s="534"/>
      <c r="E169" s="532" t="s">
        <v>760</v>
      </c>
      <c r="F169" s="532" t="s">
        <v>738</v>
      </c>
      <c r="G169" s="532" t="s">
        <v>524</v>
      </c>
      <c r="H169" s="596">
        <v>0</v>
      </c>
      <c r="I169" s="596">
        <v>0</v>
      </c>
      <c r="J169" s="596">
        <v>0</v>
      </c>
      <c r="K169" s="597">
        <v>0</v>
      </c>
      <c r="L169" s="597">
        <v>0</v>
      </c>
      <c r="M169" s="597">
        <v>0</v>
      </c>
      <c r="N169" s="596">
        <v>0</v>
      </c>
      <c r="O169" s="598">
        <v>0</v>
      </c>
      <c r="P169" s="597">
        <v>0</v>
      </c>
      <c r="Q169" s="597">
        <v>0</v>
      </c>
    </row>
    <row r="170" spans="1:17" ht="15.75" customHeight="1" x14ac:dyDescent="0.2">
      <c r="A170" s="526">
        <v>162</v>
      </c>
      <c r="B170" s="532" t="s">
        <v>305</v>
      </c>
      <c r="C170" s="533" t="s">
        <v>62</v>
      </c>
      <c r="D170" s="534"/>
      <c r="E170" s="532" t="s">
        <v>674</v>
      </c>
      <c r="F170" s="532" t="s">
        <v>739</v>
      </c>
      <c r="G170" s="532" t="s">
        <v>524</v>
      </c>
      <c r="H170" s="596">
        <v>4</v>
      </c>
      <c r="I170" s="596">
        <v>4</v>
      </c>
      <c r="J170" s="596">
        <v>4</v>
      </c>
      <c r="K170" s="597">
        <v>10545.1</v>
      </c>
      <c r="L170" s="597">
        <v>10545.1</v>
      </c>
      <c r="M170" s="597">
        <v>0</v>
      </c>
      <c r="N170" s="596">
        <v>0</v>
      </c>
      <c r="O170" s="597">
        <v>0</v>
      </c>
      <c r="P170" s="597">
        <v>0</v>
      </c>
      <c r="Q170" s="597">
        <v>0</v>
      </c>
    </row>
    <row r="171" spans="1:17" ht="15.75" customHeight="1" x14ac:dyDescent="0.2">
      <c r="A171" s="526">
        <v>163</v>
      </c>
      <c r="B171" s="532" t="s">
        <v>407</v>
      </c>
      <c r="C171" s="533" t="s">
        <v>62</v>
      </c>
      <c r="D171" s="534"/>
      <c r="E171" s="532" t="s">
        <v>674</v>
      </c>
      <c r="F171" s="532" t="s">
        <v>740</v>
      </c>
      <c r="G171" s="532" t="s">
        <v>524</v>
      </c>
      <c r="H171" s="596">
        <v>5</v>
      </c>
      <c r="I171" s="596">
        <v>1</v>
      </c>
      <c r="J171" s="596">
        <v>1</v>
      </c>
      <c r="K171" s="597">
        <v>3866.1</v>
      </c>
      <c r="L171" s="597">
        <v>3866.1</v>
      </c>
      <c r="M171" s="597">
        <v>0</v>
      </c>
      <c r="N171" s="596">
        <v>0</v>
      </c>
      <c r="O171" s="597">
        <v>0</v>
      </c>
      <c r="P171" s="597">
        <v>0</v>
      </c>
      <c r="Q171" s="597">
        <v>0</v>
      </c>
    </row>
    <row r="172" spans="1:17" ht="15.75" customHeight="1" x14ac:dyDescent="0.2">
      <c r="A172" s="526">
        <v>164</v>
      </c>
      <c r="B172" s="532" t="s">
        <v>185</v>
      </c>
      <c r="C172" s="533" t="s">
        <v>62</v>
      </c>
      <c r="D172" s="534"/>
      <c r="E172" s="532" t="s">
        <v>674</v>
      </c>
      <c r="F172" s="532" t="s">
        <v>741</v>
      </c>
      <c r="G172" s="532" t="s">
        <v>524</v>
      </c>
      <c r="H172" s="596">
        <v>4</v>
      </c>
      <c r="I172" s="596">
        <v>4</v>
      </c>
      <c r="J172" s="596">
        <v>5</v>
      </c>
      <c r="K172" s="597">
        <v>18336.240000000002</v>
      </c>
      <c r="L172" s="597">
        <v>18336.240000000002</v>
      </c>
      <c r="M172" s="597">
        <v>0</v>
      </c>
      <c r="N172" s="596">
        <v>0</v>
      </c>
      <c r="O172" s="597">
        <v>0</v>
      </c>
      <c r="P172" s="597">
        <v>0</v>
      </c>
      <c r="Q172" s="597">
        <v>0</v>
      </c>
    </row>
    <row r="173" spans="1:17" ht="15.75" customHeight="1" x14ac:dyDescent="0.2">
      <c r="A173" s="526">
        <v>165</v>
      </c>
      <c r="B173" s="532" t="s">
        <v>534</v>
      </c>
      <c r="C173" s="533" t="s">
        <v>62</v>
      </c>
      <c r="D173" s="534"/>
      <c r="E173" s="532" t="s">
        <v>674</v>
      </c>
      <c r="F173" s="532" t="s">
        <v>774</v>
      </c>
      <c r="G173" s="532" t="s">
        <v>524</v>
      </c>
      <c r="H173" s="596">
        <v>1</v>
      </c>
      <c r="I173" s="596">
        <v>0</v>
      </c>
      <c r="J173" s="596">
        <v>0</v>
      </c>
      <c r="K173" s="597">
        <v>0</v>
      </c>
      <c r="L173" s="597">
        <v>0</v>
      </c>
      <c r="M173" s="597">
        <v>0</v>
      </c>
      <c r="N173" s="596">
        <v>0</v>
      </c>
      <c r="O173" s="597">
        <v>0</v>
      </c>
      <c r="P173" s="597">
        <v>0</v>
      </c>
      <c r="Q173" s="597">
        <v>0</v>
      </c>
    </row>
    <row r="174" spans="1:17" ht="15.75" customHeight="1" x14ac:dyDescent="0.2">
      <c r="A174" s="526">
        <v>166</v>
      </c>
      <c r="B174" s="532" t="s">
        <v>104</v>
      </c>
      <c r="C174" s="533" t="s">
        <v>62</v>
      </c>
      <c r="D174" s="534"/>
      <c r="E174" s="490" t="s">
        <v>730</v>
      </c>
      <c r="F174" s="532" t="s">
        <v>743</v>
      </c>
      <c r="G174" s="532" t="s">
        <v>524</v>
      </c>
      <c r="H174" s="596">
        <v>0</v>
      </c>
      <c r="I174" s="596">
        <v>0</v>
      </c>
      <c r="J174" s="596">
        <v>0</v>
      </c>
      <c r="K174" s="597">
        <v>0</v>
      </c>
      <c r="L174" s="597">
        <v>0</v>
      </c>
      <c r="M174" s="597">
        <v>0</v>
      </c>
      <c r="N174" s="596">
        <v>1</v>
      </c>
      <c r="O174" s="597">
        <v>3187.89</v>
      </c>
      <c r="P174" s="597">
        <v>3187.89</v>
      </c>
      <c r="Q174" s="597">
        <v>0</v>
      </c>
    </row>
    <row r="175" spans="1:17" ht="15.75" customHeight="1" x14ac:dyDescent="0.2">
      <c r="A175" s="526">
        <v>167</v>
      </c>
      <c r="B175" s="532" t="s">
        <v>621</v>
      </c>
      <c r="C175" s="533" t="s">
        <v>62</v>
      </c>
      <c r="D175" s="534"/>
      <c r="E175" s="486" t="s">
        <v>158</v>
      </c>
      <c r="F175" s="532" t="s">
        <v>744</v>
      </c>
      <c r="G175" s="532" t="s">
        <v>524</v>
      </c>
      <c r="H175" s="596">
        <v>0</v>
      </c>
      <c r="I175" s="596">
        <v>0</v>
      </c>
      <c r="J175" s="596">
        <v>0</v>
      </c>
      <c r="K175" s="597">
        <v>0</v>
      </c>
      <c r="L175" s="597">
        <v>0</v>
      </c>
      <c r="M175" s="597">
        <v>0</v>
      </c>
      <c r="N175" s="596">
        <v>0</v>
      </c>
      <c r="O175" s="597">
        <v>0</v>
      </c>
      <c r="P175" s="597">
        <v>0</v>
      </c>
      <c r="Q175" s="597">
        <v>0</v>
      </c>
    </row>
    <row r="176" spans="1:17" ht="15.75" customHeight="1" x14ac:dyDescent="0.2">
      <c r="A176" s="526">
        <v>168</v>
      </c>
      <c r="B176" s="484" t="s">
        <v>47</v>
      </c>
      <c r="C176" s="516" t="s">
        <v>62</v>
      </c>
      <c r="D176" s="484"/>
      <c r="E176" s="486" t="s">
        <v>761</v>
      </c>
      <c r="F176" s="486" t="s">
        <v>448</v>
      </c>
      <c r="G176" s="510" t="s">
        <v>776</v>
      </c>
      <c r="H176" s="484">
        <v>8</v>
      </c>
      <c r="I176" s="484">
        <v>6</v>
      </c>
      <c r="J176" s="484">
        <v>6</v>
      </c>
      <c r="K176" s="482">
        <v>11911.2</v>
      </c>
      <c r="L176" s="482">
        <v>11911.2</v>
      </c>
      <c r="M176" s="482">
        <v>0</v>
      </c>
      <c r="N176" s="484">
        <v>26</v>
      </c>
      <c r="O176" s="482">
        <v>47624.72</v>
      </c>
      <c r="P176" s="482">
        <v>47624.72</v>
      </c>
      <c r="Q176" s="482">
        <v>0</v>
      </c>
    </row>
    <row r="177" spans="1:17" ht="15.75" customHeight="1" x14ac:dyDescent="0.2">
      <c r="A177" s="526">
        <v>169</v>
      </c>
      <c r="B177" s="484" t="s">
        <v>55</v>
      </c>
      <c r="C177" s="516" t="s">
        <v>62</v>
      </c>
      <c r="D177" s="484"/>
      <c r="E177" s="486" t="s">
        <v>762</v>
      </c>
      <c r="F177" s="486" t="s">
        <v>449</v>
      </c>
      <c r="G177" s="510" t="s">
        <v>776</v>
      </c>
      <c r="H177" s="484">
        <v>9</v>
      </c>
      <c r="I177" s="484">
        <v>4</v>
      </c>
      <c r="J177" s="484">
        <v>4</v>
      </c>
      <c r="K177" s="482">
        <v>4284.1000000000004</v>
      </c>
      <c r="L177" s="482">
        <v>4284.1000000000004</v>
      </c>
      <c r="M177" s="482">
        <v>0</v>
      </c>
      <c r="N177" s="484">
        <v>14</v>
      </c>
      <c r="O177" s="482">
        <v>29300.9</v>
      </c>
      <c r="P177" s="482">
        <v>29300.9</v>
      </c>
      <c r="Q177" s="482">
        <v>0</v>
      </c>
    </row>
    <row r="178" spans="1:17" ht="15.75" customHeight="1" x14ac:dyDescent="0.2">
      <c r="A178" s="526">
        <v>170</v>
      </c>
      <c r="B178" s="484" t="s">
        <v>122</v>
      </c>
      <c r="C178" s="516" t="s">
        <v>62</v>
      </c>
      <c r="D178" s="484"/>
      <c r="E178" s="486" t="s">
        <v>763</v>
      </c>
      <c r="F178" s="486" t="s">
        <v>450</v>
      </c>
      <c r="G178" s="510" t="s">
        <v>776</v>
      </c>
      <c r="H178" s="484">
        <v>5</v>
      </c>
      <c r="I178" s="484">
        <v>2</v>
      </c>
      <c r="J178" s="484">
        <v>2</v>
      </c>
      <c r="K178" s="482">
        <v>2301.25</v>
      </c>
      <c r="L178" s="482">
        <v>2301.25</v>
      </c>
      <c r="M178" s="482">
        <v>0</v>
      </c>
      <c r="N178" s="484">
        <v>9</v>
      </c>
      <c r="O178" s="482">
        <v>17988.490000000002</v>
      </c>
      <c r="P178" s="482">
        <v>17856.7</v>
      </c>
      <c r="Q178" s="482">
        <v>131.79</v>
      </c>
    </row>
    <row r="179" spans="1:17" ht="15.75" customHeight="1" x14ac:dyDescent="0.2">
      <c r="A179" s="526">
        <v>171</v>
      </c>
      <c r="B179" s="484" t="s">
        <v>144</v>
      </c>
      <c r="C179" s="516" t="s">
        <v>62</v>
      </c>
      <c r="D179" s="484"/>
      <c r="E179" s="486" t="s">
        <v>761</v>
      </c>
      <c r="F179" s="486" t="s">
        <v>451</v>
      </c>
      <c r="G179" s="510" t="s">
        <v>776</v>
      </c>
      <c r="H179" s="484">
        <v>8</v>
      </c>
      <c r="I179" s="484">
        <v>7</v>
      </c>
      <c r="J179" s="484">
        <v>7</v>
      </c>
      <c r="K179" s="482">
        <v>8121.62</v>
      </c>
      <c r="L179" s="482">
        <v>8121.62</v>
      </c>
      <c r="M179" s="482">
        <v>0</v>
      </c>
      <c r="N179" s="484">
        <v>3</v>
      </c>
      <c r="O179" s="482">
        <v>3595.1</v>
      </c>
      <c r="P179" s="482">
        <v>3595.1</v>
      </c>
      <c r="Q179" s="482">
        <v>0</v>
      </c>
    </row>
    <row r="180" spans="1:17" ht="15.75" customHeight="1" x14ac:dyDescent="0.2">
      <c r="A180" s="526">
        <v>172</v>
      </c>
      <c r="B180" s="484" t="s">
        <v>46</v>
      </c>
      <c r="C180" s="516" t="s">
        <v>62</v>
      </c>
      <c r="D180" s="484"/>
      <c r="E180" s="486" t="s">
        <v>764</v>
      </c>
      <c r="F180" s="486" t="s">
        <v>453</v>
      </c>
      <c r="G180" s="510" t="s">
        <v>776</v>
      </c>
      <c r="H180" s="484">
        <v>0</v>
      </c>
      <c r="I180" s="484">
        <v>0</v>
      </c>
      <c r="J180" s="484">
        <v>0</v>
      </c>
      <c r="K180" s="482">
        <v>0</v>
      </c>
      <c r="L180" s="482">
        <v>0</v>
      </c>
      <c r="M180" s="482">
        <v>0</v>
      </c>
      <c r="N180" s="484">
        <v>0</v>
      </c>
      <c r="O180" s="482">
        <v>0</v>
      </c>
      <c r="P180" s="482">
        <v>0</v>
      </c>
      <c r="Q180" s="482">
        <v>0</v>
      </c>
    </row>
    <row r="181" spans="1:17" ht="15.75" customHeight="1" x14ac:dyDescent="0.2">
      <c r="A181" s="526">
        <v>173</v>
      </c>
      <c r="B181" s="484" t="s">
        <v>133</v>
      </c>
      <c r="C181" s="516" t="s">
        <v>67</v>
      </c>
      <c r="D181" s="484" t="s">
        <v>397</v>
      </c>
      <c r="E181" s="486" t="s">
        <v>74</v>
      </c>
      <c r="F181" s="486" t="s">
        <v>593</v>
      </c>
      <c r="G181" s="510" t="s">
        <v>776</v>
      </c>
      <c r="H181" s="484">
        <v>0</v>
      </c>
      <c r="I181" s="484">
        <v>0</v>
      </c>
      <c r="J181" s="484">
        <v>0</v>
      </c>
      <c r="K181" s="482">
        <v>0</v>
      </c>
      <c r="L181" s="482">
        <v>0</v>
      </c>
      <c r="M181" s="482">
        <v>0</v>
      </c>
      <c r="N181" s="484">
        <v>0</v>
      </c>
      <c r="O181" s="482">
        <v>0</v>
      </c>
      <c r="P181" s="482">
        <v>0</v>
      </c>
      <c r="Q181" s="482">
        <v>0</v>
      </c>
    </row>
    <row r="182" spans="1:17" ht="15.75" customHeight="1" x14ac:dyDescent="0.2">
      <c r="A182" s="526">
        <v>174</v>
      </c>
      <c r="B182" s="484" t="s">
        <v>176</v>
      </c>
      <c r="C182" s="516" t="s">
        <v>62</v>
      </c>
      <c r="D182" s="484"/>
      <c r="E182" s="486" t="s">
        <v>765</v>
      </c>
      <c r="F182" s="486" t="s">
        <v>455</v>
      </c>
      <c r="G182" s="510" t="s">
        <v>776</v>
      </c>
      <c r="H182" s="484">
        <v>12</v>
      </c>
      <c r="I182" s="484">
        <v>10</v>
      </c>
      <c r="J182" s="484">
        <v>10</v>
      </c>
      <c r="K182" s="482">
        <v>11360.06</v>
      </c>
      <c r="L182" s="482">
        <v>11360.06</v>
      </c>
      <c r="M182" s="482">
        <v>0</v>
      </c>
      <c r="N182" s="484">
        <v>0</v>
      </c>
      <c r="O182" s="482">
        <v>0</v>
      </c>
      <c r="P182" s="482">
        <v>0</v>
      </c>
      <c r="Q182" s="482">
        <v>0</v>
      </c>
    </row>
    <row r="183" spans="1:17" ht="15.75" customHeight="1" x14ac:dyDescent="0.2">
      <c r="A183" s="526">
        <v>175</v>
      </c>
      <c r="B183" s="484" t="s">
        <v>235</v>
      </c>
      <c r="C183" s="516" t="s">
        <v>62</v>
      </c>
      <c r="D183" s="484"/>
      <c r="E183" s="486" t="s">
        <v>766</v>
      </c>
      <c r="F183" s="486" t="s">
        <v>457</v>
      </c>
      <c r="G183" s="510" t="s">
        <v>776</v>
      </c>
      <c r="H183" s="484">
        <v>4</v>
      </c>
      <c r="I183" s="484">
        <v>3</v>
      </c>
      <c r="J183" s="484">
        <v>3</v>
      </c>
      <c r="K183" s="482">
        <v>2269.65</v>
      </c>
      <c r="L183" s="482">
        <v>2269.65</v>
      </c>
      <c r="M183" s="482">
        <v>0</v>
      </c>
      <c r="N183" s="484">
        <v>0</v>
      </c>
      <c r="O183" s="482">
        <v>0</v>
      </c>
      <c r="P183" s="482">
        <v>0</v>
      </c>
      <c r="Q183" s="482">
        <v>0</v>
      </c>
    </row>
    <row r="184" spans="1:17" ht="15.75" customHeight="1" x14ac:dyDescent="0.2">
      <c r="A184" s="526">
        <v>176</v>
      </c>
      <c r="B184" s="484" t="s">
        <v>251</v>
      </c>
      <c r="C184" s="516" t="s">
        <v>62</v>
      </c>
      <c r="D184" s="484"/>
      <c r="E184" s="486" t="s">
        <v>761</v>
      </c>
      <c r="F184" s="486" t="s">
        <v>458</v>
      </c>
      <c r="G184" s="510" t="s">
        <v>776</v>
      </c>
      <c r="H184" s="484">
        <v>6</v>
      </c>
      <c r="I184" s="484">
        <v>3</v>
      </c>
      <c r="J184" s="484">
        <v>3</v>
      </c>
      <c r="K184" s="482">
        <v>3434.7</v>
      </c>
      <c r="L184" s="482">
        <v>3434.7</v>
      </c>
      <c r="M184" s="482">
        <v>0</v>
      </c>
      <c r="N184" s="484">
        <v>0</v>
      </c>
      <c r="O184" s="482">
        <v>0</v>
      </c>
      <c r="P184" s="482">
        <v>0</v>
      </c>
      <c r="Q184" s="482">
        <v>0</v>
      </c>
    </row>
    <row r="185" spans="1:17" ht="15.75" customHeight="1" x14ac:dyDescent="0.2">
      <c r="A185" s="526">
        <v>177</v>
      </c>
      <c r="B185" s="484" t="s">
        <v>30</v>
      </c>
      <c r="C185" s="516" t="s">
        <v>62</v>
      </c>
      <c r="D185" s="484"/>
      <c r="E185" s="486" t="s">
        <v>767</v>
      </c>
      <c r="F185" s="486" t="s">
        <v>460</v>
      </c>
      <c r="G185" s="510" t="s">
        <v>776</v>
      </c>
      <c r="H185" s="484">
        <v>1</v>
      </c>
      <c r="I185" s="484">
        <v>0</v>
      </c>
      <c r="J185" s="484">
        <v>0</v>
      </c>
      <c r="K185" s="482">
        <v>0</v>
      </c>
      <c r="L185" s="482">
        <v>0</v>
      </c>
      <c r="M185" s="482">
        <v>0</v>
      </c>
      <c r="N185" s="484">
        <v>0</v>
      </c>
      <c r="O185" s="482">
        <v>0</v>
      </c>
      <c r="P185" s="482">
        <v>0</v>
      </c>
      <c r="Q185" s="482">
        <v>0</v>
      </c>
    </row>
    <row r="186" spans="1:17" ht="15.75" customHeight="1" x14ac:dyDescent="0.2">
      <c r="A186" s="526">
        <v>178</v>
      </c>
      <c r="B186" s="484" t="s">
        <v>35</v>
      </c>
      <c r="C186" s="516" t="s">
        <v>62</v>
      </c>
      <c r="D186" s="484"/>
      <c r="E186" s="486" t="s">
        <v>768</v>
      </c>
      <c r="F186" s="486" t="s">
        <v>462</v>
      </c>
      <c r="G186" s="510" t="s">
        <v>776</v>
      </c>
      <c r="H186" s="484">
        <v>1</v>
      </c>
      <c r="I186" s="484">
        <v>0</v>
      </c>
      <c r="J186" s="484">
        <v>0</v>
      </c>
      <c r="K186" s="482">
        <v>0</v>
      </c>
      <c r="L186" s="482">
        <v>0</v>
      </c>
      <c r="M186" s="482">
        <v>0</v>
      </c>
      <c r="N186" s="484">
        <v>0</v>
      </c>
      <c r="O186" s="482">
        <v>0</v>
      </c>
      <c r="P186" s="482">
        <v>0</v>
      </c>
      <c r="Q186" s="482">
        <v>0</v>
      </c>
    </row>
    <row r="187" spans="1:17" ht="15.75" customHeight="1" x14ac:dyDescent="0.2">
      <c r="A187" s="526">
        <v>179</v>
      </c>
      <c r="B187" s="484" t="s">
        <v>769</v>
      </c>
      <c r="C187" s="516" t="s">
        <v>62</v>
      </c>
      <c r="D187" s="484"/>
      <c r="E187" s="486" t="s">
        <v>770</v>
      </c>
      <c r="F187" s="486" t="s">
        <v>771</v>
      </c>
      <c r="G187" s="510" t="s">
        <v>776</v>
      </c>
      <c r="H187" s="484">
        <v>1</v>
      </c>
      <c r="I187" s="484">
        <v>0</v>
      </c>
      <c r="J187" s="484">
        <v>0</v>
      </c>
      <c r="K187" s="482">
        <v>0</v>
      </c>
      <c r="L187" s="482">
        <v>0</v>
      </c>
      <c r="M187" s="482">
        <v>0</v>
      </c>
      <c r="N187" s="484">
        <v>0</v>
      </c>
      <c r="O187" s="482">
        <v>0</v>
      </c>
      <c r="P187" s="482">
        <v>0</v>
      </c>
      <c r="Q187" s="482">
        <v>0</v>
      </c>
    </row>
    <row r="188" spans="1:17" ht="15.75" customHeight="1" x14ac:dyDescent="0.2">
      <c r="A188" s="526">
        <v>180</v>
      </c>
      <c r="B188" s="556" t="s">
        <v>134</v>
      </c>
      <c r="C188" s="557" t="s">
        <v>62</v>
      </c>
      <c r="D188" s="558"/>
      <c r="E188" s="486" t="s">
        <v>158</v>
      </c>
      <c r="F188" s="556" t="s">
        <v>408</v>
      </c>
      <c r="G188" s="556" t="s">
        <v>409</v>
      </c>
      <c r="H188" s="550">
        <v>28</v>
      </c>
      <c r="I188" s="550">
        <v>11</v>
      </c>
      <c r="J188" s="550">
        <v>11</v>
      </c>
      <c r="K188" s="551">
        <v>11668.56</v>
      </c>
      <c r="L188" s="551">
        <v>11668.56</v>
      </c>
      <c r="M188" s="482">
        <v>0</v>
      </c>
      <c r="N188" s="550">
        <v>10</v>
      </c>
      <c r="O188" s="551">
        <v>24976.5</v>
      </c>
      <c r="P188" s="551">
        <v>24976.5</v>
      </c>
      <c r="Q188" s="482">
        <v>0</v>
      </c>
    </row>
    <row r="189" spans="1:17" ht="15.75" customHeight="1" x14ac:dyDescent="0.2">
      <c r="A189" s="526">
        <v>181</v>
      </c>
      <c r="B189" s="556" t="s">
        <v>335</v>
      </c>
      <c r="C189" s="557" t="s">
        <v>62</v>
      </c>
      <c r="D189" s="558"/>
      <c r="E189" s="486" t="s">
        <v>158</v>
      </c>
      <c r="F189" s="556" t="s">
        <v>410</v>
      </c>
      <c r="G189" s="556" t="s">
        <v>409</v>
      </c>
      <c r="H189" s="550">
        <v>18</v>
      </c>
      <c r="I189" s="550">
        <v>4</v>
      </c>
      <c r="J189" s="550">
        <v>4</v>
      </c>
      <c r="K189" s="551">
        <v>10075.39</v>
      </c>
      <c r="L189" s="551">
        <v>10075.39</v>
      </c>
      <c r="M189" s="482">
        <v>0</v>
      </c>
      <c r="N189" s="550">
        <v>13</v>
      </c>
      <c r="O189" s="551">
        <v>20140.7</v>
      </c>
      <c r="P189" s="551">
        <v>20140.7</v>
      </c>
      <c r="Q189" s="482">
        <v>0</v>
      </c>
    </row>
    <row r="190" spans="1:17" ht="15.75" customHeight="1" x14ac:dyDescent="0.2">
      <c r="A190" s="526">
        <v>182</v>
      </c>
      <c r="B190" s="556" t="s">
        <v>46</v>
      </c>
      <c r="C190" s="557" t="s">
        <v>62</v>
      </c>
      <c r="D190" s="558"/>
      <c r="E190" s="486" t="s">
        <v>678</v>
      </c>
      <c r="F190" s="556" t="s">
        <v>411</v>
      </c>
      <c r="G190" s="556" t="s">
        <v>409</v>
      </c>
      <c r="H190" s="550">
        <v>41</v>
      </c>
      <c r="I190" s="550">
        <v>25</v>
      </c>
      <c r="J190" s="550">
        <v>25</v>
      </c>
      <c r="K190" s="551">
        <v>43817.5</v>
      </c>
      <c r="L190" s="551">
        <v>43817.5</v>
      </c>
      <c r="M190" s="482">
        <v>0</v>
      </c>
      <c r="N190" s="550">
        <v>22</v>
      </c>
      <c r="O190" s="551">
        <v>36901.160000000003</v>
      </c>
      <c r="P190" s="551">
        <v>36901.160000000003</v>
      </c>
      <c r="Q190" s="482">
        <v>0</v>
      </c>
    </row>
    <row r="191" spans="1:17" ht="15.75" customHeight="1" x14ac:dyDescent="0.2">
      <c r="A191" s="526">
        <v>183</v>
      </c>
      <c r="B191" s="556" t="s">
        <v>36</v>
      </c>
      <c r="C191" s="557" t="s">
        <v>62</v>
      </c>
      <c r="D191" s="558"/>
      <c r="E191" s="486" t="s">
        <v>158</v>
      </c>
      <c r="F191" s="556" t="s">
        <v>412</v>
      </c>
      <c r="G191" s="556" t="s">
        <v>409</v>
      </c>
      <c r="H191" s="550">
        <v>29</v>
      </c>
      <c r="I191" s="550">
        <v>20</v>
      </c>
      <c r="J191" s="550">
        <v>20</v>
      </c>
      <c r="K191" s="551">
        <v>36461.949999999997</v>
      </c>
      <c r="L191" s="551">
        <v>36461.949999999997</v>
      </c>
      <c r="M191" s="482">
        <v>0</v>
      </c>
      <c r="N191" s="550">
        <v>25</v>
      </c>
      <c r="O191" s="551">
        <v>70762.62</v>
      </c>
      <c r="P191" s="551">
        <v>70762.62</v>
      </c>
      <c r="Q191" s="482">
        <v>0</v>
      </c>
    </row>
    <row r="192" spans="1:17" ht="15.75" customHeight="1" x14ac:dyDescent="0.2">
      <c r="A192" s="526">
        <v>184</v>
      </c>
      <c r="B192" s="556" t="s">
        <v>27</v>
      </c>
      <c r="C192" s="557" t="s">
        <v>62</v>
      </c>
      <c r="D192" s="558"/>
      <c r="E192" s="486" t="s">
        <v>158</v>
      </c>
      <c r="F192" s="556" t="s">
        <v>413</v>
      </c>
      <c r="G192" s="556" t="s">
        <v>409</v>
      </c>
      <c r="H192" s="550">
        <v>12</v>
      </c>
      <c r="I192" s="550">
        <v>9</v>
      </c>
      <c r="J192" s="550">
        <v>9</v>
      </c>
      <c r="K192" s="551">
        <v>15819.14</v>
      </c>
      <c r="L192" s="551">
        <v>15169.37</v>
      </c>
      <c r="M192" s="482">
        <v>649.77</v>
      </c>
      <c r="N192" s="550">
        <v>10</v>
      </c>
      <c r="O192" s="551">
        <v>19563.2</v>
      </c>
      <c r="P192" s="551">
        <v>19563.2</v>
      </c>
      <c r="Q192" s="482">
        <v>0</v>
      </c>
    </row>
    <row r="193" spans="1:17" ht="15.75" customHeight="1" x14ac:dyDescent="0.2">
      <c r="A193" s="526">
        <v>185</v>
      </c>
      <c r="B193" s="556" t="s">
        <v>28</v>
      </c>
      <c r="C193" s="557" t="s">
        <v>62</v>
      </c>
      <c r="D193" s="558"/>
      <c r="E193" s="486" t="s">
        <v>158</v>
      </c>
      <c r="F193" s="556" t="s">
        <v>414</v>
      </c>
      <c r="G193" s="556" t="s">
        <v>409</v>
      </c>
      <c r="H193" s="550">
        <v>31</v>
      </c>
      <c r="I193" s="550">
        <v>21</v>
      </c>
      <c r="J193" s="550">
        <v>21</v>
      </c>
      <c r="K193" s="551">
        <v>31030.02</v>
      </c>
      <c r="L193" s="551">
        <v>31030.02</v>
      </c>
      <c r="M193" s="482">
        <v>0</v>
      </c>
      <c r="N193" s="550">
        <v>16</v>
      </c>
      <c r="O193" s="551">
        <v>26212.25</v>
      </c>
      <c r="P193" s="551">
        <v>26212.25</v>
      </c>
      <c r="Q193" s="482">
        <v>0</v>
      </c>
    </row>
    <row r="194" spans="1:17" ht="15.75" customHeight="1" x14ac:dyDescent="0.2">
      <c r="A194" s="526">
        <v>186</v>
      </c>
      <c r="B194" s="532" t="s">
        <v>246</v>
      </c>
      <c r="C194" s="533" t="s">
        <v>62</v>
      </c>
      <c r="D194" s="534"/>
      <c r="E194" s="486" t="s">
        <v>158</v>
      </c>
      <c r="F194" s="532" t="s">
        <v>415</v>
      </c>
      <c r="G194" s="556" t="s">
        <v>409</v>
      </c>
      <c r="H194" s="550">
        <v>27</v>
      </c>
      <c r="I194" s="550">
        <v>7</v>
      </c>
      <c r="J194" s="550">
        <v>7</v>
      </c>
      <c r="K194" s="551">
        <v>7611.84</v>
      </c>
      <c r="L194" s="551">
        <v>7611.84</v>
      </c>
      <c r="M194" s="482">
        <v>0</v>
      </c>
      <c r="N194" s="550">
        <v>0</v>
      </c>
      <c r="O194" s="551">
        <v>0</v>
      </c>
      <c r="P194" s="551">
        <v>0</v>
      </c>
      <c r="Q194" s="482">
        <v>0</v>
      </c>
    </row>
    <row r="195" spans="1:17" ht="15.75" customHeight="1" x14ac:dyDescent="0.2">
      <c r="A195" s="526">
        <v>187</v>
      </c>
      <c r="B195" s="556" t="s">
        <v>330</v>
      </c>
      <c r="C195" s="533" t="s">
        <v>62</v>
      </c>
      <c r="D195" s="534"/>
      <c r="E195" s="486" t="s">
        <v>158</v>
      </c>
      <c r="F195" s="532" t="s">
        <v>416</v>
      </c>
      <c r="G195" s="556" t="s">
        <v>409</v>
      </c>
      <c r="H195" s="550">
        <v>10</v>
      </c>
      <c r="I195" s="550">
        <v>2</v>
      </c>
      <c r="J195" s="550">
        <v>2</v>
      </c>
      <c r="K195" s="551">
        <v>4050.2</v>
      </c>
      <c r="L195" s="551">
        <v>4050.2</v>
      </c>
      <c r="M195" s="482">
        <v>0</v>
      </c>
      <c r="N195" s="550">
        <v>0</v>
      </c>
      <c r="O195" s="551">
        <v>0</v>
      </c>
      <c r="P195" s="551">
        <v>0</v>
      </c>
      <c r="Q195" s="482">
        <v>0</v>
      </c>
    </row>
    <row r="196" spans="1:17" ht="15.75" customHeight="1" x14ac:dyDescent="0.2">
      <c r="A196" s="526">
        <v>188</v>
      </c>
      <c r="B196" s="556" t="s">
        <v>402</v>
      </c>
      <c r="C196" s="533" t="s">
        <v>62</v>
      </c>
      <c r="D196" s="534"/>
      <c r="E196" s="486" t="s">
        <v>158</v>
      </c>
      <c r="F196" s="532" t="s">
        <v>417</v>
      </c>
      <c r="G196" s="556" t="s">
        <v>409</v>
      </c>
      <c r="H196" s="550">
        <v>23</v>
      </c>
      <c r="I196" s="550">
        <v>14</v>
      </c>
      <c r="J196" s="550">
        <v>14</v>
      </c>
      <c r="K196" s="551">
        <v>28917.64</v>
      </c>
      <c r="L196" s="551">
        <v>28917.64</v>
      </c>
      <c r="M196" s="482">
        <v>0</v>
      </c>
      <c r="N196" s="550">
        <v>0</v>
      </c>
      <c r="O196" s="551">
        <v>0</v>
      </c>
      <c r="P196" s="551">
        <v>0</v>
      </c>
      <c r="Q196" s="482">
        <v>0</v>
      </c>
    </row>
    <row r="197" spans="1:17" ht="15.75" customHeight="1" x14ac:dyDescent="0.2">
      <c r="A197" s="526">
        <v>189</v>
      </c>
      <c r="B197" s="556" t="s">
        <v>154</v>
      </c>
      <c r="C197" s="533" t="s">
        <v>62</v>
      </c>
      <c r="D197" s="534"/>
      <c r="E197" s="556" t="s">
        <v>158</v>
      </c>
      <c r="F197" s="532" t="s">
        <v>418</v>
      </c>
      <c r="G197" s="556" t="s">
        <v>409</v>
      </c>
      <c r="H197" s="550">
        <v>11</v>
      </c>
      <c r="I197" s="550">
        <v>3</v>
      </c>
      <c r="J197" s="550">
        <v>3</v>
      </c>
      <c r="K197" s="551">
        <v>4422.95</v>
      </c>
      <c r="L197" s="551">
        <v>4422.95</v>
      </c>
      <c r="M197" s="482">
        <v>0</v>
      </c>
      <c r="N197" s="550">
        <v>9</v>
      </c>
      <c r="O197" s="551">
        <v>14857.9</v>
      </c>
      <c r="P197" s="551">
        <v>14857.9</v>
      </c>
      <c r="Q197" s="482">
        <v>0</v>
      </c>
    </row>
    <row r="198" spans="1:17" ht="15.75" customHeight="1" x14ac:dyDescent="0.2">
      <c r="A198" s="526">
        <v>190</v>
      </c>
      <c r="B198" s="556" t="s">
        <v>153</v>
      </c>
      <c r="C198" s="533" t="s">
        <v>62</v>
      </c>
      <c r="D198" s="534"/>
      <c r="E198" s="486" t="s">
        <v>158</v>
      </c>
      <c r="F198" s="532" t="s">
        <v>419</v>
      </c>
      <c r="G198" s="556" t="s">
        <v>409</v>
      </c>
      <c r="H198" s="550">
        <v>4</v>
      </c>
      <c r="I198" s="550">
        <v>1</v>
      </c>
      <c r="J198" s="550">
        <v>1</v>
      </c>
      <c r="K198" s="551">
        <v>1635.8</v>
      </c>
      <c r="L198" s="551">
        <v>1635.8</v>
      </c>
      <c r="M198" s="482">
        <v>0</v>
      </c>
      <c r="N198" s="550">
        <v>18</v>
      </c>
      <c r="O198" s="551">
        <v>63052.81</v>
      </c>
      <c r="P198" s="551">
        <v>63052.81</v>
      </c>
      <c r="Q198" s="482">
        <v>0</v>
      </c>
    </row>
    <row r="199" spans="1:17" ht="15.75" customHeight="1" x14ac:dyDescent="0.2">
      <c r="A199" s="526">
        <v>191</v>
      </c>
      <c r="B199" s="556" t="s">
        <v>89</v>
      </c>
      <c r="C199" s="533" t="s">
        <v>62</v>
      </c>
      <c r="D199" s="534"/>
      <c r="E199" s="486" t="s">
        <v>158</v>
      </c>
      <c r="F199" s="532" t="s">
        <v>420</v>
      </c>
      <c r="G199" s="556" t="s">
        <v>409</v>
      </c>
      <c r="H199" s="550">
        <v>14</v>
      </c>
      <c r="I199" s="550">
        <v>7</v>
      </c>
      <c r="J199" s="550">
        <v>7</v>
      </c>
      <c r="K199" s="551">
        <v>11093.25</v>
      </c>
      <c r="L199" s="551">
        <v>11093.25</v>
      </c>
      <c r="M199" s="482">
        <v>0</v>
      </c>
      <c r="N199" s="550">
        <v>4</v>
      </c>
      <c r="O199" s="551">
        <v>12828.6</v>
      </c>
      <c r="P199" s="551">
        <v>12828.6</v>
      </c>
      <c r="Q199" s="482">
        <v>0</v>
      </c>
    </row>
    <row r="200" spans="1:17" ht="15.75" customHeight="1" x14ac:dyDescent="0.2">
      <c r="A200" s="526">
        <v>192</v>
      </c>
      <c r="B200" s="556" t="s">
        <v>379</v>
      </c>
      <c r="C200" s="533" t="s">
        <v>62</v>
      </c>
      <c r="D200" s="534"/>
      <c r="E200" s="486" t="s">
        <v>158</v>
      </c>
      <c r="F200" s="532" t="s">
        <v>421</v>
      </c>
      <c r="G200" s="556" t="s">
        <v>409</v>
      </c>
      <c r="H200" s="550">
        <v>10</v>
      </c>
      <c r="I200" s="550">
        <v>6</v>
      </c>
      <c r="J200" s="550">
        <v>6</v>
      </c>
      <c r="K200" s="551">
        <v>7132.7</v>
      </c>
      <c r="L200" s="551">
        <v>7132.7</v>
      </c>
      <c r="M200" s="482">
        <v>0</v>
      </c>
      <c r="N200" s="550">
        <v>0</v>
      </c>
      <c r="O200" s="551">
        <v>0</v>
      </c>
      <c r="P200" s="551">
        <v>0</v>
      </c>
      <c r="Q200" s="482">
        <v>0</v>
      </c>
    </row>
    <row r="201" spans="1:17" ht="15.75" customHeight="1" x14ac:dyDescent="0.2">
      <c r="A201" s="526">
        <v>193</v>
      </c>
      <c r="B201" s="556" t="s">
        <v>264</v>
      </c>
      <c r="C201" s="533" t="s">
        <v>62</v>
      </c>
      <c r="D201" s="534"/>
      <c r="E201" s="486" t="s">
        <v>158</v>
      </c>
      <c r="F201" s="532" t="s">
        <v>422</v>
      </c>
      <c r="G201" s="556" t="s">
        <v>409</v>
      </c>
      <c r="H201" s="550">
        <v>3</v>
      </c>
      <c r="I201" s="550">
        <v>0</v>
      </c>
      <c r="J201" s="550">
        <v>0</v>
      </c>
      <c r="K201" s="551">
        <v>0</v>
      </c>
      <c r="L201" s="551">
        <v>0</v>
      </c>
      <c r="M201" s="482">
        <v>0</v>
      </c>
      <c r="N201" s="550">
        <v>0</v>
      </c>
      <c r="O201" s="551">
        <v>0</v>
      </c>
      <c r="P201" s="551">
        <v>0</v>
      </c>
      <c r="Q201" s="482">
        <v>0</v>
      </c>
    </row>
    <row r="202" spans="1:17" ht="15.75" customHeight="1" x14ac:dyDescent="0.2">
      <c r="A202" s="526">
        <v>194</v>
      </c>
      <c r="B202" s="556" t="s">
        <v>475</v>
      </c>
      <c r="C202" s="533" t="s">
        <v>67</v>
      </c>
      <c r="D202" s="558" t="s">
        <v>123</v>
      </c>
      <c r="E202" s="556" t="s">
        <v>158</v>
      </c>
      <c r="F202" s="532" t="s">
        <v>423</v>
      </c>
      <c r="G202" s="556" t="s">
        <v>409</v>
      </c>
      <c r="H202" s="550">
        <v>3</v>
      </c>
      <c r="I202" s="550">
        <v>0</v>
      </c>
      <c r="J202" s="550">
        <v>0</v>
      </c>
      <c r="K202" s="551">
        <v>0</v>
      </c>
      <c r="L202" s="551">
        <v>0</v>
      </c>
      <c r="M202" s="482">
        <v>0</v>
      </c>
      <c r="N202" s="550">
        <v>0</v>
      </c>
      <c r="O202" s="551">
        <v>0</v>
      </c>
      <c r="P202" s="551">
        <v>0</v>
      </c>
      <c r="Q202" s="482">
        <v>0</v>
      </c>
    </row>
    <row r="203" spans="1:17" ht="15.75" customHeight="1" x14ac:dyDescent="0.2">
      <c r="A203" s="526">
        <v>195</v>
      </c>
      <c r="B203" s="556" t="s">
        <v>137</v>
      </c>
      <c r="C203" s="533" t="s">
        <v>62</v>
      </c>
      <c r="D203" s="534"/>
      <c r="E203" s="556" t="s">
        <v>158</v>
      </c>
      <c r="F203" s="532" t="s">
        <v>424</v>
      </c>
      <c r="G203" s="556" t="s">
        <v>409</v>
      </c>
      <c r="H203" s="550">
        <v>6</v>
      </c>
      <c r="I203" s="550">
        <v>2</v>
      </c>
      <c r="J203" s="550">
        <v>2</v>
      </c>
      <c r="K203" s="551">
        <v>2243.8200000000002</v>
      </c>
      <c r="L203" s="551">
        <v>2243.8200000000002</v>
      </c>
      <c r="M203" s="482">
        <v>0</v>
      </c>
      <c r="N203" s="550">
        <v>1</v>
      </c>
      <c r="O203" s="551">
        <v>2393.3000000000002</v>
      </c>
      <c r="P203" s="551">
        <v>2393.3000000000002</v>
      </c>
      <c r="Q203" s="482">
        <v>0</v>
      </c>
    </row>
    <row r="204" spans="1:17" ht="15.75" customHeight="1" x14ac:dyDescent="0.2">
      <c r="A204" s="526">
        <v>196</v>
      </c>
      <c r="B204" s="556" t="s">
        <v>173</v>
      </c>
      <c r="C204" s="533" t="s">
        <v>67</v>
      </c>
      <c r="D204" s="484" t="s">
        <v>478</v>
      </c>
      <c r="E204" s="486" t="s">
        <v>158</v>
      </c>
      <c r="F204" s="532" t="s">
        <v>426</v>
      </c>
      <c r="G204" s="556" t="s">
        <v>409</v>
      </c>
      <c r="H204" s="550">
        <v>14</v>
      </c>
      <c r="I204" s="550">
        <v>8</v>
      </c>
      <c r="J204" s="550">
        <v>8</v>
      </c>
      <c r="K204" s="551">
        <v>13701.62</v>
      </c>
      <c r="L204" s="551">
        <v>13701.62</v>
      </c>
      <c r="M204" s="482">
        <v>0</v>
      </c>
      <c r="N204" s="550">
        <v>0</v>
      </c>
      <c r="O204" s="551">
        <v>0</v>
      </c>
      <c r="P204" s="551">
        <v>0</v>
      </c>
      <c r="Q204" s="482">
        <v>0</v>
      </c>
    </row>
    <row r="205" spans="1:17" ht="15.75" customHeight="1" x14ac:dyDescent="0.2">
      <c r="A205" s="526">
        <v>197</v>
      </c>
      <c r="B205" s="556" t="s">
        <v>135</v>
      </c>
      <c r="C205" s="533" t="s">
        <v>62</v>
      </c>
      <c r="D205" s="534"/>
      <c r="E205" s="486" t="s">
        <v>158</v>
      </c>
      <c r="F205" s="532" t="s">
        <v>427</v>
      </c>
      <c r="G205" s="556" t="s">
        <v>409</v>
      </c>
      <c r="H205" s="550">
        <v>7</v>
      </c>
      <c r="I205" s="550">
        <v>3</v>
      </c>
      <c r="J205" s="550">
        <v>3</v>
      </c>
      <c r="K205" s="551">
        <v>3524.92</v>
      </c>
      <c r="L205" s="551">
        <v>2396.3200000000002</v>
      </c>
      <c r="M205" s="482">
        <v>1128.5999999999999</v>
      </c>
      <c r="N205" s="550">
        <v>13</v>
      </c>
      <c r="O205" s="551">
        <v>29153.119999999999</v>
      </c>
      <c r="P205" s="551">
        <v>21917.97</v>
      </c>
      <c r="Q205" s="482">
        <v>7235.15</v>
      </c>
    </row>
    <row r="206" spans="1:17" ht="15.75" customHeight="1" x14ac:dyDescent="0.2">
      <c r="A206" s="526">
        <v>198</v>
      </c>
      <c r="B206" s="556" t="s">
        <v>148</v>
      </c>
      <c r="C206" s="533" t="s">
        <v>62</v>
      </c>
      <c r="D206" s="534"/>
      <c r="E206" s="556" t="s">
        <v>719</v>
      </c>
      <c r="F206" s="532" t="s">
        <v>375</v>
      </c>
      <c r="G206" s="556" t="s">
        <v>409</v>
      </c>
      <c r="H206" s="550">
        <v>26</v>
      </c>
      <c r="I206" s="550">
        <v>20</v>
      </c>
      <c r="J206" s="550">
        <v>20</v>
      </c>
      <c r="K206" s="551">
        <v>58526.37</v>
      </c>
      <c r="L206" s="551">
        <v>58526.37</v>
      </c>
      <c r="M206" s="482">
        <v>0</v>
      </c>
      <c r="N206" s="550">
        <v>30</v>
      </c>
      <c r="O206" s="551">
        <v>92970.89</v>
      </c>
      <c r="P206" s="551">
        <v>92970.89</v>
      </c>
      <c r="Q206" s="482">
        <v>0</v>
      </c>
    </row>
    <row r="207" spans="1:17" ht="15.75" customHeight="1" x14ac:dyDescent="0.2">
      <c r="A207" s="526">
        <v>199</v>
      </c>
      <c r="B207" s="556" t="s">
        <v>147</v>
      </c>
      <c r="C207" s="533" t="s">
        <v>62</v>
      </c>
      <c r="D207" s="534"/>
      <c r="E207" s="486" t="s">
        <v>158</v>
      </c>
      <c r="F207" s="532" t="s">
        <v>331</v>
      </c>
      <c r="G207" s="556" t="s">
        <v>409</v>
      </c>
      <c r="H207" s="550">
        <v>10</v>
      </c>
      <c r="I207" s="550">
        <v>3</v>
      </c>
      <c r="J207" s="550">
        <v>3</v>
      </c>
      <c r="K207" s="551">
        <v>6204.1</v>
      </c>
      <c r="L207" s="551">
        <v>4915.3999999999996</v>
      </c>
      <c r="M207" s="482">
        <v>1288.7</v>
      </c>
      <c r="N207" s="550">
        <v>10</v>
      </c>
      <c r="O207" s="551">
        <v>22395.4</v>
      </c>
      <c r="P207" s="551">
        <v>22395.4</v>
      </c>
      <c r="Q207" s="482">
        <v>0</v>
      </c>
    </row>
    <row r="208" spans="1:17" ht="15.75" customHeight="1" x14ac:dyDescent="0.2">
      <c r="A208" s="526">
        <v>200</v>
      </c>
      <c r="B208" s="556" t="s">
        <v>124</v>
      </c>
      <c r="C208" s="533" t="s">
        <v>62</v>
      </c>
      <c r="D208" s="534"/>
      <c r="E208" s="556" t="s">
        <v>720</v>
      </c>
      <c r="F208" s="532" t="s">
        <v>329</v>
      </c>
      <c r="G208" s="556" t="s">
        <v>409</v>
      </c>
      <c r="H208" s="550">
        <v>17</v>
      </c>
      <c r="I208" s="550">
        <v>11</v>
      </c>
      <c r="J208" s="550">
        <v>11</v>
      </c>
      <c r="K208" s="551">
        <v>14887.37</v>
      </c>
      <c r="L208" s="551">
        <v>14887.37</v>
      </c>
      <c r="M208" s="482">
        <v>0</v>
      </c>
      <c r="N208" s="550">
        <v>26</v>
      </c>
      <c r="O208" s="551">
        <v>35829.449999999997</v>
      </c>
      <c r="P208" s="551">
        <v>35829.449999999997</v>
      </c>
      <c r="Q208" s="482">
        <v>0</v>
      </c>
    </row>
    <row r="209" spans="1:17" ht="15.75" customHeight="1" x14ac:dyDescent="0.2">
      <c r="A209" s="526">
        <v>201</v>
      </c>
      <c r="B209" s="556" t="s">
        <v>168</v>
      </c>
      <c r="C209" s="533" t="s">
        <v>62</v>
      </c>
      <c r="D209" s="534"/>
      <c r="E209" s="532" t="s">
        <v>371</v>
      </c>
      <c r="F209" s="532" t="s">
        <v>353</v>
      </c>
      <c r="G209" s="556" t="s">
        <v>409</v>
      </c>
      <c r="H209" s="550">
        <v>11</v>
      </c>
      <c r="I209" s="550">
        <v>1</v>
      </c>
      <c r="J209" s="550">
        <v>1</v>
      </c>
      <c r="K209" s="551">
        <v>1409.6</v>
      </c>
      <c r="L209" s="551">
        <v>1409.6</v>
      </c>
      <c r="M209" s="482">
        <v>0</v>
      </c>
      <c r="N209" s="550">
        <v>0</v>
      </c>
      <c r="O209" s="551">
        <v>0</v>
      </c>
      <c r="P209" s="551">
        <v>0</v>
      </c>
      <c r="Q209" s="482">
        <v>0</v>
      </c>
    </row>
    <row r="210" spans="1:17" ht="15.75" customHeight="1" x14ac:dyDescent="0.2">
      <c r="A210" s="526">
        <v>202</v>
      </c>
      <c r="B210" s="556" t="s">
        <v>429</v>
      </c>
      <c r="C210" s="533" t="s">
        <v>62</v>
      </c>
      <c r="D210" s="534"/>
      <c r="E210" s="486" t="s">
        <v>158</v>
      </c>
      <c r="F210" s="532" t="s">
        <v>430</v>
      </c>
      <c r="G210" s="556" t="s">
        <v>409</v>
      </c>
      <c r="H210" s="550">
        <v>10</v>
      </c>
      <c r="I210" s="550">
        <v>3</v>
      </c>
      <c r="J210" s="550">
        <v>3</v>
      </c>
      <c r="K210" s="551">
        <v>5178.84</v>
      </c>
      <c r="L210" s="551">
        <v>5178.84</v>
      </c>
      <c r="M210" s="482">
        <v>0</v>
      </c>
      <c r="N210" s="550">
        <v>7</v>
      </c>
      <c r="O210" s="551">
        <v>6995.76</v>
      </c>
      <c r="P210" s="551">
        <v>6995.76</v>
      </c>
      <c r="Q210" s="482">
        <v>0</v>
      </c>
    </row>
    <row r="211" spans="1:17" ht="15.75" customHeight="1" x14ac:dyDescent="0.2">
      <c r="A211" s="526">
        <v>203</v>
      </c>
      <c r="B211" s="556" t="s">
        <v>130</v>
      </c>
      <c r="C211" s="533" t="s">
        <v>62</v>
      </c>
      <c r="D211" s="534"/>
      <c r="E211" s="486" t="s">
        <v>158</v>
      </c>
      <c r="F211" s="532" t="s">
        <v>431</v>
      </c>
      <c r="G211" s="556" t="s">
        <v>409</v>
      </c>
      <c r="H211" s="550">
        <v>7</v>
      </c>
      <c r="I211" s="550">
        <v>4</v>
      </c>
      <c r="J211" s="550">
        <v>4</v>
      </c>
      <c r="K211" s="551">
        <v>5204.2</v>
      </c>
      <c r="L211" s="551">
        <v>5204.2</v>
      </c>
      <c r="M211" s="482">
        <v>0</v>
      </c>
      <c r="N211" s="550">
        <v>5</v>
      </c>
      <c r="O211" s="551">
        <v>10391.459999999999</v>
      </c>
      <c r="P211" s="551">
        <v>10391.459999999999</v>
      </c>
      <c r="Q211" s="482">
        <v>0</v>
      </c>
    </row>
    <row r="212" spans="1:17" ht="15.75" customHeight="1" x14ac:dyDescent="0.2">
      <c r="A212" s="526">
        <v>204</v>
      </c>
      <c r="B212" s="556" t="s">
        <v>32</v>
      </c>
      <c r="C212" s="533" t="s">
        <v>62</v>
      </c>
      <c r="D212" s="534"/>
      <c r="E212" s="486" t="s">
        <v>158</v>
      </c>
      <c r="F212" s="532" t="s">
        <v>432</v>
      </c>
      <c r="G212" s="556" t="s">
        <v>409</v>
      </c>
      <c r="H212" s="550">
        <v>15</v>
      </c>
      <c r="I212" s="550">
        <v>10</v>
      </c>
      <c r="J212" s="550">
        <v>10</v>
      </c>
      <c r="K212" s="551">
        <v>16181.42</v>
      </c>
      <c r="L212" s="551">
        <v>16181.42</v>
      </c>
      <c r="M212" s="482">
        <v>0</v>
      </c>
      <c r="N212" s="550">
        <v>9</v>
      </c>
      <c r="O212" s="551">
        <v>18778.12</v>
      </c>
      <c r="P212" s="551">
        <v>18778.12</v>
      </c>
      <c r="Q212" s="482">
        <v>0</v>
      </c>
    </row>
    <row r="213" spans="1:17" ht="15.75" customHeight="1" x14ac:dyDescent="0.2">
      <c r="A213" s="526">
        <v>205</v>
      </c>
      <c r="B213" s="556" t="s">
        <v>343</v>
      </c>
      <c r="C213" s="533" t="s">
        <v>62</v>
      </c>
      <c r="D213" s="534"/>
      <c r="E213" s="486" t="s">
        <v>158</v>
      </c>
      <c r="F213" s="532" t="s">
        <v>433</v>
      </c>
      <c r="G213" s="556" t="s">
        <v>409</v>
      </c>
      <c r="H213" s="550">
        <v>16</v>
      </c>
      <c r="I213" s="550">
        <v>12</v>
      </c>
      <c r="J213" s="550">
        <v>12</v>
      </c>
      <c r="K213" s="551">
        <v>20615</v>
      </c>
      <c r="L213" s="551">
        <v>18037.599999999999</v>
      </c>
      <c r="M213" s="482">
        <v>2577.4</v>
      </c>
      <c r="N213" s="550">
        <v>0</v>
      </c>
      <c r="O213" s="551">
        <v>0</v>
      </c>
      <c r="P213" s="551">
        <v>0</v>
      </c>
      <c r="Q213" s="482">
        <v>0</v>
      </c>
    </row>
    <row r="214" spans="1:17" ht="15.75" customHeight="1" x14ac:dyDescent="0.2">
      <c r="A214" s="526">
        <v>206</v>
      </c>
      <c r="B214" s="556" t="s">
        <v>290</v>
      </c>
      <c r="C214" s="533" t="s">
        <v>62</v>
      </c>
      <c r="D214" s="534"/>
      <c r="E214" s="532" t="s">
        <v>371</v>
      </c>
      <c r="F214" s="532" t="s">
        <v>434</v>
      </c>
      <c r="G214" s="556" t="s">
        <v>409</v>
      </c>
      <c r="H214" s="550">
        <v>6</v>
      </c>
      <c r="I214" s="550">
        <v>1</v>
      </c>
      <c r="J214" s="550">
        <v>1</v>
      </c>
      <c r="K214" s="551">
        <v>1585.8</v>
      </c>
      <c r="L214" s="551">
        <v>1585.8</v>
      </c>
      <c r="M214" s="482">
        <v>0</v>
      </c>
      <c r="N214" s="550">
        <v>0</v>
      </c>
      <c r="O214" s="551">
        <v>0</v>
      </c>
      <c r="P214" s="551">
        <v>0</v>
      </c>
      <c r="Q214" s="482">
        <v>0</v>
      </c>
    </row>
    <row r="215" spans="1:17" ht="15.75" customHeight="1" x14ac:dyDescent="0.2">
      <c r="A215" s="526">
        <v>207</v>
      </c>
      <c r="B215" s="556" t="s">
        <v>315</v>
      </c>
      <c r="C215" s="533" t="s">
        <v>62</v>
      </c>
      <c r="D215" s="534"/>
      <c r="E215" s="486" t="s">
        <v>158</v>
      </c>
      <c r="F215" s="532" t="s">
        <v>435</v>
      </c>
      <c r="G215" s="556" t="s">
        <v>409</v>
      </c>
      <c r="H215" s="550">
        <v>20</v>
      </c>
      <c r="I215" s="550">
        <v>6</v>
      </c>
      <c r="J215" s="550">
        <v>6</v>
      </c>
      <c r="K215" s="551">
        <v>13025.5</v>
      </c>
      <c r="L215" s="551">
        <v>4741</v>
      </c>
      <c r="M215" s="482">
        <v>8284.5</v>
      </c>
      <c r="N215" s="550">
        <v>6</v>
      </c>
      <c r="O215" s="551">
        <v>14019.72</v>
      </c>
      <c r="P215" s="551">
        <v>7208.02</v>
      </c>
      <c r="Q215" s="482">
        <v>6811.7</v>
      </c>
    </row>
    <row r="216" spans="1:17" ht="15.75" customHeight="1" x14ac:dyDescent="0.2">
      <c r="A216" s="526">
        <v>208</v>
      </c>
      <c r="B216" s="556" t="s">
        <v>216</v>
      </c>
      <c r="C216" s="533" t="s">
        <v>67</v>
      </c>
      <c r="D216" s="534" t="s">
        <v>436</v>
      </c>
      <c r="E216" s="486" t="s">
        <v>158</v>
      </c>
      <c r="F216" s="532" t="s">
        <v>437</v>
      </c>
      <c r="G216" s="556" t="s">
        <v>409</v>
      </c>
      <c r="H216" s="550">
        <v>20</v>
      </c>
      <c r="I216" s="550">
        <v>7</v>
      </c>
      <c r="J216" s="550">
        <v>7</v>
      </c>
      <c r="K216" s="551">
        <v>13299.66</v>
      </c>
      <c r="L216" s="551">
        <v>13299.66</v>
      </c>
      <c r="M216" s="482">
        <v>0</v>
      </c>
      <c r="N216" s="550">
        <v>0</v>
      </c>
      <c r="O216" s="551">
        <v>0</v>
      </c>
      <c r="P216" s="551">
        <v>0</v>
      </c>
      <c r="Q216" s="482">
        <v>0</v>
      </c>
    </row>
    <row r="217" spans="1:17" ht="15.75" customHeight="1" x14ac:dyDescent="0.2">
      <c r="A217" s="526">
        <v>209</v>
      </c>
      <c r="B217" s="556" t="s">
        <v>438</v>
      </c>
      <c r="C217" s="533" t="s">
        <v>62</v>
      </c>
      <c r="D217" s="534"/>
      <c r="E217" s="486" t="s">
        <v>158</v>
      </c>
      <c r="F217" s="532" t="s">
        <v>439</v>
      </c>
      <c r="G217" s="556" t="s">
        <v>409</v>
      </c>
      <c r="H217" s="550">
        <v>9</v>
      </c>
      <c r="I217" s="550">
        <v>1</v>
      </c>
      <c r="J217" s="550">
        <v>1</v>
      </c>
      <c r="K217" s="551">
        <v>3497.9</v>
      </c>
      <c r="L217" s="551">
        <v>3497.9</v>
      </c>
      <c r="M217" s="482">
        <v>0</v>
      </c>
      <c r="N217" s="550">
        <v>0</v>
      </c>
      <c r="O217" s="551">
        <v>0</v>
      </c>
      <c r="P217" s="551">
        <v>0</v>
      </c>
      <c r="Q217" s="482">
        <v>0</v>
      </c>
    </row>
    <row r="218" spans="1:17" ht="15.75" customHeight="1" x14ac:dyDescent="0.2">
      <c r="A218" s="526">
        <v>210</v>
      </c>
      <c r="B218" s="556" t="s">
        <v>440</v>
      </c>
      <c r="C218" s="533" t="s">
        <v>62</v>
      </c>
      <c r="D218" s="534"/>
      <c r="E218" s="486" t="s">
        <v>158</v>
      </c>
      <c r="F218" s="532" t="s">
        <v>441</v>
      </c>
      <c r="G218" s="556" t="s">
        <v>409</v>
      </c>
      <c r="H218" s="550">
        <v>7</v>
      </c>
      <c r="I218" s="550">
        <v>3</v>
      </c>
      <c r="J218" s="550">
        <v>3</v>
      </c>
      <c r="K218" s="551">
        <v>3171.6</v>
      </c>
      <c r="L218" s="551">
        <v>3171.6</v>
      </c>
      <c r="M218" s="482">
        <v>0</v>
      </c>
      <c r="N218" s="550">
        <v>0</v>
      </c>
      <c r="O218" s="551">
        <v>0</v>
      </c>
      <c r="P218" s="551">
        <v>0</v>
      </c>
      <c r="Q218" s="482">
        <v>0</v>
      </c>
    </row>
    <row r="219" spans="1:17" ht="15.75" customHeight="1" x14ac:dyDescent="0.2">
      <c r="A219" s="526">
        <v>211</v>
      </c>
      <c r="B219" s="556" t="s">
        <v>222</v>
      </c>
      <c r="C219" s="533" t="s">
        <v>64</v>
      </c>
      <c r="D219" s="484" t="s">
        <v>486</v>
      </c>
      <c r="E219" s="486" t="s">
        <v>158</v>
      </c>
      <c r="F219" s="532" t="s">
        <v>443</v>
      </c>
      <c r="G219" s="556" t="s">
        <v>409</v>
      </c>
      <c r="H219" s="550">
        <v>1</v>
      </c>
      <c r="I219" s="550">
        <v>0</v>
      </c>
      <c r="J219" s="550">
        <v>0</v>
      </c>
      <c r="K219" s="551">
        <v>0</v>
      </c>
      <c r="L219" s="551">
        <v>0</v>
      </c>
      <c r="M219" s="482">
        <v>0</v>
      </c>
      <c r="N219" s="550">
        <v>0</v>
      </c>
      <c r="O219" s="551">
        <v>0</v>
      </c>
      <c r="P219" s="551">
        <v>0</v>
      </c>
      <c r="Q219" s="482">
        <v>0</v>
      </c>
    </row>
    <row r="220" spans="1:17" ht="15.75" customHeight="1" x14ac:dyDescent="0.2">
      <c r="A220" s="526">
        <v>212</v>
      </c>
      <c r="B220" s="556" t="s">
        <v>444</v>
      </c>
      <c r="C220" s="533" t="s">
        <v>62</v>
      </c>
      <c r="D220" s="534"/>
      <c r="E220" s="486" t="s">
        <v>158</v>
      </c>
      <c r="F220" s="532" t="s">
        <v>445</v>
      </c>
      <c r="G220" s="556" t="s">
        <v>409</v>
      </c>
      <c r="H220" s="550">
        <v>5</v>
      </c>
      <c r="I220" s="550">
        <v>5</v>
      </c>
      <c r="J220" s="550">
        <v>5</v>
      </c>
      <c r="K220" s="551">
        <v>3802.9</v>
      </c>
      <c r="L220" s="551">
        <v>3802.9</v>
      </c>
      <c r="M220" s="482">
        <v>0</v>
      </c>
      <c r="N220" s="550">
        <v>0</v>
      </c>
      <c r="O220" s="551">
        <v>0</v>
      </c>
      <c r="P220" s="551">
        <v>0</v>
      </c>
      <c r="Q220" s="482">
        <v>0</v>
      </c>
    </row>
    <row r="221" spans="1:17" ht="15.75" customHeight="1" x14ac:dyDescent="0.2">
      <c r="A221" s="526">
        <v>213</v>
      </c>
      <c r="B221" s="556" t="s">
        <v>129</v>
      </c>
      <c r="C221" s="533" t="s">
        <v>62</v>
      </c>
      <c r="D221" s="534"/>
      <c r="E221" s="486" t="s">
        <v>158</v>
      </c>
      <c r="F221" s="532" t="s">
        <v>446</v>
      </c>
      <c r="G221" s="556" t="s">
        <v>409</v>
      </c>
      <c r="H221" s="550">
        <v>12</v>
      </c>
      <c r="I221" s="550">
        <v>6</v>
      </c>
      <c r="J221" s="550">
        <v>6</v>
      </c>
      <c r="K221" s="551">
        <v>8100.41</v>
      </c>
      <c r="L221" s="551">
        <v>6080.63</v>
      </c>
      <c r="M221" s="482">
        <v>2019.78</v>
      </c>
      <c r="N221" s="550">
        <v>12</v>
      </c>
      <c r="O221" s="551">
        <v>25243.58</v>
      </c>
      <c r="P221" s="551">
        <v>25243.58</v>
      </c>
      <c r="Q221" s="482">
        <v>0</v>
      </c>
    </row>
    <row r="222" spans="1:17" ht="15.75" customHeight="1" x14ac:dyDescent="0.2">
      <c r="A222" s="526">
        <v>214</v>
      </c>
      <c r="B222" s="532" t="s">
        <v>104</v>
      </c>
      <c r="C222" s="533" t="s">
        <v>62</v>
      </c>
      <c r="D222" s="534"/>
      <c r="E222" s="490" t="s">
        <v>730</v>
      </c>
      <c r="F222" s="532" t="s">
        <v>447</v>
      </c>
      <c r="G222" s="556" t="s">
        <v>409</v>
      </c>
      <c r="H222" s="550">
        <v>0</v>
      </c>
      <c r="I222" s="550">
        <v>0</v>
      </c>
      <c r="J222" s="550">
        <v>0</v>
      </c>
      <c r="K222" s="551">
        <v>0</v>
      </c>
      <c r="L222" s="551">
        <v>0</v>
      </c>
      <c r="M222" s="482">
        <v>0</v>
      </c>
      <c r="N222" s="550">
        <v>7</v>
      </c>
      <c r="O222" s="551">
        <v>5726.5</v>
      </c>
      <c r="P222" s="551">
        <v>5726.5</v>
      </c>
      <c r="Q222" s="482">
        <v>0</v>
      </c>
    </row>
    <row r="223" spans="1:17" ht="15.75" customHeight="1" x14ac:dyDescent="0.2">
      <c r="A223" s="526">
        <v>215</v>
      </c>
      <c r="B223" s="532" t="s">
        <v>156</v>
      </c>
      <c r="C223" s="533" t="s">
        <v>67</v>
      </c>
      <c r="D223" s="534" t="s">
        <v>745</v>
      </c>
      <c r="E223" s="486" t="s">
        <v>158</v>
      </c>
      <c r="F223" s="532" t="s">
        <v>502</v>
      </c>
      <c r="G223" s="556" t="s">
        <v>409</v>
      </c>
      <c r="H223" s="550">
        <v>4</v>
      </c>
      <c r="I223" s="550">
        <v>0</v>
      </c>
      <c r="J223" s="550">
        <v>0</v>
      </c>
      <c r="K223" s="551">
        <v>0</v>
      </c>
      <c r="L223" s="551">
        <v>0</v>
      </c>
      <c r="M223" s="482">
        <v>0</v>
      </c>
      <c r="N223" s="550">
        <v>5</v>
      </c>
      <c r="O223" s="551">
        <v>8865.2999999999993</v>
      </c>
      <c r="P223" s="551">
        <v>8865.2999999999993</v>
      </c>
      <c r="Q223" s="482">
        <v>0</v>
      </c>
    </row>
    <row r="224" spans="1:17" ht="15.75" customHeight="1" x14ac:dyDescent="0.2">
      <c r="A224" s="526">
        <v>216</v>
      </c>
      <c r="B224" s="532" t="s">
        <v>133</v>
      </c>
      <c r="C224" s="533" t="s">
        <v>67</v>
      </c>
      <c r="D224" s="484" t="s">
        <v>494</v>
      </c>
      <c r="E224" s="486" t="s">
        <v>158</v>
      </c>
      <c r="F224" s="532" t="s">
        <v>503</v>
      </c>
      <c r="G224" s="556" t="s">
        <v>409</v>
      </c>
      <c r="H224" s="550">
        <v>12</v>
      </c>
      <c r="I224" s="550">
        <v>5</v>
      </c>
      <c r="J224" s="550">
        <v>5</v>
      </c>
      <c r="K224" s="551">
        <v>13731.4</v>
      </c>
      <c r="L224" s="551">
        <v>13731.4</v>
      </c>
      <c r="M224" s="482">
        <v>0</v>
      </c>
      <c r="N224" s="550">
        <v>18</v>
      </c>
      <c r="O224" s="551">
        <v>45265.08</v>
      </c>
      <c r="P224" s="551">
        <v>45265.08</v>
      </c>
      <c r="Q224" s="482">
        <v>0</v>
      </c>
    </row>
    <row r="225" spans="1:17" ht="15.75" customHeight="1" x14ac:dyDescent="0.2">
      <c r="A225" s="526">
        <v>217</v>
      </c>
      <c r="B225" s="532" t="s">
        <v>114</v>
      </c>
      <c r="C225" s="533" t="s">
        <v>62</v>
      </c>
      <c r="D225" s="534"/>
      <c r="E225" s="486" t="s">
        <v>691</v>
      </c>
      <c r="F225" s="532" t="s">
        <v>504</v>
      </c>
      <c r="G225" s="556" t="s">
        <v>409</v>
      </c>
      <c r="H225" s="550">
        <v>4</v>
      </c>
      <c r="I225" s="550">
        <v>0</v>
      </c>
      <c r="J225" s="550">
        <v>0</v>
      </c>
      <c r="K225" s="551">
        <v>0</v>
      </c>
      <c r="L225" s="551">
        <v>0</v>
      </c>
      <c r="M225" s="482">
        <v>0</v>
      </c>
      <c r="N225" s="550">
        <v>4</v>
      </c>
      <c r="O225" s="551">
        <v>3524</v>
      </c>
      <c r="P225" s="551">
        <v>3524</v>
      </c>
      <c r="Q225" s="482">
        <v>0</v>
      </c>
    </row>
    <row r="226" spans="1:17" ht="15.75" customHeight="1" x14ac:dyDescent="0.2">
      <c r="A226" s="526">
        <v>218</v>
      </c>
      <c r="B226" s="532" t="s">
        <v>505</v>
      </c>
      <c r="C226" s="533" t="s">
        <v>62</v>
      </c>
      <c r="D226" s="534"/>
      <c r="E226" s="486" t="s">
        <v>158</v>
      </c>
      <c r="F226" s="532" t="s">
        <v>506</v>
      </c>
      <c r="G226" s="556" t="s">
        <v>409</v>
      </c>
      <c r="H226" s="550">
        <v>5</v>
      </c>
      <c r="I226" s="550">
        <v>2</v>
      </c>
      <c r="J226" s="550">
        <v>2</v>
      </c>
      <c r="K226" s="551">
        <v>2025.1</v>
      </c>
      <c r="L226" s="551">
        <v>0</v>
      </c>
      <c r="M226" s="482">
        <v>2025.1</v>
      </c>
      <c r="N226" s="550">
        <v>0</v>
      </c>
      <c r="O226" s="551">
        <v>0</v>
      </c>
      <c r="P226" s="551">
        <v>0</v>
      </c>
      <c r="Q226" s="482">
        <v>0</v>
      </c>
    </row>
    <row r="227" spans="1:17" ht="15.75" customHeight="1" x14ac:dyDescent="0.2">
      <c r="A227" s="526">
        <v>219</v>
      </c>
      <c r="B227" s="532" t="s">
        <v>473</v>
      </c>
      <c r="C227" s="533" t="s">
        <v>62</v>
      </c>
      <c r="D227" s="534"/>
      <c r="E227" s="486" t="s">
        <v>158</v>
      </c>
      <c r="F227" s="532" t="s">
        <v>558</v>
      </c>
      <c r="G227" s="556" t="s">
        <v>409</v>
      </c>
      <c r="H227" s="550">
        <v>4</v>
      </c>
      <c r="I227" s="550">
        <v>0</v>
      </c>
      <c r="J227" s="550">
        <v>0</v>
      </c>
      <c r="K227" s="551">
        <v>0</v>
      </c>
      <c r="L227" s="551">
        <v>0</v>
      </c>
      <c r="M227" s="482">
        <v>0</v>
      </c>
      <c r="N227" s="550">
        <v>0</v>
      </c>
      <c r="O227" s="551">
        <v>0</v>
      </c>
      <c r="P227" s="551">
        <v>0</v>
      </c>
      <c r="Q227" s="482">
        <v>0</v>
      </c>
    </row>
    <row r="228" spans="1:17" ht="15.75" customHeight="1" x14ac:dyDescent="0.2">
      <c r="A228" s="526">
        <v>220</v>
      </c>
      <c r="B228" s="532" t="s">
        <v>376</v>
      </c>
      <c r="C228" s="533" t="s">
        <v>62</v>
      </c>
      <c r="D228" s="534"/>
      <c r="E228" s="486" t="s">
        <v>158</v>
      </c>
      <c r="F228" s="532" t="s">
        <v>559</v>
      </c>
      <c r="G228" s="556" t="s">
        <v>409</v>
      </c>
      <c r="H228" s="550">
        <v>3</v>
      </c>
      <c r="I228" s="550">
        <v>0</v>
      </c>
      <c r="J228" s="550">
        <v>0</v>
      </c>
      <c r="K228" s="551">
        <v>0</v>
      </c>
      <c r="L228" s="551">
        <v>0</v>
      </c>
      <c r="M228" s="482">
        <v>0</v>
      </c>
      <c r="N228" s="550">
        <v>0</v>
      </c>
      <c r="O228" s="551">
        <v>0</v>
      </c>
      <c r="P228" s="551">
        <v>0</v>
      </c>
      <c r="Q228" s="482">
        <v>0</v>
      </c>
    </row>
    <row r="229" spans="1:17" ht="15.75" customHeight="1" x14ac:dyDescent="0.2">
      <c r="A229" s="526">
        <v>221</v>
      </c>
      <c r="B229" s="532" t="s">
        <v>119</v>
      </c>
      <c r="C229" s="533" t="s">
        <v>62</v>
      </c>
      <c r="D229" s="534"/>
      <c r="E229" s="486" t="s">
        <v>158</v>
      </c>
      <c r="F229" s="532" t="s">
        <v>560</v>
      </c>
      <c r="G229" s="556" t="s">
        <v>409</v>
      </c>
      <c r="H229" s="550">
        <v>10</v>
      </c>
      <c r="I229" s="550">
        <v>1</v>
      </c>
      <c r="J229" s="550">
        <v>1</v>
      </c>
      <c r="K229" s="551">
        <v>1691.52</v>
      </c>
      <c r="L229" s="551">
        <v>1691.52</v>
      </c>
      <c r="M229" s="482">
        <v>0</v>
      </c>
      <c r="N229" s="550">
        <v>14</v>
      </c>
      <c r="O229" s="551">
        <v>20900.5</v>
      </c>
      <c r="P229" s="551">
        <v>20900.5</v>
      </c>
      <c r="Q229" s="482">
        <v>0</v>
      </c>
    </row>
    <row r="230" spans="1:17" ht="15.75" customHeight="1" x14ac:dyDescent="0.2">
      <c r="A230" s="526">
        <v>222</v>
      </c>
      <c r="B230" s="532" t="s">
        <v>47</v>
      </c>
      <c r="C230" s="533" t="s">
        <v>62</v>
      </c>
      <c r="D230" s="534"/>
      <c r="E230" s="486" t="s">
        <v>677</v>
      </c>
      <c r="F230" s="532" t="s">
        <v>589</v>
      </c>
      <c r="G230" s="556" t="s">
        <v>409</v>
      </c>
      <c r="H230" s="550">
        <v>0</v>
      </c>
      <c r="I230" s="550">
        <v>0</v>
      </c>
      <c r="J230" s="550">
        <v>0</v>
      </c>
      <c r="K230" s="551">
        <v>0</v>
      </c>
      <c r="L230" s="551">
        <v>0</v>
      </c>
      <c r="M230" s="482">
        <v>0</v>
      </c>
      <c r="N230" s="550">
        <v>1</v>
      </c>
      <c r="O230" s="551">
        <v>6554.64</v>
      </c>
      <c r="P230" s="551">
        <v>6554.64</v>
      </c>
      <c r="Q230" s="482">
        <v>0</v>
      </c>
    </row>
    <row r="231" spans="1:17" ht="15.75" customHeight="1" x14ac:dyDescent="0.2">
      <c r="A231" s="526">
        <v>223</v>
      </c>
      <c r="B231" s="532" t="s">
        <v>37</v>
      </c>
      <c r="C231" s="533" t="s">
        <v>62</v>
      </c>
      <c r="D231" s="534"/>
      <c r="E231" s="486" t="s">
        <v>158</v>
      </c>
      <c r="F231" s="532" t="s">
        <v>590</v>
      </c>
      <c r="G231" s="556" t="s">
        <v>409</v>
      </c>
      <c r="H231" s="550">
        <v>6</v>
      </c>
      <c r="I231" s="550">
        <v>0</v>
      </c>
      <c r="J231" s="550">
        <v>0</v>
      </c>
      <c r="K231" s="551">
        <v>0</v>
      </c>
      <c r="L231" s="551">
        <v>0</v>
      </c>
      <c r="M231" s="482">
        <v>0</v>
      </c>
      <c r="N231" s="550">
        <v>0</v>
      </c>
      <c r="O231" s="551">
        <v>0</v>
      </c>
      <c r="P231" s="551">
        <v>0</v>
      </c>
      <c r="Q231" s="482">
        <v>0</v>
      </c>
    </row>
    <row r="232" spans="1:17" ht="15.75" customHeight="1" x14ac:dyDescent="0.2">
      <c r="A232" s="526">
        <v>224</v>
      </c>
      <c r="B232" s="532" t="s">
        <v>97</v>
      </c>
      <c r="C232" s="533" t="s">
        <v>62</v>
      </c>
      <c r="D232" s="534"/>
      <c r="E232" s="486" t="s">
        <v>158</v>
      </c>
      <c r="F232" s="532" t="s">
        <v>591</v>
      </c>
      <c r="G232" s="556" t="s">
        <v>409</v>
      </c>
      <c r="H232" s="550">
        <v>4</v>
      </c>
      <c r="I232" s="550">
        <v>2</v>
      </c>
      <c r="J232" s="550">
        <v>2</v>
      </c>
      <c r="K232" s="551">
        <v>3626.7</v>
      </c>
      <c r="L232" s="551">
        <v>3626.7</v>
      </c>
      <c r="M232" s="482">
        <v>0</v>
      </c>
      <c r="N232" s="550">
        <v>3</v>
      </c>
      <c r="O232" s="551">
        <v>4570.8999999999996</v>
      </c>
      <c r="P232" s="551">
        <v>4570.8999999999996</v>
      </c>
      <c r="Q232" s="482">
        <v>0</v>
      </c>
    </row>
    <row r="233" spans="1:17" ht="15.75" customHeight="1" x14ac:dyDescent="0.2">
      <c r="A233" s="526">
        <v>225</v>
      </c>
      <c r="B233" s="532" t="s">
        <v>613</v>
      </c>
      <c r="C233" s="533" t="s">
        <v>62</v>
      </c>
      <c r="D233" s="534"/>
      <c r="E233" s="486" t="s">
        <v>158</v>
      </c>
      <c r="F233" s="532" t="s">
        <v>614</v>
      </c>
      <c r="G233" s="556" t="s">
        <v>409</v>
      </c>
      <c r="H233" s="550">
        <v>8</v>
      </c>
      <c r="I233" s="550">
        <v>2</v>
      </c>
      <c r="J233" s="550">
        <v>2</v>
      </c>
      <c r="K233" s="551">
        <v>1585.8</v>
      </c>
      <c r="L233" s="551">
        <v>1585.8</v>
      </c>
      <c r="M233" s="482">
        <v>0</v>
      </c>
      <c r="N233" s="550">
        <v>3</v>
      </c>
      <c r="O233" s="551">
        <v>616.70000000000005</v>
      </c>
      <c r="P233" s="551">
        <v>616.70000000000005</v>
      </c>
      <c r="Q233" s="482">
        <v>0</v>
      </c>
    </row>
    <row r="234" spans="1:17" ht="15.75" customHeight="1" x14ac:dyDescent="0.2">
      <c r="A234" s="526">
        <v>226</v>
      </c>
      <c r="B234" s="532" t="s">
        <v>615</v>
      </c>
      <c r="C234" s="533" t="s">
        <v>62</v>
      </c>
      <c r="D234" s="534"/>
      <c r="E234" s="486" t="s">
        <v>158</v>
      </c>
      <c r="F234" s="532" t="s">
        <v>616</v>
      </c>
      <c r="G234" s="556" t="s">
        <v>409</v>
      </c>
      <c r="H234" s="550">
        <v>6</v>
      </c>
      <c r="I234" s="550">
        <v>0</v>
      </c>
      <c r="J234" s="550">
        <v>0</v>
      </c>
      <c r="K234" s="551">
        <v>0</v>
      </c>
      <c r="L234" s="551">
        <v>0</v>
      </c>
      <c r="M234" s="482">
        <v>0</v>
      </c>
      <c r="N234" s="550">
        <v>0</v>
      </c>
      <c r="O234" s="551">
        <v>0</v>
      </c>
      <c r="P234" s="551">
        <v>0</v>
      </c>
      <c r="Q234" s="482">
        <v>0</v>
      </c>
    </row>
    <row r="235" spans="1:17" ht="15.75" customHeight="1" x14ac:dyDescent="0.2">
      <c r="A235" s="526">
        <v>227</v>
      </c>
      <c r="B235" s="532" t="s">
        <v>357</v>
      </c>
      <c r="C235" s="516" t="s">
        <v>64</v>
      </c>
      <c r="D235" s="534" t="s">
        <v>585</v>
      </c>
      <c r="E235" s="486" t="s">
        <v>158</v>
      </c>
      <c r="F235" s="532" t="s">
        <v>618</v>
      </c>
      <c r="G235" s="556" t="s">
        <v>409</v>
      </c>
      <c r="H235" s="550">
        <v>7</v>
      </c>
      <c r="I235" s="550">
        <v>1</v>
      </c>
      <c r="J235" s="550">
        <v>1</v>
      </c>
      <c r="K235" s="551">
        <v>1057.2</v>
      </c>
      <c r="L235" s="551">
        <v>1057.2</v>
      </c>
      <c r="M235" s="482">
        <v>0</v>
      </c>
      <c r="N235" s="550">
        <v>3</v>
      </c>
      <c r="O235" s="551">
        <v>5236.2</v>
      </c>
      <c r="P235" s="551">
        <v>5236.2</v>
      </c>
      <c r="Q235" s="482">
        <v>0</v>
      </c>
    </row>
    <row r="236" spans="1:17" ht="15.75" customHeight="1" x14ac:dyDescent="0.2">
      <c r="A236" s="526">
        <v>228</v>
      </c>
      <c r="B236" s="532" t="s">
        <v>621</v>
      </c>
      <c r="C236" s="533" t="s">
        <v>62</v>
      </c>
      <c r="D236" s="534"/>
      <c r="E236" s="486" t="s">
        <v>158</v>
      </c>
      <c r="F236" s="532" t="s">
        <v>625</v>
      </c>
      <c r="G236" s="556" t="s">
        <v>409</v>
      </c>
      <c r="H236" s="550">
        <v>13</v>
      </c>
      <c r="I236" s="550">
        <v>5</v>
      </c>
      <c r="J236" s="550">
        <v>5</v>
      </c>
      <c r="K236" s="551">
        <v>4878.6499999999996</v>
      </c>
      <c r="L236" s="551">
        <v>4878.6499999999996</v>
      </c>
      <c r="M236" s="482">
        <v>0</v>
      </c>
      <c r="N236" s="550">
        <v>0</v>
      </c>
      <c r="O236" s="551">
        <v>0</v>
      </c>
      <c r="P236" s="551">
        <v>0</v>
      </c>
      <c r="Q236" s="482">
        <v>0</v>
      </c>
    </row>
    <row r="237" spans="1:17" ht="15.75" customHeight="1" x14ac:dyDescent="0.2">
      <c r="A237" s="526">
        <v>229</v>
      </c>
      <c r="B237" s="484" t="s">
        <v>146</v>
      </c>
      <c r="C237" s="516" t="s">
        <v>62</v>
      </c>
      <c r="D237" s="484"/>
      <c r="E237" s="486" t="s">
        <v>74</v>
      </c>
      <c r="F237" s="486" t="s">
        <v>325</v>
      </c>
      <c r="G237" s="510" t="s">
        <v>777</v>
      </c>
      <c r="H237" s="484">
        <v>15</v>
      </c>
      <c r="I237" s="484">
        <v>7</v>
      </c>
      <c r="J237" s="484">
        <v>7</v>
      </c>
      <c r="K237" s="482">
        <v>8953.4</v>
      </c>
      <c r="L237" s="482">
        <v>8953.4</v>
      </c>
      <c r="M237" s="482">
        <v>0</v>
      </c>
      <c r="N237" s="484">
        <v>6</v>
      </c>
      <c r="O237" s="482">
        <v>5374.1</v>
      </c>
      <c r="P237" s="482">
        <v>5374.1</v>
      </c>
      <c r="Q237" s="482">
        <v>0</v>
      </c>
    </row>
    <row r="238" spans="1:17" ht="15.75" customHeight="1" x14ac:dyDescent="0.2">
      <c r="A238" s="526">
        <v>230</v>
      </c>
      <c r="B238" s="484" t="s">
        <v>166</v>
      </c>
      <c r="C238" s="516" t="s">
        <v>62</v>
      </c>
      <c r="D238" s="484"/>
      <c r="E238" s="486" t="s">
        <v>158</v>
      </c>
      <c r="F238" s="486" t="s">
        <v>327</v>
      </c>
      <c r="G238" s="510" t="s">
        <v>777</v>
      </c>
      <c r="H238" s="484">
        <v>5</v>
      </c>
      <c r="I238" s="484">
        <v>4</v>
      </c>
      <c r="J238" s="484">
        <v>4</v>
      </c>
      <c r="K238" s="482">
        <v>7763.45</v>
      </c>
      <c r="L238" s="482">
        <v>7763.45</v>
      </c>
      <c r="M238" s="482">
        <v>0</v>
      </c>
      <c r="N238" s="484">
        <v>0</v>
      </c>
      <c r="O238" s="482">
        <v>0</v>
      </c>
      <c r="P238" s="482">
        <v>0</v>
      </c>
      <c r="Q238" s="482">
        <v>0</v>
      </c>
    </row>
    <row r="239" spans="1:17" ht="15.75" customHeight="1" x14ac:dyDescent="0.2">
      <c r="A239" s="526">
        <v>231</v>
      </c>
      <c r="B239" s="484" t="s">
        <v>173</v>
      </c>
      <c r="C239" s="516" t="s">
        <v>67</v>
      </c>
      <c r="D239" s="484" t="s">
        <v>328</v>
      </c>
      <c r="E239" s="486" t="s">
        <v>158</v>
      </c>
      <c r="F239" s="486" t="s">
        <v>329</v>
      </c>
      <c r="G239" s="510" t="s">
        <v>777</v>
      </c>
      <c r="H239" s="484">
        <v>9</v>
      </c>
      <c r="I239" s="484">
        <v>5</v>
      </c>
      <c r="J239" s="484">
        <v>5</v>
      </c>
      <c r="K239" s="482">
        <v>10645.26</v>
      </c>
      <c r="L239" s="482">
        <v>10645.26</v>
      </c>
      <c r="M239" s="482">
        <v>0</v>
      </c>
      <c r="N239" s="484">
        <v>0</v>
      </c>
      <c r="O239" s="482">
        <v>0</v>
      </c>
      <c r="P239" s="482">
        <v>0</v>
      </c>
      <c r="Q239" s="482">
        <v>0</v>
      </c>
    </row>
    <row r="240" spans="1:17" ht="15.75" customHeight="1" x14ac:dyDescent="0.2">
      <c r="A240" s="526">
        <v>232</v>
      </c>
      <c r="B240" s="484" t="s">
        <v>330</v>
      </c>
      <c r="C240" s="516" t="s">
        <v>62</v>
      </c>
      <c r="D240" s="484"/>
      <c r="E240" s="486" t="s">
        <v>158</v>
      </c>
      <c r="F240" s="486" t="s">
        <v>331</v>
      </c>
      <c r="G240" s="510" t="s">
        <v>777</v>
      </c>
      <c r="H240" s="484">
        <v>16</v>
      </c>
      <c r="I240" s="484">
        <v>10</v>
      </c>
      <c r="J240" s="484">
        <v>10</v>
      </c>
      <c r="K240" s="482">
        <v>12533.9</v>
      </c>
      <c r="L240" s="482">
        <v>12533.9</v>
      </c>
      <c r="M240" s="482">
        <v>0</v>
      </c>
      <c r="N240" s="484">
        <v>0</v>
      </c>
      <c r="O240" s="482">
        <v>0</v>
      </c>
      <c r="P240" s="482">
        <v>0</v>
      </c>
      <c r="Q240" s="482">
        <v>0</v>
      </c>
    </row>
    <row r="241" spans="1:17" ht="15.75" customHeight="1" x14ac:dyDescent="0.2">
      <c r="A241" s="526">
        <v>233</v>
      </c>
      <c r="B241" s="484" t="s">
        <v>147</v>
      </c>
      <c r="C241" s="516" t="s">
        <v>62</v>
      </c>
      <c r="D241" s="484"/>
      <c r="E241" s="486" t="s">
        <v>74</v>
      </c>
      <c r="F241" s="486" t="s">
        <v>332</v>
      </c>
      <c r="G241" s="510" t="s">
        <v>777</v>
      </c>
      <c r="H241" s="484">
        <v>15</v>
      </c>
      <c r="I241" s="484">
        <v>9</v>
      </c>
      <c r="J241" s="484">
        <v>9</v>
      </c>
      <c r="K241" s="482">
        <v>17473.349999999999</v>
      </c>
      <c r="L241" s="482">
        <v>17473.349999999999</v>
      </c>
      <c r="M241" s="482">
        <v>0</v>
      </c>
      <c r="N241" s="484">
        <v>6</v>
      </c>
      <c r="O241" s="482">
        <v>15803.4</v>
      </c>
      <c r="P241" s="482">
        <v>13962.4</v>
      </c>
      <c r="Q241" s="482">
        <v>1841</v>
      </c>
    </row>
    <row r="242" spans="1:17" ht="15.75" customHeight="1" x14ac:dyDescent="0.2">
      <c r="A242" s="526">
        <v>234</v>
      </c>
      <c r="B242" s="484" t="s">
        <v>554</v>
      </c>
      <c r="C242" s="516" t="s">
        <v>67</v>
      </c>
      <c r="D242" s="484" t="s">
        <v>555</v>
      </c>
      <c r="E242" s="486" t="s">
        <v>74</v>
      </c>
      <c r="F242" s="486" t="s">
        <v>556</v>
      </c>
      <c r="G242" s="510" t="s">
        <v>777</v>
      </c>
      <c r="H242" s="484">
        <v>2</v>
      </c>
      <c r="I242" s="484">
        <v>0</v>
      </c>
      <c r="J242" s="484">
        <v>0</v>
      </c>
      <c r="K242" s="482">
        <v>0</v>
      </c>
      <c r="L242" s="482">
        <v>0</v>
      </c>
      <c r="M242" s="482">
        <v>0</v>
      </c>
      <c r="N242" s="484">
        <v>0</v>
      </c>
      <c r="O242" s="482">
        <v>0</v>
      </c>
      <c r="P242" s="482">
        <v>0</v>
      </c>
      <c r="Q242" s="482">
        <v>0</v>
      </c>
    </row>
    <row r="243" spans="1:17" ht="15.75" customHeight="1" x14ac:dyDescent="0.2">
      <c r="A243" s="526">
        <v>235</v>
      </c>
      <c r="B243" s="484" t="s">
        <v>88</v>
      </c>
      <c r="C243" s="516" t="s">
        <v>62</v>
      </c>
      <c r="D243" s="484"/>
      <c r="E243" s="486" t="s">
        <v>74</v>
      </c>
      <c r="F243" s="486" t="s">
        <v>333</v>
      </c>
      <c r="G243" s="510" t="s">
        <v>777</v>
      </c>
      <c r="H243" s="484">
        <v>2</v>
      </c>
      <c r="I243" s="484">
        <v>2</v>
      </c>
      <c r="J243" s="484">
        <v>2</v>
      </c>
      <c r="K243" s="482">
        <v>2290.6</v>
      </c>
      <c r="L243" s="482">
        <v>2290.6</v>
      </c>
      <c r="M243" s="482">
        <v>0</v>
      </c>
      <c r="N243" s="484">
        <v>1</v>
      </c>
      <c r="O243" s="482">
        <v>1145.3</v>
      </c>
      <c r="P243" s="482">
        <v>1145.3</v>
      </c>
      <c r="Q243" s="482">
        <v>0</v>
      </c>
    </row>
    <row r="244" spans="1:17" ht="15.75" customHeight="1" x14ac:dyDescent="0.2">
      <c r="A244" s="526">
        <v>236</v>
      </c>
      <c r="B244" s="484" t="s">
        <v>182</v>
      </c>
      <c r="C244" s="516" t="s">
        <v>62</v>
      </c>
      <c r="D244" s="484"/>
      <c r="E244" s="486" t="s">
        <v>158</v>
      </c>
      <c r="F244" s="486" t="s">
        <v>334</v>
      </c>
      <c r="G244" s="510" t="s">
        <v>777</v>
      </c>
      <c r="H244" s="484">
        <v>5</v>
      </c>
      <c r="I244" s="484">
        <v>1</v>
      </c>
      <c r="J244" s="484">
        <v>1</v>
      </c>
      <c r="K244" s="482">
        <v>1233.4000000000001</v>
      </c>
      <c r="L244" s="482">
        <v>1233.4000000000001</v>
      </c>
      <c r="M244" s="482">
        <v>0</v>
      </c>
      <c r="N244" s="484">
        <v>0</v>
      </c>
      <c r="O244" s="482">
        <v>0</v>
      </c>
      <c r="P244" s="482">
        <v>0</v>
      </c>
      <c r="Q244" s="482">
        <v>0</v>
      </c>
    </row>
    <row r="245" spans="1:17" ht="15.75" customHeight="1" x14ac:dyDescent="0.2">
      <c r="A245" s="526">
        <v>237</v>
      </c>
      <c r="B245" s="484" t="s">
        <v>335</v>
      </c>
      <c r="C245" s="516" t="s">
        <v>62</v>
      </c>
      <c r="D245" s="484"/>
      <c r="E245" s="486" t="s">
        <v>74</v>
      </c>
      <c r="F245" s="486" t="s">
        <v>336</v>
      </c>
      <c r="G245" s="510" t="s">
        <v>777</v>
      </c>
      <c r="H245" s="484">
        <v>15</v>
      </c>
      <c r="I245" s="484">
        <v>8</v>
      </c>
      <c r="J245" s="484">
        <v>8</v>
      </c>
      <c r="K245" s="482">
        <v>12008.05</v>
      </c>
      <c r="L245" s="482">
        <v>12008.05</v>
      </c>
      <c r="M245" s="482">
        <v>0</v>
      </c>
      <c r="N245" s="484">
        <v>9</v>
      </c>
      <c r="O245" s="482">
        <v>10605.75</v>
      </c>
      <c r="P245" s="482">
        <v>10605.75</v>
      </c>
      <c r="Q245" s="482">
        <v>0</v>
      </c>
    </row>
    <row r="246" spans="1:17" ht="15.75" customHeight="1" x14ac:dyDescent="0.2">
      <c r="A246" s="526">
        <v>238</v>
      </c>
      <c r="B246" s="484" t="s">
        <v>27</v>
      </c>
      <c r="C246" s="516" t="s">
        <v>62</v>
      </c>
      <c r="D246" s="484"/>
      <c r="E246" s="486" t="s">
        <v>158</v>
      </c>
      <c r="F246" s="486" t="s">
        <v>337</v>
      </c>
      <c r="G246" s="510" t="s">
        <v>777</v>
      </c>
      <c r="H246" s="484">
        <v>13</v>
      </c>
      <c r="I246" s="484">
        <v>12</v>
      </c>
      <c r="J246" s="484">
        <v>12</v>
      </c>
      <c r="K246" s="482">
        <v>12823.4</v>
      </c>
      <c r="L246" s="482">
        <v>12823.4</v>
      </c>
      <c r="M246" s="482">
        <v>0</v>
      </c>
      <c r="N246" s="484">
        <v>0</v>
      </c>
      <c r="O246" s="482">
        <v>0</v>
      </c>
      <c r="P246" s="482">
        <v>0</v>
      </c>
      <c r="Q246" s="482">
        <v>0</v>
      </c>
    </row>
    <row r="247" spans="1:17" ht="15.75" customHeight="1" x14ac:dyDescent="0.2">
      <c r="A247" s="526">
        <v>239</v>
      </c>
      <c r="B247" s="484" t="s">
        <v>190</v>
      </c>
      <c r="C247" s="516" t="s">
        <v>62</v>
      </c>
      <c r="D247" s="484"/>
      <c r="E247" s="486" t="s">
        <v>675</v>
      </c>
      <c r="F247" s="486" t="s">
        <v>339</v>
      </c>
      <c r="G247" s="510" t="s">
        <v>777</v>
      </c>
      <c r="H247" s="484">
        <v>23</v>
      </c>
      <c r="I247" s="484">
        <v>14</v>
      </c>
      <c r="J247" s="484">
        <v>14</v>
      </c>
      <c r="K247" s="482">
        <v>29770.6</v>
      </c>
      <c r="L247" s="482">
        <v>20433.8</v>
      </c>
      <c r="M247" s="482">
        <v>9336.7999999999993</v>
      </c>
      <c r="N247" s="484">
        <v>0</v>
      </c>
      <c r="O247" s="482">
        <v>0</v>
      </c>
      <c r="P247" s="482">
        <v>0</v>
      </c>
      <c r="Q247" s="482">
        <v>0</v>
      </c>
    </row>
    <row r="248" spans="1:17" ht="15.75" customHeight="1" x14ac:dyDescent="0.2">
      <c r="A248" s="526">
        <v>240</v>
      </c>
      <c r="B248" s="484" t="s">
        <v>89</v>
      </c>
      <c r="C248" s="516" t="s">
        <v>62</v>
      </c>
      <c r="D248" s="484"/>
      <c r="E248" s="486" t="s">
        <v>74</v>
      </c>
      <c r="F248" s="486" t="s">
        <v>340</v>
      </c>
      <c r="G248" s="510" t="s">
        <v>777</v>
      </c>
      <c r="H248" s="484">
        <v>7</v>
      </c>
      <c r="I248" s="484">
        <v>6</v>
      </c>
      <c r="J248" s="484">
        <v>6</v>
      </c>
      <c r="K248" s="482">
        <v>8633.7999999999993</v>
      </c>
      <c r="L248" s="482">
        <v>8633.7999999999993</v>
      </c>
      <c r="M248" s="482">
        <v>0</v>
      </c>
      <c r="N248" s="484">
        <v>4</v>
      </c>
      <c r="O248" s="482">
        <v>9250.5</v>
      </c>
      <c r="P248" s="482">
        <v>9250.5</v>
      </c>
      <c r="Q248" s="482">
        <v>0</v>
      </c>
    </row>
    <row r="249" spans="1:17" ht="15.75" customHeight="1" x14ac:dyDescent="0.2">
      <c r="A249" s="526">
        <v>241</v>
      </c>
      <c r="B249" s="484" t="s">
        <v>196</v>
      </c>
      <c r="C249" s="516" t="s">
        <v>62</v>
      </c>
      <c r="D249" s="484"/>
      <c r="E249" s="486" t="s">
        <v>683</v>
      </c>
      <c r="F249" s="486" t="s">
        <v>342</v>
      </c>
      <c r="G249" s="510" t="s">
        <v>777</v>
      </c>
      <c r="H249" s="484">
        <v>7</v>
      </c>
      <c r="I249" s="484">
        <v>5</v>
      </c>
      <c r="J249" s="484">
        <v>5</v>
      </c>
      <c r="K249" s="482">
        <v>4933.6000000000004</v>
      </c>
      <c r="L249" s="482">
        <v>4933.6000000000004</v>
      </c>
      <c r="M249" s="482">
        <v>0</v>
      </c>
      <c r="N249" s="484">
        <v>0</v>
      </c>
      <c r="O249" s="482">
        <v>0</v>
      </c>
      <c r="P249" s="482">
        <v>0</v>
      </c>
      <c r="Q249" s="482">
        <v>0</v>
      </c>
    </row>
    <row r="250" spans="1:17" ht="15.75" customHeight="1" x14ac:dyDescent="0.2">
      <c r="A250" s="526">
        <v>242</v>
      </c>
      <c r="B250" s="484" t="s">
        <v>631</v>
      </c>
      <c r="C250" s="516" t="s">
        <v>62</v>
      </c>
      <c r="D250" s="484"/>
      <c r="E250" s="486" t="s">
        <v>74</v>
      </c>
      <c r="F250" s="486" t="s">
        <v>642</v>
      </c>
      <c r="G250" s="510" t="s">
        <v>777</v>
      </c>
      <c r="H250" s="484">
        <v>3</v>
      </c>
      <c r="I250" s="484">
        <v>0</v>
      </c>
      <c r="J250" s="484">
        <v>0</v>
      </c>
      <c r="K250" s="482">
        <v>0</v>
      </c>
      <c r="L250" s="482">
        <v>0</v>
      </c>
      <c r="M250" s="482">
        <v>0</v>
      </c>
      <c r="N250" s="484">
        <v>0</v>
      </c>
      <c r="O250" s="482">
        <v>0</v>
      </c>
      <c r="P250" s="482">
        <v>0</v>
      </c>
      <c r="Q250" s="482">
        <v>0</v>
      </c>
    </row>
    <row r="251" spans="1:17" ht="15.75" customHeight="1" x14ac:dyDescent="0.2">
      <c r="A251" s="526">
        <v>243</v>
      </c>
      <c r="B251" s="484" t="s">
        <v>343</v>
      </c>
      <c r="C251" s="516" t="s">
        <v>62</v>
      </c>
      <c r="D251" s="484"/>
      <c r="E251" s="486" t="s">
        <v>74</v>
      </c>
      <c r="F251" s="486" t="s">
        <v>344</v>
      </c>
      <c r="G251" s="510" t="s">
        <v>777</v>
      </c>
      <c r="H251" s="484">
        <v>11</v>
      </c>
      <c r="I251" s="484">
        <v>3</v>
      </c>
      <c r="J251" s="484">
        <v>3</v>
      </c>
      <c r="K251" s="482">
        <v>3019.1</v>
      </c>
      <c r="L251" s="482">
        <v>3019.1</v>
      </c>
      <c r="M251" s="482">
        <v>0</v>
      </c>
      <c r="N251" s="484">
        <v>0</v>
      </c>
      <c r="O251" s="482">
        <v>0</v>
      </c>
      <c r="P251" s="482">
        <v>0</v>
      </c>
      <c r="Q251" s="482">
        <v>0</v>
      </c>
    </row>
    <row r="252" spans="1:17" ht="15.75" customHeight="1" x14ac:dyDescent="0.2">
      <c r="A252" s="526">
        <v>244</v>
      </c>
      <c r="B252" s="484" t="s">
        <v>154</v>
      </c>
      <c r="C252" s="516" t="s">
        <v>62</v>
      </c>
      <c r="D252" s="484"/>
      <c r="E252" s="486" t="s">
        <v>74</v>
      </c>
      <c r="F252" s="486" t="s">
        <v>345</v>
      </c>
      <c r="G252" s="510" t="s">
        <v>777</v>
      </c>
      <c r="H252" s="484">
        <v>7</v>
      </c>
      <c r="I252" s="484">
        <v>7</v>
      </c>
      <c r="J252" s="484">
        <v>7</v>
      </c>
      <c r="K252" s="482">
        <v>9690.15</v>
      </c>
      <c r="L252" s="482">
        <v>9690.15</v>
      </c>
      <c r="M252" s="482">
        <v>0</v>
      </c>
      <c r="N252" s="484">
        <v>7</v>
      </c>
      <c r="O252" s="482">
        <v>9770</v>
      </c>
      <c r="P252" s="482">
        <v>9770</v>
      </c>
      <c r="Q252" s="482">
        <v>0</v>
      </c>
    </row>
    <row r="253" spans="1:17" ht="15.75" customHeight="1" x14ac:dyDescent="0.2">
      <c r="A253" s="526">
        <v>245</v>
      </c>
      <c r="B253" s="484" t="s">
        <v>346</v>
      </c>
      <c r="C253" s="516" t="s">
        <v>62</v>
      </c>
      <c r="D253" s="484"/>
      <c r="E253" s="486" t="s">
        <v>158</v>
      </c>
      <c r="F253" s="486" t="s">
        <v>347</v>
      </c>
      <c r="G253" s="510" t="s">
        <v>777</v>
      </c>
      <c r="H253" s="484">
        <v>4</v>
      </c>
      <c r="I253" s="484">
        <v>0</v>
      </c>
      <c r="J253" s="484">
        <v>0</v>
      </c>
      <c r="K253" s="482">
        <v>0</v>
      </c>
      <c r="L253" s="482">
        <v>0</v>
      </c>
      <c r="M253" s="482">
        <v>0</v>
      </c>
      <c r="N253" s="484">
        <v>0</v>
      </c>
      <c r="O253" s="482">
        <v>0</v>
      </c>
      <c r="P253" s="482">
        <v>0</v>
      </c>
      <c r="Q253" s="482">
        <v>0</v>
      </c>
    </row>
    <row r="254" spans="1:17" ht="15.75" customHeight="1" x14ac:dyDescent="0.2">
      <c r="A254" s="526">
        <v>246</v>
      </c>
      <c r="B254" s="484" t="s">
        <v>348</v>
      </c>
      <c r="C254" s="516" t="s">
        <v>62</v>
      </c>
      <c r="D254" s="484"/>
      <c r="E254" s="486" t="s">
        <v>158</v>
      </c>
      <c r="F254" s="486" t="s">
        <v>349</v>
      </c>
      <c r="G254" s="510" t="s">
        <v>777</v>
      </c>
      <c r="H254" s="484">
        <v>6</v>
      </c>
      <c r="I254" s="484">
        <v>0</v>
      </c>
      <c r="J254" s="484">
        <v>0</v>
      </c>
      <c r="K254" s="482">
        <v>0</v>
      </c>
      <c r="L254" s="482">
        <v>0</v>
      </c>
      <c r="M254" s="482">
        <v>0</v>
      </c>
      <c r="N254" s="484">
        <v>0</v>
      </c>
      <c r="O254" s="482">
        <v>0</v>
      </c>
      <c r="P254" s="482">
        <v>0</v>
      </c>
      <c r="Q254" s="482">
        <v>0</v>
      </c>
    </row>
    <row r="255" spans="1:17" ht="15.75" customHeight="1" x14ac:dyDescent="0.2">
      <c r="A255" s="526">
        <v>247</v>
      </c>
      <c r="B255" s="484" t="s">
        <v>350</v>
      </c>
      <c r="C255" s="516" t="s">
        <v>62</v>
      </c>
      <c r="D255" s="484"/>
      <c r="E255" s="486" t="s">
        <v>74</v>
      </c>
      <c r="F255" s="486" t="s">
        <v>351</v>
      </c>
      <c r="G255" s="510" t="s">
        <v>777</v>
      </c>
      <c r="H255" s="484">
        <v>1</v>
      </c>
      <c r="I255" s="484">
        <v>1</v>
      </c>
      <c r="J255" s="484">
        <v>1</v>
      </c>
      <c r="K255" s="482">
        <v>528.6</v>
      </c>
      <c r="L255" s="482">
        <v>528.6</v>
      </c>
      <c r="M255" s="482">
        <v>0</v>
      </c>
      <c r="N255" s="484">
        <v>4</v>
      </c>
      <c r="O255" s="482">
        <v>5065.75</v>
      </c>
      <c r="P255" s="482">
        <v>5065.75</v>
      </c>
      <c r="Q255" s="482">
        <v>0</v>
      </c>
    </row>
    <row r="256" spans="1:17" ht="15.75" customHeight="1" x14ac:dyDescent="0.2">
      <c r="A256" s="526">
        <v>248</v>
      </c>
      <c r="B256" s="484" t="s">
        <v>222</v>
      </c>
      <c r="C256" s="516" t="s">
        <v>64</v>
      </c>
      <c r="D256" s="484" t="s">
        <v>352</v>
      </c>
      <c r="E256" s="486" t="s">
        <v>158</v>
      </c>
      <c r="F256" s="486" t="s">
        <v>353</v>
      </c>
      <c r="G256" s="510" t="s">
        <v>777</v>
      </c>
      <c r="H256" s="484">
        <v>6</v>
      </c>
      <c r="I256" s="484">
        <v>2</v>
      </c>
      <c r="J256" s="484">
        <v>2</v>
      </c>
      <c r="K256" s="482">
        <v>3524</v>
      </c>
      <c r="L256" s="482">
        <v>3524</v>
      </c>
      <c r="M256" s="482">
        <v>0</v>
      </c>
      <c r="N256" s="484">
        <v>0</v>
      </c>
      <c r="O256" s="482">
        <v>0</v>
      </c>
      <c r="P256" s="482">
        <v>0</v>
      </c>
      <c r="Q256" s="482">
        <v>0</v>
      </c>
    </row>
    <row r="257" spans="1:17" ht="15.75" customHeight="1" x14ac:dyDescent="0.2">
      <c r="A257" s="526">
        <v>249</v>
      </c>
      <c r="B257" s="484" t="s">
        <v>232</v>
      </c>
      <c r="C257" s="516" t="s">
        <v>62</v>
      </c>
      <c r="D257" s="484"/>
      <c r="E257" s="486" t="s">
        <v>74</v>
      </c>
      <c r="F257" s="486" t="s">
        <v>722</v>
      </c>
      <c r="G257" s="510" t="s">
        <v>777</v>
      </c>
      <c r="H257" s="484">
        <v>2</v>
      </c>
      <c r="I257" s="484">
        <v>1</v>
      </c>
      <c r="J257" s="484">
        <v>1</v>
      </c>
      <c r="K257" s="482">
        <v>1012.55</v>
      </c>
      <c r="L257" s="482">
        <v>1012.55</v>
      </c>
      <c r="M257" s="482">
        <v>0</v>
      </c>
      <c r="N257" s="484">
        <v>0</v>
      </c>
      <c r="O257" s="482">
        <v>0</v>
      </c>
      <c r="P257" s="482">
        <v>0</v>
      </c>
      <c r="Q257" s="482">
        <v>0</v>
      </c>
    </row>
    <row r="258" spans="1:17" ht="15.75" customHeight="1" x14ac:dyDescent="0.2">
      <c r="A258" s="526">
        <v>250</v>
      </c>
      <c r="B258" s="484" t="s">
        <v>238</v>
      </c>
      <c r="C258" s="516" t="s">
        <v>62</v>
      </c>
      <c r="D258" s="484"/>
      <c r="E258" s="486" t="s">
        <v>158</v>
      </c>
      <c r="F258" s="486" t="s">
        <v>354</v>
      </c>
      <c r="G258" s="510" t="s">
        <v>777</v>
      </c>
      <c r="H258" s="484">
        <v>9</v>
      </c>
      <c r="I258" s="484">
        <v>7</v>
      </c>
      <c r="J258" s="484">
        <v>7</v>
      </c>
      <c r="K258" s="482">
        <v>8060.55</v>
      </c>
      <c r="L258" s="482">
        <v>8060.55</v>
      </c>
      <c r="M258" s="482">
        <v>0</v>
      </c>
      <c r="N258" s="484">
        <v>0</v>
      </c>
      <c r="O258" s="482">
        <v>0</v>
      </c>
      <c r="P258" s="482">
        <v>0</v>
      </c>
      <c r="Q258" s="482">
        <v>0</v>
      </c>
    </row>
    <row r="259" spans="1:17" ht="15.75" customHeight="1" x14ac:dyDescent="0.2">
      <c r="A259" s="526">
        <v>251</v>
      </c>
      <c r="B259" s="484" t="s">
        <v>355</v>
      </c>
      <c r="C259" s="516" t="s">
        <v>62</v>
      </c>
      <c r="D259" s="484"/>
      <c r="E259" s="486" t="s">
        <v>158</v>
      </c>
      <c r="F259" s="486" t="s">
        <v>356</v>
      </c>
      <c r="G259" s="510" t="s">
        <v>777</v>
      </c>
      <c r="H259" s="484">
        <v>7</v>
      </c>
      <c r="I259" s="484">
        <v>3</v>
      </c>
      <c r="J259" s="484">
        <v>3</v>
      </c>
      <c r="K259" s="482">
        <v>3971.2</v>
      </c>
      <c r="L259" s="482">
        <v>3971.2</v>
      </c>
      <c r="M259" s="482">
        <v>0</v>
      </c>
      <c r="N259" s="484">
        <v>0</v>
      </c>
      <c r="O259" s="482">
        <v>0</v>
      </c>
      <c r="P259" s="482">
        <v>0</v>
      </c>
      <c r="Q259" s="482">
        <v>0</v>
      </c>
    </row>
    <row r="260" spans="1:17" ht="15.75" customHeight="1" x14ac:dyDescent="0.2">
      <c r="A260" s="526">
        <v>252</v>
      </c>
      <c r="B260" s="484" t="s">
        <v>357</v>
      </c>
      <c r="C260" s="516" t="s">
        <v>64</v>
      </c>
      <c r="D260" s="534" t="s">
        <v>358</v>
      </c>
      <c r="E260" s="486" t="s">
        <v>158</v>
      </c>
      <c r="F260" s="486" t="s">
        <v>507</v>
      </c>
      <c r="G260" s="510" t="s">
        <v>777</v>
      </c>
      <c r="H260" s="484">
        <v>3</v>
      </c>
      <c r="I260" s="484">
        <v>2</v>
      </c>
      <c r="J260" s="484">
        <v>2</v>
      </c>
      <c r="K260" s="482">
        <v>3129.7</v>
      </c>
      <c r="L260" s="482">
        <v>3129.7</v>
      </c>
      <c r="M260" s="482">
        <v>0</v>
      </c>
      <c r="N260" s="484">
        <v>0</v>
      </c>
      <c r="O260" s="482">
        <v>0</v>
      </c>
      <c r="P260" s="482">
        <v>0</v>
      </c>
      <c r="Q260" s="482">
        <v>0</v>
      </c>
    </row>
    <row r="261" spans="1:17" ht="15.75" customHeight="1" x14ac:dyDescent="0.2">
      <c r="A261" s="526">
        <v>253</v>
      </c>
      <c r="B261" s="484" t="s">
        <v>36</v>
      </c>
      <c r="C261" s="516" t="s">
        <v>62</v>
      </c>
      <c r="D261" s="484"/>
      <c r="E261" s="486" t="s">
        <v>74</v>
      </c>
      <c r="F261" s="486" t="s">
        <v>630</v>
      </c>
      <c r="G261" s="510" t="s">
        <v>777</v>
      </c>
      <c r="H261" s="484">
        <v>2</v>
      </c>
      <c r="I261" s="484">
        <v>1</v>
      </c>
      <c r="J261" s="484">
        <v>1</v>
      </c>
      <c r="K261" s="482">
        <v>552.29999999999995</v>
      </c>
      <c r="L261" s="482">
        <v>552.29999999999995</v>
      </c>
      <c r="M261" s="482">
        <v>0</v>
      </c>
      <c r="N261" s="484">
        <v>0</v>
      </c>
      <c r="O261" s="482">
        <v>0</v>
      </c>
      <c r="P261" s="482">
        <v>0</v>
      </c>
      <c r="Q261" s="482">
        <v>0</v>
      </c>
    </row>
    <row r="262" spans="1:17" ht="15.75" customHeight="1" x14ac:dyDescent="0.2">
      <c r="A262" s="526">
        <v>254</v>
      </c>
      <c r="B262" s="484" t="s">
        <v>359</v>
      </c>
      <c r="C262" s="516" t="s">
        <v>62</v>
      </c>
      <c r="D262" s="484"/>
      <c r="E262" s="486" t="s">
        <v>158</v>
      </c>
      <c r="F262" s="486" t="s">
        <v>360</v>
      </c>
      <c r="G262" s="510" t="s">
        <v>777</v>
      </c>
      <c r="H262" s="484">
        <v>5</v>
      </c>
      <c r="I262" s="484">
        <v>5</v>
      </c>
      <c r="J262" s="484">
        <v>5</v>
      </c>
      <c r="K262" s="482">
        <v>4933.6000000000004</v>
      </c>
      <c r="L262" s="482">
        <v>4933.6000000000004</v>
      </c>
      <c r="M262" s="482">
        <v>0</v>
      </c>
      <c r="N262" s="484">
        <v>0</v>
      </c>
      <c r="O262" s="482">
        <v>0</v>
      </c>
      <c r="P262" s="482">
        <v>0</v>
      </c>
      <c r="Q262" s="482">
        <v>0</v>
      </c>
    </row>
    <row r="263" spans="1:17" ht="15.75" customHeight="1" x14ac:dyDescent="0.2">
      <c r="A263" s="526">
        <v>255</v>
      </c>
      <c r="B263" s="484" t="s">
        <v>118</v>
      </c>
      <c r="C263" s="516" t="s">
        <v>62</v>
      </c>
      <c r="D263" s="484"/>
      <c r="E263" s="486" t="s">
        <v>675</v>
      </c>
      <c r="F263" s="486" t="s">
        <v>361</v>
      </c>
      <c r="G263" s="510" t="s">
        <v>777</v>
      </c>
      <c r="H263" s="484">
        <v>1</v>
      </c>
      <c r="I263" s="484">
        <v>1</v>
      </c>
      <c r="J263" s="484">
        <v>1</v>
      </c>
      <c r="K263" s="482">
        <v>1012.55</v>
      </c>
      <c r="L263" s="482">
        <v>1012.55</v>
      </c>
      <c r="M263" s="482">
        <v>0</v>
      </c>
      <c r="N263" s="484">
        <v>0</v>
      </c>
      <c r="O263" s="482">
        <v>0</v>
      </c>
      <c r="P263" s="482">
        <v>0</v>
      </c>
      <c r="Q263" s="482">
        <v>0</v>
      </c>
    </row>
    <row r="264" spans="1:17" ht="15.75" customHeight="1" x14ac:dyDescent="0.2">
      <c r="A264" s="526">
        <v>256</v>
      </c>
      <c r="B264" s="484" t="s">
        <v>246</v>
      </c>
      <c r="C264" s="516" t="s">
        <v>62</v>
      </c>
      <c r="D264" s="484"/>
      <c r="E264" s="486" t="s">
        <v>158</v>
      </c>
      <c r="F264" s="486" t="s">
        <v>362</v>
      </c>
      <c r="G264" s="510" t="s">
        <v>777</v>
      </c>
      <c r="H264" s="484">
        <v>5</v>
      </c>
      <c r="I264" s="484">
        <v>3</v>
      </c>
      <c r="J264" s="484">
        <v>3</v>
      </c>
      <c r="K264" s="482">
        <v>4271.05</v>
      </c>
      <c r="L264" s="482">
        <v>4271.05</v>
      </c>
      <c r="M264" s="482">
        <v>0</v>
      </c>
      <c r="N264" s="484">
        <v>0</v>
      </c>
      <c r="O264" s="482">
        <v>0</v>
      </c>
      <c r="P264" s="482">
        <v>0</v>
      </c>
      <c r="Q264" s="482">
        <v>0</v>
      </c>
    </row>
    <row r="265" spans="1:17" ht="15.75" customHeight="1" x14ac:dyDescent="0.2">
      <c r="A265" s="526">
        <v>257</v>
      </c>
      <c r="B265" s="484" t="s">
        <v>643</v>
      </c>
      <c r="C265" s="516" t="s">
        <v>62</v>
      </c>
      <c r="D265" s="484"/>
      <c r="E265" s="486" t="s">
        <v>74</v>
      </c>
      <c r="F265" s="486" t="s">
        <v>644</v>
      </c>
      <c r="G265" s="510" t="s">
        <v>777</v>
      </c>
      <c r="H265" s="484">
        <v>2</v>
      </c>
      <c r="I265" s="484">
        <v>0</v>
      </c>
      <c r="J265" s="484">
        <v>0</v>
      </c>
      <c r="K265" s="482">
        <v>0</v>
      </c>
      <c r="L265" s="482">
        <v>0</v>
      </c>
      <c r="M265" s="482">
        <v>0</v>
      </c>
      <c r="N265" s="484">
        <v>0</v>
      </c>
      <c r="O265" s="482">
        <v>0</v>
      </c>
      <c r="P265" s="482">
        <v>0</v>
      </c>
      <c r="Q265" s="482">
        <v>0</v>
      </c>
    </row>
    <row r="266" spans="1:17" ht="15.75" customHeight="1" x14ac:dyDescent="0.2">
      <c r="A266" s="526">
        <v>258</v>
      </c>
      <c r="B266" s="484" t="s">
        <v>43</v>
      </c>
      <c r="C266" s="516" t="s">
        <v>62</v>
      </c>
      <c r="D266" s="484"/>
      <c r="E266" s="486" t="s">
        <v>74</v>
      </c>
      <c r="F266" s="486" t="s">
        <v>363</v>
      </c>
      <c r="G266" s="510" t="s">
        <v>777</v>
      </c>
      <c r="H266" s="484">
        <v>4</v>
      </c>
      <c r="I266" s="484">
        <v>2</v>
      </c>
      <c r="J266" s="484">
        <v>2</v>
      </c>
      <c r="K266" s="482">
        <v>2869.95</v>
      </c>
      <c r="L266" s="482">
        <v>660.75</v>
      </c>
      <c r="M266" s="482">
        <v>2209.1999999999998</v>
      </c>
      <c r="N266" s="484">
        <v>2</v>
      </c>
      <c r="O266" s="482">
        <v>0</v>
      </c>
      <c r="P266" s="482">
        <v>0</v>
      </c>
      <c r="Q266" s="482">
        <v>0</v>
      </c>
    </row>
    <row r="267" spans="1:17" ht="15.75" customHeight="1" x14ac:dyDescent="0.2">
      <c r="A267" s="526">
        <v>259</v>
      </c>
      <c r="B267" s="484" t="s">
        <v>364</v>
      </c>
      <c r="C267" s="516" t="s">
        <v>62</v>
      </c>
      <c r="D267" s="484"/>
      <c r="E267" s="486" t="s">
        <v>74</v>
      </c>
      <c r="F267" s="486" t="s">
        <v>365</v>
      </c>
      <c r="G267" s="510" t="s">
        <v>777</v>
      </c>
      <c r="H267" s="484">
        <v>8</v>
      </c>
      <c r="I267" s="484">
        <v>3</v>
      </c>
      <c r="J267" s="484">
        <v>3</v>
      </c>
      <c r="K267" s="482">
        <v>7069.3</v>
      </c>
      <c r="L267" s="482">
        <v>7069.3</v>
      </c>
      <c r="M267" s="482">
        <v>0</v>
      </c>
      <c r="N267" s="484">
        <v>3</v>
      </c>
      <c r="O267" s="482">
        <v>9692.9599999999991</v>
      </c>
      <c r="P267" s="482">
        <v>9692.9599999999991</v>
      </c>
      <c r="Q267" s="482">
        <v>0</v>
      </c>
    </row>
    <row r="268" spans="1:17" ht="15.75" customHeight="1" x14ac:dyDescent="0.2">
      <c r="A268" s="526">
        <v>260</v>
      </c>
      <c r="B268" s="484" t="s">
        <v>46</v>
      </c>
      <c r="C268" s="516" t="s">
        <v>62</v>
      </c>
      <c r="D268" s="484"/>
      <c r="E268" s="486" t="s">
        <v>678</v>
      </c>
      <c r="F268" s="486" t="s">
        <v>367</v>
      </c>
      <c r="G268" s="510" t="s">
        <v>777</v>
      </c>
      <c r="H268" s="484">
        <v>0</v>
      </c>
      <c r="I268" s="484">
        <v>0</v>
      </c>
      <c r="J268" s="484">
        <v>0</v>
      </c>
      <c r="K268" s="482">
        <v>0</v>
      </c>
      <c r="L268" s="482">
        <v>0</v>
      </c>
      <c r="M268" s="482">
        <v>0</v>
      </c>
      <c r="N268" s="484">
        <v>2</v>
      </c>
      <c r="O268" s="482">
        <v>4669.3</v>
      </c>
      <c r="P268" s="482">
        <v>4669.3</v>
      </c>
      <c r="Q268" s="482">
        <v>0</v>
      </c>
    </row>
    <row r="269" spans="1:17" ht="15.75" customHeight="1" x14ac:dyDescent="0.2">
      <c r="A269" s="526">
        <v>261</v>
      </c>
      <c r="B269" s="484" t="s">
        <v>270</v>
      </c>
      <c r="C269" s="516" t="s">
        <v>62</v>
      </c>
      <c r="D269" s="484"/>
      <c r="E269" s="486" t="s">
        <v>74</v>
      </c>
      <c r="F269" s="486" t="s">
        <v>539</v>
      </c>
      <c r="G269" s="510" t="s">
        <v>777</v>
      </c>
      <c r="H269" s="484">
        <v>3</v>
      </c>
      <c r="I269" s="484">
        <v>2</v>
      </c>
      <c r="J269" s="484">
        <v>2</v>
      </c>
      <c r="K269" s="482">
        <v>1012.55</v>
      </c>
      <c r="L269" s="482">
        <v>1012.55</v>
      </c>
      <c r="M269" s="482">
        <v>0</v>
      </c>
      <c r="N269" s="484">
        <v>0</v>
      </c>
      <c r="O269" s="482">
        <v>0</v>
      </c>
      <c r="P269" s="482">
        <v>0</v>
      </c>
      <c r="Q269" s="482">
        <v>0</v>
      </c>
    </row>
    <row r="270" spans="1:17" ht="15.75" customHeight="1" x14ac:dyDescent="0.2">
      <c r="A270" s="526">
        <v>262</v>
      </c>
      <c r="B270" s="484" t="s">
        <v>621</v>
      </c>
      <c r="C270" s="516" t="s">
        <v>62</v>
      </c>
      <c r="D270" s="484"/>
      <c r="E270" s="486" t="s">
        <v>74</v>
      </c>
      <c r="F270" s="486" t="s">
        <v>622</v>
      </c>
      <c r="G270" s="510" t="s">
        <v>777</v>
      </c>
      <c r="H270" s="484">
        <v>5</v>
      </c>
      <c r="I270" s="484">
        <v>1</v>
      </c>
      <c r="J270" s="484">
        <v>1</v>
      </c>
      <c r="K270" s="482">
        <v>1012.55</v>
      </c>
      <c r="L270" s="482">
        <v>1012.55</v>
      </c>
      <c r="M270" s="482">
        <v>0</v>
      </c>
      <c r="N270" s="484">
        <v>0</v>
      </c>
      <c r="O270" s="482">
        <v>0</v>
      </c>
      <c r="P270" s="482">
        <v>0</v>
      </c>
      <c r="Q270" s="482">
        <v>0</v>
      </c>
    </row>
    <row r="271" spans="1:17" ht="15.75" customHeight="1" x14ac:dyDescent="0.2">
      <c r="A271" s="526">
        <v>263</v>
      </c>
      <c r="B271" s="484" t="s">
        <v>723</v>
      </c>
      <c r="C271" s="516" t="s">
        <v>62</v>
      </c>
      <c r="D271" s="484"/>
      <c r="E271" s="486" t="s">
        <v>74</v>
      </c>
      <c r="F271" s="486" t="s">
        <v>724</v>
      </c>
      <c r="G271" s="510" t="s">
        <v>777</v>
      </c>
      <c r="H271" s="484">
        <v>2</v>
      </c>
      <c r="I271" s="484">
        <v>0</v>
      </c>
      <c r="J271" s="484">
        <v>0</v>
      </c>
      <c r="K271" s="482">
        <v>0</v>
      </c>
      <c r="L271" s="482">
        <v>0</v>
      </c>
      <c r="M271" s="482">
        <v>0</v>
      </c>
      <c r="N271" s="484">
        <v>0</v>
      </c>
      <c r="O271" s="482">
        <v>0</v>
      </c>
      <c r="P271" s="482">
        <v>0</v>
      </c>
      <c r="Q271" s="482">
        <v>0</v>
      </c>
    </row>
    <row r="272" spans="1:17" ht="15.75" customHeight="1" x14ac:dyDescent="0.2">
      <c r="A272" s="526">
        <v>264</v>
      </c>
      <c r="B272" s="484" t="s">
        <v>96</v>
      </c>
      <c r="C272" s="516" t="s">
        <v>62</v>
      </c>
      <c r="D272" s="484"/>
      <c r="E272" s="486" t="s">
        <v>772</v>
      </c>
      <c r="F272" s="486" t="s">
        <v>540</v>
      </c>
      <c r="G272" s="510" t="s">
        <v>777</v>
      </c>
      <c r="H272" s="484">
        <v>1</v>
      </c>
      <c r="I272" s="484">
        <v>0</v>
      </c>
      <c r="J272" s="484">
        <v>0</v>
      </c>
      <c r="K272" s="482">
        <v>0</v>
      </c>
      <c r="L272" s="482">
        <v>0</v>
      </c>
      <c r="M272" s="482">
        <v>0</v>
      </c>
      <c r="N272" s="484">
        <v>1</v>
      </c>
      <c r="O272" s="482">
        <v>0</v>
      </c>
      <c r="P272" s="482">
        <v>0</v>
      </c>
      <c r="Q272" s="482">
        <v>0</v>
      </c>
    </row>
    <row r="273" spans="1:17" ht="15.75" customHeight="1" x14ac:dyDescent="0.2">
      <c r="A273" s="526">
        <v>265</v>
      </c>
      <c r="B273" s="484" t="s">
        <v>124</v>
      </c>
      <c r="C273" s="516" t="s">
        <v>62</v>
      </c>
      <c r="D273" s="484"/>
      <c r="E273" s="486" t="s">
        <v>773</v>
      </c>
      <c r="F273" s="486" t="s">
        <v>368</v>
      </c>
      <c r="G273" s="510" t="s">
        <v>777</v>
      </c>
      <c r="H273" s="484">
        <v>27</v>
      </c>
      <c r="I273" s="484">
        <v>19</v>
      </c>
      <c r="J273" s="484">
        <v>19</v>
      </c>
      <c r="K273" s="482">
        <v>23114.5</v>
      </c>
      <c r="L273" s="482">
        <v>23114.5</v>
      </c>
      <c r="M273" s="482">
        <v>0</v>
      </c>
      <c r="N273" s="484">
        <v>8</v>
      </c>
      <c r="O273" s="482">
        <v>4753.3999999999996</v>
      </c>
      <c r="P273" s="482">
        <v>4753.3999999999996</v>
      </c>
      <c r="Q273" s="482">
        <v>0</v>
      </c>
    </row>
    <row r="274" spans="1:17" ht="15.75" customHeight="1" x14ac:dyDescent="0.2">
      <c r="A274" s="526">
        <v>266</v>
      </c>
      <c r="B274" s="484" t="s">
        <v>51</v>
      </c>
      <c r="C274" s="516" t="s">
        <v>62</v>
      </c>
      <c r="D274" s="484"/>
      <c r="E274" s="486" t="s">
        <v>74</v>
      </c>
      <c r="F274" s="486" t="s">
        <v>369</v>
      </c>
      <c r="G274" s="510" t="s">
        <v>777</v>
      </c>
      <c r="H274" s="484">
        <v>0</v>
      </c>
      <c r="I274" s="484">
        <v>0</v>
      </c>
      <c r="J274" s="484">
        <v>0</v>
      </c>
      <c r="K274" s="482">
        <v>0</v>
      </c>
      <c r="L274" s="482">
        <v>0</v>
      </c>
      <c r="M274" s="482">
        <v>0</v>
      </c>
      <c r="N274" s="484">
        <v>1</v>
      </c>
      <c r="O274" s="482">
        <v>2290.6</v>
      </c>
      <c r="P274" s="482">
        <v>2290.6</v>
      </c>
      <c r="Q274" s="482">
        <v>0</v>
      </c>
    </row>
    <row r="275" spans="1:17" ht="15.75" customHeight="1" x14ac:dyDescent="0.2">
      <c r="A275" s="526">
        <v>267</v>
      </c>
      <c r="B275" s="484" t="s">
        <v>286</v>
      </c>
      <c r="C275" s="516" t="s">
        <v>62</v>
      </c>
      <c r="D275" s="484"/>
      <c r="E275" s="486" t="s">
        <v>74</v>
      </c>
      <c r="F275" s="486" t="s">
        <v>476</v>
      </c>
      <c r="G275" s="510" t="s">
        <v>777</v>
      </c>
      <c r="H275" s="484">
        <v>8</v>
      </c>
      <c r="I275" s="484">
        <v>4</v>
      </c>
      <c r="J275" s="484">
        <v>4</v>
      </c>
      <c r="K275" s="482">
        <v>3195.3</v>
      </c>
      <c r="L275" s="482">
        <v>3195.3</v>
      </c>
      <c r="M275" s="482">
        <v>0</v>
      </c>
      <c r="N275" s="484">
        <v>0</v>
      </c>
      <c r="O275" s="482">
        <v>0</v>
      </c>
      <c r="P275" s="482">
        <v>0</v>
      </c>
      <c r="Q275" s="482">
        <v>0</v>
      </c>
    </row>
    <row r="276" spans="1:17" ht="15.75" customHeight="1" x14ac:dyDescent="0.2">
      <c r="A276" s="526">
        <v>268</v>
      </c>
      <c r="B276" s="484" t="s">
        <v>290</v>
      </c>
      <c r="C276" s="516" t="s">
        <v>62</v>
      </c>
      <c r="D276" s="484"/>
      <c r="E276" s="486" t="s">
        <v>74</v>
      </c>
      <c r="F276" s="486" t="s">
        <v>372</v>
      </c>
      <c r="G276" s="510" t="s">
        <v>777</v>
      </c>
      <c r="H276" s="484">
        <v>9</v>
      </c>
      <c r="I276" s="484">
        <v>8</v>
      </c>
      <c r="J276" s="484">
        <v>8</v>
      </c>
      <c r="K276" s="482">
        <v>6532.8</v>
      </c>
      <c r="L276" s="482">
        <v>6532.8</v>
      </c>
      <c r="M276" s="482">
        <v>0</v>
      </c>
      <c r="N276" s="484">
        <v>0</v>
      </c>
      <c r="O276" s="482">
        <v>0</v>
      </c>
      <c r="P276" s="482">
        <v>0</v>
      </c>
      <c r="Q276" s="482">
        <v>0</v>
      </c>
    </row>
    <row r="277" spans="1:17" ht="15.75" customHeight="1" x14ac:dyDescent="0.2">
      <c r="A277" s="526">
        <v>269</v>
      </c>
      <c r="B277" s="484" t="s">
        <v>134</v>
      </c>
      <c r="C277" s="516" t="s">
        <v>62</v>
      </c>
      <c r="D277" s="484"/>
      <c r="E277" s="486" t="s">
        <v>74</v>
      </c>
      <c r="F277" s="486" t="s">
        <v>373</v>
      </c>
      <c r="G277" s="510" t="s">
        <v>777</v>
      </c>
      <c r="H277" s="484">
        <v>3</v>
      </c>
      <c r="I277" s="484">
        <v>1</v>
      </c>
      <c r="J277" s="484">
        <v>1</v>
      </c>
      <c r="K277" s="482">
        <v>1938.2</v>
      </c>
      <c r="L277" s="482">
        <v>1938.2</v>
      </c>
      <c r="M277" s="482">
        <v>0</v>
      </c>
      <c r="N277" s="484">
        <v>3</v>
      </c>
      <c r="O277" s="482">
        <v>6693.2</v>
      </c>
      <c r="P277" s="482">
        <v>6693.2</v>
      </c>
      <c r="Q277" s="482">
        <v>0</v>
      </c>
    </row>
    <row r="278" spans="1:17" ht="15.75" customHeight="1" x14ac:dyDescent="0.2">
      <c r="A278" s="526">
        <v>270</v>
      </c>
      <c r="B278" s="484" t="s">
        <v>135</v>
      </c>
      <c r="C278" s="516" t="s">
        <v>62</v>
      </c>
      <c r="D278" s="484"/>
      <c r="E278" s="486" t="s">
        <v>74</v>
      </c>
      <c r="F278" s="486" t="s">
        <v>374</v>
      </c>
      <c r="G278" s="510" t="s">
        <v>777</v>
      </c>
      <c r="H278" s="484">
        <v>21</v>
      </c>
      <c r="I278" s="484">
        <v>7</v>
      </c>
      <c r="J278" s="484">
        <v>7</v>
      </c>
      <c r="K278" s="482">
        <v>13053.6</v>
      </c>
      <c r="L278" s="482">
        <v>13053.6</v>
      </c>
      <c r="M278" s="482">
        <v>0</v>
      </c>
      <c r="N278" s="484">
        <v>94</v>
      </c>
      <c r="O278" s="482">
        <v>48904.95</v>
      </c>
      <c r="P278" s="482">
        <v>48904.95</v>
      </c>
      <c r="Q278" s="482">
        <v>0</v>
      </c>
    </row>
    <row r="279" spans="1:17" ht="15.75" customHeight="1" x14ac:dyDescent="0.2">
      <c r="A279" s="526">
        <v>271</v>
      </c>
      <c r="B279" s="484" t="s">
        <v>508</v>
      </c>
      <c r="C279" s="516" t="s">
        <v>64</v>
      </c>
      <c r="D279" s="484" t="s">
        <v>509</v>
      </c>
      <c r="E279" s="486" t="s">
        <v>74</v>
      </c>
      <c r="F279" s="486" t="s">
        <v>510</v>
      </c>
      <c r="G279" s="510" t="s">
        <v>777</v>
      </c>
      <c r="H279" s="484">
        <v>3</v>
      </c>
      <c r="I279" s="484">
        <v>2</v>
      </c>
      <c r="J279" s="484">
        <v>2</v>
      </c>
      <c r="K279" s="482">
        <v>4418.3999999999996</v>
      </c>
      <c r="L279" s="482">
        <v>4418.3999999999996</v>
      </c>
      <c r="M279" s="482">
        <v>0</v>
      </c>
      <c r="N279" s="484">
        <v>0</v>
      </c>
      <c r="O279" s="482">
        <v>0</v>
      </c>
      <c r="P279" s="482">
        <v>0</v>
      </c>
      <c r="Q279" s="482">
        <v>0</v>
      </c>
    </row>
    <row r="280" spans="1:17" ht="15.75" customHeight="1" x14ac:dyDescent="0.2">
      <c r="A280" s="526">
        <v>272</v>
      </c>
      <c r="B280" s="484" t="s">
        <v>299</v>
      </c>
      <c r="C280" s="516" t="s">
        <v>62</v>
      </c>
      <c r="D280" s="484"/>
      <c r="E280" s="486" t="s">
        <v>158</v>
      </c>
      <c r="F280" s="486" t="s">
        <v>375</v>
      </c>
      <c r="G280" s="510" t="s">
        <v>777</v>
      </c>
      <c r="H280" s="484">
        <v>3</v>
      </c>
      <c r="I280" s="484">
        <v>1</v>
      </c>
      <c r="J280" s="484">
        <v>1</v>
      </c>
      <c r="K280" s="482">
        <v>704.8</v>
      </c>
      <c r="L280" s="482">
        <v>704.8</v>
      </c>
      <c r="M280" s="482">
        <v>0</v>
      </c>
      <c r="N280" s="484">
        <v>0</v>
      </c>
      <c r="O280" s="482">
        <v>0</v>
      </c>
      <c r="P280" s="482">
        <v>0</v>
      </c>
      <c r="Q280" s="482">
        <v>0</v>
      </c>
    </row>
    <row r="281" spans="1:17" ht="15.75" customHeight="1" x14ac:dyDescent="0.2">
      <c r="A281" s="526">
        <v>273</v>
      </c>
      <c r="B281" s="484" t="s">
        <v>302</v>
      </c>
      <c r="C281" s="516" t="s">
        <v>62</v>
      </c>
      <c r="D281" s="484"/>
      <c r="E281" s="486" t="s">
        <v>74</v>
      </c>
      <c r="F281" s="486" t="s">
        <v>725</v>
      </c>
      <c r="G281" s="510" t="s">
        <v>777</v>
      </c>
      <c r="H281" s="484">
        <v>1</v>
      </c>
      <c r="I281" s="484">
        <v>0</v>
      </c>
      <c r="J281" s="484">
        <v>0</v>
      </c>
      <c r="K281" s="482">
        <v>0</v>
      </c>
      <c r="L281" s="482">
        <v>0</v>
      </c>
      <c r="M281" s="482">
        <v>0</v>
      </c>
      <c r="N281" s="484">
        <v>0</v>
      </c>
      <c r="O281" s="482">
        <v>0</v>
      </c>
      <c r="P281" s="482">
        <v>0</v>
      </c>
      <c r="Q281" s="482">
        <v>0</v>
      </c>
    </row>
    <row r="282" spans="1:17" ht="15.75" customHeight="1" x14ac:dyDescent="0.2">
      <c r="A282" s="526">
        <v>274</v>
      </c>
      <c r="B282" s="484" t="s">
        <v>702</v>
      </c>
      <c r="C282" s="516" t="s">
        <v>62</v>
      </c>
      <c r="D282" s="484"/>
      <c r="E282" s="486" t="s">
        <v>74</v>
      </c>
      <c r="F282" s="486" t="s">
        <v>726</v>
      </c>
      <c r="G282" s="510" t="s">
        <v>777</v>
      </c>
      <c r="H282" s="484">
        <v>1</v>
      </c>
      <c r="I282" s="484">
        <v>1</v>
      </c>
      <c r="J282" s="484">
        <v>1</v>
      </c>
      <c r="K282" s="482">
        <v>552.29999999999995</v>
      </c>
      <c r="L282" s="482">
        <v>552.29999999999995</v>
      </c>
      <c r="M282" s="482">
        <v>0</v>
      </c>
      <c r="N282" s="484">
        <v>0</v>
      </c>
      <c r="O282" s="482">
        <v>0</v>
      </c>
      <c r="P282" s="482">
        <v>0</v>
      </c>
      <c r="Q282" s="482">
        <v>0</v>
      </c>
    </row>
    <row r="283" spans="1:17" ht="15.75" customHeight="1" x14ac:dyDescent="0.2">
      <c r="A283" s="526">
        <v>275</v>
      </c>
      <c r="B283" s="484" t="s">
        <v>376</v>
      </c>
      <c r="C283" s="516" t="s">
        <v>62</v>
      </c>
      <c r="D283" s="484"/>
      <c r="E283" s="486" t="s">
        <v>74</v>
      </c>
      <c r="F283" s="486" t="s">
        <v>377</v>
      </c>
      <c r="G283" s="510" t="s">
        <v>777</v>
      </c>
      <c r="H283" s="484">
        <v>10</v>
      </c>
      <c r="I283" s="484">
        <v>6</v>
      </c>
      <c r="J283" s="484">
        <v>6</v>
      </c>
      <c r="K283" s="482">
        <v>6722.05</v>
      </c>
      <c r="L283" s="482">
        <v>6722.05</v>
      </c>
      <c r="M283" s="482">
        <v>0</v>
      </c>
      <c r="N283" s="484">
        <v>0</v>
      </c>
      <c r="O283" s="482">
        <v>0</v>
      </c>
      <c r="P283" s="482">
        <v>0</v>
      </c>
      <c r="Q283" s="482">
        <v>0</v>
      </c>
    </row>
    <row r="284" spans="1:17" ht="15.75" customHeight="1" x14ac:dyDescent="0.2">
      <c r="A284" s="526">
        <v>276</v>
      </c>
      <c r="B284" s="484" t="s">
        <v>129</v>
      </c>
      <c r="C284" s="516" t="s">
        <v>62</v>
      </c>
      <c r="D284" s="484"/>
      <c r="E284" s="486" t="s">
        <v>74</v>
      </c>
      <c r="F284" s="486" t="s">
        <v>378</v>
      </c>
      <c r="G284" s="510" t="s">
        <v>777</v>
      </c>
      <c r="H284" s="484">
        <v>55</v>
      </c>
      <c r="I284" s="484">
        <v>43</v>
      </c>
      <c r="J284" s="484">
        <v>43</v>
      </c>
      <c r="K284" s="482">
        <v>72277.66</v>
      </c>
      <c r="L284" s="482">
        <v>68698.320000000007</v>
      </c>
      <c r="M284" s="482">
        <v>3579.34</v>
      </c>
      <c r="N284" s="484">
        <v>40</v>
      </c>
      <c r="O284" s="482">
        <v>75401.06</v>
      </c>
      <c r="P284" s="482">
        <v>75401.06</v>
      </c>
      <c r="Q284" s="482">
        <v>0</v>
      </c>
    </row>
    <row r="285" spans="1:17" ht="15.75" customHeight="1" x14ac:dyDescent="0.2">
      <c r="A285" s="526">
        <v>277</v>
      </c>
      <c r="B285" s="484" t="s">
        <v>379</v>
      </c>
      <c r="C285" s="516" t="s">
        <v>62</v>
      </c>
      <c r="D285" s="484"/>
      <c r="E285" s="486" t="s">
        <v>158</v>
      </c>
      <c r="F285" s="486" t="s">
        <v>380</v>
      </c>
      <c r="G285" s="510" t="s">
        <v>777</v>
      </c>
      <c r="H285" s="484">
        <v>6</v>
      </c>
      <c r="I285" s="484">
        <v>4</v>
      </c>
      <c r="J285" s="484">
        <v>4</v>
      </c>
      <c r="K285" s="482">
        <v>4131.6499999999996</v>
      </c>
      <c r="L285" s="482">
        <v>4131.6499999999996</v>
      </c>
      <c r="M285" s="482">
        <v>0</v>
      </c>
      <c r="N285" s="484">
        <v>0</v>
      </c>
      <c r="O285" s="482">
        <v>0</v>
      </c>
      <c r="P285" s="482">
        <v>0</v>
      </c>
      <c r="Q285" s="482">
        <v>0</v>
      </c>
    </row>
    <row r="286" spans="1:17" ht="15.75" customHeight="1" x14ac:dyDescent="0.2">
      <c r="A286" s="526">
        <v>278</v>
      </c>
      <c r="B286" s="484" t="s">
        <v>130</v>
      </c>
      <c r="C286" s="516" t="s">
        <v>62</v>
      </c>
      <c r="D286" s="484"/>
      <c r="E286" s="486" t="s">
        <v>74</v>
      </c>
      <c r="F286" s="486" t="s">
        <v>557</v>
      </c>
      <c r="G286" s="510" t="s">
        <v>777</v>
      </c>
      <c r="H286" s="484">
        <v>2</v>
      </c>
      <c r="I286" s="484">
        <v>1</v>
      </c>
      <c r="J286" s="484">
        <v>1</v>
      </c>
      <c r="K286" s="482">
        <v>1104.5999999999999</v>
      </c>
      <c r="L286" s="482">
        <v>1104.5999999999999</v>
      </c>
      <c r="M286" s="482">
        <v>0</v>
      </c>
      <c r="N286" s="484">
        <v>5</v>
      </c>
      <c r="O286" s="482">
        <v>9315.25</v>
      </c>
      <c r="P286" s="482">
        <v>9315.25</v>
      </c>
      <c r="Q286" s="482">
        <v>0</v>
      </c>
    </row>
    <row r="287" spans="1:17" ht="15.75" customHeight="1" x14ac:dyDescent="0.2">
      <c r="A287" s="526">
        <v>279</v>
      </c>
      <c r="B287" s="484" t="s">
        <v>382</v>
      </c>
      <c r="C287" s="516" t="s">
        <v>62</v>
      </c>
      <c r="D287" s="484"/>
      <c r="E287" s="486" t="s">
        <v>703</v>
      </c>
      <c r="F287" s="486" t="s">
        <v>384</v>
      </c>
      <c r="G287" s="510" t="s">
        <v>777</v>
      </c>
      <c r="H287" s="484">
        <v>1</v>
      </c>
      <c r="I287" s="484">
        <v>1</v>
      </c>
      <c r="J287" s="484">
        <v>1</v>
      </c>
      <c r="K287" s="482">
        <v>704.8</v>
      </c>
      <c r="L287" s="482">
        <v>704.8</v>
      </c>
      <c r="M287" s="482">
        <v>0</v>
      </c>
      <c r="N287" s="484">
        <v>0</v>
      </c>
      <c r="O287" s="482">
        <v>0</v>
      </c>
      <c r="P287" s="482">
        <v>0</v>
      </c>
      <c r="Q287" s="482">
        <v>0</v>
      </c>
    </row>
    <row r="288" spans="1:17" ht="15.75" customHeight="1" x14ac:dyDescent="0.2">
      <c r="A288" s="526">
        <v>280</v>
      </c>
      <c r="B288" s="484" t="s">
        <v>385</v>
      </c>
      <c r="C288" s="516" t="s">
        <v>62</v>
      </c>
      <c r="D288" s="484"/>
      <c r="E288" s="486" t="s">
        <v>675</v>
      </c>
      <c r="F288" s="486" t="s">
        <v>386</v>
      </c>
      <c r="G288" s="510" t="s">
        <v>777</v>
      </c>
      <c r="H288" s="484">
        <v>15</v>
      </c>
      <c r="I288" s="484">
        <v>7</v>
      </c>
      <c r="J288" s="484">
        <v>7</v>
      </c>
      <c r="K288" s="482">
        <v>4184.75</v>
      </c>
      <c r="L288" s="482">
        <v>4184.75</v>
      </c>
      <c r="M288" s="482">
        <v>0</v>
      </c>
      <c r="N288" s="484">
        <v>18</v>
      </c>
      <c r="O288" s="482">
        <v>9602.9</v>
      </c>
      <c r="P288" s="482">
        <v>9602.9</v>
      </c>
      <c r="Q288" s="482">
        <v>0</v>
      </c>
    </row>
    <row r="289" spans="1:17" ht="15.75" customHeight="1" x14ac:dyDescent="0.2">
      <c r="A289" s="526">
        <v>281</v>
      </c>
      <c r="B289" s="599" t="s">
        <v>19</v>
      </c>
      <c r="C289" s="600" t="s">
        <v>62</v>
      </c>
      <c r="D289" s="289"/>
      <c r="E289" s="490" t="s">
        <v>671</v>
      </c>
      <c r="F289" s="601" t="s">
        <v>394</v>
      </c>
      <c r="G289" s="289" t="s">
        <v>778</v>
      </c>
      <c r="H289" s="289">
        <v>1</v>
      </c>
      <c r="I289" s="289">
        <v>0</v>
      </c>
      <c r="J289" s="491">
        <v>0</v>
      </c>
      <c r="K289" s="602">
        <v>0</v>
      </c>
      <c r="L289" s="602">
        <v>0</v>
      </c>
      <c r="M289" s="482">
        <v>0</v>
      </c>
      <c r="N289" s="371">
        <v>0</v>
      </c>
      <c r="O289" s="492">
        <v>0</v>
      </c>
      <c r="P289" s="492">
        <v>0</v>
      </c>
      <c r="Q289" s="482">
        <v>0</v>
      </c>
    </row>
    <row r="290" spans="1:17" ht="15.75" customHeight="1" x14ac:dyDescent="0.2">
      <c r="A290" s="526">
        <v>282</v>
      </c>
      <c r="B290" s="599" t="s">
        <v>90</v>
      </c>
      <c r="C290" s="600" t="s">
        <v>62</v>
      </c>
      <c r="D290" s="599"/>
      <c r="E290" s="490" t="s">
        <v>689</v>
      </c>
      <c r="F290" s="601" t="s">
        <v>396</v>
      </c>
      <c r="G290" s="289" t="s">
        <v>778</v>
      </c>
      <c r="H290" s="599">
        <v>9</v>
      </c>
      <c r="I290" s="599">
        <v>9</v>
      </c>
      <c r="J290" s="599">
        <v>9</v>
      </c>
      <c r="K290" s="602">
        <v>11276.8</v>
      </c>
      <c r="L290" s="602">
        <v>11276.8</v>
      </c>
      <c r="M290" s="482">
        <v>0</v>
      </c>
      <c r="N290" s="599">
        <v>20</v>
      </c>
      <c r="O290" s="602">
        <v>28791.88</v>
      </c>
      <c r="P290" s="602">
        <v>28791.88</v>
      </c>
      <c r="Q290" s="482">
        <v>0</v>
      </c>
    </row>
    <row r="291" spans="1:17" ht="15.75" customHeight="1" x14ac:dyDescent="0.2">
      <c r="A291" s="526">
        <v>283</v>
      </c>
      <c r="B291" s="289" t="s">
        <v>133</v>
      </c>
      <c r="C291" s="493" t="s">
        <v>67</v>
      </c>
      <c r="D291" s="484" t="s">
        <v>494</v>
      </c>
      <c r="E291" s="486" t="s">
        <v>158</v>
      </c>
      <c r="F291" s="601" t="s">
        <v>398</v>
      </c>
      <c r="G291" s="289" t="s">
        <v>778</v>
      </c>
      <c r="H291" s="599">
        <v>12</v>
      </c>
      <c r="I291" s="599">
        <v>5</v>
      </c>
      <c r="J291" s="599">
        <v>5</v>
      </c>
      <c r="K291" s="602">
        <v>7688.8</v>
      </c>
      <c r="L291" s="602">
        <v>7688.8</v>
      </c>
      <c r="M291" s="482">
        <v>0</v>
      </c>
      <c r="N291" s="599">
        <v>9</v>
      </c>
      <c r="O291" s="602">
        <v>12473.03</v>
      </c>
      <c r="P291" s="602">
        <v>12473.03</v>
      </c>
      <c r="Q291" s="482">
        <v>0</v>
      </c>
    </row>
    <row r="292" spans="1:17" ht="15.75" customHeight="1" x14ac:dyDescent="0.2">
      <c r="A292" s="526">
        <v>284</v>
      </c>
      <c r="B292" s="599" t="s">
        <v>399</v>
      </c>
      <c r="C292" s="600" t="s">
        <v>62</v>
      </c>
      <c r="D292" s="599"/>
      <c r="E292" s="490" t="s">
        <v>694</v>
      </c>
      <c r="F292" s="601" t="s">
        <v>401</v>
      </c>
      <c r="G292" s="289" t="s">
        <v>778</v>
      </c>
      <c r="H292" s="599">
        <v>31</v>
      </c>
      <c r="I292" s="599">
        <v>12</v>
      </c>
      <c r="J292" s="599">
        <v>12</v>
      </c>
      <c r="K292" s="602">
        <v>15516.6</v>
      </c>
      <c r="L292" s="602">
        <v>15514.22</v>
      </c>
      <c r="M292" s="482">
        <v>2.38</v>
      </c>
      <c r="N292" s="599">
        <v>0</v>
      </c>
      <c r="O292" s="602">
        <v>0</v>
      </c>
      <c r="P292" s="602">
        <v>0</v>
      </c>
      <c r="Q292" s="482">
        <v>0</v>
      </c>
    </row>
    <row r="293" spans="1:17" ht="15.75" customHeight="1" x14ac:dyDescent="0.2">
      <c r="A293" s="526">
        <v>285</v>
      </c>
      <c r="B293" s="599" t="s">
        <v>402</v>
      </c>
      <c r="C293" s="600" t="s">
        <v>62</v>
      </c>
      <c r="D293" s="599"/>
      <c r="E293" s="486" t="s">
        <v>158</v>
      </c>
      <c r="F293" s="601" t="s">
        <v>403</v>
      </c>
      <c r="G293" s="289" t="s">
        <v>778</v>
      </c>
      <c r="H293" s="599">
        <v>2</v>
      </c>
      <c r="I293" s="599">
        <v>2</v>
      </c>
      <c r="J293" s="599">
        <v>2</v>
      </c>
      <c r="K293" s="602">
        <v>3815.95</v>
      </c>
      <c r="L293" s="602">
        <v>3815.95</v>
      </c>
      <c r="M293" s="482">
        <v>0</v>
      </c>
      <c r="N293" s="599">
        <v>0</v>
      </c>
      <c r="O293" s="602">
        <v>0</v>
      </c>
      <c r="P293" s="602">
        <v>0</v>
      </c>
      <c r="Q293" s="482">
        <v>0</v>
      </c>
    </row>
    <row r="294" spans="1:17" ht="15.75" customHeight="1" x14ac:dyDescent="0.2">
      <c r="A294" s="526">
        <v>286</v>
      </c>
      <c r="B294" s="599" t="s">
        <v>48</v>
      </c>
      <c r="C294" s="600" t="s">
        <v>62</v>
      </c>
      <c r="D294" s="599"/>
      <c r="E294" s="490" t="s">
        <v>671</v>
      </c>
      <c r="F294" s="601" t="s">
        <v>404</v>
      </c>
      <c r="G294" s="289" t="s">
        <v>778</v>
      </c>
      <c r="H294" s="599">
        <v>48</v>
      </c>
      <c r="I294" s="599">
        <v>13</v>
      </c>
      <c r="J294" s="599">
        <v>13</v>
      </c>
      <c r="K294" s="602">
        <v>19861.5</v>
      </c>
      <c r="L294" s="602">
        <v>19861.5</v>
      </c>
      <c r="M294" s="482">
        <v>0</v>
      </c>
      <c r="N294" s="599">
        <v>22</v>
      </c>
      <c r="O294" s="602">
        <v>58443.62</v>
      </c>
      <c r="P294" s="602">
        <v>58443.62</v>
      </c>
      <c r="Q294" s="482">
        <v>0</v>
      </c>
    </row>
    <row r="295" spans="1:17" ht="15.75" customHeight="1" x14ac:dyDescent="0.2">
      <c r="A295" s="526">
        <v>287</v>
      </c>
      <c r="B295" s="599" t="s">
        <v>39</v>
      </c>
      <c r="C295" s="600" t="s">
        <v>62</v>
      </c>
      <c r="D295" s="599"/>
      <c r="E295" s="490" t="s">
        <v>694</v>
      </c>
      <c r="F295" s="601" t="s">
        <v>405</v>
      </c>
      <c r="G295" s="289" t="s">
        <v>778</v>
      </c>
      <c r="H295" s="599">
        <v>33</v>
      </c>
      <c r="I295" s="599">
        <v>3</v>
      </c>
      <c r="J295" s="599">
        <v>3</v>
      </c>
      <c r="K295" s="602">
        <v>3866.1</v>
      </c>
      <c r="L295" s="602">
        <v>3866.1</v>
      </c>
      <c r="M295" s="482">
        <v>0</v>
      </c>
      <c r="N295" s="599">
        <v>13</v>
      </c>
      <c r="O295" s="602">
        <v>23040.3</v>
      </c>
      <c r="P295" s="602">
        <v>23040.3</v>
      </c>
      <c r="Q295" s="482">
        <v>0</v>
      </c>
    </row>
    <row r="296" spans="1:17" ht="15.75" customHeight="1" x14ac:dyDescent="0.2">
      <c r="A296" s="526">
        <v>288</v>
      </c>
      <c r="B296" s="599" t="s">
        <v>127</v>
      </c>
      <c r="C296" s="600" t="s">
        <v>62</v>
      </c>
      <c r="D296" s="599"/>
      <c r="E296" s="486" t="s">
        <v>158</v>
      </c>
      <c r="F296" s="601" t="s">
        <v>406</v>
      </c>
      <c r="G296" s="289" t="s">
        <v>778</v>
      </c>
      <c r="H296" s="599">
        <v>0</v>
      </c>
      <c r="I296" s="599">
        <v>0</v>
      </c>
      <c r="J296" s="599">
        <v>0</v>
      </c>
      <c r="K296" s="602">
        <v>0</v>
      </c>
      <c r="L296" s="602">
        <v>0</v>
      </c>
      <c r="M296" s="482">
        <v>0</v>
      </c>
      <c r="N296" s="599">
        <v>1</v>
      </c>
      <c r="O296" s="602">
        <v>264.3</v>
      </c>
      <c r="P296" s="602">
        <v>264.3</v>
      </c>
      <c r="Q296" s="482">
        <v>0</v>
      </c>
    </row>
    <row r="297" spans="1:17" ht="15.75" customHeight="1" x14ac:dyDescent="0.2">
      <c r="A297" s="526">
        <v>289</v>
      </c>
      <c r="B297" s="599" t="s">
        <v>561</v>
      </c>
      <c r="C297" s="600" t="s">
        <v>62</v>
      </c>
      <c r="D297" s="599"/>
      <c r="E297" s="490" t="s">
        <v>671</v>
      </c>
      <c r="F297" s="601" t="s">
        <v>562</v>
      </c>
      <c r="G297" s="289" t="s">
        <v>778</v>
      </c>
      <c r="H297" s="599">
        <v>31</v>
      </c>
      <c r="I297" s="599">
        <v>0</v>
      </c>
      <c r="J297" s="599">
        <v>0</v>
      </c>
      <c r="K297" s="602">
        <v>0</v>
      </c>
      <c r="L297" s="602">
        <v>0</v>
      </c>
      <c r="M297" s="482">
        <v>0</v>
      </c>
      <c r="N297" s="599">
        <v>0</v>
      </c>
      <c r="O297" s="602">
        <v>0</v>
      </c>
      <c r="P297" s="602">
        <v>0</v>
      </c>
      <c r="Q297" s="482">
        <v>0</v>
      </c>
    </row>
    <row r="298" spans="1:17" ht="15.75" customHeight="1" x14ac:dyDescent="0.2">
      <c r="A298" s="526">
        <v>290</v>
      </c>
      <c r="B298" s="599" t="s">
        <v>563</v>
      </c>
      <c r="C298" s="600" t="s">
        <v>62</v>
      </c>
      <c r="D298" s="599"/>
      <c r="E298" s="490" t="s">
        <v>671</v>
      </c>
      <c r="F298" s="601" t="s">
        <v>564</v>
      </c>
      <c r="G298" s="289" t="s">
        <v>778</v>
      </c>
      <c r="H298" s="599">
        <v>36</v>
      </c>
      <c r="I298" s="599">
        <v>0</v>
      </c>
      <c r="J298" s="599">
        <v>1</v>
      </c>
      <c r="K298" s="602">
        <v>2643</v>
      </c>
      <c r="L298" s="602">
        <v>2643</v>
      </c>
      <c r="M298" s="482">
        <v>0</v>
      </c>
      <c r="N298" s="599">
        <v>0</v>
      </c>
      <c r="O298" s="602">
        <v>0</v>
      </c>
      <c r="P298" s="602">
        <v>0</v>
      </c>
      <c r="Q298" s="482">
        <v>0</v>
      </c>
    </row>
    <row r="299" spans="1:17" ht="15.75" customHeight="1" x14ac:dyDescent="0.2">
      <c r="A299" s="526">
        <v>291</v>
      </c>
      <c r="B299" s="599" t="s">
        <v>53</v>
      </c>
      <c r="C299" s="600" t="s">
        <v>62</v>
      </c>
      <c r="D299" s="599"/>
      <c r="E299" s="486" t="s">
        <v>158</v>
      </c>
      <c r="F299" s="601" t="s">
        <v>634</v>
      </c>
      <c r="G299" s="289" t="s">
        <v>778</v>
      </c>
      <c r="H299" s="599">
        <v>17</v>
      </c>
      <c r="I299" s="599">
        <v>1</v>
      </c>
      <c r="J299" s="599">
        <v>1</v>
      </c>
      <c r="K299" s="602">
        <v>920.5</v>
      </c>
      <c r="L299" s="602">
        <v>920.5</v>
      </c>
      <c r="M299" s="482">
        <v>0</v>
      </c>
      <c r="N299" s="371">
        <v>0</v>
      </c>
      <c r="O299" s="492">
        <v>0</v>
      </c>
      <c r="P299" s="492">
        <v>0</v>
      </c>
      <c r="Q299" s="482">
        <v>0</v>
      </c>
    </row>
  </sheetData>
  <autoFilter ref="A8:IV299"/>
  <pageMargins left="0.75" right="0.75" top="1" bottom="1" header="0.5" footer="0.5"/>
  <pageSetup paperSize="9" orientation="portrait" verticalDpi="30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R299"/>
  <sheetViews>
    <sheetView topLeftCell="A282" workbookViewId="0">
      <selection activeCell="D310" sqref="D310"/>
    </sheetView>
  </sheetViews>
  <sheetFormatPr defaultRowHeight="12.75" x14ac:dyDescent="0.2"/>
  <cols>
    <col min="1" max="1" width="5" style="459" customWidth="1"/>
    <col min="2" max="2" width="43" style="459" customWidth="1"/>
    <col min="3" max="3" width="10.140625" style="459" customWidth="1"/>
    <col min="4" max="4" width="45" style="459" customWidth="1"/>
    <col min="5" max="5" width="34.5703125" style="459" customWidth="1"/>
    <col min="6" max="6" width="20.42578125" style="459" customWidth="1"/>
    <col min="7" max="7" width="36" style="459" customWidth="1"/>
    <col min="8" max="10" width="9.140625" style="459"/>
    <col min="11" max="12" width="9.5703125" style="459" customWidth="1"/>
    <col min="13" max="13" width="9.42578125" style="459" customWidth="1"/>
    <col min="14" max="14" width="9.140625" style="459"/>
    <col min="15" max="16" width="10.5703125" style="459" customWidth="1"/>
    <col min="17" max="17" width="9.42578125" style="459" customWidth="1"/>
    <col min="18" max="256" width="9.140625" style="459"/>
    <col min="257" max="257" width="5" style="459" customWidth="1"/>
    <col min="258" max="258" width="43" style="459" customWidth="1"/>
    <col min="259" max="259" width="10.140625" style="459" customWidth="1"/>
    <col min="260" max="260" width="45" style="459" customWidth="1"/>
    <col min="261" max="261" width="34.5703125" style="459" customWidth="1"/>
    <col min="262" max="262" width="20.42578125" style="459" customWidth="1"/>
    <col min="263" max="263" width="36" style="459" customWidth="1"/>
    <col min="264" max="266" width="9.140625" style="459"/>
    <col min="267" max="268" width="9.5703125" style="459" customWidth="1"/>
    <col min="269" max="269" width="9.42578125" style="459" customWidth="1"/>
    <col min="270" max="270" width="9.140625" style="459"/>
    <col min="271" max="272" width="10.5703125" style="459" customWidth="1"/>
    <col min="273" max="273" width="9.42578125" style="459" customWidth="1"/>
    <col min="274" max="512" width="9.140625" style="459"/>
    <col min="513" max="513" width="5" style="459" customWidth="1"/>
    <col min="514" max="514" width="43" style="459" customWidth="1"/>
    <col min="515" max="515" width="10.140625" style="459" customWidth="1"/>
    <col min="516" max="516" width="45" style="459" customWidth="1"/>
    <col min="517" max="517" width="34.5703125" style="459" customWidth="1"/>
    <col min="518" max="518" width="20.42578125" style="459" customWidth="1"/>
    <col min="519" max="519" width="36" style="459" customWidth="1"/>
    <col min="520" max="522" width="9.140625" style="459"/>
    <col min="523" max="524" width="9.5703125" style="459" customWidth="1"/>
    <col min="525" max="525" width="9.42578125" style="459" customWidth="1"/>
    <col min="526" max="526" width="9.140625" style="459"/>
    <col min="527" max="528" width="10.5703125" style="459" customWidth="1"/>
    <col min="529" max="529" width="9.42578125" style="459" customWidth="1"/>
    <col min="530" max="768" width="9.140625" style="459"/>
    <col min="769" max="769" width="5" style="459" customWidth="1"/>
    <col min="770" max="770" width="43" style="459" customWidth="1"/>
    <col min="771" max="771" width="10.140625" style="459" customWidth="1"/>
    <col min="772" max="772" width="45" style="459" customWidth="1"/>
    <col min="773" max="773" width="34.5703125" style="459" customWidth="1"/>
    <col min="774" max="774" width="20.42578125" style="459" customWidth="1"/>
    <col min="775" max="775" width="36" style="459" customWidth="1"/>
    <col min="776" max="778" width="9.140625" style="459"/>
    <col min="779" max="780" width="9.5703125" style="459" customWidth="1"/>
    <col min="781" max="781" width="9.42578125" style="459" customWidth="1"/>
    <col min="782" max="782" width="9.140625" style="459"/>
    <col min="783" max="784" width="10.5703125" style="459" customWidth="1"/>
    <col min="785" max="785" width="9.42578125" style="459" customWidth="1"/>
    <col min="786" max="1024" width="9.140625" style="459"/>
    <col min="1025" max="1025" width="5" style="459" customWidth="1"/>
    <col min="1026" max="1026" width="43" style="459" customWidth="1"/>
    <col min="1027" max="1027" width="10.140625" style="459" customWidth="1"/>
    <col min="1028" max="1028" width="45" style="459" customWidth="1"/>
    <col min="1029" max="1029" width="34.5703125" style="459" customWidth="1"/>
    <col min="1030" max="1030" width="20.42578125" style="459" customWidth="1"/>
    <col min="1031" max="1031" width="36" style="459" customWidth="1"/>
    <col min="1032" max="1034" width="9.140625" style="459"/>
    <col min="1035" max="1036" width="9.5703125" style="459" customWidth="1"/>
    <col min="1037" max="1037" width="9.42578125" style="459" customWidth="1"/>
    <col min="1038" max="1038" width="9.140625" style="459"/>
    <col min="1039" max="1040" width="10.5703125" style="459" customWidth="1"/>
    <col min="1041" max="1041" width="9.42578125" style="459" customWidth="1"/>
    <col min="1042" max="1280" width="9.140625" style="459"/>
    <col min="1281" max="1281" width="5" style="459" customWidth="1"/>
    <col min="1282" max="1282" width="43" style="459" customWidth="1"/>
    <col min="1283" max="1283" width="10.140625" style="459" customWidth="1"/>
    <col min="1284" max="1284" width="45" style="459" customWidth="1"/>
    <col min="1285" max="1285" width="34.5703125" style="459" customWidth="1"/>
    <col min="1286" max="1286" width="20.42578125" style="459" customWidth="1"/>
    <col min="1287" max="1287" width="36" style="459" customWidth="1"/>
    <col min="1288" max="1290" width="9.140625" style="459"/>
    <col min="1291" max="1292" width="9.5703125" style="459" customWidth="1"/>
    <col min="1293" max="1293" width="9.42578125" style="459" customWidth="1"/>
    <col min="1294" max="1294" width="9.140625" style="459"/>
    <col min="1295" max="1296" width="10.5703125" style="459" customWidth="1"/>
    <col min="1297" max="1297" width="9.42578125" style="459" customWidth="1"/>
    <col min="1298" max="1536" width="9.140625" style="459"/>
    <col min="1537" max="1537" width="5" style="459" customWidth="1"/>
    <col min="1538" max="1538" width="43" style="459" customWidth="1"/>
    <col min="1539" max="1539" width="10.140625" style="459" customWidth="1"/>
    <col min="1540" max="1540" width="45" style="459" customWidth="1"/>
    <col min="1541" max="1541" width="34.5703125" style="459" customWidth="1"/>
    <col min="1542" max="1542" width="20.42578125" style="459" customWidth="1"/>
    <col min="1543" max="1543" width="36" style="459" customWidth="1"/>
    <col min="1544" max="1546" width="9.140625" style="459"/>
    <col min="1547" max="1548" width="9.5703125" style="459" customWidth="1"/>
    <col min="1549" max="1549" width="9.42578125" style="459" customWidth="1"/>
    <col min="1550" max="1550" width="9.140625" style="459"/>
    <col min="1551" max="1552" width="10.5703125" style="459" customWidth="1"/>
    <col min="1553" max="1553" width="9.42578125" style="459" customWidth="1"/>
    <col min="1554" max="1792" width="9.140625" style="459"/>
    <col min="1793" max="1793" width="5" style="459" customWidth="1"/>
    <col min="1794" max="1794" width="43" style="459" customWidth="1"/>
    <col min="1795" max="1795" width="10.140625" style="459" customWidth="1"/>
    <col min="1796" max="1796" width="45" style="459" customWidth="1"/>
    <col min="1797" max="1797" width="34.5703125" style="459" customWidth="1"/>
    <col min="1798" max="1798" width="20.42578125" style="459" customWidth="1"/>
    <col min="1799" max="1799" width="36" style="459" customWidth="1"/>
    <col min="1800" max="1802" width="9.140625" style="459"/>
    <col min="1803" max="1804" width="9.5703125" style="459" customWidth="1"/>
    <col min="1805" max="1805" width="9.42578125" style="459" customWidth="1"/>
    <col min="1806" max="1806" width="9.140625" style="459"/>
    <col min="1807" max="1808" width="10.5703125" style="459" customWidth="1"/>
    <col min="1809" max="1809" width="9.42578125" style="459" customWidth="1"/>
    <col min="1810" max="2048" width="9.140625" style="459"/>
    <col min="2049" max="2049" width="5" style="459" customWidth="1"/>
    <col min="2050" max="2050" width="43" style="459" customWidth="1"/>
    <col min="2051" max="2051" width="10.140625" style="459" customWidth="1"/>
    <col min="2052" max="2052" width="45" style="459" customWidth="1"/>
    <col min="2053" max="2053" width="34.5703125" style="459" customWidth="1"/>
    <col min="2054" max="2054" width="20.42578125" style="459" customWidth="1"/>
    <col min="2055" max="2055" width="36" style="459" customWidth="1"/>
    <col min="2056" max="2058" width="9.140625" style="459"/>
    <col min="2059" max="2060" width="9.5703125" style="459" customWidth="1"/>
    <col min="2061" max="2061" width="9.42578125" style="459" customWidth="1"/>
    <col min="2062" max="2062" width="9.140625" style="459"/>
    <col min="2063" max="2064" width="10.5703125" style="459" customWidth="1"/>
    <col min="2065" max="2065" width="9.42578125" style="459" customWidth="1"/>
    <col min="2066" max="2304" width="9.140625" style="459"/>
    <col min="2305" max="2305" width="5" style="459" customWidth="1"/>
    <col min="2306" max="2306" width="43" style="459" customWidth="1"/>
    <col min="2307" max="2307" width="10.140625" style="459" customWidth="1"/>
    <col min="2308" max="2308" width="45" style="459" customWidth="1"/>
    <col min="2309" max="2309" width="34.5703125" style="459" customWidth="1"/>
    <col min="2310" max="2310" width="20.42578125" style="459" customWidth="1"/>
    <col min="2311" max="2311" width="36" style="459" customWidth="1"/>
    <col min="2312" max="2314" width="9.140625" style="459"/>
    <col min="2315" max="2316" width="9.5703125" style="459" customWidth="1"/>
    <col min="2317" max="2317" width="9.42578125" style="459" customWidth="1"/>
    <col min="2318" max="2318" width="9.140625" style="459"/>
    <col min="2319" max="2320" width="10.5703125" style="459" customWidth="1"/>
    <col min="2321" max="2321" width="9.42578125" style="459" customWidth="1"/>
    <col min="2322" max="2560" width="9.140625" style="459"/>
    <col min="2561" max="2561" width="5" style="459" customWidth="1"/>
    <col min="2562" max="2562" width="43" style="459" customWidth="1"/>
    <col min="2563" max="2563" width="10.140625" style="459" customWidth="1"/>
    <col min="2564" max="2564" width="45" style="459" customWidth="1"/>
    <col min="2565" max="2565" width="34.5703125" style="459" customWidth="1"/>
    <col min="2566" max="2566" width="20.42578125" style="459" customWidth="1"/>
    <col min="2567" max="2567" width="36" style="459" customWidth="1"/>
    <col min="2568" max="2570" width="9.140625" style="459"/>
    <col min="2571" max="2572" width="9.5703125" style="459" customWidth="1"/>
    <col min="2573" max="2573" width="9.42578125" style="459" customWidth="1"/>
    <col min="2574" max="2574" width="9.140625" style="459"/>
    <col min="2575" max="2576" width="10.5703125" style="459" customWidth="1"/>
    <col min="2577" max="2577" width="9.42578125" style="459" customWidth="1"/>
    <col min="2578" max="2816" width="9.140625" style="459"/>
    <col min="2817" max="2817" width="5" style="459" customWidth="1"/>
    <col min="2818" max="2818" width="43" style="459" customWidth="1"/>
    <col min="2819" max="2819" width="10.140625" style="459" customWidth="1"/>
    <col min="2820" max="2820" width="45" style="459" customWidth="1"/>
    <col min="2821" max="2821" width="34.5703125" style="459" customWidth="1"/>
    <col min="2822" max="2822" width="20.42578125" style="459" customWidth="1"/>
    <col min="2823" max="2823" width="36" style="459" customWidth="1"/>
    <col min="2824" max="2826" width="9.140625" style="459"/>
    <col min="2827" max="2828" width="9.5703125" style="459" customWidth="1"/>
    <col min="2829" max="2829" width="9.42578125" style="459" customWidth="1"/>
    <col min="2830" max="2830" width="9.140625" style="459"/>
    <col min="2831" max="2832" width="10.5703125" style="459" customWidth="1"/>
    <col min="2833" max="2833" width="9.42578125" style="459" customWidth="1"/>
    <col min="2834" max="3072" width="9.140625" style="459"/>
    <col min="3073" max="3073" width="5" style="459" customWidth="1"/>
    <col min="3074" max="3074" width="43" style="459" customWidth="1"/>
    <col min="3075" max="3075" width="10.140625" style="459" customWidth="1"/>
    <col min="3076" max="3076" width="45" style="459" customWidth="1"/>
    <col min="3077" max="3077" width="34.5703125" style="459" customWidth="1"/>
    <col min="3078" max="3078" width="20.42578125" style="459" customWidth="1"/>
    <col min="3079" max="3079" width="36" style="459" customWidth="1"/>
    <col min="3080" max="3082" width="9.140625" style="459"/>
    <col min="3083" max="3084" width="9.5703125" style="459" customWidth="1"/>
    <col min="3085" max="3085" width="9.42578125" style="459" customWidth="1"/>
    <col min="3086" max="3086" width="9.140625" style="459"/>
    <col min="3087" max="3088" width="10.5703125" style="459" customWidth="1"/>
    <col min="3089" max="3089" width="9.42578125" style="459" customWidth="1"/>
    <col min="3090" max="3328" width="9.140625" style="459"/>
    <col min="3329" max="3329" width="5" style="459" customWidth="1"/>
    <col min="3330" max="3330" width="43" style="459" customWidth="1"/>
    <col min="3331" max="3331" width="10.140625" style="459" customWidth="1"/>
    <col min="3332" max="3332" width="45" style="459" customWidth="1"/>
    <col min="3333" max="3333" width="34.5703125" style="459" customWidth="1"/>
    <col min="3334" max="3334" width="20.42578125" style="459" customWidth="1"/>
    <col min="3335" max="3335" width="36" style="459" customWidth="1"/>
    <col min="3336" max="3338" width="9.140625" style="459"/>
    <col min="3339" max="3340" width="9.5703125" style="459" customWidth="1"/>
    <col min="3341" max="3341" width="9.42578125" style="459" customWidth="1"/>
    <col min="3342" max="3342" width="9.140625" style="459"/>
    <col min="3343" max="3344" width="10.5703125" style="459" customWidth="1"/>
    <col min="3345" max="3345" width="9.42578125" style="459" customWidth="1"/>
    <col min="3346" max="3584" width="9.140625" style="459"/>
    <col min="3585" max="3585" width="5" style="459" customWidth="1"/>
    <col min="3586" max="3586" width="43" style="459" customWidth="1"/>
    <col min="3587" max="3587" width="10.140625" style="459" customWidth="1"/>
    <col min="3588" max="3588" width="45" style="459" customWidth="1"/>
    <col min="3589" max="3589" width="34.5703125" style="459" customWidth="1"/>
    <col min="3590" max="3590" width="20.42578125" style="459" customWidth="1"/>
    <col min="3591" max="3591" width="36" style="459" customWidth="1"/>
    <col min="3592" max="3594" width="9.140625" style="459"/>
    <col min="3595" max="3596" width="9.5703125" style="459" customWidth="1"/>
    <col min="3597" max="3597" width="9.42578125" style="459" customWidth="1"/>
    <col min="3598" max="3598" width="9.140625" style="459"/>
    <col min="3599" max="3600" width="10.5703125" style="459" customWidth="1"/>
    <col min="3601" max="3601" width="9.42578125" style="459" customWidth="1"/>
    <col min="3602" max="3840" width="9.140625" style="459"/>
    <col min="3841" max="3841" width="5" style="459" customWidth="1"/>
    <col min="3842" max="3842" width="43" style="459" customWidth="1"/>
    <col min="3843" max="3843" width="10.140625" style="459" customWidth="1"/>
    <col min="3844" max="3844" width="45" style="459" customWidth="1"/>
    <col min="3845" max="3845" width="34.5703125" style="459" customWidth="1"/>
    <col min="3846" max="3846" width="20.42578125" style="459" customWidth="1"/>
    <col min="3847" max="3847" width="36" style="459" customWidth="1"/>
    <col min="3848" max="3850" width="9.140625" style="459"/>
    <col min="3851" max="3852" width="9.5703125" style="459" customWidth="1"/>
    <col min="3853" max="3853" width="9.42578125" style="459" customWidth="1"/>
    <col min="3854" max="3854" width="9.140625" style="459"/>
    <col min="3855" max="3856" width="10.5703125" style="459" customWidth="1"/>
    <col min="3857" max="3857" width="9.42578125" style="459" customWidth="1"/>
    <col min="3858" max="4096" width="9.140625" style="459"/>
    <col min="4097" max="4097" width="5" style="459" customWidth="1"/>
    <col min="4098" max="4098" width="43" style="459" customWidth="1"/>
    <col min="4099" max="4099" width="10.140625" style="459" customWidth="1"/>
    <col min="4100" max="4100" width="45" style="459" customWidth="1"/>
    <col min="4101" max="4101" width="34.5703125" style="459" customWidth="1"/>
    <col min="4102" max="4102" width="20.42578125" style="459" customWidth="1"/>
    <col min="4103" max="4103" width="36" style="459" customWidth="1"/>
    <col min="4104" max="4106" width="9.140625" style="459"/>
    <col min="4107" max="4108" width="9.5703125" style="459" customWidth="1"/>
    <col min="4109" max="4109" width="9.42578125" style="459" customWidth="1"/>
    <col min="4110" max="4110" width="9.140625" style="459"/>
    <col min="4111" max="4112" width="10.5703125" style="459" customWidth="1"/>
    <col min="4113" max="4113" width="9.42578125" style="459" customWidth="1"/>
    <col min="4114" max="4352" width="9.140625" style="459"/>
    <col min="4353" max="4353" width="5" style="459" customWidth="1"/>
    <col min="4354" max="4354" width="43" style="459" customWidth="1"/>
    <col min="4355" max="4355" width="10.140625" style="459" customWidth="1"/>
    <col min="4356" max="4356" width="45" style="459" customWidth="1"/>
    <col min="4357" max="4357" width="34.5703125" style="459" customWidth="1"/>
    <col min="4358" max="4358" width="20.42578125" style="459" customWidth="1"/>
    <col min="4359" max="4359" width="36" style="459" customWidth="1"/>
    <col min="4360" max="4362" width="9.140625" style="459"/>
    <col min="4363" max="4364" width="9.5703125" style="459" customWidth="1"/>
    <col min="4365" max="4365" width="9.42578125" style="459" customWidth="1"/>
    <col min="4366" max="4366" width="9.140625" style="459"/>
    <col min="4367" max="4368" width="10.5703125" style="459" customWidth="1"/>
    <col min="4369" max="4369" width="9.42578125" style="459" customWidth="1"/>
    <col min="4370" max="4608" width="9.140625" style="459"/>
    <col min="4609" max="4609" width="5" style="459" customWidth="1"/>
    <col min="4610" max="4610" width="43" style="459" customWidth="1"/>
    <col min="4611" max="4611" width="10.140625" style="459" customWidth="1"/>
    <col min="4612" max="4612" width="45" style="459" customWidth="1"/>
    <col min="4613" max="4613" width="34.5703125" style="459" customWidth="1"/>
    <col min="4614" max="4614" width="20.42578125" style="459" customWidth="1"/>
    <col min="4615" max="4615" width="36" style="459" customWidth="1"/>
    <col min="4616" max="4618" width="9.140625" style="459"/>
    <col min="4619" max="4620" width="9.5703125" style="459" customWidth="1"/>
    <col min="4621" max="4621" width="9.42578125" style="459" customWidth="1"/>
    <col min="4622" max="4622" width="9.140625" style="459"/>
    <col min="4623" max="4624" width="10.5703125" style="459" customWidth="1"/>
    <col min="4625" max="4625" width="9.42578125" style="459" customWidth="1"/>
    <col min="4626" max="4864" width="9.140625" style="459"/>
    <col min="4865" max="4865" width="5" style="459" customWidth="1"/>
    <col min="4866" max="4866" width="43" style="459" customWidth="1"/>
    <col min="4867" max="4867" width="10.140625" style="459" customWidth="1"/>
    <col min="4868" max="4868" width="45" style="459" customWidth="1"/>
    <col min="4869" max="4869" width="34.5703125" style="459" customWidth="1"/>
    <col min="4870" max="4870" width="20.42578125" style="459" customWidth="1"/>
    <col min="4871" max="4871" width="36" style="459" customWidth="1"/>
    <col min="4872" max="4874" width="9.140625" style="459"/>
    <col min="4875" max="4876" width="9.5703125" style="459" customWidth="1"/>
    <col min="4877" max="4877" width="9.42578125" style="459" customWidth="1"/>
    <col min="4878" max="4878" width="9.140625" style="459"/>
    <col min="4879" max="4880" width="10.5703125" style="459" customWidth="1"/>
    <col min="4881" max="4881" width="9.42578125" style="459" customWidth="1"/>
    <col min="4882" max="5120" width="9.140625" style="459"/>
    <col min="5121" max="5121" width="5" style="459" customWidth="1"/>
    <col min="5122" max="5122" width="43" style="459" customWidth="1"/>
    <col min="5123" max="5123" width="10.140625" style="459" customWidth="1"/>
    <col min="5124" max="5124" width="45" style="459" customWidth="1"/>
    <col min="5125" max="5125" width="34.5703125" style="459" customWidth="1"/>
    <col min="5126" max="5126" width="20.42578125" style="459" customWidth="1"/>
    <col min="5127" max="5127" width="36" style="459" customWidth="1"/>
    <col min="5128" max="5130" width="9.140625" style="459"/>
    <col min="5131" max="5132" width="9.5703125" style="459" customWidth="1"/>
    <col min="5133" max="5133" width="9.42578125" style="459" customWidth="1"/>
    <col min="5134" max="5134" width="9.140625" style="459"/>
    <col min="5135" max="5136" width="10.5703125" style="459" customWidth="1"/>
    <col min="5137" max="5137" width="9.42578125" style="459" customWidth="1"/>
    <col min="5138" max="5376" width="9.140625" style="459"/>
    <col min="5377" max="5377" width="5" style="459" customWidth="1"/>
    <col min="5378" max="5378" width="43" style="459" customWidth="1"/>
    <col min="5379" max="5379" width="10.140625" style="459" customWidth="1"/>
    <col min="5380" max="5380" width="45" style="459" customWidth="1"/>
    <col min="5381" max="5381" width="34.5703125" style="459" customWidth="1"/>
    <col min="5382" max="5382" width="20.42578125" style="459" customWidth="1"/>
    <col min="5383" max="5383" width="36" style="459" customWidth="1"/>
    <col min="5384" max="5386" width="9.140625" style="459"/>
    <col min="5387" max="5388" width="9.5703125" style="459" customWidth="1"/>
    <col min="5389" max="5389" width="9.42578125" style="459" customWidth="1"/>
    <col min="5390" max="5390" width="9.140625" style="459"/>
    <col min="5391" max="5392" width="10.5703125" style="459" customWidth="1"/>
    <col min="5393" max="5393" width="9.42578125" style="459" customWidth="1"/>
    <col min="5394" max="5632" width="9.140625" style="459"/>
    <col min="5633" max="5633" width="5" style="459" customWidth="1"/>
    <col min="5634" max="5634" width="43" style="459" customWidth="1"/>
    <col min="5635" max="5635" width="10.140625" style="459" customWidth="1"/>
    <col min="5636" max="5636" width="45" style="459" customWidth="1"/>
    <col min="5637" max="5637" width="34.5703125" style="459" customWidth="1"/>
    <col min="5638" max="5638" width="20.42578125" style="459" customWidth="1"/>
    <col min="5639" max="5639" width="36" style="459" customWidth="1"/>
    <col min="5640" max="5642" width="9.140625" style="459"/>
    <col min="5643" max="5644" width="9.5703125" style="459" customWidth="1"/>
    <col min="5645" max="5645" width="9.42578125" style="459" customWidth="1"/>
    <col min="5646" max="5646" width="9.140625" style="459"/>
    <col min="5647" max="5648" width="10.5703125" style="459" customWidth="1"/>
    <col min="5649" max="5649" width="9.42578125" style="459" customWidth="1"/>
    <col min="5650" max="5888" width="9.140625" style="459"/>
    <col min="5889" max="5889" width="5" style="459" customWidth="1"/>
    <col min="5890" max="5890" width="43" style="459" customWidth="1"/>
    <col min="5891" max="5891" width="10.140625" style="459" customWidth="1"/>
    <col min="5892" max="5892" width="45" style="459" customWidth="1"/>
    <col min="5893" max="5893" width="34.5703125" style="459" customWidth="1"/>
    <col min="5894" max="5894" width="20.42578125" style="459" customWidth="1"/>
    <col min="5895" max="5895" width="36" style="459" customWidth="1"/>
    <col min="5896" max="5898" width="9.140625" style="459"/>
    <col min="5899" max="5900" width="9.5703125" style="459" customWidth="1"/>
    <col min="5901" max="5901" width="9.42578125" style="459" customWidth="1"/>
    <col min="5902" max="5902" width="9.140625" style="459"/>
    <col min="5903" max="5904" width="10.5703125" style="459" customWidth="1"/>
    <col min="5905" max="5905" width="9.42578125" style="459" customWidth="1"/>
    <col min="5906" max="6144" width="9.140625" style="459"/>
    <col min="6145" max="6145" width="5" style="459" customWidth="1"/>
    <col min="6146" max="6146" width="43" style="459" customWidth="1"/>
    <col min="6147" max="6147" width="10.140625" style="459" customWidth="1"/>
    <col min="6148" max="6148" width="45" style="459" customWidth="1"/>
    <col min="6149" max="6149" width="34.5703125" style="459" customWidth="1"/>
    <col min="6150" max="6150" width="20.42578125" style="459" customWidth="1"/>
    <col min="6151" max="6151" width="36" style="459" customWidth="1"/>
    <col min="6152" max="6154" width="9.140625" style="459"/>
    <col min="6155" max="6156" width="9.5703125" style="459" customWidth="1"/>
    <col min="6157" max="6157" width="9.42578125" style="459" customWidth="1"/>
    <col min="6158" max="6158" width="9.140625" style="459"/>
    <col min="6159" max="6160" width="10.5703125" style="459" customWidth="1"/>
    <col min="6161" max="6161" width="9.42578125" style="459" customWidth="1"/>
    <col min="6162" max="6400" width="9.140625" style="459"/>
    <col min="6401" max="6401" width="5" style="459" customWidth="1"/>
    <col min="6402" max="6402" width="43" style="459" customWidth="1"/>
    <col min="6403" max="6403" width="10.140625" style="459" customWidth="1"/>
    <col min="6404" max="6404" width="45" style="459" customWidth="1"/>
    <col min="6405" max="6405" width="34.5703125" style="459" customWidth="1"/>
    <col min="6406" max="6406" width="20.42578125" style="459" customWidth="1"/>
    <col min="6407" max="6407" width="36" style="459" customWidth="1"/>
    <col min="6408" max="6410" width="9.140625" style="459"/>
    <col min="6411" max="6412" width="9.5703125" style="459" customWidth="1"/>
    <col min="6413" max="6413" width="9.42578125" style="459" customWidth="1"/>
    <col min="6414" max="6414" width="9.140625" style="459"/>
    <col min="6415" max="6416" width="10.5703125" style="459" customWidth="1"/>
    <col min="6417" max="6417" width="9.42578125" style="459" customWidth="1"/>
    <col min="6418" max="6656" width="9.140625" style="459"/>
    <col min="6657" max="6657" width="5" style="459" customWidth="1"/>
    <col min="6658" max="6658" width="43" style="459" customWidth="1"/>
    <col min="6659" max="6659" width="10.140625" style="459" customWidth="1"/>
    <col min="6660" max="6660" width="45" style="459" customWidth="1"/>
    <col min="6661" max="6661" width="34.5703125" style="459" customWidth="1"/>
    <col min="6662" max="6662" width="20.42578125" style="459" customWidth="1"/>
    <col min="6663" max="6663" width="36" style="459" customWidth="1"/>
    <col min="6664" max="6666" width="9.140625" style="459"/>
    <col min="6667" max="6668" width="9.5703125" style="459" customWidth="1"/>
    <col min="6669" max="6669" width="9.42578125" style="459" customWidth="1"/>
    <col min="6670" max="6670" width="9.140625" style="459"/>
    <col min="6671" max="6672" width="10.5703125" style="459" customWidth="1"/>
    <col min="6673" max="6673" width="9.42578125" style="459" customWidth="1"/>
    <col min="6674" max="6912" width="9.140625" style="459"/>
    <col min="6913" max="6913" width="5" style="459" customWidth="1"/>
    <col min="6914" max="6914" width="43" style="459" customWidth="1"/>
    <col min="6915" max="6915" width="10.140625" style="459" customWidth="1"/>
    <col min="6916" max="6916" width="45" style="459" customWidth="1"/>
    <col min="6917" max="6917" width="34.5703125" style="459" customWidth="1"/>
    <col min="6918" max="6918" width="20.42578125" style="459" customWidth="1"/>
    <col min="6919" max="6919" width="36" style="459" customWidth="1"/>
    <col min="6920" max="6922" width="9.140625" style="459"/>
    <col min="6923" max="6924" width="9.5703125" style="459" customWidth="1"/>
    <col min="6925" max="6925" width="9.42578125" style="459" customWidth="1"/>
    <col min="6926" max="6926" width="9.140625" style="459"/>
    <col min="6927" max="6928" width="10.5703125" style="459" customWidth="1"/>
    <col min="6929" max="6929" width="9.42578125" style="459" customWidth="1"/>
    <col min="6930" max="7168" width="9.140625" style="459"/>
    <col min="7169" max="7169" width="5" style="459" customWidth="1"/>
    <col min="7170" max="7170" width="43" style="459" customWidth="1"/>
    <col min="7171" max="7171" width="10.140625" style="459" customWidth="1"/>
    <col min="7172" max="7172" width="45" style="459" customWidth="1"/>
    <col min="7173" max="7173" width="34.5703125" style="459" customWidth="1"/>
    <col min="7174" max="7174" width="20.42578125" style="459" customWidth="1"/>
    <col min="7175" max="7175" width="36" style="459" customWidth="1"/>
    <col min="7176" max="7178" width="9.140625" style="459"/>
    <col min="7179" max="7180" width="9.5703125" style="459" customWidth="1"/>
    <col min="7181" max="7181" width="9.42578125" style="459" customWidth="1"/>
    <col min="7182" max="7182" width="9.140625" style="459"/>
    <col min="7183" max="7184" width="10.5703125" style="459" customWidth="1"/>
    <col min="7185" max="7185" width="9.42578125" style="459" customWidth="1"/>
    <col min="7186" max="7424" width="9.140625" style="459"/>
    <col min="7425" max="7425" width="5" style="459" customWidth="1"/>
    <col min="7426" max="7426" width="43" style="459" customWidth="1"/>
    <col min="7427" max="7427" width="10.140625" style="459" customWidth="1"/>
    <col min="7428" max="7428" width="45" style="459" customWidth="1"/>
    <col min="7429" max="7429" width="34.5703125" style="459" customWidth="1"/>
    <col min="7430" max="7430" width="20.42578125" style="459" customWidth="1"/>
    <col min="7431" max="7431" width="36" style="459" customWidth="1"/>
    <col min="7432" max="7434" width="9.140625" style="459"/>
    <col min="7435" max="7436" width="9.5703125" style="459" customWidth="1"/>
    <col min="7437" max="7437" width="9.42578125" style="459" customWidth="1"/>
    <col min="7438" max="7438" width="9.140625" style="459"/>
    <col min="7439" max="7440" width="10.5703125" style="459" customWidth="1"/>
    <col min="7441" max="7441" width="9.42578125" style="459" customWidth="1"/>
    <col min="7442" max="7680" width="9.140625" style="459"/>
    <col min="7681" max="7681" width="5" style="459" customWidth="1"/>
    <col min="7682" max="7682" width="43" style="459" customWidth="1"/>
    <col min="7683" max="7683" width="10.140625" style="459" customWidth="1"/>
    <col min="7684" max="7684" width="45" style="459" customWidth="1"/>
    <col min="7685" max="7685" width="34.5703125" style="459" customWidth="1"/>
    <col min="7686" max="7686" width="20.42578125" style="459" customWidth="1"/>
    <col min="7687" max="7687" width="36" style="459" customWidth="1"/>
    <col min="7688" max="7690" width="9.140625" style="459"/>
    <col min="7691" max="7692" width="9.5703125" style="459" customWidth="1"/>
    <col min="7693" max="7693" width="9.42578125" style="459" customWidth="1"/>
    <col min="7694" max="7694" width="9.140625" style="459"/>
    <col min="7695" max="7696" width="10.5703125" style="459" customWidth="1"/>
    <col min="7697" max="7697" width="9.42578125" style="459" customWidth="1"/>
    <col min="7698" max="7936" width="9.140625" style="459"/>
    <col min="7937" max="7937" width="5" style="459" customWidth="1"/>
    <col min="7938" max="7938" width="43" style="459" customWidth="1"/>
    <col min="7939" max="7939" width="10.140625" style="459" customWidth="1"/>
    <col min="7940" max="7940" width="45" style="459" customWidth="1"/>
    <col min="7941" max="7941" width="34.5703125" style="459" customWidth="1"/>
    <col min="7942" max="7942" width="20.42578125" style="459" customWidth="1"/>
    <col min="7943" max="7943" width="36" style="459" customWidth="1"/>
    <col min="7944" max="7946" width="9.140625" style="459"/>
    <col min="7947" max="7948" width="9.5703125" style="459" customWidth="1"/>
    <col min="7949" max="7949" width="9.42578125" style="459" customWidth="1"/>
    <col min="7950" max="7950" width="9.140625" style="459"/>
    <col min="7951" max="7952" width="10.5703125" style="459" customWidth="1"/>
    <col min="7953" max="7953" width="9.42578125" style="459" customWidth="1"/>
    <col min="7954" max="8192" width="9.140625" style="459"/>
    <col min="8193" max="8193" width="5" style="459" customWidth="1"/>
    <col min="8194" max="8194" width="43" style="459" customWidth="1"/>
    <col min="8195" max="8195" width="10.140625" style="459" customWidth="1"/>
    <col min="8196" max="8196" width="45" style="459" customWidth="1"/>
    <col min="8197" max="8197" width="34.5703125" style="459" customWidth="1"/>
    <col min="8198" max="8198" width="20.42578125" style="459" customWidth="1"/>
    <col min="8199" max="8199" width="36" style="459" customWidth="1"/>
    <col min="8200" max="8202" width="9.140625" style="459"/>
    <col min="8203" max="8204" width="9.5703125" style="459" customWidth="1"/>
    <col min="8205" max="8205" width="9.42578125" style="459" customWidth="1"/>
    <col min="8206" max="8206" width="9.140625" style="459"/>
    <col min="8207" max="8208" width="10.5703125" style="459" customWidth="1"/>
    <col min="8209" max="8209" width="9.42578125" style="459" customWidth="1"/>
    <col min="8210" max="8448" width="9.140625" style="459"/>
    <col min="8449" max="8449" width="5" style="459" customWidth="1"/>
    <col min="8450" max="8450" width="43" style="459" customWidth="1"/>
    <col min="8451" max="8451" width="10.140625" style="459" customWidth="1"/>
    <col min="8452" max="8452" width="45" style="459" customWidth="1"/>
    <col min="8453" max="8453" width="34.5703125" style="459" customWidth="1"/>
    <col min="8454" max="8454" width="20.42578125" style="459" customWidth="1"/>
    <col min="8455" max="8455" width="36" style="459" customWidth="1"/>
    <col min="8456" max="8458" width="9.140625" style="459"/>
    <col min="8459" max="8460" width="9.5703125" style="459" customWidth="1"/>
    <col min="8461" max="8461" width="9.42578125" style="459" customWidth="1"/>
    <col min="8462" max="8462" width="9.140625" style="459"/>
    <col min="8463" max="8464" width="10.5703125" style="459" customWidth="1"/>
    <col min="8465" max="8465" width="9.42578125" style="459" customWidth="1"/>
    <col min="8466" max="8704" width="9.140625" style="459"/>
    <col min="8705" max="8705" width="5" style="459" customWidth="1"/>
    <col min="8706" max="8706" width="43" style="459" customWidth="1"/>
    <col min="8707" max="8707" width="10.140625" style="459" customWidth="1"/>
    <col min="8708" max="8708" width="45" style="459" customWidth="1"/>
    <col min="8709" max="8709" width="34.5703125" style="459" customWidth="1"/>
    <col min="8710" max="8710" width="20.42578125" style="459" customWidth="1"/>
    <col min="8711" max="8711" width="36" style="459" customWidth="1"/>
    <col min="8712" max="8714" width="9.140625" style="459"/>
    <col min="8715" max="8716" width="9.5703125" style="459" customWidth="1"/>
    <col min="8717" max="8717" width="9.42578125" style="459" customWidth="1"/>
    <col min="8718" max="8718" width="9.140625" style="459"/>
    <col min="8719" max="8720" width="10.5703125" style="459" customWidth="1"/>
    <col min="8721" max="8721" width="9.42578125" style="459" customWidth="1"/>
    <col min="8722" max="8960" width="9.140625" style="459"/>
    <col min="8961" max="8961" width="5" style="459" customWidth="1"/>
    <col min="8962" max="8962" width="43" style="459" customWidth="1"/>
    <col min="8963" max="8963" width="10.140625" style="459" customWidth="1"/>
    <col min="8964" max="8964" width="45" style="459" customWidth="1"/>
    <col min="8965" max="8965" width="34.5703125" style="459" customWidth="1"/>
    <col min="8966" max="8966" width="20.42578125" style="459" customWidth="1"/>
    <col min="8967" max="8967" width="36" style="459" customWidth="1"/>
    <col min="8968" max="8970" width="9.140625" style="459"/>
    <col min="8971" max="8972" width="9.5703125" style="459" customWidth="1"/>
    <col min="8973" max="8973" width="9.42578125" style="459" customWidth="1"/>
    <col min="8974" max="8974" width="9.140625" style="459"/>
    <col min="8975" max="8976" width="10.5703125" style="459" customWidth="1"/>
    <col min="8977" max="8977" width="9.42578125" style="459" customWidth="1"/>
    <col min="8978" max="9216" width="9.140625" style="459"/>
    <col min="9217" max="9217" width="5" style="459" customWidth="1"/>
    <col min="9218" max="9218" width="43" style="459" customWidth="1"/>
    <col min="9219" max="9219" width="10.140625" style="459" customWidth="1"/>
    <col min="9220" max="9220" width="45" style="459" customWidth="1"/>
    <col min="9221" max="9221" width="34.5703125" style="459" customWidth="1"/>
    <col min="9222" max="9222" width="20.42578125" style="459" customWidth="1"/>
    <col min="9223" max="9223" width="36" style="459" customWidth="1"/>
    <col min="9224" max="9226" width="9.140625" style="459"/>
    <col min="9227" max="9228" width="9.5703125" style="459" customWidth="1"/>
    <col min="9229" max="9229" width="9.42578125" style="459" customWidth="1"/>
    <col min="9230" max="9230" width="9.140625" style="459"/>
    <col min="9231" max="9232" width="10.5703125" style="459" customWidth="1"/>
    <col min="9233" max="9233" width="9.42578125" style="459" customWidth="1"/>
    <col min="9234" max="9472" width="9.140625" style="459"/>
    <col min="9473" max="9473" width="5" style="459" customWidth="1"/>
    <col min="9474" max="9474" width="43" style="459" customWidth="1"/>
    <col min="9475" max="9475" width="10.140625" style="459" customWidth="1"/>
    <col min="9476" max="9476" width="45" style="459" customWidth="1"/>
    <col min="9477" max="9477" width="34.5703125" style="459" customWidth="1"/>
    <col min="9478" max="9478" width="20.42578125" style="459" customWidth="1"/>
    <col min="9479" max="9479" width="36" style="459" customWidth="1"/>
    <col min="9480" max="9482" width="9.140625" style="459"/>
    <col min="9483" max="9484" width="9.5703125" style="459" customWidth="1"/>
    <col min="9485" max="9485" width="9.42578125" style="459" customWidth="1"/>
    <col min="9486" max="9486" width="9.140625" style="459"/>
    <col min="9487" max="9488" width="10.5703125" style="459" customWidth="1"/>
    <col min="9489" max="9489" width="9.42578125" style="459" customWidth="1"/>
    <col min="9490" max="9728" width="9.140625" style="459"/>
    <col min="9729" max="9729" width="5" style="459" customWidth="1"/>
    <col min="9730" max="9730" width="43" style="459" customWidth="1"/>
    <col min="9731" max="9731" width="10.140625" style="459" customWidth="1"/>
    <col min="9732" max="9732" width="45" style="459" customWidth="1"/>
    <col min="9733" max="9733" width="34.5703125" style="459" customWidth="1"/>
    <col min="9734" max="9734" width="20.42578125" style="459" customWidth="1"/>
    <col min="9735" max="9735" width="36" style="459" customWidth="1"/>
    <col min="9736" max="9738" width="9.140625" style="459"/>
    <col min="9739" max="9740" width="9.5703125" style="459" customWidth="1"/>
    <col min="9741" max="9741" width="9.42578125" style="459" customWidth="1"/>
    <col min="9742" max="9742" width="9.140625" style="459"/>
    <col min="9743" max="9744" width="10.5703125" style="459" customWidth="1"/>
    <col min="9745" max="9745" width="9.42578125" style="459" customWidth="1"/>
    <col min="9746" max="9984" width="9.140625" style="459"/>
    <col min="9985" max="9985" width="5" style="459" customWidth="1"/>
    <col min="9986" max="9986" width="43" style="459" customWidth="1"/>
    <col min="9987" max="9987" width="10.140625" style="459" customWidth="1"/>
    <col min="9988" max="9988" width="45" style="459" customWidth="1"/>
    <col min="9989" max="9989" width="34.5703125" style="459" customWidth="1"/>
    <col min="9990" max="9990" width="20.42578125" style="459" customWidth="1"/>
    <col min="9991" max="9991" width="36" style="459" customWidth="1"/>
    <col min="9992" max="9994" width="9.140625" style="459"/>
    <col min="9995" max="9996" width="9.5703125" style="459" customWidth="1"/>
    <col min="9997" max="9997" width="9.42578125" style="459" customWidth="1"/>
    <col min="9998" max="9998" width="9.140625" style="459"/>
    <col min="9999" max="10000" width="10.5703125" style="459" customWidth="1"/>
    <col min="10001" max="10001" width="9.42578125" style="459" customWidth="1"/>
    <col min="10002" max="10240" width="9.140625" style="459"/>
    <col min="10241" max="10241" width="5" style="459" customWidth="1"/>
    <col min="10242" max="10242" width="43" style="459" customWidth="1"/>
    <col min="10243" max="10243" width="10.140625" style="459" customWidth="1"/>
    <col min="10244" max="10244" width="45" style="459" customWidth="1"/>
    <col min="10245" max="10245" width="34.5703125" style="459" customWidth="1"/>
    <col min="10246" max="10246" width="20.42578125" style="459" customWidth="1"/>
    <col min="10247" max="10247" width="36" style="459" customWidth="1"/>
    <col min="10248" max="10250" width="9.140625" style="459"/>
    <col min="10251" max="10252" width="9.5703125" style="459" customWidth="1"/>
    <col min="10253" max="10253" width="9.42578125" style="459" customWidth="1"/>
    <col min="10254" max="10254" width="9.140625" style="459"/>
    <col min="10255" max="10256" width="10.5703125" style="459" customWidth="1"/>
    <col min="10257" max="10257" width="9.42578125" style="459" customWidth="1"/>
    <col min="10258" max="10496" width="9.140625" style="459"/>
    <col min="10497" max="10497" width="5" style="459" customWidth="1"/>
    <col min="10498" max="10498" width="43" style="459" customWidth="1"/>
    <col min="10499" max="10499" width="10.140625" style="459" customWidth="1"/>
    <col min="10500" max="10500" width="45" style="459" customWidth="1"/>
    <col min="10501" max="10501" width="34.5703125" style="459" customWidth="1"/>
    <col min="10502" max="10502" width="20.42578125" style="459" customWidth="1"/>
    <col min="10503" max="10503" width="36" style="459" customWidth="1"/>
    <col min="10504" max="10506" width="9.140625" style="459"/>
    <col min="10507" max="10508" width="9.5703125" style="459" customWidth="1"/>
    <col min="10509" max="10509" width="9.42578125" style="459" customWidth="1"/>
    <col min="10510" max="10510" width="9.140625" style="459"/>
    <col min="10511" max="10512" width="10.5703125" style="459" customWidth="1"/>
    <col min="10513" max="10513" width="9.42578125" style="459" customWidth="1"/>
    <col min="10514" max="10752" width="9.140625" style="459"/>
    <col min="10753" max="10753" width="5" style="459" customWidth="1"/>
    <col min="10754" max="10754" width="43" style="459" customWidth="1"/>
    <col min="10755" max="10755" width="10.140625" style="459" customWidth="1"/>
    <col min="10756" max="10756" width="45" style="459" customWidth="1"/>
    <col min="10757" max="10757" width="34.5703125" style="459" customWidth="1"/>
    <col min="10758" max="10758" width="20.42578125" style="459" customWidth="1"/>
    <col min="10759" max="10759" width="36" style="459" customWidth="1"/>
    <col min="10760" max="10762" width="9.140625" style="459"/>
    <col min="10763" max="10764" width="9.5703125" style="459" customWidth="1"/>
    <col min="10765" max="10765" width="9.42578125" style="459" customWidth="1"/>
    <col min="10766" max="10766" width="9.140625" style="459"/>
    <col min="10767" max="10768" width="10.5703125" style="459" customWidth="1"/>
    <col min="10769" max="10769" width="9.42578125" style="459" customWidth="1"/>
    <col min="10770" max="11008" width="9.140625" style="459"/>
    <col min="11009" max="11009" width="5" style="459" customWidth="1"/>
    <col min="11010" max="11010" width="43" style="459" customWidth="1"/>
    <col min="11011" max="11011" width="10.140625" style="459" customWidth="1"/>
    <col min="11012" max="11012" width="45" style="459" customWidth="1"/>
    <col min="11013" max="11013" width="34.5703125" style="459" customWidth="1"/>
    <col min="11014" max="11014" width="20.42578125" style="459" customWidth="1"/>
    <col min="11015" max="11015" width="36" style="459" customWidth="1"/>
    <col min="11016" max="11018" width="9.140625" style="459"/>
    <col min="11019" max="11020" width="9.5703125" style="459" customWidth="1"/>
    <col min="11021" max="11021" width="9.42578125" style="459" customWidth="1"/>
    <col min="11022" max="11022" width="9.140625" style="459"/>
    <col min="11023" max="11024" width="10.5703125" style="459" customWidth="1"/>
    <col min="11025" max="11025" width="9.42578125" style="459" customWidth="1"/>
    <col min="11026" max="11264" width="9.140625" style="459"/>
    <col min="11265" max="11265" width="5" style="459" customWidth="1"/>
    <col min="11266" max="11266" width="43" style="459" customWidth="1"/>
    <col min="11267" max="11267" width="10.140625" style="459" customWidth="1"/>
    <col min="11268" max="11268" width="45" style="459" customWidth="1"/>
    <col min="11269" max="11269" width="34.5703125" style="459" customWidth="1"/>
    <col min="11270" max="11270" width="20.42578125" style="459" customWidth="1"/>
    <col min="11271" max="11271" width="36" style="459" customWidth="1"/>
    <col min="11272" max="11274" width="9.140625" style="459"/>
    <col min="11275" max="11276" width="9.5703125" style="459" customWidth="1"/>
    <col min="11277" max="11277" width="9.42578125" style="459" customWidth="1"/>
    <col min="11278" max="11278" width="9.140625" style="459"/>
    <col min="11279" max="11280" width="10.5703125" style="459" customWidth="1"/>
    <col min="11281" max="11281" width="9.42578125" style="459" customWidth="1"/>
    <col min="11282" max="11520" width="9.140625" style="459"/>
    <col min="11521" max="11521" width="5" style="459" customWidth="1"/>
    <col min="11522" max="11522" width="43" style="459" customWidth="1"/>
    <col min="11523" max="11523" width="10.140625" style="459" customWidth="1"/>
    <col min="11524" max="11524" width="45" style="459" customWidth="1"/>
    <col min="11525" max="11525" width="34.5703125" style="459" customWidth="1"/>
    <col min="11526" max="11526" width="20.42578125" style="459" customWidth="1"/>
    <col min="11527" max="11527" width="36" style="459" customWidth="1"/>
    <col min="11528" max="11530" width="9.140625" style="459"/>
    <col min="11531" max="11532" width="9.5703125" style="459" customWidth="1"/>
    <col min="11533" max="11533" width="9.42578125" style="459" customWidth="1"/>
    <col min="11534" max="11534" width="9.140625" style="459"/>
    <col min="11535" max="11536" width="10.5703125" style="459" customWidth="1"/>
    <col min="11537" max="11537" width="9.42578125" style="459" customWidth="1"/>
    <col min="11538" max="11776" width="9.140625" style="459"/>
    <col min="11777" max="11777" width="5" style="459" customWidth="1"/>
    <col min="11778" max="11778" width="43" style="459" customWidth="1"/>
    <col min="11779" max="11779" width="10.140625" style="459" customWidth="1"/>
    <col min="11780" max="11780" width="45" style="459" customWidth="1"/>
    <col min="11781" max="11781" width="34.5703125" style="459" customWidth="1"/>
    <col min="11782" max="11782" width="20.42578125" style="459" customWidth="1"/>
    <col min="11783" max="11783" width="36" style="459" customWidth="1"/>
    <col min="11784" max="11786" width="9.140625" style="459"/>
    <col min="11787" max="11788" width="9.5703125" style="459" customWidth="1"/>
    <col min="11789" max="11789" width="9.42578125" style="459" customWidth="1"/>
    <col min="11790" max="11790" width="9.140625" style="459"/>
    <col min="11791" max="11792" width="10.5703125" style="459" customWidth="1"/>
    <col min="11793" max="11793" width="9.42578125" style="459" customWidth="1"/>
    <col min="11794" max="12032" width="9.140625" style="459"/>
    <col min="12033" max="12033" width="5" style="459" customWidth="1"/>
    <col min="12034" max="12034" width="43" style="459" customWidth="1"/>
    <col min="12035" max="12035" width="10.140625" style="459" customWidth="1"/>
    <col min="12036" max="12036" width="45" style="459" customWidth="1"/>
    <col min="12037" max="12037" width="34.5703125" style="459" customWidth="1"/>
    <col min="12038" max="12038" width="20.42578125" style="459" customWidth="1"/>
    <col min="12039" max="12039" width="36" style="459" customWidth="1"/>
    <col min="12040" max="12042" width="9.140625" style="459"/>
    <col min="12043" max="12044" width="9.5703125" style="459" customWidth="1"/>
    <col min="12045" max="12045" width="9.42578125" style="459" customWidth="1"/>
    <col min="12046" max="12046" width="9.140625" style="459"/>
    <col min="12047" max="12048" width="10.5703125" style="459" customWidth="1"/>
    <col min="12049" max="12049" width="9.42578125" style="459" customWidth="1"/>
    <col min="12050" max="12288" width="9.140625" style="459"/>
    <col min="12289" max="12289" width="5" style="459" customWidth="1"/>
    <col min="12290" max="12290" width="43" style="459" customWidth="1"/>
    <col min="12291" max="12291" width="10.140625" style="459" customWidth="1"/>
    <col min="12292" max="12292" width="45" style="459" customWidth="1"/>
    <col min="12293" max="12293" width="34.5703125" style="459" customWidth="1"/>
    <col min="12294" max="12294" width="20.42578125" style="459" customWidth="1"/>
    <col min="12295" max="12295" width="36" style="459" customWidth="1"/>
    <col min="12296" max="12298" width="9.140625" style="459"/>
    <col min="12299" max="12300" width="9.5703125" style="459" customWidth="1"/>
    <col min="12301" max="12301" width="9.42578125" style="459" customWidth="1"/>
    <col min="12302" max="12302" width="9.140625" style="459"/>
    <col min="12303" max="12304" width="10.5703125" style="459" customWidth="1"/>
    <col min="12305" max="12305" width="9.42578125" style="459" customWidth="1"/>
    <col min="12306" max="12544" width="9.140625" style="459"/>
    <col min="12545" max="12545" width="5" style="459" customWidth="1"/>
    <col min="12546" max="12546" width="43" style="459" customWidth="1"/>
    <col min="12547" max="12547" width="10.140625" style="459" customWidth="1"/>
    <col min="12548" max="12548" width="45" style="459" customWidth="1"/>
    <col min="12549" max="12549" width="34.5703125" style="459" customWidth="1"/>
    <col min="12550" max="12550" width="20.42578125" style="459" customWidth="1"/>
    <col min="12551" max="12551" width="36" style="459" customWidth="1"/>
    <col min="12552" max="12554" width="9.140625" style="459"/>
    <col min="12555" max="12556" width="9.5703125" style="459" customWidth="1"/>
    <col min="12557" max="12557" width="9.42578125" style="459" customWidth="1"/>
    <col min="12558" max="12558" width="9.140625" style="459"/>
    <col min="12559" max="12560" width="10.5703125" style="459" customWidth="1"/>
    <col min="12561" max="12561" width="9.42578125" style="459" customWidth="1"/>
    <col min="12562" max="12800" width="9.140625" style="459"/>
    <col min="12801" max="12801" width="5" style="459" customWidth="1"/>
    <col min="12802" max="12802" width="43" style="459" customWidth="1"/>
    <col min="12803" max="12803" width="10.140625" style="459" customWidth="1"/>
    <col min="12804" max="12804" width="45" style="459" customWidth="1"/>
    <col min="12805" max="12805" width="34.5703125" style="459" customWidth="1"/>
    <col min="12806" max="12806" width="20.42578125" style="459" customWidth="1"/>
    <col min="12807" max="12807" width="36" style="459" customWidth="1"/>
    <col min="12808" max="12810" width="9.140625" style="459"/>
    <col min="12811" max="12812" width="9.5703125" style="459" customWidth="1"/>
    <col min="12813" max="12813" width="9.42578125" style="459" customWidth="1"/>
    <col min="12814" max="12814" width="9.140625" style="459"/>
    <col min="12815" max="12816" width="10.5703125" style="459" customWidth="1"/>
    <col min="12817" max="12817" width="9.42578125" style="459" customWidth="1"/>
    <col min="12818" max="13056" width="9.140625" style="459"/>
    <col min="13057" max="13057" width="5" style="459" customWidth="1"/>
    <col min="13058" max="13058" width="43" style="459" customWidth="1"/>
    <col min="13059" max="13059" width="10.140625" style="459" customWidth="1"/>
    <col min="13060" max="13060" width="45" style="459" customWidth="1"/>
    <col min="13061" max="13061" width="34.5703125" style="459" customWidth="1"/>
    <col min="13062" max="13062" width="20.42578125" style="459" customWidth="1"/>
    <col min="13063" max="13063" width="36" style="459" customWidth="1"/>
    <col min="13064" max="13066" width="9.140625" style="459"/>
    <col min="13067" max="13068" width="9.5703125" style="459" customWidth="1"/>
    <col min="13069" max="13069" width="9.42578125" style="459" customWidth="1"/>
    <col min="13070" max="13070" width="9.140625" style="459"/>
    <col min="13071" max="13072" width="10.5703125" style="459" customWidth="1"/>
    <col min="13073" max="13073" width="9.42578125" style="459" customWidth="1"/>
    <col min="13074" max="13312" width="9.140625" style="459"/>
    <col min="13313" max="13313" width="5" style="459" customWidth="1"/>
    <col min="13314" max="13314" width="43" style="459" customWidth="1"/>
    <col min="13315" max="13315" width="10.140625" style="459" customWidth="1"/>
    <col min="13316" max="13316" width="45" style="459" customWidth="1"/>
    <col min="13317" max="13317" width="34.5703125" style="459" customWidth="1"/>
    <col min="13318" max="13318" width="20.42578125" style="459" customWidth="1"/>
    <col min="13319" max="13319" width="36" style="459" customWidth="1"/>
    <col min="13320" max="13322" width="9.140625" style="459"/>
    <col min="13323" max="13324" width="9.5703125" style="459" customWidth="1"/>
    <col min="13325" max="13325" width="9.42578125" style="459" customWidth="1"/>
    <col min="13326" max="13326" width="9.140625" style="459"/>
    <col min="13327" max="13328" width="10.5703125" style="459" customWidth="1"/>
    <col min="13329" max="13329" width="9.42578125" style="459" customWidth="1"/>
    <col min="13330" max="13568" width="9.140625" style="459"/>
    <col min="13569" max="13569" width="5" style="459" customWidth="1"/>
    <col min="13570" max="13570" width="43" style="459" customWidth="1"/>
    <col min="13571" max="13571" width="10.140625" style="459" customWidth="1"/>
    <col min="13572" max="13572" width="45" style="459" customWidth="1"/>
    <col min="13573" max="13573" width="34.5703125" style="459" customWidth="1"/>
    <col min="13574" max="13574" width="20.42578125" style="459" customWidth="1"/>
    <col min="13575" max="13575" width="36" style="459" customWidth="1"/>
    <col min="13576" max="13578" width="9.140625" style="459"/>
    <col min="13579" max="13580" width="9.5703125" style="459" customWidth="1"/>
    <col min="13581" max="13581" width="9.42578125" style="459" customWidth="1"/>
    <col min="13582" max="13582" width="9.140625" style="459"/>
    <col min="13583" max="13584" width="10.5703125" style="459" customWidth="1"/>
    <col min="13585" max="13585" width="9.42578125" style="459" customWidth="1"/>
    <col min="13586" max="13824" width="9.140625" style="459"/>
    <col min="13825" max="13825" width="5" style="459" customWidth="1"/>
    <col min="13826" max="13826" width="43" style="459" customWidth="1"/>
    <col min="13827" max="13827" width="10.140625" style="459" customWidth="1"/>
    <col min="13828" max="13828" width="45" style="459" customWidth="1"/>
    <col min="13829" max="13829" width="34.5703125" style="459" customWidth="1"/>
    <col min="13830" max="13830" width="20.42578125" style="459" customWidth="1"/>
    <col min="13831" max="13831" width="36" style="459" customWidth="1"/>
    <col min="13832" max="13834" width="9.140625" style="459"/>
    <col min="13835" max="13836" width="9.5703125" style="459" customWidth="1"/>
    <col min="13837" max="13837" width="9.42578125" style="459" customWidth="1"/>
    <col min="13838" max="13838" width="9.140625" style="459"/>
    <col min="13839" max="13840" width="10.5703125" style="459" customWidth="1"/>
    <col min="13841" max="13841" width="9.42578125" style="459" customWidth="1"/>
    <col min="13842" max="14080" width="9.140625" style="459"/>
    <col min="14081" max="14081" width="5" style="459" customWidth="1"/>
    <col min="14082" max="14082" width="43" style="459" customWidth="1"/>
    <col min="14083" max="14083" width="10.140625" style="459" customWidth="1"/>
    <col min="14084" max="14084" width="45" style="459" customWidth="1"/>
    <col min="14085" max="14085" width="34.5703125" style="459" customWidth="1"/>
    <col min="14086" max="14086" width="20.42578125" style="459" customWidth="1"/>
    <col min="14087" max="14087" width="36" style="459" customWidth="1"/>
    <col min="14088" max="14090" width="9.140625" style="459"/>
    <col min="14091" max="14092" width="9.5703125" style="459" customWidth="1"/>
    <col min="14093" max="14093" width="9.42578125" style="459" customWidth="1"/>
    <col min="14094" max="14094" width="9.140625" style="459"/>
    <col min="14095" max="14096" width="10.5703125" style="459" customWidth="1"/>
    <col min="14097" max="14097" width="9.42578125" style="459" customWidth="1"/>
    <col min="14098" max="14336" width="9.140625" style="459"/>
    <col min="14337" max="14337" width="5" style="459" customWidth="1"/>
    <col min="14338" max="14338" width="43" style="459" customWidth="1"/>
    <col min="14339" max="14339" width="10.140625" style="459" customWidth="1"/>
    <col min="14340" max="14340" width="45" style="459" customWidth="1"/>
    <col min="14341" max="14341" width="34.5703125" style="459" customWidth="1"/>
    <col min="14342" max="14342" width="20.42578125" style="459" customWidth="1"/>
    <col min="14343" max="14343" width="36" style="459" customWidth="1"/>
    <col min="14344" max="14346" width="9.140625" style="459"/>
    <col min="14347" max="14348" width="9.5703125" style="459" customWidth="1"/>
    <col min="14349" max="14349" width="9.42578125" style="459" customWidth="1"/>
    <col min="14350" max="14350" width="9.140625" style="459"/>
    <col min="14351" max="14352" width="10.5703125" style="459" customWidth="1"/>
    <col min="14353" max="14353" width="9.42578125" style="459" customWidth="1"/>
    <col min="14354" max="14592" width="9.140625" style="459"/>
    <col min="14593" max="14593" width="5" style="459" customWidth="1"/>
    <col min="14594" max="14594" width="43" style="459" customWidth="1"/>
    <col min="14595" max="14595" width="10.140625" style="459" customWidth="1"/>
    <col min="14596" max="14596" width="45" style="459" customWidth="1"/>
    <col min="14597" max="14597" width="34.5703125" style="459" customWidth="1"/>
    <col min="14598" max="14598" width="20.42578125" style="459" customWidth="1"/>
    <col min="14599" max="14599" width="36" style="459" customWidth="1"/>
    <col min="14600" max="14602" width="9.140625" style="459"/>
    <col min="14603" max="14604" width="9.5703125" style="459" customWidth="1"/>
    <col min="14605" max="14605" width="9.42578125" style="459" customWidth="1"/>
    <col min="14606" max="14606" width="9.140625" style="459"/>
    <col min="14607" max="14608" width="10.5703125" style="459" customWidth="1"/>
    <col min="14609" max="14609" width="9.42578125" style="459" customWidth="1"/>
    <col min="14610" max="14848" width="9.140625" style="459"/>
    <col min="14849" max="14849" width="5" style="459" customWidth="1"/>
    <col min="14850" max="14850" width="43" style="459" customWidth="1"/>
    <col min="14851" max="14851" width="10.140625" style="459" customWidth="1"/>
    <col min="14852" max="14852" width="45" style="459" customWidth="1"/>
    <col min="14853" max="14853" width="34.5703125" style="459" customWidth="1"/>
    <col min="14854" max="14854" width="20.42578125" style="459" customWidth="1"/>
    <col min="14855" max="14855" width="36" style="459" customWidth="1"/>
    <col min="14856" max="14858" width="9.140625" style="459"/>
    <col min="14859" max="14860" width="9.5703125" style="459" customWidth="1"/>
    <col min="14861" max="14861" width="9.42578125" style="459" customWidth="1"/>
    <col min="14862" max="14862" width="9.140625" style="459"/>
    <col min="14863" max="14864" width="10.5703125" style="459" customWidth="1"/>
    <col min="14865" max="14865" width="9.42578125" style="459" customWidth="1"/>
    <col min="14866" max="15104" width="9.140625" style="459"/>
    <col min="15105" max="15105" width="5" style="459" customWidth="1"/>
    <col min="15106" max="15106" width="43" style="459" customWidth="1"/>
    <col min="15107" max="15107" width="10.140625" style="459" customWidth="1"/>
    <col min="15108" max="15108" width="45" style="459" customWidth="1"/>
    <col min="15109" max="15109" width="34.5703125" style="459" customWidth="1"/>
    <col min="15110" max="15110" width="20.42578125" style="459" customWidth="1"/>
    <col min="15111" max="15111" width="36" style="459" customWidth="1"/>
    <col min="15112" max="15114" width="9.140625" style="459"/>
    <col min="15115" max="15116" width="9.5703125" style="459" customWidth="1"/>
    <col min="15117" max="15117" width="9.42578125" style="459" customWidth="1"/>
    <col min="15118" max="15118" width="9.140625" style="459"/>
    <col min="15119" max="15120" width="10.5703125" style="459" customWidth="1"/>
    <col min="15121" max="15121" width="9.42578125" style="459" customWidth="1"/>
    <col min="15122" max="15360" width="9.140625" style="459"/>
    <col min="15361" max="15361" width="5" style="459" customWidth="1"/>
    <col min="15362" max="15362" width="43" style="459" customWidth="1"/>
    <col min="15363" max="15363" width="10.140625" style="459" customWidth="1"/>
    <col min="15364" max="15364" width="45" style="459" customWidth="1"/>
    <col min="15365" max="15365" width="34.5703125" style="459" customWidth="1"/>
    <col min="15366" max="15366" width="20.42578125" style="459" customWidth="1"/>
    <col min="15367" max="15367" width="36" style="459" customWidth="1"/>
    <col min="15368" max="15370" width="9.140625" style="459"/>
    <col min="15371" max="15372" width="9.5703125" style="459" customWidth="1"/>
    <col min="15373" max="15373" width="9.42578125" style="459" customWidth="1"/>
    <col min="15374" max="15374" width="9.140625" style="459"/>
    <col min="15375" max="15376" width="10.5703125" style="459" customWidth="1"/>
    <col min="15377" max="15377" width="9.42578125" style="459" customWidth="1"/>
    <col min="15378" max="15616" width="9.140625" style="459"/>
    <col min="15617" max="15617" width="5" style="459" customWidth="1"/>
    <col min="15618" max="15618" width="43" style="459" customWidth="1"/>
    <col min="15619" max="15619" width="10.140625" style="459" customWidth="1"/>
    <col min="15620" max="15620" width="45" style="459" customWidth="1"/>
    <col min="15621" max="15621" width="34.5703125" style="459" customWidth="1"/>
    <col min="15622" max="15622" width="20.42578125" style="459" customWidth="1"/>
    <col min="15623" max="15623" width="36" style="459" customWidth="1"/>
    <col min="15624" max="15626" width="9.140625" style="459"/>
    <col min="15627" max="15628" width="9.5703125" style="459" customWidth="1"/>
    <col min="15629" max="15629" width="9.42578125" style="459" customWidth="1"/>
    <col min="15630" max="15630" width="9.140625" style="459"/>
    <col min="15631" max="15632" width="10.5703125" style="459" customWidth="1"/>
    <col min="15633" max="15633" width="9.42578125" style="459" customWidth="1"/>
    <col min="15634" max="15872" width="9.140625" style="459"/>
    <col min="15873" max="15873" width="5" style="459" customWidth="1"/>
    <col min="15874" max="15874" width="43" style="459" customWidth="1"/>
    <col min="15875" max="15875" width="10.140625" style="459" customWidth="1"/>
    <col min="15876" max="15876" width="45" style="459" customWidth="1"/>
    <col min="15877" max="15877" width="34.5703125" style="459" customWidth="1"/>
    <col min="15878" max="15878" width="20.42578125" style="459" customWidth="1"/>
    <col min="15879" max="15879" width="36" style="459" customWidth="1"/>
    <col min="15880" max="15882" width="9.140625" style="459"/>
    <col min="15883" max="15884" width="9.5703125" style="459" customWidth="1"/>
    <col min="15885" max="15885" width="9.42578125" style="459" customWidth="1"/>
    <col min="15886" max="15886" width="9.140625" style="459"/>
    <col min="15887" max="15888" width="10.5703125" style="459" customWidth="1"/>
    <col min="15889" max="15889" width="9.42578125" style="459" customWidth="1"/>
    <col min="15890" max="16128" width="9.140625" style="459"/>
    <col min="16129" max="16129" width="5" style="459" customWidth="1"/>
    <col min="16130" max="16130" width="43" style="459" customWidth="1"/>
    <col min="16131" max="16131" width="10.140625" style="459" customWidth="1"/>
    <col min="16132" max="16132" width="45" style="459" customWidth="1"/>
    <col min="16133" max="16133" width="34.5703125" style="459" customWidth="1"/>
    <col min="16134" max="16134" width="20.42578125" style="459" customWidth="1"/>
    <col min="16135" max="16135" width="36" style="459" customWidth="1"/>
    <col min="16136" max="16138" width="9.140625" style="459"/>
    <col min="16139" max="16140" width="9.5703125" style="459" customWidth="1"/>
    <col min="16141" max="16141" width="9.42578125" style="459" customWidth="1"/>
    <col min="16142" max="16142" width="9.140625" style="459"/>
    <col min="16143" max="16144" width="10.5703125" style="459" customWidth="1"/>
    <col min="16145" max="16145" width="9.42578125" style="459" customWidth="1"/>
    <col min="16146" max="16384" width="9.140625" style="459"/>
  </cols>
  <sheetData>
    <row r="1" spans="1:252" ht="127.5" x14ac:dyDescent="0.2">
      <c r="A1" s="494"/>
      <c r="B1" s="495"/>
      <c r="C1" s="495"/>
      <c r="D1" s="495"/>
      <c r="E1" s="495"/>
      <c r="F1" s="495"/>
      <c r="G1" s="495"/>
      <c r="H1" s="495"/>
      <c r="I1" s="495"/>
      <c r="J1" s="495"/>
      <c r="K1" s="496"/>
      <c r="L1" s="496"/>
      <c r="M1" s="496"/>
      <c r="N1" s="495"/>
      <c r="O1" s="523" t="s">
        <v>15</v>
      </c>
      <c r="P1" s="523"/>
      <c r="Q1" s="523"/>
      <c r="R1" s="524"/>
      <c r="S1" s="524"/>
      <c r="T1" s="524"/>
      <c r="U1" s="524"/>
      <c r="V1" s="524"/>
      <c r="W1" s="524"/>
      <c r="X1" s="524"/>
      <c r="Y1" s="524"/>
      <c r="Z1" s="524"/>
      <c r="AA1" s="524"/>
      <c r="AB1" s="524"/>
      <c r="AC1" s="524"/>
      <c r="AD1" s="524"/>
      <c r="AE1" s="524"/>
      <c r="AF1" s="524"/>
      <c r="AG1" s="524"/>
      <c r="AH1" s="524"/>
      <c r="AI1" s="524"/>
      <c r="AJ1" s="524"/>
      <c r="AK1" s="524"/>
      <c r="AL1" s="524"/>
      <c r="AM1" s="524"/>
      <c r="AN1" s="524"/>
      <c r="AO1" s="524"/>
      <c r="AP1" s="524"/>
      <c r="AQ1" s="524"/>
      <c r="AR1" s="524"/>
      <c r="AS1" s="524"/>
      <c r="AT1" s="524"/>
      <c r="AU1" s="524"/>
      <c r="AV1" s="524"/>
      <c r="AW1" s="524"/>
      <c r="AX1" s="524"/>
      <c r="AY1" s="524"/>
      <c r="AZ1" s="524"/>
      <c r="BA1" s="524"/>
      <c r="BB1" s="524"/>
      <c r="BC1" s="524"/>
      <c r="BD1" s="524"/>
      <c r="BE1" s="524"/>
      <c r="BF1" s="524"/>
      <c r="BG1" s="524"/>
      <c r="BH1" s="524"/>
      <c r="BI1" s="524"/>
      <c r="BJ1" s="524"/>
      <c r="BK1" s="524"/>
      <c r="BL1" s="524"/>
      <c r="BM1" s="524"/>
      <c r="BN1" s="524"/>
      <c r="BO1" s="524"/>
      <c r="BP1" s="524"/>
      <c r="BQ1" s="524"/>
      <c r="BR1" s="524"/>
      <c r="BS1" s="524"/>
      <c r="BT1" s="524"/>
      <c r="BU1" s="524"/>
      <c r="BV1" s="524"/>
      <c r="BW1" s="524"/>
      <c r="BX1" s="524"/>
      <c r="BY1" s="524"/>
      <c r="BZ1" s="524"/>
      <c r="CA1" s="524"/>
      <c r="CB1" s="524"/>
      <c r="CC1" s="524"/>
      <c r="CD1" s="524"/>
      <c r="CE1" s="524"/>
      <c r="CF1" s="524"/>
      <c r="CG1" s="524"/>
      <c r="CH1" s="524"/>
      <c r="CI1" s="524"/>
      <c r="CJ1" s="524"/>
      <c r="CK1" s="524"/>
      <c r="CL1" s="524"/>
      <c r="CM1" s="524"/>
      <c r="CN1" s="524"/>
      <c r="CO1" s="524"/>
      <c r="CP1" s="524"/>
      <c r="CQ1" s="524"/>
      <c r="CR1" s="524"/>
      <c r="CS1" s="524"/>
      <c r="CT1" s="524"/>
      <c r="CU1" s="524"/>
      <c r="CV1" s="524"/>
      <c r="CW1" s="524"/>
      <c r="CX1" s="524"/>
      <c r="CY1" s="524"/>
      <c r="CZ1" s="524"/>
      <c r="DA1" s="524"/>
      <c r="DB1" s="524"/>
      <c r="DC1" s="524"/>
      <c r="DD1" s="524"/>
      <c r="DE1" s="524"/>
      <c r="DF1" s="524"/>
      <c r="DG1" s="524"/>
      <c r="DH1" s="524"/>
      <c r="DI1" s="524"/>
      <c r="DJ1" s="524"/>
      <c r="DK1" s="524"/>
      <c r="DL1" s="524"/>
      <c r="DM1" s="524"/>
      <c r="DN1" s="524"/>
      <c r="DO1" s="524"/>
      <c r="DP1" s="524"/>
      <c r="DQ1" s="524"/>
      <c r="DR1" s="524"/>
      <c r="DS1" s="524"/>
      <c r="DT1" s="524"/>
      <c r="DU1" s="524"/>
      <c r="DV1" s="524"/>
      <c r="DW1" s="524"/>
      <c r="DX1" s="524"/>
      <c r="DY1" s="524"/>
      <c r="DZ1" s="524"/>
      <c r="EA1" s="524"/>
      <c r="EB1" s="524"/>
      <c r="EC1" s="524"/>
      <c r="ED1" s="524"/>
      <c r="EE1" s="524"/>
      <c r="EF1" s="524"/>
      <c r="EG1" s="524"/>
      <c r="EH1" s="524"/>
      <c r="EI1" s="524"/>
      <c r="EJ1" s="524"/>
      <c r="EK1" s="524"/>
      <c r="EL1" s="524"/>
      <c r="EM1" s="524"/>
      <c r="EN1" s="524"/>
      <c r="EO1" s="524"/>
      <c r="EP1" s="524"/>
      <c r="EQ1" s="524"/>
      <c r="ER1" s="524"/>
      <c r="ES1" s="524"/>
      <c r="ET1" s="524"/>
      <c r="EU1" s="524"/>
      <c r="EV1" s="524"/>
      <c r="EW1" s="524"/>
      <c r="EX1" s="524"/>
      <c r="EY1" s="524"/>
      <c r="EZ1" s="524"/>
      <c r="FA1" s="524"/>
      <c r="FB1" s="524"/>
      <c r="FC1" s="524"/>
      <c r="FD1" s="524"/>
      <c r="FE1" s="524"/>
      <c r="FF1" s="524"/>
      <c r="FG1" s="524"/>
      <c r="FH1" s="524"/>
      <c r="FI1" s="524"/>
      <c r="FJ1" s="524"/>
      <c r="FK1" s="524"/>
      <c r="FL1" s="524"/>
      <c r="FM1" s="524"/>
      <c r="FN1" s="524"/>
      <c r="FO1" s="524"/>
      <c r="FP1" s="524"/>
      <c r="FQ1" s="524"/>
      <c r="FR1" s="524"/>
      <c r="FS1" s="524"/>
      <c r="FT1" s="524"/>
      <c r="FU1" s="524"/>
      <c r="FV1" s="524"/>
      <c r="FW1" s="524"/>
      <c r="FX1" s="524"/>
      <c r="FY1" s="524"/>
      <c r="FZ1" s="524"/>
      <c r="GA1" s="524"/>
      <c r="GB1" s="524"/>
      <c r="GC1" s="524"/>
      <c r="GD1" s="524"/>
      <c r="GE1" s="524"/>
      <c r="GF1" s="524"/>
      <c r="GG1" s="524"/>
      <c r="GH1" s="524"/>
      <c r="GI1" s="524"/>
      <c r="GJ1" s="524"/>
      <c r="GK1" s="524"/>
      <c r="GL1" s="524"/>
      <c r="GM1" s="524"/>
      <c r="GN1" s="524"/>
      <c r="GO1" s="524"/>
      <c r="GP1" s="524"/>
      <c r="GQ1" s="524"/>
      <c r="GR1" s="524"/>
      <c r="GS1" s="524"/>
      <c r="GT1" s="524"/>
      <c r="GU1" s="524"/>
      <c r="GV1" s="524"/>
      <c r="GW1" s="524"/>
      <c r="GX1" s="524"/>
      <c r="GY1" s="524"/>
      <c r="GZ1" s="524"/>
      <c r="HA1" s="524"/>
      <c r="HB1" s="524"/>
      <c r="HC1" s="524"/>
      <c r="HD1" s="524"/>
      <c r="HE1" s="524"/>
      <c r="HF1" s="524"/>
      <c r="HG1" s="524"/>
      <c r="HH1" s="524"/>
      <c r="HI1" s="524"/>
      <c r="HJ1" s="524"/>
      <c r="HK1" s="524"/>
      <c r="HL1" s="524"/>
      <c r="HM1" s="524"/>
      <c r="HN1" s="524"/>
      <c r="HO1" s="524"/>
      <c r="HP1" s="524"/>
      <c r="HQ1" s="524"/>
      <c r="HR1" s="524"/>
      <c r="HS1" s="524"/>
      <c r="HT1" s="524"/>
      <c r="HU1" s="524"/>
      <c r="HV1" s="524"/>
      <c r="HW1" s="524"/>
      <c r="HX1" s="524"/>
      <c r="HY1" s="524"/>
      <c r="HZ1" s="524"/>
      <c r="IA1" s="524"/>
      <c r="IB1" s="524"/>
      <c r="IC1" s="524"/>
      <c r="ID1" s="524"/>
      <c r="IE1" s="524"/>
      <c r="IF1" s="524"/>
      <c r="IG1" s="524"/>
      <c r="IH1" s="524"/>
      <c r="II1" s="524"/>
      <c r="IJ1" s="524"/>
      <c r="IK1" s="524"/>
      <c r="IL1" s="524"/>
      <c r="IM1" s="524"/>
      <c r="IN1" s="524"/>
      <c r="IO1" s="524"/>
      <c r="IP1" s="524"/>
      <c r="IQ1" s="524"/>
      <c r="IR1" s="524"/>
    </row>
    <row r="2" spans="1:252" x14ac:dyDescent="0.2">
      <c r="A2" s="494"/>
      <c r="B2" s="495"/>
      <c r="C2" s="495"/>
      <c r="D2" s="495"/>
      <c r="E2" s="495"/>
      <c r="F2" s="495"/>
      <c r="G2" s="495"/>
      <c r="H2" s="495"/>
      <c r="I2" s="495"/>
      <c r="J2" s="495"/>
      <c r="K2" s="496"/>
      <c r="L2" s="496"/>
      <c r="M2" s="496"/>
      <c r="N2" s="495"/>
      <c r="O2" s="496"/>
      <c r="P2" s="496"/>
      <c r="Q2" s="496"/>
      <c r="R2" s="524"/>
      <c r="S2" s="524"/>
      <c r="T2" s="524"/>
      <c r="U2" s="524"/>
      <c r="V2" s="524"/>
      <c r="W2" s="524"/>
      <c r="X2" s="524"/>
      <c r="Y2" s="524"/>
      <c r="Z2" s="524"/>
      <c r="AA2" s="524"/>
      <c r="AB2" s="524"/>
      <c r="AC2" s="524"/>
      <c r="AD2" s="524"/>
      <c r="AE2" s="524"/>
      <c r="AF2" s="524"/>
      <c r="AG2" s="524"/>
      <c r="AH2" s="524"/>
      <c r="AI2" s="524"/>
      <c r="AJ2" s="524"/>
      <c r="AK2" s="524"/>
      <c r="AL2" s="524"/>
      <c r="AM2" s="524"/>
      <c r="AN2" s="524"/>
      <c r="AO2" s="524"/>
      <c r="AP2" s="524"/>
      <c r="AQ2" s="524"/>
      <c r="AR2" s="524"/>
      <c r="AS2" s="524"/>
      <c r="AT2" s="524"/>
      <c r="AU2" s="524"/>
      <c r="AV2" s="524"/>
      <c r="AW2" s="524"/>
      <c r="AX2" s="524"/>
      <c r="AY2" s="524"/>
      <c r="AZ2" s="524"/>
      <c r="BA2" s="524"/>
      <c r="BB2" s="524"/>
      <c r="BC2" s="524"/>
      <c r="BD2" s="524"/>
      <c r="BE2" s="524"/>
      <c r="BF2" s="524"/>
      <c r="BG2" s="524"/>
      <c r="BH2" s="524"/>
      <c r="BI2" s="524"/>
      <c r="BJ2" s="524"/>
      <c r="BK2" s="524"/>
      <c r="BL2" s="524"/>
      <c r="BM2" s="524"/>
      <c r="BN2" s="524"/>
      <c r="BO2" s="524"/>
      <c r="BP2" s="524"/>
      <c r="BQ2" s="524"/>
      <c r="BR2" s="524"/>
      <c r="BS2" s="524"/>
      <c r="BT2" s="524"/>
      <c r="BU2" s="524"/>
      <c r="BV2" s="524"/>
      <c r="BW2" s="524"/>
      <c r="BX2" s="524"/>
      <c r="BY2" s="524"/>
      <c r="BZ2" s="524"/>
      <c r="CA2" s="524"/>
      <c r="CB2" s="524"/>
      <c r="CC2" s="524"/>
      <c r="CD2" s="524"/>
      <c r="CE2" s="524"/>
      <c r="CF2" s="524"/>
      <c r="CG2" s="524"/>
      <c r="CH2" s="524"/>
      <c r="CI2" s="524"/>
      <c r="CJ2" s="524"/>
      <c r="CK2" s="524"/>
      <c r="CL2" s="524"/>
      <c r="CM2" s="524"/>
      <c r="CN2" s="524"/>
      <c r="CO2" s="524"/>
      <c r="CP2" s="524"/>
      <c r="CQ2" s="524"/>
      <c r="CR2" s="524"/>
      <c r="CS2" s="524"/>
      <c r="CT2" s="524"/>
      <c r="CU2" s="524"/>
      <c r="CV2" s="524"/>
      <c r="CW2" s="524"/>
      <c r="CX2" s="524"/>
      <c r="CY2" s="524"/>
      <c r="CZ2" s="524"/>
      <c r="DA2" s="524"/>
      <c r="DB2" s="524"/>
      <c r="DC2" s="524"/>
      <c r="DD2" s="524"/>
      <c r="DE2" s="524"/>
      <c r="DF2" s="524"/>
      <c r="DG2" s="524"/>
      <c r="DH2" s="524"/>
      <c r="DI2" s="524"/>
      <c r="DJ2" s="524"/>
      <c r="DK2" s="524"/>
      <c r="DL2" s="524"/>
      <c r="DM2" s="524"/>
      <c r="DN2" s="524"/>
      <c r="DO2" s="524"/>
      <c r="DP2" s="524"/>
      <c r="DQ2" s="524"/>
      <c r="DR2" s="524"/>
      <c r="DS2" s="524"/>
      <c r="DT2" s="524"/>
      <c r="DU2" s="524"/>
      <c r="DV2" s="524"/>
      <c r="DW2" s="524"/>
      <c r="DX2" s="524"/>
      <c r="DY2" s="524"/>
      <c r="DZ2" s="524"/>
      <c r="EA2" s="524"/>
      <c r="EB2" s="524"/>
      <c r="EC2" s="524"/>
      <c r="ED2" s="524"/>
      <c r="EE2" s="524"/>
      <c r="EF2" s="524"/>
      <c r="EG2" s="524"/>
      <c r="EH2" s="524"/>
      <c r="EI2" s="524"/>
      <c r="EJ2" s="524"/>
      <c r="EK2" s="524"/>
      <c r="EL2" s="524"/>
      <c r="EM2" s="524"/>
      <c r="EN2" s="524"/>
      <c r="EO2" s="524"/>
      <c r="EP2" s="524"/>
      <c r="EQ2" s="524"/>
      <c r="ER2" s="524"/>
      <c r="ES2" s="524"/>
      <c r="ET2" s="524"/>
      <c r="EU2" s="524"/>
      <c r="EV2" s="524"/>
      <c r="EW2" s="524"/>
      <c r="EX2" s="524"/>
      <c r="EY2" s="524"/>
      <c r="EZ2" s="524"/>
      <c r="FA2" s="524"/>
      <c r="FB2" s="524"/>
      <c r="FC2" s="524"/>
      <c r="FD2" s="524"/>
      <c r="FE2" s="524"/>
      <c r="FF2" s="524"/>
      <c r="FG2" s="524"/>
      <c r="FH2" s="524"/>
      <c r="FI2" s="524"/>
      <c r="FJ2" s="524"/>
      <c r="FK2" s="524"/>
      <c r="FL2" s="524"/>
      <c r="FM2" s="524"/>
      <c r="FN2" s="524"/>
      <c r="FO2" s="524"/>
      <c r="FP2" s="524"/>
      <c r="FQ2" s="524"/>
      <c r="FR2" s="524"/>
      <c r="FS2" s="524"/>
      <c r="FT2" s="524"/>
      <c r="FU2" s="524"/>
      <c r="FV2" s="524"/>
      <c r="FW2" s="524"/>
      <c r="FX2" s="524"/>
      <c r="FY2" s="524"/>
      <c r="FZ2" s="524"/>
      <c r="GA2" s="524"/>
      <c r="GB2" s="524"/>
      <c r="GC2" s="524"/>
      <c r="GD2" s="524"/>
      <c r="GE2" s="524"/>
      <c r="GF2" s="524"/>
      <c r="GG2" s="524"/>
      <c r="GH2" s="524"/>
      <c r="GI2" s="524"/>
      <c r="GJ2" s="524"/>
      <c r="GK2" s="524"/>
      <c r="GL2" s="524"/>
      <c r="GM2" s="524"/>
      <c r="GN2" s="524"/>
      <c r="GO2" s="524"/>
      <c r="GP2" s="524"/>
      <c r="GQ2" s="524"/>
      <c r="GR2" s="524"/>
      <c r="GS2" s="524"/>
      <c r="GT2" s="524"/>
      <c r="GU2" s="524"/>
      <c r="GV2" s="524"/>
      <c r="GW2" s="524"/>
      <c r="GX2" s="524"/>
      <c r="GY2" s="524"/>
      <c r="GZ2" s="524"/>
      <c r="HA2" s="524"/>
      <c r="HB2" s="524"/>
      <c r="HC2" s="524"/>
      <c r="HD2" s="524"/>
      <c r="HE2" s="524"/>
      <c r="HF2" s="524"/>
      <c r="HG2" s="524"/>
      <c r="HH2" s="524"/>
      <c r="HI2" s="524"/>
      <c r="HJ2" s="524"/>
      <c r="HK2" s="524"/>
      <c r="HL2" s="524"/>
      <c r="HM2" s="524"/>
      <c r="HN2" s="524"/>
      <c r="HO2" s="524"/>
      <c r="HP2" s="524"/>
      <c r="HQ2" s="524"/>
      <c r="HR2" s="524"/>
      <c r="HS2" s="524"/>
      <c r="HT2" s="524"/>
      <c r="HU2" s="524"/>
      <c r="HV2" s="524"/>
      <c r="HW2" s="524"/>
      <c r="HX2" s="524"/>
      <c r="HY2" s="524"/>
      <c r="HZ2" s="524"/>
      <c r="IA2" s="524"/>
      <c r="IB2" s="524"/>
      <c r="IC2" s="524"/>
      <c r="ID2" s="524"/>
      <c r="IE2" s="524"/>
      <c r="IF2" s="524"/>
      <c r="IG2" s="524"/>
      <c r="IH2" s="524"/>
      <c r="II2" s="524"/>
      <c r="IJ2" s="524"/>
      <c r="IK2" s="524"/>
      <c r="IL2" s="524"/>
      <c r="IM2" s="524"/>
      <c r="IN2" s="524"/>
      <c r="IO2" s="524"/>
      <c r="IP2" s="524"/>
      <c r="IQ2" s="524"/>
      <c r="IR2" s="524"/>
    </row>
    <row r="3" spans="1:252" ht="15" x14ac:dyDescent="0.2">
      <c r="A3" s="497" t="s">
        <v>669</v>
      </c>
      <c r="B3" s="497"/>
      <c r="C3" s="497"/>
      <c r="D3" s="497"/>
      <c r="E3" s="497"/>
      <c r="F3" s="497"/>
      <c r="G3" s="497"/>
      <c r="H3" s="497"/>
      <c r="I3" s="497"/>
      <c r="J3" s="497"/>
      <c r="K3" s="497"/>
      <c r="L3" s="497"/>
      <c r="M3" s="497"/>
      <c r="N3" s="497"/>
      <c r="O3" s="497"/>
      <c r="P3" s="497"/>
      <c r="Q3" s="497"/>
      <c r="R3" s="524"/>
      <c r="S3" s="524"/>
      <c r="T3" s="524"/>
      <c r="U3" s="524"/>
      <c r="V3" s="524"/>
      <c r="W3" s="524"/>
      <c r="X3" s="524"/>
      <c r="Y3" s="524"/>
      <c r="Z3" s="524"/>
      <c r="AA3" s="524"/>
      <c r="AB3" s="524"/>
      <c r="AC3" s="524"/>
      <c r="AD3" s="524"/>
      <c r="AE3" s="524"/>
      <c r="AF3" s="524"/>
      <c r="AG3" s="524"/>
      <c r="AH3" s="524"/>
      <c r="AI3" s="524"/>
      <c r="AJ3" s="524"/>
      <c r="AK3" s="524"/>
      <c r="AL3" s="524"/>
      <c r="AM3" s="524"/>
      <c r="AN3" s="524"/>
      <c r="AO3" s="524"/>
      <c r="AP3" s="524"/>
      <c r="AQ3" s="524"/>
      <c r="AR3" s="524"/>
      <c r="AS3" s="524"/>
      <c r="AT3" s="524"/>
      <c r="AU3" s="524"/>
      <c r="AV3" s="524"/>
      <c r="AW3" s="524"/>
      <c r="AX3" s="524"/>
      <c r="AY3" s="524"/>
      <c r="AZ3" s="524"/>
      <c r="BA3" s="524"/>
      <c r="BB3" s="524"/>
      <c r="BC3" s="524"/>
      <c r="BD3" s="524"/>
      <c r="BE3" s="524"/>
      <c r="BF3" s="524"/>
      <c r="BG3" s="524"/>
      <c r="BH3" s="524"/>
      <c r="BI3" s="524"/>
      <c r="BJ3" s="524"/>
      <c r="BK3" s="524"/>
      <c r="BL3" s="524"/>
      <c r="BM3" s="524"/>
      <c r="BN3" s="524"/>
      <c r="BO3" s="524"/>
      <c r="BP3" s="524"/>
      <c r="BQ3" s="524"/>
      <c r="BR3" s="524"/>
      <c r="BS3" s="524"/>
      <c r="BT3" s="524"/>
      <c r="BU3" s="524"/>
      <c r="BV3" s="524"/>
      <c r="BW3" s="524"/>
      <c r="BX3" s="524"/>
      <c r="BY3" s="524"/>
      <c r="BZ3" s="524"/>
      <c r="CA3" s="524"/>
      <c r="CB3" s="524"/>
      <c r="CC3" s="524"/>
      <c r="CD3" s="524"/>
      <c r="CE3" s="524"/>
      <c r="CF3" s="524"/>
      <c r="CG3" s="524"/>
      <c r="CH3" s="524"/>
      <c r="CI3" s="524"/>
      <c r="CJ3" s="524"/>
      <c r="CK3" s="524"/>
      <c r="CL3" s="524"/>
      <c r="CM3" s="524"/>
      <c r="CN3" s="524"/>
      <c r="CO3" s="524"/>
      <c r="CP3" s="524"/>
      <c r="CQ3" s="524"/>
      <c r="CR3" s="524"/>
      <c r="CS3" s="524"/>
      <c r="CT3" s="524"/>
      <c r="CU3" s="524"/>
      <c r="CV3" s="524"/>
      <c r="CW3" s="524"/>
      <c r="CX3" s="524"/>
      <c r="CY3" s="524"/>
      <c r="CZ3" s="524"/>
      <c r="DA3" s="524"/>
      <c r="DB3" s="524"/>
      <c r="DC3" s="524"/>
      <c r="DD3" s="524"/>
      <c r="DE3" s="524"/>
      <c r="DF3" s="524"/>
      <c r="DG3" s="524"/>
      <c r="DH3" s="524"/>
      <c r="DI3" s="524"/>
      <c r="DJ3" s="524"/>
      <c r="DK3" s="524"/>
      <c r="DL3" s="524"/>
      <c r="DM3" s="524"/>
      <c r="DN3" s="524"/>
      <c r="DO3" s="524"/>
      <c r="DP3" s="524"/>
      <c r="DQ3" s="524"/>
      <c r="DR3" s="524"/>
      <c r="DS3" s="524"/>
      <c r="DT3" s="524"/>
      <c r="DU3" s="524"/>
      <c r="DV3" s="524"/>
      <c r="DW3" s="524"/>
      <c r="DX3" s="524"/>
      <c r="DY3" s="524"/>
      <c r="DZ3" s="524"/>
      <c r="EA3" s="524"/>
      <c r="EB3" s="524"/>
      <c r="EC3" s="524"/>
      <c r="ED3" s="524"/>
      <c r="EE3" s="524"/>
      <c r="EF3" s="524"/>
      <c r="EG3" s="524"/>
      <c r="EH3" s="524"/>
      <c r="EI3" s="524"/>
      <c r="EJ3" s="524"/>
      <c r="EK3" s="524"/>
      <c r="EL3" s="524"/>
      <c r="EM3" s="524"/>
      <c r="EN3" s="524"/>
      <c r="EO3" s="524"/>
      <c r="EP3" s="524"/>
      <c r="EQ3" s="524"/>
      <c r="ER3" s="524"/>
      <c r="ES3" s="524"/>
      <c r="ET3" s="524"/>
      <c r="EU3" s="524"/>
      <c r="EV3" s="524"/>
      <c r="EW3" s="524"/>
      <c r="EX3" s="524"/>
      <c r="EY3" s="524"/>
      <c r="EZ3" s="524"/>
      <c r="FA3" s="524"/>
      <c r="FB3" s="524"/>
      <c r="FC3" s="524"/>
      <c r="FD3" s="524"/>
      <c r="FE3" s="524"/>
      <c r="FF3" s="524"/>
      <c r="FG3" s="524"/>
      <c r="FH3" s="524"/>
      <c r="FI3" s="524"/>
      <c r="FJ3" s="524"/>
      <c r="FK3" s="524"/>
      <c r="FL3" s="524"/>
      <c r="FM3" s="524"/>
      <c r="FN3" s="524"/>
      <c r="FO3" s="524"/>
      <c r="FP3" s="524"/>
      <c r="FQ3" s="524"/>
      <c r="FR3" s="524"/>
      <c r="FS3" s="524"/>
      <c r="FT3" s="524"/>
      <c r="FU3" s="524"/>
      <c r="FV3" s="524"/>
      <c r="FW3" s="524"/>
      <c r="FX3" s="524"/>
      <c r="FY3" s="524"/>
      <c r="FZ3" s="524"/>
      <c r="GA3" s="524"/>
      <c r="GB3" s="524"/>
      <c r="GC3" s="524"/>
      <c r="GD3" s="524"/>
      <c r="GE3" s="524"/>
      <c r="GF3" s="524"/>
      <c r="GG3" s="524"/>
      <c r="GH3" s="524"/>
      <c r="GI3" s="524"/>
      <c r="GJ3" s="524"/>
      <c r="GK3" s="524"/>
      <c r="GL3" s="524"/>
      <c r="GM3" s="524"/>
      <c r="GN3" s="524"/>
      <c r="GO3" s="524"/>
      <c r="GP3" s="524"/>
      <c r="GQ3" s="524"/>
      <c r="GR3" s="524"/>
      <c r="GS3" s="524"/>
      <c r="GT3" s="524"/>
      <c r="GU3" s="524"/>
      <c r="GV3" s="524"/>
      <c r="GW3" s="524"/>
      <c r="GX3" s="524"/>
      <c r="GY3" s="524"/>
      <c r="GZ3" s="524"/>
      <c r="HA3" s="524"/>
      <c r="HB3" s="524"/>
      <c r="HC3" s="524"/>
      <c r="HD3" s="524"/>
      <c r="HE3" s="524"/>
      <c r="HF3" s="524"/>
      <c r="HG3" s="524"/>
      <c r="HH3" s="524"/>
      <c r="HI3" s="524"/>
      <c r="HJ3" s="524"/>
      <c r="HK3" s="524"/>
      <c r="HL3" s="524"/>
      <c r="HM3" s="524"/>
      <c r="HN3" s="524"/>
      <c r="HO3" s="524"/>
      <c r="HP3" s="524"/>
      <c r="HQ3" s="524"/>
      <c r="HR3" s="524"/>
      <c r="HS3" s="524"/>
      <c r="HT3" s="524"/>
      <c r="HU3" s="524"/>
      <c r="HV3" s="524"/>
      <c r="HW3" s="524"/>
      <c r="HX3" s="524"/>
      <c r="HY3" s="524"/>
      <c r="HZ3" s="524"/>
      <c r="IA3" s="524"/>
      <c r="IB3" s="524"/>
      <c r="IC3" s="524"/>
      <c r="ID3" s="524"/>
      <c r="IE3" s="524"/>
      <c r="IF3" s="524"/>
      <c r="IG3" s="524"/>
      <c r="IH3" s="524"/>
      <c r="II3" s="524"/>
      <c r="IJ3" s="524"/>
      <c r="IK3" s="524"/>
      <c r="IL3" s="524"/>
      <c r="IM3" s="524"/>
      <c r="IN3" s="524"/>
      <c r="IO3" s="524"/>
      <c r="IP3" s="524"/>
      <c r="IQ3" s="524"/>
      <c r="IR3" s="524"/>
    </row>
    <row r="4" spans="1:252" ht="18.75" x14ac:dyDescent="0.2">
      <c r="A4" s="498" t="s">
        <v>16</v>
      </c>
      <c r="B4" s="498"/>
      <c r="C4" s="498"/>
      <c r="D4" s="498"/>
      <c r="E4" s="498"/>
      <c r="F4" s="498"/>
      <c r="G4" s="498"/>
      <c r="H4" s="498"/>
      <c r="I4" s="498"/>
      <c r="J4" s="498"/>
      <c r="K4" s="498"/>
      <c r="L4" s="498"/>
      <c r="M4" s="498"/>
      <c r="N4" s="498"/>
      <c r="O4" s="498"/>
      <c r="P4" s="498"/>
      <c r="Q4" s="498"/>
      <c r="R4" s="524"/>
      <c r="S4" s="524"/>
      <c r="T4" s="524"/>
      <c r="U4" s="524"/>
      <c r="V4" s="524"/>
      <c r="W4" s="524"/>
      <c r="X4" s="524"/>
      <c r="Y4" s="524"/>
      <c r="Z4" s="524"/>
      <c r="AA4" s="524"/>
      <c r="AB4" s="524"/>
      <c r="AC4" s="524"/>
      <c r="AD4" s="524"/>
      <c r="AE4" s="524"/>
      <c r="AF4" s="524"/>
      <c r="AG4" s="524"/>
      <c r="AH4" s="524"/>
      <c r="AI4" s="524"/>
      <c r="AJ4" s="524"/>
      <c r="AK4" s="524"/>
      <c r="AL4" s="524"/>
      <c r="AM4" s="524"/>
      <c r="AN4" s="524"/>
      <c r="AO4" s="524"/>
      <c r="AP4" s="524"/>
      <c r="AQ4" s="524"/>
      <c r="AR4" s="524"/>
      <c r="AS4" s="524"/>
      <c r="AT4" s="524"/>
      <c r="AU4" s="524"/>
      <c r="AV4" s="524"/>
      <c r="AW4" s="524"/>
      <c r="AX4" s="524"/>
      <c r="AY4" s="524"/>
      <c r="AZ4" s="524"/>
      <c r="BA4" s="524"/>
      <c r="BB4" s="524"/>
      <c r="BC4" s="524"/>
      <c r="BD4" s="524"/>
      <c r="BE4" s="524"/>
      <c r="BF4" s="524"/>
      <c r="BG4" s="524"/>
      <c r="BH4" s="524"/>
      <c r="BI4" s="524"/>
      <c r="BJ4" s="524"/>
      <c r="BK4" s="524"/>
      <c r="BL4" s="524"/>
      <c r="BM4" s="524"/>
      <c r="BN4" s="524"/>
      <c r="BO4" s="524"/>
      <c r="BP4" s="524"/>
      <c r="BQ4" s="524"/>
      <c r="BR4" s="524"/>
      <c r="BS4" s="524"/>
      <c r="BT4" s="524"/>
      <c r="BU4" s="524"/>
      <c r="BV4" s="524"/>
      <c r="BW4" s="524"/>
      <c r="BX4" s="524"/>
      <c r="BY4" s="524"/>
      <c r="BZ4" s="524"/>
      <c r="CA4" s="524"/>
      <c r="CB4" s="524"/>
      <c r="CC4" s="524"/>
      <c r="CD4" s="524"/>
      <c r="CE4" s="524"/>
      <c r="CF4" s="524"/>
      <c r="CG4" s="524"/>
      <c r="CH4" s="524"/>
      <c r="CI4" s="524"/>
      <c r="CJ4" s="524"/>
      <c r="CK4" s="524"/>
      <c r="CL4" s="524"/>
      <c r="CM4" s="524"/>
      <c r="CN4" s="524"/>
      <c r="CO4" s="524"/>
      <c r="CP4" s="524"/>
      <c r="CQ4" s="524"/>
      <c r="CR4" s="524"/>
      <c r="CS4" s="524"/>
      <c r="CT4" s="524"/>
      <c r="CU4" s="524"/>
      <c r="CV4" s="524"/>
      <c r="CW4" s="524"/>
      <c r="CX4" s="524"/>
      <c r="CY4" s="524"/>
      <c r="CZ4" s="524"/>
      <c r="DA4" s="524"/>
      <c r="DB4" s="524"/>
      <c r="DC4" s="524"/>
      <c r="DD4" s="524"/>
      <c r="DE4" s="524"/>
      <c r="DF4" s="524"/>
      <c r="DG4" s="524"/>
      <c r="DH4" s="524"/>
      <c r="DI4" s="524"/>
      <c r="DJ4" s="524"/>
      <c r="DK4" s="524"/>
      <c r="DL4" s="524"/>
      <c r="DM4" s="524"/>
      <c r="DN4" s="524"/>
      <c r="DO4" s="524"/>
      <c r="DP4" s="524"/>
      <c r="DQ4" s="524"/>
      <c r="DR4" s="524"/>
      <c r="DS4" s="524"/>
      <c r="DT4" s="524"/>
      <c r="DU4" s="524"/>
      <c r="DV4" s="524"/>
      <c r="DW4" s="524"/>
      <c r="DX4" s="524"/>
      <c r="DY4" s="524"/>
      <c r="DZ4" s="524"/>
      <c r="EA4" s="524"/>
      <c r="EB4" s="524"/>
      <c r="EC4" s="524"/>
      <c r="ED4" s="524"/>
      <c r="EE4" s="524"/>
      <c r="EF4" s="524"/>
      <c r="EG4" s="524"/>
      <c r="EH4" s="524"/>
      <c r="EI4" s="524"/>
      <c r="EJ4" s="524"/>
      <c r="EK4" s="524"/>
      <c r="EL4" s="524"/>
      <c r="EM4" s="524"/>
      <c r="EN4" s="524"/>
      <c r="EO4" s="524"/>
      <c r="EP4" s="524"/>
      <c r="EQ4" s="524"/>
      <c r="ER4" s="524"/>
      <c r="ES4" s="524"/>
      <c r="ET4" s="524"/>
      <c r="EU4" s="524"/>
      <c r="EV4" s="524"/>
      <c r="EW4" s="524"/>
      <c r="EX4" s="524"/>
      <c r="EY4" s="524"/>
      <c r="EZ4" s="524"/>
      <c r="FA4" s="524"/>
      <c r="FB4" s="524"/>
      <c r="FC4" s="524"/>
      <c r="FD4" s="524"/>
      <c r="FE4" s="524"/>
      <c r="FF4" s="524"/>
      <c r="FG4" s="524"/>
      <c r="FH4" s="524"/>
      <c r="FI4" s="524"/>
      <c r="FJ4" s="524"/>
      <c r="FK4" s="524"/>
      <c r="FL4" s="524"/>
      <c r="FM4" s="524"/>
      <c r="FN4" s="524"/>
      <c r="FO4" s="524"/>
      <c r="FP4" s="524"/>
      <c r="FQ4" s="524"/>
      <c r="FR4" s="524"/>
      <c r="FS4" s="524"/>
      <c r="FT4" s="524"/>
      <c r="FU4" s="524"/>
      <c r="FV4" s="524"/>
      <c r="FW4" s="524"/>
      <c r="FX4" s="524"/>
      <c r="FY4" s="524"/>
      <c r="FZ4" s="524"/>
      <c r="GA4" s="524"/>
      <c r="GB4" s="524"/>
      <c r="GC4" s="524"/>
      <c r="GD4" s="524"/>
      <c r="GE4" s="524"/>
      <c r="GF4" s="524"/>
      <c r="GG4" s="524"/>
      <c r="GH4" s="524"/>
      <c r="GI4" s="524"/>
      <c r="GJ4" s="524"/>
      <c r="GK4" s="524"/>
      <c r="GL4" s="524"/>
      <c r="GM4" s="524"/>
      <c r="GN4" s="524"/>
      <c r="GO4" s="524"/>
      <c r="GP4" s="524"/>
      <c r="GQ4" s="524"/>
      <c r="GR4" s="524"/>
      <c r="GS4" s="524"/>
      <c r="GT4" s="524"/>
      <c r="GU4" s="524"/>
      <c r="GV4" s="524"/>
      <c r="GW4" s="524"/>
      <c r="GX4" s="524"/>
      <c r="GY4" s="524"/>
      <c r="GZ4" s="524"/>
      <c r="HA4" s="524"/>
      <c r="HB4" s="524"/>
      <c r="HC4" s="524"/>
      <c r="HD4" s="524"/>
      <c r="HE4" s="524"/>
      <c r="HF4" s="524"/>
      <c r="HG4" s="524"/>
      <c r="HH4" s="524"/>
      <c r="HI4" s="524"/>
      <c r="HJ4" s="524"/>
      <c r="HK4" s="524"/>
      <c r="HL4" s="524"/>
      <c r="HM4" s="524"/>
      <c r="HN4" s="524"/>
      <c r="HO4" s="524"/>
      <c r="HP4" s="524"/>
      <c r="HQ4" s="524"/>
      <c r="HR4" s="524"/>
      <c r="HS4" s="524"/>
      <c r="HT4" s="524"/>
      <c r="HU4" s="524"/>
      <c r="HV4" s="524"/>
      <c r="HW4" s="524"/>
      <c r="HX4" s="524"/>
      <c r="HY4" s="524"/>
      <c r="HZ4" s="524"/>
      <c r="IA4" s="524"/>
      <c r="IB4" s="524"/>
      <c r="IC4" s="524"/>
      <c r="ID4" s="524"/>
      <c r="IE4" s="524"/>
      <c r="IF4" s="524"/>
      <c r="IG4" s="524"/>
      <c r="IH4" s="524"/>
      <c r="II4" s="524"/>
      <c r="IJ4" s="524"/>
      <c r="IK4" s="524"/>
      <c r="IL4" s="524"/>
      <c r="IM4" s="524"/>
      <c r="IN4" s="524"/>
      <c r="IO4" s="524"/>
      <c r="IP4" s="524"/>
      <c r="IQ4" s="524"/>
      <c r="IR4" s="524"/>
    </row>
    <row r="5" spans="1:252" x14ac:dyDescent="0.2">
      <c r="A5" s="499" t="s">
        <v>14</v>
      </c>
      <c r="B5" s="499"/>
      <c r="C5" s="499"/>
      <c r="D5" s="499"/>
      <c r="E5" s="499"/>
      <c r="F5" s="499"/>
      <c r="G5" s="499"/>
      <c r="H5" s="499"/>
      <c r="I5" s="499"/>
      <c r="J5" s="499"/>
      <c r="K5" s="499"/>
      <c r="L5" s="499"/>
      <c r="M5" s="499"/>
      <c r="N5" s="499"/>
      <c r="O5" s="499"/>
      <c r="P5" s="499"/>
      <c r="Q5" s="499"/>
      <c r="R5" s="524"/>
      <c r="S5" s="524"/>
      <c r="T5" s="524"/>
      <c r="U5" s="524"/>
      <c r="V5" s="524"/>
      <c r="W5" s="524"/>
      <c r="X5" s="524"/>
      <c r="Y5" s="524"/>
      <c r="Z5" s="524"/>
      <c r="AA5" s="524"/>
      <c r="AB5" s="524"/>
      <c r="AC5" s="524"/>
      <c r="AD5" s="524"/>
      <c r="AE5" s="524"/>
      <c r="AF5" s="524"/>
      <c r="AG5" s="524"/>
      <c r="AH5" s="524"/>
      <c r="AI5" s="524"/>
      <c r="AJ5" s="524"/>
      <c r="AK5" s="524"/>
      <c r="AL5" s="524"/>
      <c r="AM5" s="524"/>
      <c r="AN5" s="524"/>
      <c r="AO5" s="524"/>
      <c r="AP5" s="524"/>
      <c r="AQ5" s="524"/>
      <c r="AR5" s="524"/>
      <c r="AS5" s="524"/>
      <c r="AT5" s="524"/>
      <c r="AU5" s="524"/>
      <c r="AV5" s="524"/>
      <c r="AW5" s="524"/>
      <c r="AX5" s="524"/>
      <c r="AY5" s="524"/>
      <c r="AZ5" s="524"/>
      <c r="BA5" s="524"/>
      <c r="BB5" s="524"/>
      <c r="BC5" s="524"/>
      <c r="BD5" s="524"/>
      <c r="BE5" s="524"/>
      <c r="BF5" s="524"/>
      <c r="BG5" s="524"/>
      <c r="BH5" s="524"/>
      <c r="BI5" s="524"/>
      <c r="BJ5" s="524"/>
      <c r="BK5" s="524"/>
      <c r="BL5" s="524"/>
      <c r="BM5" s="524"/>
      <c r="BN5" s="524"/>
      <c r="BO5" s="524"/>
      <c r="BP5" s="524"/>
      <c r="BQ5" s="524"/>
      <c r="BR5" s="524"/>
      <c r="BS5" s="524"/>
      <c r="BT5" s="524"/>
      <c r="BU5" s="524"/>
      <c r="BV5" s="524"/>
      <c r="BW5" s="524"/>
      <c r="BX5" s="524"/>
      <c r="BY5" s="524"/>
      <c r="BZ5" s="524"/>
      <c r="CA5" s="524"/>
      <c r="CB5" s="524"/>
      <c r="CC5" s="524"/>
      <c r="CD5" s="524"/>
      <c r="CE5" s="524"/>
      <c r="CF5" s="524"/>
      <c r="CG5" s="524"/>
      <c r="CH5" s="524"/>
      <c r="CI5" s="524"/>
      <c r="CJ5" s="524"/>
      <c r="CK5" s="524"/>
      <c r="CL5" s="524"/>
      <c r="CM5" s="524"/>
      <c r="CN5" s="524"/>
      <c r="CO5" s="524"/>
      <c r="CP5" s="524"/>
      <c r="CQ5" s="524"/>
      <c r="CR5" s="524"/>
      <c r="CS5" s="524"/>
      <c r="CT5" s="524"/>
      <c r="CU5" s="524"/>
      <c r="CV5" s="524"/>
      <c r="CW5" s="524"/>
      <c r="CX5" s="524"/>
      <c r="CY5" s="524"/>
      <c r="CZ5" s="524"/>
      <c r="DA5" s="524"/>
      <c r="DB5" s="524"/>
      <c r="DC5" s="524"/>
      <c r="DD5" s="524"/>
      <c r="DE5" s="524"/>
      <c r="DF5" s="524"/>
      <c r="DG5" s="524"/>
      <c r="DH5" s="524"/>
      <c r="DI5" s="524"/>
      <c r="DJ5" s="524"/>
      <c r="DK5" s="524"/>
      <c r="DL5" s="524"/>
      <c r="DM5" s="524"/>
      <c r="DN5" s="524"/>
      <c r="DO5" s="524"/>
      <c r="DP5" s="524"/>
      <c r="DQ5" s="524"/>
      <c r="DR5" s="524"/>
      <c r="DS5" s="524"/>
      <c r="DT5" s="524"/>
      <c r="DU5" s="524"/>
      <c r="DV5" s="524"/>
      <c r="DW5" s="524"/>
      <c r="DX5" s="524"/>
      <c r="DY5" s="524"/>
      <c r="DZ5" s="524"/>
      <c r="EA5" s="524"/>
      <c r="EB5" s="524"/>
      <c r="EC5" s="524"/>
      <c r="ED5" s="524"/>
      <c r="EE5" s="524"/>
      <c r="EF5" s="524"/>
      <c r="EG5" s="524"/>
      <c r="EH5" s="524"/>
      <c r="EI5" s="524"/>
      <c r="EJ5" s="524"/>
      <c r="EK5" s="524"/>
      <c r="EL5" s="524"/>
      <c r="EM5" s="524"/>
      <c r="EN5" s="524"/>
      <c r="EO5" s="524"/>
      <c r="EP5" s="524"/>
      <c r="EQ5" s="524"/>
      <c r="ER5" s="524"/>
      <c r="ES5" s="524"/>
      <c r="ET5" s="524"/>
      <c r="EU5" s="524"/>
      <c r="EV5" s="524"/>
      <c r="EW5" s="524"/>
      <c r="EX5" s="524"/>
      <c r="EY5" s="524"/>
      <c r="EZ5" s="524"/>
      <c r="FA5" s="524"/>
      <c r="FB5" s="524"/>
      <c r="FC5" s="524"/>
      <c r="FD5" s="524"/>
      <c r="FE5" s="524"/>
      <c r="FF5" s="524"/>
      <c r="FG5" s="524"/>
      <c r="FH5" s="524"/>
      <c r="FI5" s="524"/>
      <c r="FJ5" s="524"/>
      <c r="FK5" s="524"/>
      <c r="FL5" s="524"/>
      <c r="FM5" s="524"/>
      <c r="FN5" s="524"/>
      <c r="FO5" s="524"/>
      <c r="FP5" s="524"/>
      <c r="FQ5" s="524"/>
      <c r="FR5" s="524"/>
      <c r="FS5" s="524"/>
      <c r="FT5" s="524"/>
      <c r="FU5" s="524"/>
      <c r="FV5" s="524"/>
      <c r="FW5" s="524"/>
      <c r="FX5" s="524"/>
      <c r="FY5" s="524"/>
      <c r="FZ5" s="524"/>
      <c r="GA5" s="524"/>
      <c r="GB5" s="524"/>
      <c r="GC5" s="524"/>
      <c r="GD5" s="524"/>
      <c r="GE5" s="524"/>
      <c r="GF5" s="524"/>
      <c r="GG5" s="524"/>
      <c r="GH5" s="524"/>
      <c r="GI5" s="524"/>
      <c r="GJ5" s="524"/>
      <c r="GK5" s="524"/>
      <c r="GL5" s="524"/>
      <c r="GM5" s="524"/>
      <c r="GN5" s="524"/>
      <c r="GO5" s="524"/>
      <c r="GP5" s="524"/>
      <c r="GQ5" s="524"/>
      <c r="GR5" s="524"/>
      <c r="GS5" s="524"/>
      <c r="GT5" s="524"/>
      <c r="GU5" s="524"/>
      <c r="GV5" s="524"/>
      <c r="GW5" s="524"/>
      <c r="GX5" s="524"/>
      <c r="GY5" s="524"/>
      <c r="GZ5" s="524"/>
      <c r="HA5" s="524"/>
      <c r="HB5" s="524"/>
      <c r="HC5" s="524"/>
      <c r="HD5" s="524"/>
      <c r="HE5" s="524"/>
      <c r="HF5" s="524"/>
      <c r="HG5" s="524"/>
      <c r="HH5" s="524"/>
      <c r="HI5" s="524"/>
      <c r="HJ5" s="524"/>
      <c r="HK5" s="524"/>
      <c r="HL5" s="524"/>
      <c r="HM5" s="524"/>
      <c r="HN5" s="524"/>
      <c r="HO5" s="524"/>
      <c r="HP5" s="524"/>
      <c r="HQ5" s="524"/>
      <c r="HR5" s="524"/>
      <c r="HS5" s="524"/>
      <c r="HT5" s="524"/>
      <c r="HU5" s="524"/>
      <c r="HV5" s="524"/>
      <c r="HW5" s="524"/>
      <c r="HX5" s="524"/>
      <c r="HY5" s="524"/>
      <c r="HZ5" s="524"/>
      <c r="IA5" s="524"/>
      <c r="IB5" s="524"/>
      <c r="IC5" s="524"/>
      <c r="ID5" s="524"/>
      <c r="IE5" s="524"/>
      <c r="IF5" s="524"/>
      <c r="IG5" s="524"/>
      <c r="IH5" s="524"/>
      <c r="II5" s="524"/>
      <c r="IJ5" s="524"/>
      <c r="IK5" s="524"/>
      <c r="IL5" s="524"/>
      <c r="IM5" s="524"/>
      <c r="IN5" s="524"/>
      <c r="IO5" s="524"/>
      <c r="IP5" s="524"/>
      <c r="IQ5" s="524"/>
      <c r="IR5" s="524"/>
    </row>
    <row r="6" spans="1:252" ht="21" x14ac:dyDescent="0.2">
      <c r="A6" s="525" t="s">
        <v>17</v>
      </c>
      <c r="B6" s="525"/>
      <c r="C6" s="525"/>
      <c r="D6" s="525"/>
      <c r="E6" s="525"/>
      <c r="F6" s="525"/>
      <c r="G6" s="525"/>
      <c r="H6" s="525"/>
      <c r="I6" s="525"/>
      <c r="J6" s="525"/>
      <c r="K6" s="525"/>
      <c r="L6" s="525"/>
      <c r="M6" s="525"/>
      <c r="N6" s="525"/>
      <c r="O6" s="525"/>
      <c r="P6" s="525"/>
      <c r="Q6" s="525"/>
      <c r="R6" s="524"/>
      <c r="S6" s="524"/>
      <c r="T6" s="524"/>
      <c r="U6" s="524"/>
      <c r="V6" s="524"/>
      <c r="W6" s="524"/>
      <c r="X6" s="524"/>
      <c r="Y6" s="524"/>
      <c r="Z6" s="524"/>
      <c r="AA6" s="524"/>
      <c r="AB6" s="524"/>
      <c r="AC6" s="524"/>
      <c r="AD6" s="524"/>
      <c r="AE6" s="524"/>
      <c r="AF6" s="524"/>
      <c r="AG6" s="524"/>
      <c r="AH6" s="524"/>
      <c r="AI6" s="524"/>
      <c r="AJ6" s="524"/>
      <c r="AK6" s="524"/>
      <c r="AL6" s="524"/>
      <c r="AM6" s="524"/>
      <c r="AN6" s="524"/>
      <c r="AO6" s="524"/>
      <c r="AP6" s="524"/>
      <c r="AQ6" s="524"/>
      <c r="AR6" s="524"/>
      <c r="AS6" s="524"/>
      <c r="AT6" s="524"/>
      <c r="AU6" s="524"/>
      <c r="AV6" s="524"/>
      <c r="AW6" s="524"/>
      <c r="AX6" s="524"/>
      <c r="AY6" s="524"/>
      <c r="AZ6" s="524"/>
      <c r="BA6" s="524"/>
      <c r="BB6" s="524"/>
      <c r="BC6" s="524"/>
      <c r="BD6" s="524"/>
      <c r="BE6" s="524"/>
      <c r="BF6" s="524"/>
      <c r="BG6" s="524"/>
      <c r="BH6" s="524"/>
      <c r="BI6" s="524"/>
      <c r="BJ6" s="524"/>
      <c r="BK6" s="524"/>
      <c r="BL6" s="524"/>
      <c r="BM6" s="524"/>
      <c r="BN6" s="524"/>
      <c r="BO6" s="524"/>
      <c r="BP6" s="524"/>
      <c r="BQ6" s="524"/>
      <c r="BR6" s="524"/>
      <c r="BS6" s="524"/>
      <c r="BT6" s="524"/>
      <c r="BU6" s="524"/>
      <c r="BV6" s="524"/>
      <c r="BW6" s="524"/>
      <c r="BX6" s="524"/>
      <c r="BY6" s="524"/>
      <c r="BZ6" s="524"/>
      <c r="CA6" s="524"/>
      <c r="CB6" s="524"/>
      <c r="CC6" s="524"/>
      <c r="CD6" s="524"/>
      <c r="CE6" s="524"/>
      <c r="CF6" s="524"/>
      <c r="CG6" s="524"/>
      <c r="CH6" s="524"/>
      <c r="CI6" s="524"/>
      <c r="CJ6" s="524"/>
      <c r="CK6" s="524"/>
      <c r="CL6" s="524"/>
      <c r="CM6" s="524"/>
      <c r="CN6" s="524"/>
      <c r="CO6" s="524"/>
      <c r="CP6" s="524"/>
      <c r="CQ6" s="524"/>
      <c r="CR6" s="524"/>
      <c r="CS6" s="524"/>
      <c r="CT6" s="524"/>
      <c r="CU6" s="524"/>
      <c r="CV6" s="524"/>
      <c r="CW6" s="524"/>
      <c r="CX6" s="524"/>
      <c r="CY6" s="524"/>
      <c r="CZ6" s="524"/>
      <c r="DA6" s="524"/>
      <c r="DB6" s="524"/>
      <c r="DC6" s="524"/>
      <c r="DD6" s="524"/>
      <c r="DE6" s="524"/>
      <c r="DF6" s="524"/>
      <c r="DG6" s="524"/>
      <c r="DH6" s="524"/>
      <c r="DI6" s="524"/>
      <c r="DJ6" s="524"/>
      <c r="DK6" s="524"/>
      <c r="DL6" s="524"/>
      <c r="DM6" s="524"/>
      <c r="DN6" s="524"/>
      <c r="DO6" s="524"/>
      <c r="DP6" s="524"/>
      <c r="DQ6" s="524"/>
      <c r="DR6" s="524"/>
      <c r="DS6" s="524"/>
      <c r="DT6" s="524"/>
      <c r="DU6" s="524"/>
      <c r="DV6" s="524"/>
      <c r="DW6" s="524"/>
      <c r="DX6" s="524"/>
      <c r="DY6" s="524"/>
      <c r="DZ6" s="524"/>
      <c r="EA6" s="524"/>
      <c r="EB6" s="524"/>
      <c r="EC6" s="524"/>
      <c r="ED6" s="524"/>
      <c r="EE6" s="524"/>
      <c r="EF6" s="524"/>
      <c r="EG6" s="524"/>
      <c r="EH6" s="524"/>
      <c r="EI6" s="524"/>
      <c r="EJ6" s="524"/>
      <c r="EK6" s="524"/>
      <c r="EL6" s="524"/>
      <c r="EM6" s="524"/>
      <c r="EN6" s="524"/>
      <c r="EO6" s="524"/>
      <c r="EP6" s="524"/>
      <c r="EQ6" s="524"/>
      <c r="ER6" s="524"/>
      <c r="ES6" s="524"/>
      <c r="ET6" s="524"/>
      <c r="EU6" s="524"/>
      <c r="EV6" s="524"/>
      <c r="EW6" s="524"/>
      <c r="EX6" s="524"/>
      <c r="EY6" s="524"/>
      <c r="EZ6" s="524"/>
      <c r="FA6" s="524"/>
      <c r="FB6" s="524"/>
      <c r="FC6" s="524"/>
      <c r="FD6" s="524"/>
      <c r="FE6" s="524"/>
      <c r="FF6" s="524"/>
      <c r="FG6" s="524"/>
      <c r="FH6" s="524"/>
      <c r="FI6" s="524"/>
      <c r="FJ6" s="524"/>
      <c r="FK6" s="524"/>
      <c r="FL6" s="524"/>
      <c r="FM6" s="524"/>
      <c r="FN6" s="524"/>
      <c r="FO6" s="524"/>
      <c r="FP6" s="524"/>
      <c r="FQ6" s="524"/>
      <c r="FR6" s="524"/>
      <c r="FS6" s="524"/>
      <c r="FT6" s="524"/>
      <c r="FU6" s="524"/>
      <c r="FV6" s="524"/>
      <c r="FW6" s="524"/>
      <c r="FX6" s="524"/>
      <c r="FY6" s="524"/>
      <c r="FZ6" s="524"/>
      <c r="GA6" s="524"/>
      <c r="GB6" s="524"/>
      <c r="GC6" s="524"/>
      <c r="GD6" s="524"/>
      <c r="GE6" s="524"/>
      <c r="GF6" s="524"/>
      <c r="GG6" s="524"/>
      <c r="GH6" s="524"/>
      <c r="GI6" s="524"/>
      <c r="GJ6" s="524"/>
      <c r="GK6" s="524"/>
      <c r="GL6" s="524"/>
      <c r="GM6" s="524"/>
      <c r="GN6" s="524"/>
      <c r="GO6" s="524"/>
      <c r="GP6" s="524"/>
      <c r="GQ6" s="524"/>
      <c r="GR6" s="524"/>
      <c r="GS6" s="524"/>
      <c r="GT6" s="524"/>
      <c r="GU6" s="524"/>
      <c r="GV6" s="524"/>
      <c r="GW6" s="524"/>
      <c r="GX6" s="524"/>
      <c r="GY6" s="524"/>
      <c r="GZ6" s="524"/>
      <c r="HA6" s="524"/>
      <c r="HB6" s="524"/>
      <c r="HC6" s="524"/>
      <c r="HD6" s="524"/>
      <c r="HE6" s="524"/>
      <c r="HF6" s="524"/>
      <c r="HG6" s="524"/>
      <c r="HH6" s="524"/>
      <c r="HI6" s="524"/>
      <c r="HJ6" s="524"/>
      <c r="HK6" s="524"/>
      <c r="HL6" s="524"/>
      <c r="HM6" s="524"/>
      <c r="HN6" s="524"/>
      <c r="HO6" s="524"/>
      <c r="HP6" s="524"/>
      <c r="HQ6" s="524"/>
      <c r="HR6" s="524"/>
      <c r="HS6" s="524"/>
      <c r="HT6" s="524"/>
      <c r="HU6" s="524"/>
      <c r="HV6" s="524"/>
      <c r="HW6" s="524"/>
      <c r="HX6" s="524"/>
      <c r="HY6" s="524"/>
      <c r="HZ6" s="524"/>
      <c r="IA6" s="524"/>
      <c r="IB6" s="524"/>
      <c r="IC6" s="524"/>
      <c r="ID6" s="524"/>
      <c r="IE6" s="524"/>
      <c r="IF6" s="524"/>
      <c r="IG6" s="524"/>
      <c r="IH6" s="524"/>
      <c r="II6" s="524"/>
      <c r="IJ6" s="524"/>
      <c r="IK6" s="524"/>
      <c r="IL6" s="524"/>
      <c r="IM6" s="524"/>
      <c r="IN6" s="524"/>
      <c r="IO6" s="524"/>
      <c r="IP6" s="524"/>
      <c r="IQ6" s="524"/>
      <c r="IR6" s="524"/>
    </row>
    <row r="7" spans="1:252" ht="51" x14ac:dyDescent="0.2">
      <c r="A7" s="501" t="s">
        <v>0</v>
      </c>
      <c r="B7" s="502" t="s">
        <v>10</v>
      </c>
      <c r="C7" s="595"/>
      <c r="D7" s="503"/>
      <c r="E7" s="503"/>
      <c r="F7" s="503"/>
      <c r="G7" s="504"/>
      <c r="H7" s="502" t="s">
        <v>322</v>
      </c>
      <c r="I7" s="503"/>
      <c r="J7" s="503"/>
      <c r="K7" s="503"/>
      <c r="L7" s="503"/>
      <c r="M7" s="503"/>
      <c r="N7" s="502" t="s">
        <v>324</v>
      </c>
      <c r="O7" s="503"/>
      <c r="P7" s="503"/>
      <c r="Q7" s="504"/>
      <c r="R7" s="524"/>
      <c r="S7" s="524"/>
      <c r="T7" s="524"/>
      <c r="U7" s="524"/>
      <c r="V7" s="524"/>
      <c r="W7" s="524"/>
      <c r="X7" s="524"/>
      <c r="Y7" s="524"/>
      <c r="Z7" s="524"/>
      <c r="AA7" s="524"/>
      <c r="AB7" s="524"/>
      <c r="AC7" s="524"/>
      <c r="AD7" s="524"/>
      <c r="AE7" s="524"/>
      <c r="AF7" s="524"/>
      <c r="AG7" s="524"/>
      <c r="AH7" s="524"/>
      <c r="AI7" s="524"/>
      <c r="AJ7" s="524"/>
      <c r="AK7" s="524"/>
      <c r="AL7" s="524"/>
      <c r="AM7" s="524"/>
      <c r="AN7" s="524"/>
      <c r="AO7" s="524"/>
      <c r="AP7" s="524"/>
      <c r="AQ7" s="524"/>
      <c r="AR7" s="524"/>
      <c r="AS7" s="524"/>
      <c r="AT7" s="524"/>
      <c r="AU7" s="524"/>
      <c r="AV7" s="524"/>
      <c r="AW7" s="524"/>
      <c r="AX7" s="524"/>
      <c r="AY7" s="524"/>
      <c r="AZ7" s="524"/>
      <c r="BA7" s="524"/>
      <c r="BB7" s="524"/>
      <c r="BC7" s="524"/>
      <c r="BD7" s="524"/>
      <c r="BE7" s="524"/>
      <c r="BF7" s="524"/>
      <c r="BG7" s="524"/>
      <c r="BH7" s="524"/>
      <c r="BI7" s="524"/>
      <c r="BJ7" s="524"/>
      <c r="BK7" s="524"/>
      <c r="BL7" s="524"/>
      <c r="BM7" s="524"/>
      <c r="BN7" s="524"/>
      <c r="BO7" s="524"/>
      <c r="BP7" s="524"/>
      <c r="BQ7" s="524"/>
      <c r="BR7" s="524"/>
      <c r="BS7" s="524"/>
      <c r="BT7" s="524"/>
      <c r="BU7" s="524"/>
      <c r="BV7" s="524"/>
      <c r="BW7" s="524"/>
      <c r="BX7" s="524"/>
      <c r="BY7" s="524"/>
      <c r="BZ7" s="524"/>
      <c r="CA7" s="524"/>
      <c r="CB7" s="524"/>
      <c r="CC7" s="524"/>
      <c r="CD7" s="524"/>
      <c r="CE7" s="524"/>
      <c r="CF7" s="524"/>
      <c r="CG7" s="524"/>
      <c r="CH7" s="524"/>
      <c r="CI7" s="524"/>
      <c r="CJ7" s="524"/>
      <c r="CK7" s="524"/>
      <c r="CL7" s="524"/>
      <c r="CM7" s="524"/>
      <c r="CN7" s="524"/>
      <c r="CO7" s="524"/>
      <c r="CP7" s="524"/>
      <c r="CQ7" s="524"/>
      <c r="CR7" s="524"/>
      <c r="CS7" s="524"/>
      <c r="CT7" s="524"/>
      <c r="CU7" s="524"/>
      <c r="CV7" s="524"/>
      <c r="CW7" s="524"/>
      <c r="CX7" s="524"/>
      <c r="CY7" s="524"/>
      <c r="CZ7" s="524"/>
      <c r="DA7" s="524"/>
      <c r="DB7" s="524"/>
      <c r="DC7" s="524"/>
      <c r="DD7" s="524"/>
      <c r="DE7" s="524"/>
      <c r="DF7" s="524"/>
      <c r="DG7" s="524"/>
      <c r="DH7" s="524"/>
      <c r="DI7" s="524"/>
      <c r="DJ7" s="524"/>
      <c r="DK7" s="524"/>
      <c r="DL7" s="524"/>
      <c r="DM7" s="524"/>
      <c r="DN7" s="524"/>
      <c r="DO7" s="524"/>
      <c r="DP7" s="524"/>
      <c r="DQ7" s="524"/>
      <c r="DR7" s="524"/>
      <c r="DS7" s="524"/>
      <c r="DT7" s="524"/>
      <c r="DU7" s="524"/>
      <c r="DV7" s="524"/>
      <c r="DW7" s="524"/>
      <c r="DX7" s="524"/>
      <c r="DY7" s="524"/>
      <c r="DZ7" s="524"/>
      <c r="EA7" s="524"/>
      <c r="EB7" s="524"/>
      <c r="EC7" s="524"/>
      <c r="ED7" s="524"/>
      <c r="EE7" s="524"/>
      <c r="EF7" s="524"/>
      <c r="EG7" s="524"/>
      <c r="EH7" s="524"/>
      <c r="EI7" s="524"/>
      <c r="EJ7" s="524"/>
      <c r="EK7" s="524"/>
      <c r="EL7" s="524"/>
      <c r="EM7" s="524"/>
      <c r="EN7" s="524"/>
      <c r="EO7" s="524"/>
      <c r="EP7" s="524"/>
      <c r="EQ7" s="524"/>
      <c r="ER7" s="524"/>
      <c r="ES7" s="524"/>
      <c r="ET7" s="524"/>
      <c r="EU7" s="524"/>
      <c r="EV7" s="524"/>
      <c r="EW7" s="524"/>
      <c r="EX7" s="524"/>
      <c r="EY7" s="524"/>
      <c r="EZ7" s="524"/>
      <c r="FA7" s="524"/>
      <c r="FB7" s="524"/>
      <c r="FC7" s="524"/>
      <c r="FD7" s="524"/>
      <c r="FE7" s="524"/>
      <c r="FF7" s="524"/>
      <c r="FG7" s="524"/>
      <c r="FH7" s="524"/>
      <c r="FI7" s="524"/>
      <c r="FJ7" s="524"/>
      <c r="FK7" s="524"/>
      <c r="FL7" s="524"/>
      <c r="FM7" s="524"/>
      <c r="FN7" s="524"/>
      <c r="FO7" s="524"/>
      <c r="FP7" s="524"/>
      <c r="FQ7" s="524"/>
      <c r="FR7" s="524"/>
      <c r="FS7" s="524"/>
      <c r="FT7" s="524"/>
      <c r="FU7" s="524"/>
      <c r="FV7" s="524"/>
      <c r="FW7" s="524"/>
      <c r="FX7" s="524"/>
      <c r="FY7" s="524"/>
      <c r="FZ7" s="524"/>
      <c r="GA7" s="524"/>
      <c r="GB7" s="524"/>
      <c r="GC7" s="524"/>
      <c r="GD7" s="524"/>
      <c r="GE7" s="524"/>
      <c r="GF7" s="524"/>
      <c r="GG7" s="524"/>
      <c r="GH7" s="524"/>
      <c r="GI7" s="524"/>
      <c r="GJ7" s="524"/>
      <c r="GK7" s="524"/>
      <c r="GL7" s="524"/>
      <c r="GM7" s="524"/>
      <c r="GN7" s="524"/>
      <c r="GO7" s="524"/>
      <c r="GP7" s="524"/>
      <c r="GQ7" s="524"/>
      <c r="GR7" s="524"/>
      <c r="GS7" s="524"/>
      <c r="GT7" s="524"/>
      <c r="GU7" s="524"/>
      <c r="GV7" s="524"/>
      <c r="GW7" s="524"/>
      <c r="GX7" s="524"/>
      <c r="GY7" s="524"/>
      <c r="GZ7" s="524"/>
      <c r="HA7" s="524"/>
      <c r="HB7" s="524"/>
      <c r="HC7" s="524"/>
      <c r="HD7" s="524"/>
      <c r="HE7" s="524"/>
      <c r="HF7" s="524"/>
      <c r="HG7" s="524"/>
      <c r="HH7" s="524"/>
      <c r="HI7" s="524"/>
      <c r="HJ7" s="524"/>
      <c r="HK7" s="524"/>
      <c r="HL7" s="524"/>
      <c r="HM7" s="524"/>
      <c r="HN7" s="524"/>
      <c r="HO7" s="524"/>
      <c r="HP7" s="524"/>
      <c r="HQ7" s="524"/>
      <c r="HR7" s="524"/>
      <c r="HS7" s="524"/>
      <c r="HT7" s="524"/>
      <c r="HU7" s="524"/>
      <c r="HV7" s="524"/>
      <c r="HW7" s="524"/>
      <c r="HX7" s="524"/>
      <c r="HY7" s="524"/>
      <c r="HZ7" s="524"/>
      <c r="IA7" s="524"/>
      <c r="IB7" s="524"/>
      <c r="IC7" s="524"/>
      <c r="ID7" s="524"/>
      <c r="IE7" s="524"/>
      <c r="IF7" s="524"/>
      <c r="IG7" s="524"/>
      <c r="IH7" s="524"/>
      <c r="II7" s="524"/>
      <c r="IJ7" s="524"/>
      <c r="IK7" s="524"/>
      <c r="IL7" s="524"/>
      <c r="IM7" s="524"/>
      <c r="IN7" s="524"/>
      <c r="IO7" s="524"/>
      <c r="IP7" s="524"/>
      <c r="IQ7" s="524"/>
      <c r="IR7" s="524"/>
    </row>
    <row r="8" spans="1:252" ht="204" x14ac:dyDescent="0.2">
      <c r="A8" s="505"/>
      <c r="B8" s="506" t="s">
        <v>4</v>
      </c>
      <c r="C8" s="506" t="s">
        <v>1</v>
      </c>
      <c r="D8" s="506" t="s">
        <v>3</v>
      </c>
      <c r="E8" s="506" t="s">
        <v>2</v>
      </c>
      <c r="F8" s="506" t="s">
        <v>6</v>
      </c>
      <c r="G8" s="506" t="s">
        <v>5</v>
      </c>
      <c r="H8" s="506" t="s">
        <v>7</v>
      </c>
      <c r="I8" s="507" t="s">
        <v>8</v>
      </c>
      <c r="J8" s="507" t="s">
        <v>9</v>
      </c>
      <c r="K8" s="508" t="s">
        <v>11</v>
      </c>
      <c r="L8" s="508" t="s">
        <v>12</v>
      </c>
      <c r="M8" s="508" t="s">
        <v>13</v>
      </c>
      <c r="N8" s="507" t="s">
        <v>9</v>
      </c>
      <c r="O8" s="508" t="s">
        <v>11</v>
      </c>
      <c r="P8" s="508" t="s">
        <v>12</v>
      </c>
      <c r="Q8" s="509" t="s">
        <v>13</v>
      </c>
      <c r="R8" s="524"/>
      <c r="S8" s="524"/>
      <c r="T8" s="524"/>
      <c r="U8" s="524"/>
      <c r="V8" s="524"/>
      <c r="W8" s="524"/>
      <c r="X8" s="524"/>
      <c r="Y8" s="524"/>
      <c r="Z8" s="524"/>
      <c r="AA8" s="524"/>
      <c r="AB8" s="524"/>
      <c r="AC8" s="524"/>
      <c r="AD8" s="524"/>
      <c r="AE8" s="524"/>
      <c r="AF8" s="524"/>
      <c r="AG8" s="524"/>
      <c r="AH8" s="524"/>
      <c r="AI8" s="524"/>
      <c r="AJ8" s="524"/>
      <c r="AK8" s="524"/>
      <c r="AL8" s="524"/>
      <c r="AM8" s="524"/>
      <c r="AN8" s="524"/>
      <c r="AO8" s="524"/>
      <c r="AP8" s="524"/>
      <c r="AQ8" s="524"/>
      <c r="AR8" s="524"/>
      <c r="AS8" s="524"/>
      <c r="AT8" s="524"/>
      <c r="AU8" s="524"/>
      <c r="AV8" s="524"/>
      <c r="AW8" s="524"/>
      <c r="AX8" s="524"/>
      <c r="AY8" s="524"/>
      <c r="AZ8" s="524"/>
      <c r="BA8" s="524"/>
      <c r="BB8" s="524"/>
      <c r="BC8" s="524"/>
      <c r="BD8" s="524"/>
      <c r="BE8" s="524"/>
      <c r="BF8" s="524"/>
      <c r="BG8" s="524"/>
      <c r="BH8" s="524"/>
      <c r="BI8" s="524"/>
      <c r="BJ8" s="524"/>
      <c r="BK8" s="524"/>
      <c r="BL8" s="524"/>
      <c r="BM8" s="524"/>
      <c r="BN8" s="524"/>
      <c r="BO8" s="524"/>
      <c r="BP8" s="524"/>
      <c r="BQ8" s="524"/>
      <c r="BR8" s="524"/>
      <c r="BS8" s="524"/>
      <c r="BT8" s="524"/>
      <c r="BU8" s="524"/>
      <c r="BV8" s="524"/>
      <c r="BW8" s="524"/>
      <c r="BX8" s="524"/>
      <c r="BY8" s="524"/>
      <c r="BZ8" s="524"/>
      <c r="CA8" s="524"/>
      <c r="CB8" s="524"/>
      <c r="CC8" s="524"/>
      <c r="CD8" s="524"/>
      <c r="CE8" s="524"/>
      <c r="CF8" s="524"/>
      <c r="CG8" s="524"/>
      <c r="CH8" s="524"/>
      <c r="CI8" s="524"/>
      <c r="CJ8" s="524"/>
      <c r="CK8" s="524"/>
      <c r="CL8" s="524"/>
      <c r="CM8" s="524"/>
      <c r="CN8" s="524"/>
      <c r="CO8" s="524"/>
      <c r="CP8" s="524"/>
      <c r="CQ8" s="524"/>
      <c r="CR8" s="524"/>
      <c r="CS8" s="524"/>
      <c r="CT8" s="524"/>
      <c r="CU8" s="524"/>
      <c r="CV8" s="524"/>
      <c r="CW8" s="524"/>
      <c r="CX8" s="524"/>
      <c r="CY8" s="524"/>
      <c r="CZ8" s="524"/>
      <c r="DA8" s="524"/>
      <c r="DB8" s="524"/>
      <c r="DC8" s="524"/>
      <c r="DD8" s="524"/>
      <c r="DE8" s="524"/>
      <c r="DF8" s="524"/>
      <c r="DG8" s="524"/>
      <c r="DH8" s="524"/>
      <c r="DI8" s="524"/>
      <c r="DJ8" s="524"/>
      <c r="DK8" s="524"/>
      <c r="DL8" s="524"/>
      <c r="DM8" s="524"/>
      <c r="DN8" s="524"/>
      <c r="DO8" s="524"/>
      <c r="DP8" s="524"/>
      <c r="DQ8" s="524"/>
      <c r="DR8" s="524"/>
      <c r="DS8" s="524"/>
      <c r="DT8" s="524"/>
      <c r="DU8" s="524"/>
      <c r="DV8" s="524"/>
      <c r="DW8" s="524"/>
      <c r="DX8" s="524"/>
      <c r="DY8" s="524"/>
      <c r="DZ8" s="524"/>
      <c r="EA8" s="524"/>
      <c r="EB8" s="524"/>
      <c r="EC8" s="524"/>
      <c r="ED8" s="524"/>
      <c r="EE8" s="524"/>
      <c r="EF8" s="524"/>
      <c r="EG8" s="524"/>
      <c r="EH8" s="524"/>
      <c r="EI8" s="524"/>
      <c r="EJ8" s="524"/>
      <c r="EK8" s="524"/>
      <c r="EL8" s="524"/>
      <c r="EM8" s="524"/>
      <c r="EN8" s="524"/>
      <c r="EO8" s="524"/>
      <c r="EP8" s="524"/>
      <c r="EQ8" s="524"/>
      <c r="ER8" s="524"/>
      <c r="ES8" s="524"/>
      <c r="ET8" s="524"/>
      <c r="EU8" s="524"/>
      <c r="EV8" s="524"/>
      <c r="EW8" s="524"/>
      <c r="EX8" s="524"/>
      <c r="EY8" s="524"/>
      <c r="EZ8" s="524"/>
      <c r="FA8" s="524"/>
      <c r="FB8" s="524"/>
      <c r="FC8" s="524"/>
      <c r="FD8" s="524"/>
      <c r="FE8" s="524"/>
      <c r="FF8" s="524"/>
      <c r="FG8" s="524"/>
      <c r="FH8" s="524"/>
      <c r="FI8" s="524"/>
      <c r="FJ8" s="524"/>
      <c r="FK8" s="524"/>
      <c r="FL8" s="524"/>
      <c r="FM8" s="524"/>
      <c r="FN8" s="524"/>
      <c r="FO8" s="524"/>
      <c r="FP8" s="524"/>
      <c r="FQ8" s="524"/>
      <c r="FR8" s="524"/>
      <c r="FS8" s="524"/>
      <c r="FT8" s="524"/>
      <c r="FU8" s="524"/>
      <c r="FV8" s="524"/>
      <c r="FW8" s="524"/>
      <c r="FX8" s="524"/>
      <c r="FY8" s="524"/>
      <c r="FZ8" s="524"/>
      <c r="GA8" s="524"/>
      <c r="GB8" s="524"/>
      <c r="GC8" s="524"/>
      <c r="GD8" s="524"/>
      <c r="GE8" s="524"/>
      <c r="GF8" s="524"/>
      <c r="GG8" s="524"/>
      <c r="GH8" s="524"/>
      <c r="GI8" s="524"/>
      <c r="GJ8" s="524"/>
      <c r="GK8" s="524"/>
      <c r="GL8" s="524"/>
      <c r="GM8" s="524"/>
      <c r="GN8" s="524"/>
      <c r="GO8" s="524"/>
      <c r="GP8" s="524"/>
      <c r="GQ8" s="524"/>
      <c r="GR8" s="524"/>
      <c r="GS8" s="524"/>
      <c r="GT8" s="524"/>
      <c r="GU8" s="524"/>
      <c r="GV8" s="524"/>
      <c r="GW8" s="524"/>
      <c r="GX8" s="524"/>
      <c r="GY8" s="524"/>
      <c r="GZ8" s="524"/>
      <c r="HA8" s="524"/>
      <c r="HB8" s="524"/>
      <c r="HC8" s="524"/>
      <c r="HD8" s="524"/>
      <c r="HE8" s="524"/>
      <c r="HF8" s="524"/>
      <c r="HG8" s="524"/>
      <c r="HH8" s="524"/>
      <c r="HI8" s="524"/>
      <c r="HJ8" s="524"/>
      <c r="HK8" s="524"/>
      <c r="HL8" s="524"/>
      <c r="HM8" s="524"/>
      <c r="HN8" s="524"/>
      <c r="HO8" s="524"/>
      <c r="HP8" s="524"/>
      <c r="HQ8" s="524"/>
      <c r="HR8" s="524"/>
      <c r="HS8" s="524"/>
      <c r="HT8" s="524"/>
      <c r="HU8" s="524"/>
      <c r="HV8" s="524"/>
      <c r="HW8" s="524"/>
      <c r="HX8" s="524"/>
      <c r="HY8" s="524"/>
      <c r="HZ8" s="524"/>
      <c r="IA8" s="524"/>
      <c r="IB8" s="524"/>
      <c r="IC8" s="524"/>
      <c r="ID8" s="524"/>
      <c r="IE8" s="524"/>
      <c r="IF8" s="524"/>
      <c r="IG8" s="524"/>
      <c r="IH8" s="524"/>
      <c r="II8" s="524"/>
      <c r="IJ8" s="524"/>
      <c r="IK8" s="524"/>
      <c r="IL8" s="524"/>
      <c r="IM8" s="524"/>
      <c r="IN8" s="524"/>
      <c r="IO8" s="524"/>
      <c r="IP8" s="524"/>
      <c r="IQ8" s="524"/>
      <c r="IR8" s="524"/>
    </row>
    <row r="9" spans="1:252" ht="15.75" customHeight="1" x14ac:dyDescent="0.2">
      <c r="A9" s="529">
        <v>1</v>
      </c>
      <c r="B9" s="529" t="s">
        <v>159</v>
      </c>
      <c r="C9" s="516" t="s">
        <v>62</v>
      </c>
      <c r="D9" s="529" t="s">
        <v>63</v>
      </c>
      <c r="E9" s="529" t="s">
        <v>121</v>
      </c>
      <c r="F9" s="529" t="s">
        <v>160</v>
      </c>
      <c r="G9" s="510" t="s">
        <v>670</v>
      </c>
      <c r="H9" s="529">
        <v>3</v>
      </c>
      <c r="I9" s="529">
        <v>3</v>
      </c>
      <c r="J9" s="529">
        <v>3</v>
      </c>
      <c r="K9" s="529">
        <v>1493.3</v>
      </c>
      <c r="L9" s="529">
        <v>1493.3</v>
      </c>
      <c r="M9" s="529">
        <v>0</v>
      </c>
      <c r="N9" s="529">
        <v>9</v>
      </c>
      <c r="O9" s="529">
        <v>26421.62</v>
      </c>
      <c r="P9" s="529">
        <v>26421.62</v>
      </c>
      <c r="Q9" s="529">
        <v>0</v>
      </c>
    </row>
    <row r="10" spans="1:252" ht="15.75" customHeight="1" x14ac:dyDescent="0.2">
      <c r="A10" s="529">
        <v>2</v>
      </c>
      <c r="B10" s="529" t="s">
        <v>95</v>
      </c>
      <c r="C10" s="516" t="s">
        <v>62</v>
      </c>
      <c r="D10" s="529" t="s">
        <v>63</v>
      </c>
      <c r="E10" s="529" t="s">
        <v>74</v>
      </c>
      <c r="F10" s="529" t="s">
        <v>161</v>
      </c>
      <c r="G10" s="510" t="s">
        <v>670</v>
      </c>
      <c r="H10" s="529">
        <v>54</v>
      </c>
      <c r="I10" s="529">
        <v>49</v>
      </c>
      <c r="J10" s="529">
        <v>66</v>
      </c>
      <c r="K10" s="529">
        <v>77731.58</v>
      </c>
      <c r="L10" s="529">
        <v>75145.89</v>
      </c>
      <c r="M10" s="529">
        <v>2585.69</v>
      </c>
      <c r="N10" s="529">
        <v>31</v>
      </c>
      <c r="O10" s="529">
        <v>98356.77</v>
      </c>
      <c r="P10" s="529">
        <v>93401.69</v>
      </c>
      <c r="Q10" s="529">
        <v>4955.08</v>
      </c>
    </row>
    <row r="11" spans="1:252" ht="15.75" customHeight="1" x14ac:dyDescent="0.2">
      <c r="A11" s="529">
        <v>3</v>
      </c>
      <c r="B11" s="529" t="s">
        <v>684</v>
      </c>
      <c r="C11" s="516" t="s">
        <v>64</v>
      </c>
      <c r="D11" s="529" t="s">
        <v>486</v>
      </c>
      <c r="E11" s="529" t="s">
        <v>174</v>
      </c>
      <c r="F11" s="529" t="s">
        <v>685</v>
      </c>
      <c r="G11" s="510" t="s">
        <v>670</v>
      </c>
      <c r="H11" s="529">
        <v>9</v>
      </c>
      <c r="I11" s="529">
        <v>4</v>
      </c>
      <c r="J11" s="529">
        <v>4</v>
      </c>
      <c r="K11" s="529">
        <v>0</v>
      </c>
      <c r="L11" s="529">
        <v>0</v>
      </c>
      <c r="M11" s="529">
        <v>0</v>
      </c>
      <c r="N11" s="529">
        <v>0</v>
      </c>
      <c r="O11" s="529">
        <v>0</v>
      </c>
      <c r="P11" s="529">
        <v>0</v>
      </c>
      <c r="Q11" s="529">
        <v>0</v>
      </c>
    </row>
    <row r="12" spans="1:252" ht="15.75" customHeight="1" x14ac:dyDescent="0.2">
      <c r="A12" s="529">
        <v>4</v>
      </c>
      <c r="B12" s="529" t="s">
        <v>541</v>
      </c>
      <c r="C12" s="516" t="s">
        <v>62</v>
      </c>
      <c r="D12" s="529"/>
      <c r="E12" s="529" t="s">
        <v>177</v>
      </c>
      <c r="F12" s="529" t="s">
        <v>542</v>
      </c>
      <c r="G12" s="510" t="s">
        <v>670</v>
      </c>
      <c r="H12" s="529">
        <v>30</v>
      </c>
      <c r="I12" s="529">
        <v>24</v>
      </c>
      <c r="J12" s="529">
        <v>34</v>
      </c>
      <c r="K12" s="529">
        <v>16190.58</v>
      </c>
      <c r="L12" s="529">
        <v>16190.58</v>
      </c>
      <c r="M12" s="529">
        <v>0</v>
      </c>
      <c r="N12" s="529">
        <v>0</v>
      </c>
      <c r="O12" s="529">
        <v>0</v>
      </c>
      <c r="P12" s="529">
        <v>0</v>
      </c>
      <c r="Q12" s="529">
        <v>0</v>
      </c>
    </row>
    <row r="13" spans="1:252" ht="15.75" customHeight="1" x14ac:dyDescent="0.2">
      <c r="A13" s="529">
        <v>5</v>
      </c>
      <c r="B13" s="529" t="s">
        <v>628</v>
      </c>
      <c r="C13" s="516" t="s">
        <v>62</v>
      </c>
      <c r="D13" s="529"/>
      <c r="E13" s="529" t="s">
        <v>174</v>
      </c>
      <c r="F13" s="529" t="s">
        <v>653</v>
      </c>
      <c r="G13" s="510" t="s">
        <v>670</v>
      </c>
      <c r="H13" s="529">
        <v>10</v>
      </c>
      <c r="I13" s="529">
        <v>9</v>
      </c>
      <c r="J13" s="529">
        <v>10</v>
      </c>
      <c r="K13" s="529">
        <v>0</v>
      </c>
      <c r="L13" s="529">
        <v>0</v>
      </c>
      <c r="M13" s="529">
        <v>0</v>
      </c>
      <c r="N13" s="529">
        <v>0</v>
      </c>
      <c r="O13" s="529">
        <v>0</v>
      </c>
      <c r="P13" s="529">
        <v>0</v>
      </c>
      <c r="Q13" s="529">
        <v>0</v>
      </c>
    </row>
    <row r="14" spans="1:252" ht="15.75" customHeight="1" x14ac:dyDescent="0.2">
      <c r="A14" s="529">
        <v>6</v>
      </c>
      <c r="B14" s="529" t="s">
        <v>18</v>
      </c>
      <c r="C14" s="516" t="s">
        <v>62</v>
      </c>
      <c r="D14" s="529" t="s">
        <v>63</v>
      </c>
      <c r="E14" s="529" t="s">
        <v>70</v>
      </c>
      <c r="F14" s="529" t="s">
        <v>565</v>
      </c>
      <c r="G14" s="510" t="s">
        <v>670</v>
      </c>
      <c r="H14" s="529">
        <v>6</v>
      </c>
      <c r="I14" s="529">
        <v>1</v>
      </c>
      <c r="J14" s="529">
        <v>1</v>
      </c>
      <c r="K14" s="529">
        <v>3936.79</v>
      </c>
      <c r="L14" s="529">
        <v>3936.79</v>
      </c>
      <c r="M14" s="529">
        <v>0</v>
      </c>
      <c r="N14" s="529">
        <v>2</v>
      </c>
      <c r="O14" s="529">
        <v>3205.88</v>
      </c>
      <c r="P14" s="529">
        <v>3205.88</v>
      </c>
      <c r="Q14" s="529">
        <v>0</v>
      </c>
    </row>
    <row r="15" spans="1:252" ht="15.75" customHeight="1" x14ac:dyDescent="0.2">
      <c r="A15" s="529">
        <v>7</v>
      </c>
      <c r="B15" s="529" t="s">
        <v>19</v>
      </c>
      <c r="C15" s="516" t="s">
        <v>62</v>
      </c>
      <c r="D15" s="529" t="s">
        <v>63</v>
      </c>
      <c r="E15" s="529" t="s">
        <v>71</v>
      </c>
      <c r="F15" s="529" t="s">
        <v>162</v>
      </c>
      <c r="G15" s="510" t="s">
        <v>670</v>
      </c>
      <c r="H15" s="529">
        <v>123</v>
      </c>
      <c r="I15" s="529">
        <v>107</v>
      </c>
      <c r="J15" s="529">
        <v>141</v>
      </c>
      <c r="K15" s="529">
        <v>139338.70000000001</v>
      </c>
      <c r="L15" s="529">
        <v>127395.25</v>
      </c>
      <c r="M15" s="529">
        <v>11943.45</v>
      </c>
      <c r="N15" s="529">
        <v>32</v>
      </c>
      <c r="O15" s="529">
        <v>69551</v>
      </c>
      <c r="P15" s="529">
        <v>63610.01</v>
      </c>
      <c r="Q15" s="529">
        <v>5940.99</v>
      </c>
    </row>
    <row r="16" spans="1:252" ht="15.75" customHeight="1" x14ac:dyDescent="0.2">
      <c r="A16" s="529">
        <v>8</v>
      </c>
      <c r="B16" s="529" t="s">
        <v>672</v>
      </c>
      <c r="C16" s="516" t="s">
        <v>62</v>
      </c>
      <c r="D16" s="529"/>
      <c r="E16" s="529" t="s">
        <v>158</v>
      </c>
      <c r="F16" s="529" t="s">
        <v>673</v>
      </c>
      <c r="G16" s="510" t="s">
        <v>670</v>
      </c>
      <c r="H16" s="529">
        <v>0</v>
      </c>
      <c r="I16" s="529">
        <v>0</v>
      </c>
      <c r="J16" s="529">
        <v>0</v>
      </c>
      <c r="K16" s="529">
        <v>0</v>
      </c>
      <c r="L16" s="529">
        <v>0</v>
      </c>
      <c r="M16" s="529">
        <v>0</v>
      </c>
      <c r="N16" s="529">
        <v>1</v>
      </c>
      <c r="O16" s="529">
        <v>5462.2</v>
      </c>
      <c r="P16" s="529">
        <v>5462.2</v>
      </c>
      <c r="Q16" s="529">
        <v>0</v>
      </c>
    </row>
    <row r="17" spans="1:17" ht="15.75" customHeight="1" x14ac:dyDescent="0.2">
      <c r="A17" s="529">
        <v>9</v>
      </c>
      <c r="B17" s="529" t="s">
        <v>20</v>
      </c>
      <c r="C17" s="516" t="s">
        <v>62</v>
      </c>
      <c r="D17" s="529" t="s">
        <v>63</v>
      </c>
      <c r="E17" s="529" t="s">
        <v>72</v>
      </c>
      <c r="F17" s="529" t="s">
        <v>163</v>
      </c>
      <c r="G17" s="510" t="s">
        <v>670</v>
      </c>
      <c r="H17" s="529">
        <v>0</v>
      </c>
      <c r="I17" s="529">
        <v>0</v>
      </c>
      <c r="J17" s="529">
        <v>0</v>
      </c>
      <c r="K17" s="529">
        <v>0</v>
      </c>
      <c r="L17" s="529">
        <v>0</v>
      </c>
      <c r="M17" s="529">
        <v>0</v>
      </c>
      <c r="N17" s="529">
        <v>0</v>
      </c>
      <c r="O17" s="529">
        <v>6138.73</v>
      </c>
      <c r="P17" s="529">
        <v>6138.73</v>
      </c>
      <c r="Q17" s="529">
        <v>0</v>
      </c>
    </row>
    <row r="18" spans="1:17" ht="15.75" customHeight="1" x14ac:dyDescent="0.2">
      <c r="A18" s="529">
        <v>10</v>
      </c>
      <c r="B18" s="529" t="s">
        <v>100</v>
      </c>
      <c r="C18" s="516" t="s">
        <v>62</v>
      </c>
      <c r="D18" s="529" t="s">
        <v>63</v>
      </c>
      <c r="E18" s="529" t="s">
        <v>101</v>
      </c>
      <c r="F18" s="529" t="s">
        <v>164</v>
      </c>
      <c r="G18" s="510" t="s">
        <v>670</v>
      </c>
      <c r="H18" s="529">
        <v>18</v>
      </c>
      <c r="I18" s="529">
        <v>14</v>
      </c>
      <c r="J18" s="529">
        <v>20</v>
      </c>
      <c r="K18" s="529">
        <v>28244.77</v>
      </c>
      <c r="L18" s="529">
        <v>28244.77</v>
      </c>
      <c r="M18" s="529">
        <v>0</v>
      </c>
      <c r="N18" s="529">
        <v>13</v>
      </c>
      <c r="O18" s="529">
        <v>40292.959999999999</v>
      </c>
      <c r="P18" s="529">
        <v>40292.959999999999</v>
      </c>
      <c r="Q18" s="529">
        <v>0</v>
      </c>
    </row>
    <row r="19" spans="1:17" ht="15.75" customHeight="1" x14ac:dyDescent="0.2">
      <c r="A19" s="529">
        <v>11</v>
      </c>
      <c r="B19" s="529" t="s">
        <v>86</v>
      </c>
      <c r="C19" s="516" t="s">
        <v>62</v>
      </c>
      <c r="D19" s="529" t="s">
        <v>63</v>
      </c>
      <c r="E19" s="529" t="s">
        <v>74</v>
      </c>
      <c r="F19" s="529" t="s">
        <v>165</v>
      </c>
      <c r="G19" s="510" t="s">
        <v>670</v>
      </c>
      <c r="H19" s="529">
        <v>53</v>
      </c>
      <c r="I19" s="529">
        <v>33</v>
      </c>
      <c r="J19" s="529">
        <v>36</v>
      </c>
      <c r="K19" s="529">
        <v>26897.93</v>
      </c>
      <c r="L19" s="529">
        <v>26897.93</v>
      </c>
      <c r="M19" s="529">
        <v>0</v>
      </c>
      <c r="N19" s="529">
        <v>23</v>
      </c>
      <c r="O19" s="529">
        <v>58714.67</v>
      </c>
      <c r="P19" s="529">
        <v>58714.67</v>
      </c>
      <c r="Q19" s="529">
        <v>0</v>
      </c>
    </row>
    <row r="20" spans="1:17" ht="15.75" customHeight="1" x14ac:dyDescent="0.2">
      <c r="A20" s="529">
        <v>12</v>
      </c>
      <c r="B20" s="529" t="s">
        <v>166</v>
      </c>
      <c r="C20" s="516" t="s">
        <v>62</v>
      </c>
      <c r="D20" s="529"/>
      <c r="E20" s="529" t="s">
        <v>63</v>
      </c>
      <c r="F20" s="529" t="s">
        <v>167</v>
      </c>
      <c r="G20" s="510" t="s">
        <v>670</v>
      </c>
      <c r="H20" s="529">
        <v>21</v>
      </c>
      <c r="I20" s="529">
        <v>16</v>
      </c>
      <c r="J20" s="529">
        <v>17</v>
      </c>
      <c r="K20" s="529">
        <v>12377.17</v>
      </c>
      <c r="L20" s="529">
        <v>12377.17</v>
      </c>
      <c r="M20" s="529">
        <v>0</v>
      </c>
      <c r="N20" s="529">
        <v>0</v>
      </c>
      <c r="O20" s="529">
        <v>0</v>
      </c>
      <c r="P20" s="529">
        <v>0</v>
      </c>
      <c r="Q20" s="529">
        <v>0</v>
      </c>
    </row>
    <row r="21" spans="1:17" ht="15.75" customHeight="1" x14ac:dyDescent="0.2">
      <c r="A21" s="529">
        <v>13</v>
      </c>
      <c r="B21" s="529" t="s">
        <v>168</v>
      </c>
      <c r="C21" s="516" t="s">
        <v>62</v>
      </c>
      <c r="D21" s="529"/>
      <c r="E21" s="529" t="s">
        <v>63</v>
      </c>
      <c r="F21" s="529" t="s">
        <v>169</v>
      </c>
      <c r="G21" s="510" t="s">
        <v>670</v>
      </c>
      <c r="H21" s="529">
        <v>49</v>
      </c>
      <c r="I21" s="529">
        <v>44</v>
      </c>
      <c r="J21" s="529">
        <v>54</v>
      </c>
      <c r="K21" s="529">
        <v>35849.160000000003</v>
      </c>
      <c r="L21" s="529">
        <v>35849.160000000003</v>
      </c>
      <c r="M21" s="529">
        <v>0</v>
      </c>
      <c r="N21" s="529">
        <v>0</v>
      </c>
      <c r="O21" s="529">
        <v>0</v>
      </c>
      <c r="P21" s="529">
        <v>0</v>
      </c>
      <c r="Q21" s="529">
        <v>0</v>
      </c>
    </row>
    <row r="22" spans="1:17" ht="15.75" customHeight="1" x14ac:dyDescent="0.2">
      <c r="A22" s="529">
        <v>14</v>
      </c>
      <c r="B22" s="529" t="s">
        <v>21</v>
      </c>
      <c r="C22" s="516" t="s">
        <v>62</v>
      </c>
      <c r="D22" s="529" t="s">
        <v>63</v>
      </c>
      <c r="E22" s="529" t="s">
        <v>73</v>
      </c>
      <c r="F22" s="529" t="s">
        <v>170</v>
      </c>
      <c r="G22" s="510" t="s">
        <v>670</v>
      </c>
      <c r="H22" s="529">
        <v>56</v>
      </c>
      <c r="I22" s="529">
        <v>51</v>
      </c>
      <c r="J22" s="529">
        <v>60</v>
      </c>
      <c r="K22" s="529">
        <v>63779.16</v>
      </c>
      <c r="L22" s="529">
        <v>63779.16</v>
      </c>
      <c r="M22" s="529">
        <v>0</v>
      </c>
      <c r="N22" s="529">
        <v>42</v>
      </c>
      <c r="O22" s="529">
        <v>148889.4</v>
      </c>
      <c r="P22" s="529">
        <v>148889.4</v>
      </c>
      <c r="Q22" s="529">
        <v>0</v>
      </c>
    </row>
    <row r="23" spans="1:17" ht="15.75" customHeight="1" x14ac:dyDescent="0.2">
      <c r="A23" s="529">
        <v>15</v>
      </c>
      <c r="B23" s="529" t="s">
        <v>22</v>
      </c>
      <c r="C23" s="516" t="s">
        <v>62</v>
      </c>
      <c r="D23" s="529" t="s">
        <v>63</v>
      </c>
      <c r="E23" s="529" t="s">
        <v>74</v>
      </c>
      <c r="F23" s="529" t="s">
        <v>171</v>
      </c>
      <c r="G23" s="510" t="s">
        <v>670</v>
      </c>
      <c r="H23" s="529">
        <v>47</v>
      </c>
      <c r="I23" s="529">
        <v>39</v>
      </c>
      <c r="J23" s="529">
        <v>54</v>
      </c>
      <c r="K23" s="529">
        <v>53100.33</v>
      </c>
      <c r="L23" s="529">
        <v>53100.33</v>
      </c>
      <c r="M23" s="529">
        <v>0</v>
      </c>
      <c r="N23" s="529">
        <v>45</v>
      </c>
      <c r="O23" s="529">
        <v>101080.14</v>
      </c>
      <c r="P23" s="529">
        <v>101080.14</v>
      </c>
      <c r="Q23" s="529">
        <v>0</v>
      </c>
    </row>
    <row r="24" spans="1:17" ht="15.75" customHeight="1" x14ac:dyDescent="0.2">
      <c r="A24" s="529">
        <v>16</v>
      </c>
      <c r="B24" s="529" t="s">
        <v>24</v>
      </c>
      <c r="C24" s="516" t="s">
        <v>62</v>
      </c>
      <c r="D24" s="529" t="s">
        <v>63</v>
      </c>
      <c r="E24" s="529" t="s">
        <v>74</v>
      </c>
      <c r="F24" s="529" t="s">
        <v>172</v>
      </c>
      <c r="G24" s="510" t="s">
        <v>670</v>
      </c>
      <c r="H24" s="529">
        <v>63</v>
      </c>
      <c r="I24" s="529">
        <v>55</v>
      </c>
      <c r="J24" s="529">
        <v>70</v>
      </c>
      <c r="K24" s="529">
        <v>43142.82</v>
      </c>
      <c r="L24" s="529">
        <v>43142.82</v>
      </c>
      <c r="M24" s="529">
        <v>0</v>
      </c>
      <c r="N24" s="529">
        <v>32</v>
      </c>
      <c r="O24" s="529">
        <v>91426.1</v>
      </c>
      <c r="P24" s="529">
        <v>91426.1</v>
      </c>
      <c r="Q24" s="529">
        <v>0</v>
      </c>
    </row>
    <row r="25" spans="1:17" ht="15.75" customHeight="1" x14ac:dyDescent="0.2">
      <c r="A25" s="529">
        <v>17</v>
      </c>
      <c r="B25" s="529" t="s">
        <v>102</v>
      </c>
      <c r="C25" s="516" t="s">
        <v>67</v>
      </c>
      <c r="D25" s="529" t="s">
        <v>594</v>
      </c>
      <c r="E25" s="529" t="s">
        <v>74</v>
      </c>
      <c r="F25" s="529" t="s">
        <v>477</v>
      </c>
      <c r="G25" s="510" t="s">
        <v>670</v>
      </c>
      <c r="H25" s="529">
        <v>5</v>
      </c>
      <c r="I25" s="529">
        <v>1</v>
      </c>
      <c r="J25" s="529">
        <v>1</v>
      </c>
      <c r="K25" s="529">
        <v>528.6</v>
      </c>
      <c r="L25" s="529">
        <v>528.6</v>
      </c>
      <c r="M25" s="529">
        <v>0</v>
      </c>
      <c r="N25" s="529">
        <v>4</v>
      </c>
      <c r="O25" s="529">
        <v>9770.18</v>
      </c>
      <c r="P25" s="529">
        <v>9770.18</v>
      </c>
      <c r="Q25" s="529">
        <v>0</v>
      </c>
    </row>
    <row r="26" spans="1:17" ht="15.75" customHeight="1" x14ac:dyDescent="0.2">
      <c r="A26" s="529">
        <v>18</v>
      </c>
      <c r="B26" s="529" t="s">
        <v>173</v>
      </c>
      <c r="C26" s="516" t="s">
        <v>67</v>
      </c>
      <c r="D26" s="529" t="s">
        <v>478</v>
      </c>
      <c r="E26" s="529" t="s">
        <v>174</v>
      </c>
      <c r="F26" s="529" t="s">
        <v>175</v>
      </c>
      <c r="G26" s="510" t="s">
        <v>670</v>
      </c>
      <c r="H26" s="529">
        <v>32</v>
      </c>
      <c r="I26" s="529">
        <v>24</v>
      </c>
      <c r="J26" s="529">
        <v>28</v>
      </c>
      <c r="K26" s="529">
        <v>19933.77</v>
      </c>
      <c r="L26" s="529">
        <v>19933.77</v>
      </c>
      <c r="M26" s="529">
        <v>0</v>
      </c>
      <c r="N26" s="529">
        <v>0</v>
      </c>
      <c r="O26" s="529">
        <v>0</v>
      </c>
      <c r="P26" s="529">
        <v>0</v>
      </c>
      <c r="Q26" s="529">
        <v>0</v>
      </c>
    </row>
    <row r="27" spans="1:17" ht="15.75" customHeight="1" x14ac:dyDescent="0.2">
      <c r="A27" s="529">
        <v>19</v>
      </c>
      <c r="B27" s="529" t="s">
        <v>25</v>
      </c>
      <c r="C27" s="516" t="s">
        <v>62</v>
      </c>
      <c r="D27" s="529" t="s">
        <v>63</v>
      </c>
      <c r="E27" s="529" t="s">
        <v>76</v>
      </c>
      <c r="F27" s="529" t="s">
        <v>584</v>
      </c>
      <c r="G27" s="510" t="s">
        <v>670</v>
      </c>
      <c r="H27" s="529">
        <v>65</v>
      </c>
      <c r="I27" s="529">
        <v>0</v>
      </c>
      <c r="J27" s="529">
        <v>0</v>
      </c>
      <c r="K27" s="529">
        <v>0</v>
      </c>
      <c r="L27" s="529">
        <v>0</v>
      </c>
      <c r="M27" s="529">
        <v>0</v>
      </c>
      <c r="N27" s="529">
        <v>0</v>
      </c>
      <c r="O27" s="529">
        <v>0</v>
      </c>
      <c r="P27" s="529">
        <v>0</v>
      </c>
      <c r="Q27" s="529">
        <v>0</v>
      </c>
    </row>
    <row r="28" spans="1:17" ht="15.75" customHeight="1" x14ac:dyDescent="0.2">
      <c r="A28" s="529">
        <v>20</v>
      </c>
      <c r="B28" s="529" t="s">
        <v>600</v>
      </c>
      <c r="C28" s="516" t="s">
        <v>62</v>
      </c>
      <c r="D28" s="529" t="s">
        <v>63</v>
      </c>
      <c r="E28" s="529" t="s">
        <v>75</v>
      </c>
      <c r="F28" s="529" t="s">
        <v>103</v>
      </c>
      <c r="G28" s="510" t="s">
        <v>670</v>
      </c>
      <c r="H28" s="529">
        <v>0</v>
      </c>
      <c r="I28" s="529">
        <v>0</v>
      </c>
      <c r="J28" s="529">
        <v>0</v>
      </c>
      <c r="K28" s="529">
        <v>0</v>
      </c>
      <c r="L28" s="529">
        <v>0</v>
      </c>
      <c r="M28" s="529">
        <v>0</v>
      </c>
      <c r="N28" s="529">
        <v>19</v>
      </c>
      <c r="O28" s="529">
        <v>62481.86</v>
      </c>
      <c r="P28" s="529">
        <v>62481.86</v>
      </c>
      <c r="Q28" s="529">
        <v>0</v>
      </c>
    </row>
    <row r="29" spans="1:17" ht="15.75" customHeight="1" x14ac:dyDescent="0.2">
      <c r="A29" s="529">
        <v>21</v>
      </c>
      <c r="B29" s="529" t="s">
        <v>479</v>
      </c>
      <c r="C29" s="516" t="s">
        <v>67</v>
      </c>
      <c r="D29" s="529" t="s">
        <v>480</v>
      </c>
      <c r="E29" s="529" t="s">
        <v>271</v>
      </c>
      <c r="F29" s="529" t="s">
        <v>481</v>
      </c>
      <c r="G29" s="510" t="s">
        <v>670</v>
      </c>
      <c r="H29" s="529">
        <v>16</v>
      </c>
      <c r="I29" s="529">
        <v>12</v>
      </c>
      <c r="J29" s="529">
        <v>12</v>
      </c>
      <c r="K29" s="529">
        <v>3449.4</v>
      </c>
      <c r="L29" s="529">
        <v>3449.4</v>
      </c>
      <c r="M29" s="529">
        <v>0</v>
      </c>
      <c r="N29" s="529">
        <v>0</v>
      </c>
      <c r="O29" s="529">
        <v>0</v>
      </c>
      <c r="P29" s="529">
        <v>0</v>
      </c>
      <c r="Q29" s="529">
        <v>0</v>
      </c>
    </row>
    <row r="30" spans="1:17" ht="15.75" customHeight="1" x14ac:dyDescent="0.2">
      <c r="A30" s="529">
        <v>22</v>
      </c>
      <c r="B30" s="529" t="s">
        <v>176</v>
      </c>
      <c r="C30" s="516" t="s">
        <v>62</v>
      </c>
      <c r="D30" s="529"/>
      <c r="E30" s="529" t="s">
        <v>177</v>
      </c>
      <c r="F30" s="529" t="s">
        <v>178</v>
      </c>
      <c r="G30" s="510" t="s">
        <v>670</v>
      </c>
      <c r="H30" s="529">
        <v>21</v>
      </c>
      <c r="I30" s="529">
        <v>15</v>
      </c>
      <c r="J30" s="529">
        <v>16</v>
      </c>
      <c r="K30" s="529">
        <v>14354.65</v>
      </c>
      <c r="L30" s="529">
        <v>14354.65</v>
      </c>
      <c r="M30" s="529">
        <v>0</v>
      </c>
      <c r="N30" s="529">
        <v>0</v>
      </c>
      <c r="O30" s="529">
        <v>0</v>
      </c>
      <c r="P30" s="529">
        <v>0</v>
      </c>
      <c r="Q30" s="529">
        <v>0</v>
      </c>
    </row>
    <row r="31" spans="1:17" ht="15.75" customHeight="1" x14ac:dyDescent="0.2">
      <c r="A31" s="529">
        <v>23</v>
      </c>
      <c r="B31" s="529" t="s">
        <v>152</v>
      </c>
      <c r="C31" s="516" t="s">
        <v>62</v>
      </c>
      <c r="D31" s="529" t="s">
        <v>63</v>
      </c>
      <c r="E31" s="529" t="s">
        <v>63</v>
      </c>
      <c r="F31" s="529" t="s">
        <v>179</v>
      </c>
      <c r="G31" s="510" t="s">
        <v>670</v>
      </c>
      <c r="H31" s="529">
        <v>31</v>
      </c>
      <c r="I31" s="529">
        <v>19</v>
      </c>
      <c r="J31" s="529">
        <v>22</v>
      </c>
      <c r="K31" s="529">
        <v>38119.06</v>
      </c>
      <c r="L31" s="529">
        <v>38119.06</v>
      </c>
      <c r="M31" s="529">
        <v>0</v>
      </c>
      <c r="N31" s="529">
        <v>17</v>
      </c>
      <c r="O31" s="529">
        <v>10875.99</v>
      </c>
      <c r="P31" s="529">
        <v>10875.99</v>
      </c>
      <c r="Q31" s="529">
        <v>0</v>
      </c>
    </row>
    <row r="32" spans="1:17" ht="15.75" customHeight="1" x14ac:dyDescent="0.2">
      <c r="A32" s="529">
        <v>24</v>
      </c>
      <c r="B32" s="529" t="s">
        <v>88</v>
      </c>
      <c r="C32" s="516" t="s">
        <v>62</v>
      </c>
      <c r="D32" s="529" t="s">
        <v>63</v>
      </c>
      <c r="E32" s="529" t="s">
        <v>74</v>
      </c>
      <c r="F32" s="529" t="s">
        <v>180</v>
      </c>
      <c r="G32" s="510" t="s">
        <v>670</v>
      </c>
      <c r="H32" s="529">
        <v>9</v>
      </c>
      <c r="I32" s="529">
        <v>6</v>
      </c>
      <c r="J32" s="529">
        <v>6</v>
      </c>
      <c r="K32" s="529">
        <v>7768.25</v>
      </c>
      <c r="L32" s="529">
        <v>7768.25</v>
      </c>
      <c r="M32" s="529">
        <v>0</v>
      </c>
      <c r="N32" s="529">
        <v>3</v>
      </c>
      <c r="O32" s="529">
        <v>22884.99</v>
      </c>
      <c r="P32" s="529">
        <v>22884.99</v>
      </c>
      <c r="Q32" s="529">
        <v>0</v>
      </c>
    </row>
    <row r="33" spans="1:17" ht="15.75" customHeight="1" x14ac:dyDescent="0.2">
      <c r="A33" s="529">
        <v>25</v>
      </c>
      <c r="B33" s="529" t="s">
        <v>26</v>
      </c>
      <c r="C33" s="516" t="s">
        <v>62</v>
      </c>
      <c r="D33" s="529" t="s">
        <v>63</v>
      </c>
      <c r="E33" s="529" t="s">
        <v>74</v>
      </c>
      <c r="F33" s="529" t="s">
        <v>181</v>
      </c>
      <c r="G33" s="510" t="s">
        <v>670</v>
      </c>
      <c r="H33" s="529">
        <v>31</v>
      </c>
      <c r="I33" s="529">
        <v>28</v>
      </c>
      <c r="J33" s="529">
        <v>38</v>
      </c>
      <c r="K33" s="529">
        <v>65045.440000000002</v>
      </c>
      <c r="L33" s="529">
        <v>65045.440000000002</v>
      </c>
      <c r="M33" s="529">
        <v>0</v>
      </c>
      <c r="N33" s="529">
        <v>20</v>
      </c>
      <c r="O33" s="529">
        <v>27881.98</v>
      </c>
      <c r="P33" s="529">
        <v>27881.98</v>
      </c>
      <c r="Q33" s="529">
        <v>0</v>
      </c>
    </row>
    <row r="34" spans="1:17" ht="15.75" customHeight="1" x14ac:dyDescent="0.2">
      <c r="A34" s="529">
        <v>26</v>
      </c>
      <c r="B34" s="529" t="s">
        <v>182</v>
      </c>
      <c r="C34" s="516" t="s">
        <v>62</v>
      </c>
      <c r="D34" s="529" t="s">
        <v>63</v>
      </c>
      <c r="E34" s="529" t="s">
        <v>174</v>
      </c>
      <c r="F34" s="529" t="s">
        <v>183</v>
      </c>
      <c r="G34" s="510" t="s">
        <v>670</v>
      </c>
      <c r="H34" s="529">
        <v>43</v>
      </c>
      <c r="I34" s="529">
        <v>23</v>
      </c>
      <c r="J34" s="529">
        <v>28</v>
      </c>
      <c r="K34" s="529">
        <v>23283.040000000001</v>
      </c>
      <c r="L34" s="529">
        <v>23283.040000000001</v>
      </c>
      <c r="M34" s="529">
        <v>0</v>
      </c>
      <c r="N34" s="529">
        <v>0</v>
      </c>
      <c r="O34" s="529">
        <v>0</v>
      </c>
      <c r="P34" s="529">
        <v>0</v>
      </c>
      <c r="Q34" s="529">
        <v>0</v>
      </c>
    </row>
    <row r="35" spans="1:17" ht="15.75" customHeight="1" x14ac:dyDescent="0.2">
      <c r="A35" s="529">
        <v>27</v>
      </c>
      <c r="B35" s="529" t="s">
        <v>601</v>
      </c>
      <c r="C35" s="516" t="s">
        <v>62</v>
      </c>
      <c r="D35" s="529" t="s">
        <v>63</v>
      </c>
      <c r="E35" s="529" t="s">
        <v>366</v>
      </c>
      <c r="F35" s="529" t="s">
        <v>602</v>
      </c>
      <c r="G35" s="510" t="s">
        <v>670</v>
      </c>
      <c r="H35" s="529">
        <v>5</v>
      </c>
      <c r="I35" s="529">
        <v>0</v>
      </c>
      <c r="J35" s="529">
        <v>0</v>
      </c>
      <c r="K35" s="529">
        <v>0</v>
      </c>
      <c r="L35" s="529">
        <v>0</v>
      </c>
      <c r="M35" s="529">
        <v>0</v>
      </c>
      <c r="N35" s="529">
        <v>0</v>
      </c>
      <c r="O35" s="529">
        <v>0</v>
      </c>
      <c r="P35" s="529">
        <v>0</v>
      </c>
      <c r="Q35" s="529">
        <v>0</v>
      </c>
    </row>
    <row r="36" spans="1:17" ht="15.75" customHeight="1" x14ac:dyDescent="0.2">
      <c r="A36" s="529">
        <v>28</v>
      </c>
      <c r="B36" s="529" t="s">
        <v>137</v>
      </c>
      <c r="C36" s="516" t="s">
        <v>62</v>
      </c>
      <c r="D36" s="529" t="s">
        <v>63</v>
      </c>
      <c r="E36" s="529" t="s">
        <v>78</v>
      </c>
      <c r="F36" s="529" t="s">
        <v>184</v>
      </c>
      <c r="G36" s="510" t="s">
        <v>670</v>
      </c>
      <c r="H36" s="529">
        <v>11</v>
      </c>
      <c r="I36" s="529">
        <v>6</v>
      </c>
      <c r="J36" s="529">
        <v>6</v>
      </c>
      <c r="K36" s="529">
        <v>8691.83</v>
      </c>
      <c r="L36" s="529">
        <v>8691.83</v>
      </c>
      <c r="M36" s="529">
        <v>0</v>
      </c>
      <c r="N36" s="529">
        <v>5</v>
      </c>
      <c r="O36" s="529">
        <v>9148.83</v>
      </c>
      <c r="P36" s="529">
        <v>9148.83</v>
      </c>
      <c r="Q36" s="529">
        <v>0</v>
      </c>
    </row>
    <row r="37" spans="1:17" ht="15.75" customHeight="1" x14ac:dyDescent="0.2">
      <c r="A37" s="529">
        <v>29</v>
      </c>
      <c r="B37" s="529" t="s">
        <v>335</v>
      </c>
      <c r="C37" s="516" t="s">
        <v>62</v>
      </c>
      <c r="D37" s="529" t="s">
        <v>63</v>
      </c>
      <c r="E37" s="529" t="s">
        <v>74</v>
      </c>
      <c r="F37" s="529" t="s">
        <v>748</v>
      </c>
      <c r="G37" s="510" t="s">
        <v>670</v>
      </c>
      <c r="H37" s="529">
        <v>5</v>
      </c>
      <c r="I37" s="529">
        <v>0</v>
      </c>
      <c r="J37" s="529">
        <v>0</v>
      </c>
      <c r="K37" s="529">
        <v>0</v>
      </c>
      <c r="L37" s="529">
        <v>0</v>
      </c>
      <c r="M37" s="529">
        <v>0</v>
      </c>
      <c r="N37" s="529">
        <v>0</v>
      </c>
      <c r="O37" s="529">
        <v>0</v>
      </c>
      <c r="P37" s="529">
        <v>0</v>
      </c>
      <c r="Q37" s="529">
        <v>0</v>
      </c>
    </row>
    <row r="38" spans="1:17" ht="15.75" customHeight="1" x14ac:dyDescent="0.2">
      <c r="A38" s="529">
        <v>30</v>
      </c>
      <c r="B38" s="529" t="s">
        <v>185</v>
      </c>
      <c r="C38" s="516" t="s">
        <v>62</v>
      </c>
      <c r="D38" s="529" t="s">
        <v>63</v>
      </c>
      <c r="E38" s="529" t="s">
        <v>186</v>
      </c>
      <c r="F38" s="529" t="s">
        <v>463</v>
      </c>
      <c r="G38" s="510" t="s">
        <v>670</v>
      </c>
      <c r="H38" s="529">
        <v>15</v>
      </c>
      <c r="I38" s="529">
        <v>12</v>
      </c>
      <c r="J38" s="529">
        <v>14</v>
      </c>
      <c r="K38" s="529">
        <v>2746.17</v>
      </c>
      <c r="L38" s="529">
        <v>2746.17</v>
      </c>
      <c r="M38" s="529">
        <v>0</v>
      </c>
      <c r="N38" s="529">
        <v>0</v>
      </c>
      <c r="O38" s="529">
        <v>0</v>
      </c>
      <c r="P38" s="529">
        <v>0</v>
      </c>
      <c r="Q38" s="529">
        <v>0</v>
      </c>
    </row>
    <row r="39" spans="1:17" ht="15.75" customHeight="1" x14ac:dyDescent="0.2">
      <c r="A39" s="529">
        <v>31</v>
      </c>
      <c r="B39" s="529" t="s">
        <v>27</v>
      </c>
      <c r="C39" s="516" t="s">
        <v>62</v>
      </c>
      <c r="D39" s="529" t="s">
        <v>63</v>
      </c>
      <c r="E39" s="529" t="s">
        <v>74</v>
      </c>
      <c r="F39" s="529" t="s">
        <v>187</v>
      </c>
      <c r="G39" s="510" t="s">
        <v>670</v>
      </c>
      <c r="H39" s="529">
        <v>19</v>
      </c>
      <c r="I39" s="529">
        <v>13</v>
      </c>
      <c r="J39" s="529">
        <v>14</v>
      </c>
      <c r="K39" s="529">
        <v>13050.84</v>
      </c>
      <c r="L39" s="529">
        <v>13050.84</v>
      </c>
      <c r="M39" s="529">
        <v>0</v>
      </c>
      <c r="N39" s="529">
        <v>7</v>
      </c>
      <c r="O39" s="529">
        <v>35186.089999999997</v>
      </c>
      <c r="P39" s="529">
        <v>35186.089999999997</v>
      </c>
      <c r="Q39" s="529">
        <v>0</v>
      </c>
    </row>
    <row r="40" spans="1:17" ht="15.75" customHeight="1" x14ac:dyDescent="0.2">
      <c r="A40" s="529">
        <v>32</v>
      </c>
      <c r="B40" s="529" t="s">
        <v>654</v>
      </c>
      <c r="C40" s="516" t="s">
        <v>67</v>
      </c>
      <c r="D40" s="529" t="s">
        <v>680</v>
      </c>
      <c r="E40" s="529" t="s">
        <v>655</v>
      </c>
      <c r="F40" s="529" t="s">
        <v>656</v>
      </c>
      <c r="G40" s="510" t="s">
        <v>670</v>
      </c>
      <c r="H40" s="529">
        <v>7</v>
      </c>
      <c r="I40" s="529">
        <v>2</v>
      </c>
      <c r="J40" s="529">
        <v>2</v>
      </c>
      <c r="K40" s="529">
        <v>0</v>
      </c>
      <c r="L40" s="529">
        <v>0</v>
      </c>
      <c r="M40" s="529">
        <v>0</v>
      </c>
      <c r="N40" s="529">
        <v>0</v>
      </c>
      <c r="O40" s="529">
        <v>0</v>
      </c>
      <c r="P40" s="529">
        <v>0</v>
      </c>
      <c r="Q40" s="529">
        <v>0</v>
      </c>
    </row>
    <row r="41" spans="1:17" ht="15.75" customHeight="1" x14ac:dyDescent="0.2">
      <c r="A41" s="529">
        <v>33</v>
      </c>
      <c r="B41" s="529" t="s">
        <v>482</v>
      </c>
      <c r="C41" s="516" t="s">
        <v>64</v>
      </c>
      <c r="D41" s="529" t="s">
        <v>483</v>
      </c>
      <c r="E41" s="529" t="s">
        <v>313</v>
      </c>
      <c r="F41" s="529" t="s">
        <v>484</v>
      </c>
      <c r="G41" s="510" t="s">
        <v>670</v>
      </c>
      <c r="H41" s="529">
        <v>12</v>
      </c>
      <c r="I41" s="529">
        <v>2</v>
      </c>
      <c r="J41" s="529">
        <v>2</v>
      </c>
      <c r="K41" s="529">
        <v>0</v>
      </c>
      <c r="L41" s="529">
        <v>0</v>
      </c>
      <c r="M41" s="529">
        <v>0</v>
      </c>
      <c r="N41" s="529">
        <v>0</v>
      </c>
      <c r="O41" s="529">
        <v>0</v>
      </c>
      <c r="P41" s="529">
        <v>0</v>
      </c>
      <c r="Q41" s="529">
        <v>0</v>
      </c>
    </row>
    <row r="42" spans="1:17" ht="15.75" customHeight="1" x14ac:dyDescent="0.2">
      <c r="A42" s="529">
        <v>34</v>
      </c>
      <c r="B42" s="529" t="s">
        <v>104</v>
      </c>
      <c r="C42" s="516" t="s">
        <v>62</v>
      </c>
      <c r="D42" s="529" t="s">
        <v>63</v>
      </c>
      <c r="E42" s="529" t="s">
        <v>105</v>
      </c>
      <c r="F42" s="529" t="s">
        <v>188</v>
      </c>
      <c r="G42" s="510" t="s">
        <v>670</v>
      </c>
      <c r="H42" s="529">
        <v>9</v>
      </c>
      <c r="I42" s="529">
        <v>7</v>
      </c>
      <c r="J42" s="529">
        <v>9</v>
      </c>
      <c r="K42" s="529">
        <v>19587.169999999998</v>
      </c>
      <c r="L42" s="529">
        <v>19587.169999999998</v>
      </c>
      <c r="M42" s="529">
        <v>0</v>
      </c>
      <c r="N42" s="529">
        <v>26</v>
      </c>
      <c r="O42" s="529">
        <v>55727.91</v>
      </c>
      <c r="P42" s="529">
        <v>55727.91</v>
      </c>
      <c r="Q42" s="529">
        <v>0</v>
      </c>
    </row>
    <row r="43" spans="1:17" ht="15.75" customHeight="1" x14ac:dyDescent="0.2">
      <c r="A43" s="529">
        <v>35</v>
      </c>
      <c r="B43" s="529" t="s">
        <v>517</v>
      </c>
      <c r="C43" s="516" t="s">
        <v>62</v>
      </c>
      <c r="D43" s="529" t="s">
        <v>63</v>
      </c>
      <c r="E43" s="529" t="s">
        <v>239</v>
      </c>
      <c r="F43" s="529" t="s">
        <v>567</v>
      </c>
      <c r="G43" s="510" t="s">
        <v>670</v>
      </c>
      <c r="H43" s="529">
        <v>23</v>
      </c>
      <c r="I43" s="529">
        <v>18</v>
      </c>
      <c r="J43" s="529">
        <v>19</v>
      </c>
      <c r="K43" s="529">
        <v>8593.74</v>
      </c>
      <c r="L43" s="529">
        <v>8593.74</v>
      </c>
      <c r="M43" s="529">
        <v>0</v>
      </c>
      <c r="N43" s="529">
        <v>0</v>
      </c>
      <c r="O43" s="529">
        <v>0</v>
      </c>
      <c r="P43" s="529">
        <v>0</v>
      </c>
      <c r="Q43" s="529">
        <v>0</v>
      </c>
    </row>
    <row r="44" spans="1:17" ht="15.75" customHeight="1" x14ac:dyDescent="0.2">
      <c r="A44" s="529">
        <v>36</v>
      </c>
      <c r="B44" s="529" t="s">
        <v>28</v>
      </c>
      <c r="C44" s="516" t="s">
        <v>62</v>
      </c>
      <c r="D44" s="529" t="s">
        <v>63</v>
      </c>
      <c r="E44" s="529" t="s">
        <v>74</v>
      </c>
      <c r="F44" s="529" t="s">
        <v>189</v>
      </c>
      <c r="G44" s="510" t="s">
        <v>670</v>
      </c>
      <c r="H44" s="529">
        <v>14</v>
      </c>
      <c r="I44" s="529">
        <v>10</v>
      </c>
      <c r="J44" s="529">
        <v>11</v>
      </c>
      <c r="K44" s="529">
        <v>13276.34</v>
      </c>
      <c r="L44" s="529">
        <v>13276.34</v>
      </c>
      <c r="M44" s="529">
        <v>0</v>
      </c>
      <c r="N44" s="529">
        <v>8</v>
      </c>
      <c r="O44" s="529">
        <v>18393.25</v>
      </c>
      <c r="P44" s="529">
        <v>18393.25</v>
      </c>
      <c r="Q44" s="529">
        <v>0</v>
      </c>
    </row>
    <row r="45" spans="1:17" ht="15.75" customHeight="1" x14ac:dyDescent="0.2">
      <c r="A45" s="529">
        <v>37</v>
      </c>
      <c r="B45" s="529" t="s">
        <v>190</v>
      </c>
      <c r="C45" s="516" t="s">
        <v>62</v>
      </c>
      <c r="D45" s="529" t="s">
        <v>63</v>
      </c>
      <c r="E45" s="529" t="s">
        <v>63</v>
      </c>
      <c r="F45" s="529" t="s">
        <v>191</v>
      </c>
      <c r="G45" s="510" t="s">
        <v>670</v>
      </c>
      <c r="H45" s="529">
        <v>20</v>
      </c>
      <c r="I45" s="529">
        <v>17</v>
      </c>
      <c r="J45" s="529">
        <v>17</v>
      </c>
      <c r="K45" s="529">
        <v>15430.42</v>
      </c>
      <c r="L45" s="529">
        <v>15430.42</v>
      </c>
      <c r="M45" s="529">
        <v>0</v>
      </c>
      <c r="N45" s="529">
        <v>0</v>
      </c>
      <c r="O45" s="529">
        <v>0</v>
      </c>
      <c r="P45" s="529">
        <v>0</v>
      </c>
      <c r="Q45" s="529">
        <v>0</v>
      </c>
    </row>
    <row r="46" spans="1:17" ht="15.75" customHeight="1" x14ac:dyDescent="0.2">
      <c r="A46" s="529">
        <v>38</v>
      </c>
      <c r="B46" s="529" t="s">
        <v>89</v>
      </c>
      <c r="C46" s="516" t="s">
        <v>62</v>
      </c>
      <c r="D46" s="529" t="s">
        <v>63</v>
      </c>
      <c r="E46" s="529" t="s">
        <v>74</v>
      </c>
      <c r="F46" s="529" t="s">
        <v>195</v>
      </c>
      <c r="G46" s="510" t="s">
        <v>670</v>
      </c>
      <c r="H46" s="529">
        <v>42</v>
      </c>
      <c r="I46" s="529">
        <v>37</v>
      </c>
      <c r="J46" s="529">
        <v>40</v>
      </c>
      <c r="K46" s="529">
        <v>34420.629999999997</v>
      </c>
      <c r="L46" s="529">
        <v>34420.629999999997</v>
      </c>
      <c r="M46" s="529">
        <v>0</v>
      </c>
      <c r="N46" s="529">
        <v>7</v>
      </c>
      <c r="O46" s="529">
        <v>39298.120000000003</v>
      </c>
      <c r="P46" s="529">
        <v>39298.120000000003</v>
      </c>
      <c r="Q46" s="529">
        <v>0</v>
      </c>
    </row>
    <row r="47" spans="1:17" ht="15.75" customHeight="1" x14ac:dyDescent="0.2">
      <c r="A47" s="529">
        <v>39</v>
      </c>
      <c r="B47" s="529" t="s">
        <v>196</v>
      </c>
      <c r="C47" s="516" t="s">
        <v>62</v>
      </c>
      <c r="D47" s="529" t="s">
        <v>63</v>
      </c>
      <c r="E47" s="529" t="s">
        <v>197</v>
      </c>
      <c r="F47" s="529" t="s">
        <v>198</v>
      </c>
      <c r="G47" s="510" t="s">
        <v>670</v>
      </c>
      <c r="H47" s="529">
        <v>28</v>
      </c>
      <c r="I47" s="529">
        <v>18</v>
      </c>
      <c r="J47" s="529">
        <v>19</v>
      </c>
      <c r="K47" s="529">
        <v>29345.31</v>
      </c>
      <c r="L47" s="529">
        <v>24634.21</v>
      </c>
      <c r="M47" s="529">
        <v>4711.1000000000004</v>
      </c>
      <c r="N47" s="529">
        <v>0</v>
      </c>
      <c r="O47" s="529">
        <v>0</v>
      </c>
      <c r="P47" s="529">
        <v>0</v>
      </c>
      <c r="Q47" s="529">
        <v>0</v>
      </c>
    </row>
    <row r="48" spans="1:17" ht="15.75" customHeight="1" x14ac:dyDescent="0.2">
      <c r="A48" s="529">
        <v>40</v>
      </c>
      <c r="B48" s="529" t="s">
        <v>106</v>
      </c>
      <c r="C48" s="516" t="s">
        <v>62</v>
      </c>
      <c r="D48" s="529" t="s">
        <v>63</v>
      </c>
      <c r="E48" s="529" t="s">
        <v>74</v>
      </c>
      <c r="F48" s="529" t="s">
        <v>199</v>
      </c>
      <c r="G48" s="510" t="s">
        <v>670</v>
      </c>
      <c r="H48" s="529">
        <v>56</v>
      </c>
      <c r="I48" s="529">
        <v>47</v>
      </c>
      <c r="J48" s="529">
        <v>68</v>
      </c>
      <c r="K48" s="529">
        <v>86009.18</v>
      </c>
      <c r="L48" s="529">
        <v>86009.18</v>
      </c>
      <c r="M48" s="529">
        <v>0</v>
      </c>
      <c r="N48" s="529">
        <v>28</v>
      </c>
      <c r="O48" s="529">
        <v>150774.95000000001</v>
      </c>
      <c r="P48" s="529">
        <v>150774.95000000001</v>
      </c>
      <c r="Q48" s="529">
        <v>0</v>
      </c>
    </row>
    <row r="49" spans="1:17" ht="15.75" customHeight="1" x14ac:dyDescent="0.2">
      <c r="A49" s="529">
        <v>41</v>
      </c>
      <c r="B49" s="529" t="s">
        <v>750</v>
      </c>
      <c r="C49" s="516" t="s">
        <v>62</v>
      </c>
      <c r="D49" s="529" t="s">
        <v>63</v>
      </c>
      <c r="E49" s="529" t="s">
        <v>313</v>
      </c>
      <c r="F49" s="529" t="s">
        <v>751</v>
      </c>
      <c r="G49" s="510" t="s">
        <v>670</v>
      </c>
      <c r="H49" s="529">
        <v>1</v>
      </c>
      <c r="I49" s="529">
        <v>0</v>
      </c>
      <c r="J49" s="529">
        <v>0</v>
      </c>
      <c r="K49" s="529">
        <v>0</v>
      </c>
      <c r="L49" s="529">
        <v>0</v>
      </c>
      <c r="M49" s="529">
        <v>0</v>
      </c>
      <c r="N49" s="529">
        <v>0</v>
      </c>
      <c r="O49" s="529">
        <v>0</v>
      </c>
      <c r="P49" s="529">
        <v>0</v>
      </c>
      <c r="Q49" s="529">
        <v>0</v>
      </c>
    </row>
    <row r="50" spans="1:17" ht="15.75" customHeight="1" x14ac:dyDescent="0.2">
      <c r="A50" s="529">
        <v>42</v>
      </c>
      <c r="B50" s="529" t="s">
        <v>107</v>
      </c>
      <c r="C50" s="516" t="s">
        <v>62</v>
      </c>
      <c r="D50" s="529" t="s">
        <v>63</v>
      </c>
      <c r="E50" s="529" t="s">
        <v>74</v>
      </c>
      <c r="F50" s="529" t="s">
        <v>752</v>
      </c>
      <c r="G50" s="510" t="s">
        <v>670</v>
      </c>
      <c r="H50" s="529">
        <v>10</v>
      </c>
      <c r="I50" s="529">
        <v>2</v>
      </c>
      <c r="J50" s="529">
        <v>2</v>
      </c>
      <c r="K50" s="529">
        <v>0</v>
      </c>
      <c r="L50" s="529">
        <v>0</v>
      </c>
      <c r="M50" s="529">
        <v>0</v>
      </c>
      <c r="N50" s="529">
        <v>3</v>
      </c>
      <c r="O50" s="529">
        <v>0</v>
      </c>
      <c r="P50" s="529">
        <v>0</v>
      </c>
      <c r="Q50" s="529">
        <v>0</v>
      </c>
    </row>
    <row r="51" spans="1:17" ht="15.75" customHeight="1" x14ac:dyDescent="0.2">
      <c r="A51" s="529">
        <v>43</v>
      </c>
      <c r="B51" s="529" t="s">
        <v>29</v>
      </c>
      <c r="C51" s="516" t="s">
        <v>62</v>
      </c>
      <c r="D51" s="529" t="s">
        <v>63</v>
      </c>
      <c r="E51" s="529" t="s">
        <v>74</v>
      </c>
      <c r="F51" s="529" t="s">
        <v>200</v>
      </c>
      <c r="G51" s="510" t="s">
        <v>670</v>
      </c>
      <c r="H51" s="529">
        <v>34</v>
      </c>
      <c r="I51" s="529">
        <v>30</v>
      </c>
      <c r="J51" s="529">
        <v>44</v>
      </c>
      <c r="K51" s="529">
        <v>40540.85</v>
      </c>
      <c r="L51" s="529">
        <v>40540.85</v>
      </c>
      <c r="M51" s="529">
        <v>0</v>
      </c>
      <c r="N51" s="529">
        <v>21</v>
      </c>
      <c r="O51" s="529">
        <v>29336.76</v>
      </c>
      <c r="P51" s="529">
        <v>29336.76</v>
      </c>
      <c r="Q51" s="529">
        <v>0</v>
      </c>
    </row>
    <row r="52" spans="1:17" ht="15.75" customHeight="1" x14ac:dyDescent="0.2">
      <c r="A52" s="529">
        <v>44</v>
      </c>
      <c r="B52" s="529" t="s">
        <v>201</v>
      </c>
      <c r="C52" s="516" t="s">
        <v>67</v>
      </c>
      <c r="D52" s="529" t="s">
        <v>485</v>
      </c>
      <c r="E52" s="529" t="s">
        <v>74</v>
      </c>
      <c r="F52" s="529" t="s">
        <v>202</v>
      </c>
      <c r="G52" s="510" t="s">
        <v>670</v>
      </c>
      <c r="H52" s="529">
        <v>32</v>
      </c>
      <c r="I52" s="529">
        <v>26</v>
      </c>
      <c r="J52" s="529">
        <v>29</v>
      </c>
      <c r="K52" s="529">
        <v>42330.61</v>
      </c>
      <c r="L52" s="529">
        <v>42330.61</v>
      </c>
      <c r="M52" s="529">
        <v>0</v>
      </c>
      <c r="N52" s="529">
        <v>1</v>
      </c>
      <c r="O52" s="529">
        <v>1717.95</v>
      </c>
      <c r="P52" s="529">
        <v>1717.95</v>
      </c>
      <c r="Q52" s="529">
        <v>0</v>
      </c>
    </row>
    <row r="53" spans="1:17" ht="15.75" customHeight="1" x14ac:dyDescent="0.2">
      <c r="A53" s="529">
        <v>45</v>
      </c>
      <c r="B53" s="529" t="s">
        <v>30</v>
      </c>
      <c r="C53" s="516" t="s">
        <v>62</v>
      </c>
      <c r="D53" s="529" t="s">
        <v>63</v>
      </c>
      <c r="E53" s="529" t="s">
        <v>203</v>
      </c>
      <c r="F53" s="529" t="s">
        <v>204</v>
      </c>
      <c r="G53" s="510" t="s">
        <v>670</v>
      </c>
      <c r="H53" s="529">
        <v>28</v>
      </c>
      <c r="I53" s="529">
        <v>20</v>
      </c>
      <c r="J53" s="529">
        <v>28</v>
      </c>
      <c r="K53" s="529">
        <v>65292.95</v>
      </c>
      <c r="L53" s="529">
        <v>65292.95</v>
      </c>
      <c r="M53" s="529">
        <v>0</v>
      </c>
      <c r="N53" s="529">
        <v>20</v>
      </c>
      <c r="O53" s="529">
        <v>85051.08</v>
      </c>
      <c r="P53" s="529">
        <v>85051.08</v>
      </c>
      <c r="Q53" s="529">
        <v>0</v>
      </c>
    </row>
    <row r="54" spans="1:17" ht="15.75" customHeight="1" x14ac:dyDescent="0.2">
      <c r="A54" s="529">
        <v>46</v>
      </c>
      <c r="B54" s="529" t="s">
        <v>90</v>
      </c>
      <c r="C54" s="516" t="s">
        <v>62</v>
      </c>
      <c r="D54" s="529" t="s">
        <v>63</v>
      </c>
      <c r="E54" s="529" t="s">
        <v>205</v>
      </c>
      <c r="F54" s="529" t="s">
        <v>464</v>
      </c>
      <c r="G54" s="510" t="s">
        <v>670</v>
      </c>
      <c r="H54" s="529">
        <v>29</v>
      </c>
      <c r="I54" s="529">
        <v>18</v>
      </c>
      <c r="J54" s="529">
        <v>25</v>
      </c>
      <c r="K54" s="529">
        <v>36149.81</v>
      </c>
      <c r="L54" s="529">
        <v>36149.81</v>
      </c>
      <c r="M54" s="529">
        <v>0</v>
      </c>
      <c r="N54" s="529">
        <v>18</v>
      </c>
      <c r="O54" s="529">
        <v>23475.1</v>
      </c>
      <c r="P54" s="529">
        <v>23475.1</v>
      </c>
      <c r="Q54" s="529">
        <v>0</v>
      </c>
    </row>
    <row r="55" spans="1:17" ht="15.75" customHeight="1" x14ac:dyDescent="0.2">
      <c r="A55" s="529">
        <v>47</v>
      </c>
      <c r="B55" s="529" t="s">
        <v>31</v>
      </c>
      <c r="C55" s="516" t="s">
        <v>62</v>
      </c>
      <c r="D55" s="529" t="s">
        <v>63</v>
      </c>
      <c r="E55" s="529" t="s">
        <v>74</v>
      </c>
      <c r="F55" s="529" t="s">
        <v>206</v>
      </c>
      <c r="G55" s="510" t="s">
        <v>670</v>
      </c>
      <c r="H55" s="529">
        <v>65</v>
      </c>
      <c r="I55" s="529">
        <v>57</v>
      </c>
      <c r="J55" s="529">
        <v>68</v>
      </c>
      <c r="K55" s="529">
        <v>112192.49</v>
      </c>
      <c r="L55" s="529">
        <v>112192.49</v>
      </c>
      <c r="M55" s="529">
        <v>0</v>
      </c>
      <c r="N55" s="529">
        <v>23</v>
      </c>
      <c r="O55" s="529">
        <v>88399.12</v>
      </c>
      <c r="P55" s="529">
        <v>88399.12</v>
      </c>
      <c r="Q55" s="529">
        <v>0</v>
      </c>
    </row>
    <row r="56" spans="1:17" ht="15.75" customHeight="1" x14ac:dyDescent="0.2">
      <c r="A56" s="529">
        <v>48</v>
      </c>
      <c r="B56" s="529" t="s">
        <v>631</v>
      </c>
      <c r="C56" s="516" t="s">
        <v>62</v>
      </c>
      <c r="D56" s="529" t="s">
        <v>63</v>
      </c>
      <c r="E56" s="529" t="s">
        <v>63</v>
      </c>
      <c r="F56" s="529" t="s">
        <v>732</v>
      </c>
      <c r="G56" s="510" t="s">
        <v>670</v>
      </c>
      <c r="H56" s="529">
        <v>14</v>
      </c>
      <c r="I56" s="529">
        <v>5</v>
      </c>
      <c r="J56" s="529">
        <v>5</v>
      </c>
      <c r="K56" s="529">
        <v>589.12</v>
      </c>
      <c r="L56" s="529">
        <v>589.12</v>
      </c>
      <c r="M56" s="529">
        <v>0</v>
      </c>
      <c r="N56" s="529">
        <v>0</v>
      </c>
      <c r="O56" s="529">
        <v>0</v>
      </c>
      <c r="P56" s="529">
        <v>0</v>
      </c>
      <c r="Q56" s="529">
        <v>0</v>
      </c>
    </row>
    <row r="57" spans="1:17" ht="15.75" customHeight="1" x14ac:dyDescent="0.2">
      <c r="A57" s="529">
        <v>49</v>
      </c>
      <c r="B57" s="529" t="s">
        <v>605</v>
      </c>
      <c r="C57" s="516" t="s">
        <v>62</v>
      </c>
      <c r="D57" s="529" t="s">
        <v>63</v>
      </c>
      <c r="E57" s="529" t="s">
        <v>108</v>
      </c>
      <c r="F57" s="529" t="s">
        <v>606</v>
      </c>
      <c r="G57" s="510" t="s">
        <v>670</v>
      </c>
      <c r="H57" s="529">
        <v>5</v>
      </c>
      <c r="I57" s="529">
        <v>2</v>
      </c>
      <c r="J57" s="529">
        <v>2</v>
      </c>
      <c r="K57" s="529">
        <v>0</v>
      </c>
      <c r="L57" s="529">
        <v>0</v>
      </c>
      <c r="M57" s="529">
        <v>0</v>
      </c>
      <c r="N57" s="529">
        <v>0</v>
      </c>
      <c r="O57" s="529">
        <v>1200.69</v>
      </c>
      <c r="P57" s="529">
        <v>1200.69</v>
      </c>
      <c r="Q57" s="529">
        <v>0</v>
      </c>
    </row>
    <row r="58" spans="1:17" ht="15.75" customHeight="1" x14ac:dyDescent="0.2">
      <c r="A58" s="529">
        <v>50</v>
      </c>
      <c r="B58" s="529" t="s">
        <v>32</v>
      </c>
      <c r="C58" s="516" t="s">
        <v>62</v>
      </c>
      <c r="D58" s="529" t="s">
        <v>63</v>
      </c>
      <c r="E58" s="529" t="s">
        <v>74</v>
      </c>
      <c r="F58" s="529" t="s">
        <v>207</v>
      </c>
      <c r="G58" s="510" t="s">
        <v>670</v>
      </c>
      <c r="H58" s="529">
        <v>56</v>
      </c>
      <c r="I58" s="529">
        <v>47</v>
      </c>
      <c r="J58" s="529">
        <v>52</v>
      </c>
      <c r="K58" s="529">
        <v>34934.46</v>
      </c>
      <c r="L58" s="529">
        <v>34934.46</v>
      </c>
      <c r="M58" s="529">
        <v>0</v>
      </c>
      <c r="N58" s="529">
        <v>40</v>
      </c>
      <c r="O58" s="529">
        <v>99653.31</v>
      </c>
      <c r="P58" s="529">
        <v>99653.31</v>
      </c>
      <c r="Q58" s="529">
        <v>0</v>
      </c>
    </row>
    <row r="59" spans="1:17" ht="15.75" customHeight="1" x14ac:dyDescent="0.2">
      <c r="A59" s="529">
        <v>51</v>
      </c>
      <c r="B59" s="529" t="s">
        <v>91</v>
      </c>
      <c r="C59" s="516" t="s">
        <v>62</v>
      </c>
      <c r="D59" s="529" t="s">
        <v>63</v>
      </c>
      <c r="E59" s="529" t="s">
        <v>63</v>
      </c>
      <c r="F59" s="529" t="s">
        <v>208</v>
      </c>
      <c r="G59" s="510" t="s">
        <v>670</v>
      </c>
      <c r="H59" s="529">
        <v>23</v>
      </c>
      <c r="I59" s="529">
        <v>13</v>
      </c>
      <c r="J59" s="529">
        <v>13</v>
      </c>
      <c r="K59" s="529">
        <v>7911.39</v>
      </c>
      <c r="L59" s="529">
        <v>7911.39</v>
      </c>
      <c r="M59" s="529">
        <v>0</v>
      </c>
      <c r="N59" s="529">
        <v>2</v>
      </c>
      <c r="O59" s="529">
        <v>17381.23</v>
      </c>
      <c r="P59" s="529">
        <v>17381.23</v>
      </c>
      <c r="Q59" s="529">
        <v>0</v>
      </c>
    </row>
    <row r="60" spans="1:17" ht="15.75" customHeight="1" x14ac:dyDescent="0.2">
      <c r="A60" s="529">
        <v>52</v>
      </c>
      <c r="B60" s="529" t="s">
        <v>33</v>
      </c>
      <c r="C60" s="516" t="s">
        <v>62</v>
      </c>
      <c r="D60" s="529" t="s">
        <v>63</v>
      </c>
      <c r="E60" s="529" t="s">
        <v>74</v>
      </c>
      <c r="F60" s="529" t="s">
        <v>209</v>
      </c>
      <c r="G60" s="510" t="s">
        <v>670</v>
      </c>
      <c r="H60" s="529">
        <v>43</v>
      </c>
      <c r="I60" s="529">
        <v>35</v>
      </c>
      <c r="J60" s="529">
        <v>50</v>
      </c>
      <c r="K60" s="529">
        <v>75311.38</v>
      </c>
      <c r="L60" s="529">
        <v>75311.38</v>
      </c>
      <c r="M60" s="529">
        <v>0</v>
      </c>
      <c r="N60" s="529">
        <v>42</v>
      </c>
      <c r="O60" s="529">
        <v>115656.4</v>
      </c>
      <c r="P60" s="529">
        <v>115656.4</v>
      </c>
      <c r="Q60" s="529">
        <v>0</v>
      </c>
    </row>
    <row r="61" spans="1:17" ht="15.75" customHeight="1" x14ac:dyDescent="0.2">
      <c r="A61" s="529">
        <v>53</v>
      </c>
      <c r="B61" s="529" t="s">
        <v>153</v>
      </c>
      <c r="C61" s="516" t="s">
        <v>62</v>
      </c>
      <c r="D61" s="529" t="s">
        <v>63</v>
      </c>
      <c r="E61" s="529" t="s">
        <v>74</v>
      </c>
      <c r="F61" s="529" t="s">
        <v>210</v>
      </c>
      <c r="G61" s="510" t="s">
        <v>670</v>
      </c>
      <c r="H61" s="529">
        <v>0</v>
      </c>
      <c r="I61" s="529">
        <v>0</v>
      </c>
      <c r="J61" s="529">
        <v>0</v>
      </c>
      <c r="K61" s="529">
        <v>0</v>
      </c>
      <c r="L61" s="529">
        <v>0</v>
      </c>
      <c r="M61" s="529">
        <v>0</v>
      </c>
      <c r="N61" s="529">
        <v>3</v>
      </c>
      <c r="O61" s="529">
        <v>35991.79</v>
      </c>
      <c r="P61" s="529">
        <v>35991.79</v>
      </c>
      <c r="Q61" s="529">
        <v>0</v>
      </c>
    </row>
    <row r="62" spans="1:17" ht="15.75" customHeight="1" x14ac:dyDescent="0.2">
      <c r="A62" s="529">
        <v>54</v>
      </c>
      <c r="B62" s="529" t="s">
        <v>34</v>
      </c>
      <c r="C62" s="516" t="s">
        <v>62</v>
      </c>
      <c r="D62" s="529" t="s">
        <v>63</v>
      </c>
      <c r="E62" s="529" t="s">
        <v>74</v>
      </c>
      <c r="F62" s="529" t="s">
        <v>211</v>
      </c>
      <c r="G62" s="510" t="s">
        <v>670</v>
      </c>
      <c r="H62" s="529">
        <v>24</v>
      </c>
      <c r="I62" s="529">
        <v>19</v>
      </c>
      <c r="J62" s="529">
        <v>22</v>
      </c>
      <c r="K62" s="529">
        <v>7566.68</v>
      </c>
      <c r="L62" s="529">
        <v>7566.68</v>
      </c>
      <c r="M62" s="529">
        <v>0</v>
      </c>
      <c r="N62" s="529">
        <v>26</v>
      </c>
      <c r="O62" s="529">
        <v>106055.76</v>
      </c>
      <c r="P62" s="529">
        <v>106055.76</v>
      </c>
      <c r="Q62" s="529">
        <v>0</v>
      </c>
    </row>
    <row r="63" spans="1:17" ht="15.75" customHeight="1" x14ac:dyDescent="0.2">
      <c r="A63" s="529">
        <v>55</v>
      </c>
      <c r="B63" s="529" t="s">
        <v>154</v>
      </c>
      <c r="C63" s="516" t="s">
        <v>62</v>
      </c>
      <c r="D63" s="529" t="s">
        <v>63</v>
      </c>
      <c r="E63" s="529" t="s">
        <v>72</v>
      </c>
      <c r="F63" s="529" t="s">
        <v>212</v>
      </c>
      <c r="G63" s="510" t="s">
        <v>670</v>
      </c>
      <c r="H63" s="529">
        <v>6</v>
      </c>
      <c r="I63" s="529">
        <v>2</v>
      </c>
      <c r="J63" s="529">
        <v>2</v>
      </c>
      <c r="K63" s="529">
        <v>2172.77</v>
      </c>
      <c r="L63" s="529">
        <v>2172.77</v>
      </c>
      <c r="M63" s="529">
        <v>0</v>
      </c>
      <c r="N63" s="529">
        <v>2</v>
      </c>
      <c r="O63" s="529">
        <v>10016.969999999999</v>
      </c>
      <c r="P63" s="529">
        <v>10016.969999999999</v>
      </c>
      <c r="Q63" s="529">
        <v>0</v>
      </c>
    </row>
    <row r="64" spans="1:17" ht="15.75" customHeight="1" x14ac:dyDescent="0.2">
      <c r="A64" s="529">
        <v>56</v>
      </c>
      <c r="B64" s="529" t="s">
        <v>109</v>
      </c>
      <c r="C64" s="516" t="s">
        <v>62</v>
      </c>
      <c r="D64" s="529" t="s">
        <v>63</v>
      </c>
      <c r="E64" s="529" t="s">
        <v>74</v>
      </c>
      <c r="F64" s="529" t="s">
        <v>213</v>
      </c>
      <c r="G64" s="510" t="s">
        <v>670</v>
      </c>
      <c r="H64" s="529">
        <v>0</v>
      </c>
      <c r="I64" s="529">
        <v>0</v>
      </c>
      <c r="J64" s="529">
        <v>0</v>
      </c>
      <c r="K64" s="529">
        <v>0</v>
      </c>
      <c r="L64" s="529">
        <v>0</v>
      </c>
      <c r="M64" s="529">
        <v>0</v>
      </c>
      <c r="N64" s="529">
        <v>2</v>
      </c>
      <c r="O64" s="529">
        <v>3812.68</v>
      </c>
      <c r="P64" s="529">
        <v>3812.68</v>
      </c>
      <c r="Q64" s="529">
        <v>0</v>
      </c>
    </row>
    <row r="65" spans="1:17" ht="15.75" customHeight="1" x14ac:dyDescent="0.2">
      <c r="A65" s="529">
        <v>57</v>
      </c>
      <c r="B65" s="529" t="s">
        <v>110</v>
      </c>
      <c r="C65" s="516" t="s">
        <v>62</v>
      </c>
      <c r="D65" s="529" t="s">
        <v>63</v>
      </c>
      <c r="E65" s="529" t="s">
        <v>74</v>
      </c>
      <c r="F65" s="529" t="s">
        <v>214</v>
      </c>
      <c r="G65" s="510" t="s">
        <v>670</v>
      </c>
      <c r="H65" s="529">
        <v>0</v>
      </c>
      <c r="I65" s="529">
        <v>0</v>
      </c>
      <c r="J65" s="529">
        <v>0</v>
      </c>
      <c r="K65" s="529">
        <v>0</v>
      </c>
      <c r="L65" s="529">
        <v>0</v>
      </c>
      <c r="M65" s="529">
        <v>0</v>
      </c>
      <c r="N65" s="529">
        <v>0</v>
      </c>
      <c r="O65" s="529">
        <v>12489.14</v>
      </c>
      <c r="P65" s="529">
        <v>12489.14</v>
      </c>
      <c r="Q65" s="529">
        <v>0</v>
      </c>
    </row>
    <row r="66" spans="1:17" ht="15.75" customHeight="1" x14ac:dyDescent="0.2">
      <c r="A66" s="529">
        <v>58</v>
      </c>
      <c r="B66" s="529" t="s">
        <v>92</v>
      </c>
      <c r="C66" s="516" t="s">
        <v>62</v>
      </c>
      <c r="D66" s="529" t="s">
        <v>63</v>
      </c>
      <c r="E66" s="529" t="s">
        <v>74</v>
      </c>
      <c r="F66" s="529" t="s">
        <v>215</v>
      </c>
      <c r="G66" s="510" t="s">
        <v>670</v>
      </c>
      <c r="H66" s="529">
        <v>41</v>
      </c>
      <c r="I66" s="529">
        <v>37</v>
      </c>
      <c r="J66" s="529">
        <v>49</v>
      </c>
      <c r="K66" s="529">
        <v>55173.48</v>
      </c>
      <c r="L66" s="529">
        <v>55173.48</v>
      </c>
      <c r="M66" s="529">
        <v>0</v>
      </c>
      <c r="N66" s="529">
        <v>16</v>
      </c>
      <c r="O66" s="529">
        <v>47264.21</v>
      </c>
      <c r="P66" s="529">
        <v>47264.21</v>
      </c>
      <c r="Q66" s="529">
        <v>0</v>
      </c>
    </row>
    <row r="67" spans="1:17" ht="15.75" customHeight="1" x14ac:dyDescent="0.2">
      <c r="A67" s="529">
        <v>59</v>
      </c>
      <c r="B67" s="529" t="s">
        <v>216</v>
      </c>
      <c r="C67" s="516" t="s">
        <v>67</v>
      </c>
      <c r="D67" s="529" t="s">
        <v>436</v>
      </c>
      <c r="E67" s="529" t="s">
        <v>217</v>
      </c>
      <c r="F67" s="529" t="s">
        <v>218</v>
      </c>
      <c r="G67" s="510" t="s">
        <v>670</v>
      </c>
      <c r="H67" s="529">
        <v>17</v>
      </c>
      <c r="I67" s="529">
        <v>12</v>
      </c>
      <c r="J67" s="529">
        <v>12</v>
      </c>
      <c r="K67" s="529">
        <v>8808.74</v>
      </c>
      <c r="L67" s="529">
        <v>8808.74</v>
      </c>
      <c r="M67" s="529">
        <v>0</v>
      </c>
      <c r="N67" s="529">
        <v>0</v>
      </c>
      <c r="O67" s="529">
        <v>0</v>
      </c>
      <c r="P67" s="529">
        <v>0</v>
      </c>
      <c r="Q67" s="529">
        <v>0</v>
      </c>
    </row>
    <row r="68" spans="1:17" ht="15.75" customHeight="1" x14ac:dyDescent="0.2">
      <c r="A68" s="529">
        <v>60</v>
      </c>
      <c r="B68" s="529" t="s">
        <v>35</v>
      </c>
      <c r="C68" s="516" t="s">
        <v>62</v>
      </c>
      <c r="D68" s="529" t="s">
        <v>63</v>
      </c>
      <c r="E68" s="529" t="s">
        <v>219</v>
      </c>
      <c r="F68" s="529" t="s">
        <v>220</v>
      </c>
      <c r="G68" s="510" t="s">
        <v>670</v>
      </c>
      <c r="H68" s="529">
        <v>60</v>
      </c>
      <c r="I68" s="529">
        <v>56</v>
      </c>
      <c r="J68" s="529">
        <v>63</v>
      </c>
      <c r="K68" s="529">
        <v>82511.28</v>
      </c>
      <c r="L68" s="529">
        <v>82511.28</v>
      </c>
      <c r="M68" s="529">
        <v>0</v>
      </c>
      <c r="N68" s="529">
        <v>34</v>
      </c>
      <c r="O68" s="529">
        <v>88743.22</v>
      </c>
      <c r="P68" s="529">
        <v>88743.22</v>
      </c>
      <c r="Q68" s="529">
        <v>0</v>
      </c>
    </row>
    <row r="69" spans="1:17" ht="15.75" customHeight="1" x14ac:dyDescent="0.2">
      <c r="A69" s="529">
        <v>61</v>
      </c>
      <c r="B69" s="529" t="s">
        <v>114</v>
      </c>
      <c r="C69" s="516" t="s">
        <v>62</v>
      </c>
      <c r="D69" s="529" t="s">
        <v>63</v>
      </c>
      <c r="E69" s="529" t="s">
        <v>115</v>
      </c>
      <c r="F69" s="529" t="s">
        <v>221</v>
      </c>
      <c r="G69" s="510" t="s">
        <v>670</v>
      </c>
      <c r="H69" s="529">
        <v>18</v>
      </c>
      <c r="I69" s="529">
        <v>11</v>
      </c>
      <c r="J69" s="529">
        <v>11</v>
      </c>
      <c r="K69" s="529">
        <v>21498.44</v>
      </c>
      <c r="L69" s="529">
        <v>16638.2</v>
      </c>
      <c r="M69" s="529">
        <v>4860.24</v>
      </c>
      <c r="N69" s="529">
        <v>1</v>
      </c>
      <c r="O69" s="529">
        <v>1108.48</v>
      </c>
      <c r="P69" s="529">
        <v>1108.48</v>
      </c>
      <c r="Q69" s="529">
        <v>0</v>
      </c>
    </row>
    <row r="70" spans="1:17" ht="15.75" customHeight="1" x14ac:dyDescent="0.2">
      <c r="A70" s="529">
        <v>62</v>
      </c>
      <c r="B70" s="529" t="s">
        <v>222</v>
      </c>
      <c r="C70" s="516" t="s">
        <v>64</v>
      </c>
      <c r="D70" s="529" t="s">
        <v>486</v>
      </c>
      <c r="E70" s="529" t="s">
        <v>223</v>
      </c>
      <c r="F70" s="529" t="s">
        <v>224</v>
      </c>
      <c r="G70" s="510" t="s">
        <v>670</v>
      </c>
      <c r="H70" s="529">
        <v>24</v>
      </c>
      <c r="I70" s="529">
        <v>20</v>
      </c>
      <c r="J70" s="529">
        <v>25</v>
      </c>
      <c r="K70" s="529">
        <v>31179.34</v>
      </c>
      <c r="L70" s="529">
        <v>31179.34</v>
      </c>
      <c r="M70" s="529">
        <v>0</v>
      </c>
      <c r="N70" s="529">
        <v>0</v>
      </c>
      <c r="O70" s="529">
        <v>0</v>
      </c>
      <c r="P70" s="529">
        <v>0</v>
      </c>
      <c r="Q70" s="529">
        <v>0</v>
      </c>
    </row>
    <row r="71" spans="1:17" ht="15.75" customHeight="1" x14ac:dyDescent="0.2">
      <c r="A71" s="529">
        <v>63</v>
      </c>
      <c r="B71" s="529" t="s">
        <v>93</v>
      </c>
      <c r="C71" s="516" t="s">
        <v>62</v>
      </c>
      <c r="D71" s="529" t="s">
        <v>63</v>
      </c>
      <c r="E71" s="529" t="s">
        <v>74</v>
      </c>
      <c r="F71" s="529" t="s">
        <v>225</v>
      </c>
      <c r="G71" s="510" t="s">
        <v>670</v>
      </c>
      <c r="H71" s="529">
        <v>14</v>
      </c>
      <c r="I71" s="529">
        <v>6</v>
      </c>
      <c r="J71" s="529">
        <v>7</v>
      </c>
      <c r="K71" s="529">
        <v>11798.3</v>
      </c>
      <c r="L71" s="529">
        <v>11798.3</v>
      </c>
      <c r="M71" s="529">
        <v>0</v>
      </c>
      <c r="N71" s="529">
        <v>7</v>
      </c>
      <c r="O71" s="529">
        <v>10672.71</v>
      </c>
      <c r="P71" s="529">
        <v>10672.71</v>
      </c>
      <c r="Q71" s="529">
        <v>0</v>
      </c>
    </row>
    <row r="72" spans="1:17" ht="15.75" customHeight="1" x14ac:dyDescent="0.2">
      <c r="A72" s="529">
        <v>64</v>
      </c>
      <c r="B72" s="529" t="s">
        <v>226</v>
      </c>
      <c r="C72" s="516" t="s">
        <v>62</v>
      </c>
      <c r="D72" s="529" t="s">
        <v>63</v>
      </c>
      <c r="E72" s="529" t="s">
        <v>174</v>
      </c>
      <c r="F72" s="529" t="s">
        <v>227</v>
      </c>
      <c r="G72" s="510" t="s">
        <v>670</v>
      </c>
      <c r="H72" s="529">
        <v>43</v>
      </c>
      <c r="I72" s="529">
        <v>17</v>
      </c>
      <c r="J72" s="529">
        <v>20</v>
      </c>
      <c r="K72" s="529">
        <v>59599.24</v>
      </c>
      <c r="L72" s="529">
        <v>59599.24</v>
      </c>
      <c r="M72" s="529">
        <v>0</v>
      </c>
      <c r="N72" s="529">
        <v>0</v>
      </c>
      <c r="O72" s="529">
        <v>0</v>
      </c>
      <c r="P72" s="529">
        <v>0</v>
      </c>
      <c r="Q72" s="529">
        <v>0</v>
      </c>
    </row>
    <row r="73" spans="1:17" ht="15.75" customHeight="1" x14ac:dyDescent="0.2">
      <c r="A73" s="529">
        <v>65</v>
      </c>
      <c r="B73" s="529" t="s">
        <v>228</v>
      </c>
      <c r="C73" s="516" t="s">
        <v>62</v>
      </c>
      <c r="D73" s="529" t="s">
        <v>63</v>
      </c>
      <c r="E73" s="529" t="s">
        <v>229</v>
      </c>
      <c r="F73" s="529" t="s">
        <v>230</v>
      </c>
      <c r="G73" s="510" t="s">
        <v>670</v>
      </c>
      <c r="H73" s="529">
        <v>51</v>
      </c>
      <c r="I73" s="529">
        <v>30</v>
      </c>
      <c r="J73" s="529">
        <v>38</v>
      </c>
      <c r="K73" s="529">
        <v>34002.400000000001</v>
      </c>
      <c r="L73" s="529">
        <v>34002.400000000001</v>
      </c>
      <c r="M73" s="529">
        <v>0</v>
      </c>
      <c r="N73" s="529">
        <v>0</v>
      </c>
      <c r="O73" s="529">
        <v>0</v>
      </c>
      <c r="P73" s="529">
        <v>0</v>
      </c>
      <c r="Q73" s="529">
        <v>0</v>
      </c>
    </row>
    <row r="74" spans="1:17" ht="15.75" customHeight="1" x14ac:dyDescent="0.2">
      <c r="A74" s="529">
        <v>66</v>
      </c>
      <c r="B74" s="529" t="s">
        <v>116</v>
      </c>
      <c r="C74" s="516" t="s">
        <v>62</v>
      </c>
      <c r="D74" s="529" t="s">
        <v>63</v>
      </c>
      <c r="E74" s="529" t="s">
        <v>74</v>
      </c>
      <c r="F74" s="529" t="s">
        <v>231</v>
      </c>
      <c r="G74" s="510" t="s">
        <v>670</v>
      </c>
      <c r="H74" s="529">
        <v>39</v>
      </c>
      <c r="I74" s="529">
        <v>30</v>
      </c>
      <c r="J74" s="529">
        <v>36</v>
      </c>
      <c r="K74" s="529">
        <v>42164.54</v>
      </c>
      <c r="L74" s="529">
        <v>42164.54</v>
      </c>
      <c r="M74" s="529">
        <v>0</v>
      </c>
      <c r="N74" s="529">
        <v>3</v>
      </c>
      <c r="O74" s="529">
        <v>5058.49</v>
      </c>
      <c r="P74" s="529">
        <v>5058.49</v>
      </c>
      <c r="Q74" s="529">
        <v>0</v>
      </c>
    </row>
    <row r="75" spans="1:17" ht="15.75" customHeight="1" x14ac:dyDescent="0.2">
      <c r="A75" s="529">
        <v>67</v>
      </c>
      <c r="B75" s="529" t="s">
        <v>232</v>
      </c>
      <c r="C75" s="516" t="s">
        <v>62</v>
      </c>
      <c r="D75" s="529" t="s">
        <v>63</v>
      </c>
      <c r="E75" s="529" t="s">
        <v>174</v>
      </c>
      <c r="F75" s="529" t="s">
        <v>233</v>
      </c>
      <c r="G75" s="510" t="s">
        <v>670</v>
      </c>
      <c r="H75" s="529">
        <v>18</v>
      </c>
      <c r="I75" s="529">
        <v>14</v>
      </c>
      <c r="J75" s="529">
        <v>17</v>
      </c>
      <c r="K75" s="529">
        <v>9716.0300000000007</v>
      </c>
      <c r="L75" s="529">
        <v>9716.0300000000007</v>
      </c>
      <c r="M75" s="529">
        <v>0</v>
      </c>
      <c r="N75" s="529">
        <v>0</v>
      </c>
      <c r="O75" s="529">
        <v>0</v>
      </c>
      <c r="P75" s="529">
        <v>0</v>
      </c>
      <c r="Q75" s="529">
        <v>0</v>
      </c>
    </row>
    <row r="76" spans="1:17" ht="15.75" customHeight="1" x14ac:dyDescent="0.2">
      <c r="A76" s="529">
        <v>68</v>
      </c>
      <c r="B76" s="529" t="s">
        <v>487</v>
      </c>
      <c r="C76" s="516" t="s">
        <v>62</v>
      </c>
      <c r="D76" s="529" t="s">
        <v>63</v>
      </c>
      <c r="E76" s="529" t="s">
        <v>282</v>
      </c>
      <c r="F76" s="529" t="s">
        <v>488</v>
      </c>
      <c r="G76" s="510" t="s">
        <v>670</v>
      </c>
      <c r="H76" s="529">
        <v>10</v>
      </c>
      <c r="I76" s="529">
        <v>3</v>
      </c>
      <c r="J76" s="529">
        <v>3</v>
      </c>
      <c r="K76" s="529">
        <v>1999.87</v>
      </c>
      <c r="L76" s="529">
        <v>1999.87</v>
      </c>
      <c r="M76" s="529">
        <v>0</v>
      </c>
      <c r="N76" s="529">
        <v>0</v>
      </c>
      <c r="O76" s="529">
        <v>0</v>
      </c>
      <c r="P76" s="529">
        <v>0</v>
      </c>
      <c r="Q76" s="529">
        <v>0</v>
      </c>
    </row>
    <row r="77" spans="1:17" ht="15.75" customHeight="1" x14ac:dyDescent="0.2">
      <c r="A77" s="529">
        <v>69</v>
      </c>
      <c r="B77" s="529" t="s">
        <v>357</v>
      </c>
      <c r="C77" s="516" t="s">
        <v>64</v>
      </c>
      <c r="D77" s="529" t="s">
        <v>585</v>
      </c>
      <c r="E77" s="529" t="s">
        <v>74</v>
      </c>
      <c r="F77" s="529" t="s">
        <v>586</v>
      </c>
      <c r="G77" s="510" t="s">
        <v>670</v>
      </c>
      <c r="H77" s="529">
        <v>6</v>
      </c>
      <c r="I77" s="529">
        <v>0</v>
      </c>
      <c r="J77" s="529">
        <v>0</v>
      </c>
      <c r="K77" s="529">
        <v>0</v>
      </c>
      <c r="L77" s="529">
        <v>0</v>
      </c>
      <c r="M77" s="529">
        <v>0</v>
      </c>
      <c r="N77" s="529">
        <v>1</v>
      </c>
      <c r="O77" s="529">
        <v>6753.85</v>
      </c>
      <c r="P77" s="529">
        <v>6753.85</v>
      </c>
      <c r="Q77" s="529">
        <v>0</v>
      </c>
    </row>
    <row r="78" spans="1:17" ht="15.75" customHeight="1" x14ac:dyDescent="0.2">
      <c r="A78" s="529">
        <v>70</v>
      </c>
      <c r="B78" s="529" t="s">
        <v>36</v>
      </c>
      <c r="C78" s="516" t="s">
        <v>62</v>
      </c>
      <c r="D78" s="529" t="s">
        <v>63</v>
      </c>
      <c r="E78" s="529" t="s">
        <v>74</v>
      </c>
      <c r="F78" s="529" t="s">
        <v>465</v>
      </c>
      <c r="G78" s="510" t="s">
        <v>670</v>
      </c>
      <c r="H78" s="529">
        <v>8</v>
      </c>
      <c r="I78" s="529">
        <v>4</v>
      </c>
      <c r="J78" s="529">
        <v>4</v>
      </c>
      <c r="K78" s="529">
        <v>352.4</v>
      </c>
      <c r="L78" s="529">
        <v>352.4</v>
      </c>
      <c r="M78" s="529">
        <v>0</v>
      </c>
      <c r="N78" s="529">
        <v>7</v>
      </c>
      <c r="O78" s="529">
        <v>20309.48</v>
      </c>
      <c r="P78" s="529">
        <v>20309.48</v>
      </c>
      <c r="Q78" s="529">
        <v>0</v>
      </c>
    </row>
    <row r="79" spans="1:17" ht="15.75" customHeight="1" x14ac:dyDescent="0.2">
      <c r="A79" s="529">
        <v>71</v>
      </c>
      <c r="B79" s="529" t="s">
        <v>658</v>
      </c>
      <c r="C79" s="516" t="s">
        <v>62</v>
      </c>
      <c r="D79" s="529" t="s">
        <v>63</v>
      </c>
      <c r="E79" s="529" t="s">
        <v>223</v>
      </c>
      <c r="F79" s="529" t="s">
        <v>659</v>
      </c>
      <c r="G79" s="510" t="s">
        <v>670</v>
      </c>
      <c r="H79" s="529">
        <v>13</v>
      </c>
      <c r="I79" s="529">
        <v>0</v>
      </c>
      <c r="J79" s="529">
        <v>0</v>
      </c>
      <c r="K79" s="529">
        <v>0</v>
      </c>
      <c r="L79" s="529">
        <v>0</v>
      </c>
      <c r="M79" s="529">
        <v>0</v>
      </c>
      <c r="N79" s="529">
        <v>0</v>
      </c>
      <c r="O79" s="529">
        <v>0</v>
      </c>
      <c r="P79" s="529">
        <v>0</v>
      </c>
      <c r="Q79" s="529">
        <v>0</v>
      </c>
    </row>
    <row r="80" spans="1:17" ht="15.75" customHeight="1" x14ac:dyDescent="0.2">
      <c r="A80" s="529">
        <v>72</v>
      </c>
      <c r="B80" s="529" t="s">
        <v>37</v>
      </c>
      <c r="C80" s="516" t="s">
        <v>62</v>
      </c>
      <c r="D80" s="529" t="s">
        <v>63</v>
      </c>
      <c r="E80" s="529" t="s">
        <v>70</v>
      </c>
      <c r="F80" s="529" t="s">
        <v>234</v>
      </c>
      <c r="G80" s="510" t="s">
        <v>670</v>
      </c>
      <c r="H80" s="529">
        <v>17</v>
      </c>
      <c r="I80" s="529">
        <v>10</v>
      </c>
      <c r="J80" s="529">
        <v>11</v>
      </c>
      <c r="K80" s="529">
        <v>11914.75</v>
      </c>
      <c r="L80" s="529">
        <v>11914.75</v>
      </c>
      <c r="M80" s="529">
        <v>0</v>
      </c>
      <c r="N80" s="529">
        <v>3</v>
      </c>
      <c r="O80" s="529">
        <v>19390.900000000001</v>
      </c>
      <c r="P80" s="529">
        <v>19390.900000000001</v>
      </c>
      <c r="Q80" s="529">
        <v>0</v>
      </c>
    </row>
    <row r="81" spans="1:17" ht="15.75" customHeight="1" x14ac:dyDescent="0.2">
      <c r="A81" s="529">
        <v>73</v>
      </c>
      <c r="B81" s="529" t="s">
        <v>235</v>
      </c>
      <c r="C81" s="516" t="s">
        <v>62</v>
      </c>
      <c r="D81" s="529" t="s">
        <v>63</v>
      </c>
      <c r="E81" s="529" t="s">
        <v>236</v>
      </c>
      <c r="F81" s="529" t="s">
        <v>237</v>
      </c>
      <c r="G81" s="510" t="s">
        <v>670</v>
      </c>
      <c r="H81" s="529">
        <v>16</v>
      </c>
      <c r="I81" s="529">
        <v>13</v>
      </c>
      <c r="J81" s="529">
        <v>20</v>
      </c>
      <c r="K81" s="529">
        <v>23840.49</v>
      </c>
      <c r="L81" s="529">
        <v>23840.49</v>
      </c>
      <c r="M81" s="529">
        <v>0</v>
      </c>
      <c r="N81" s="529">
        <v>0</v>
      </c>
      <c r="O81" s="529">
        <v>0</v>
      </c>
      <c r="P81" s="529">
        <v>0</v>
      </c>
      <c r="Q81" s="529">
        <v>0</v>
      </c>
    </row>
    <row r="82" spans="1:17" ht="15.75" customHeight="1" x14ac:dyDescent="0.2">
      <c r="A82" s="529">
        <v>74</v>
      </c>
      <c r="B82" s="529" t="s">
        <v>238</v>
      </c>
      <c r="C82" s="516" t="s">
        <v>62</v>
      </c>
      <c r="D82" s="529" t="s">
        <v>63</v>
      </c>
      <c r="E82" s="529" t="s">
        <v>239</v>
      </c>
      <c r="F82" s="529" t="s">
        <v>240</v>
      </c>
      <c r="G82" s="510" t="s">
        <v>670</v>
      </c>
      <c r="H82" s="529">
        <v>16</v>
      </c>
      <c r="I82" s="529">
        <v>11</v>
      </c>
      <c r="J82" s="529">
        <v>13</v>
      </c>
      <c r="K82" s="529">
        <v>9410.77</v>
      </c>
      <c r="L82" s="529">
        <v>9410.77</v>
      </c>
      <c r="M82" s="529">
        <v>0</v>
      </c>
      <c r="N82" s="529">
        <v>0</v>
      </c>
      <c r="O82" s="529">
        <v>0</v>
      </c>
      <c r="P82" s="529">
        <v>0</v>
      </c>
      <c r="Q82" s="529">
        <v>0</v>
      </c>
    </row>
    <row r="83" spans="1:17" ht="15.75" customHeight="1" x14ac:dyDescent="0.2">
      <c r="A83" s="529">
        <v>75</v>
      </c>
      <c r="B83" s="529" t="s">
        <v>587</v>
      </c>
      <c r="C83" s="516" t="s">
        <v>62</v>
      </c>
      <c r="D83" s="529" t="s">
        <v>63</v>
      </c>
      <c r="E83" s="529" t="s">
        <v>63</v>
      </c>
      <c r="F83" s="529" t="s">
        <v>609</v>
      </c>
      <c r="G83" s="510" t="s">
        <v>670</v>
      </c>
      <c r="H83" s="529">
        <v>0</v>
      </c>
      <c r="I83" s="529">
        <v>0</v>
      </c>
      <c r="J83" s="529">
        <v>0</v>
      </c>
      <c r="K83" s="529">
        <v>0</v>
      </c>
      <c r="L83" s="529">
        <v>0</v>
      </c>
      <c r="M83" s="529">
        <v>0</v>
      </c>
      <c r="N83" s="529">
        <v>2</v>
      </c>
      <c r="O83" s="529">
        <v>3658.79</v>
      </c>
      <c r="P83" s="529">
        <v>3658.79</v>
      </c>
      <c r="Q83" s="529">
        <v>0</v>
      </c>
    </row>
    <row r="84" spans="1:17" ht="15.75" customHeight="1" x14ac:dyDescent="0.2">
      <c r="A84" s="529">
        <v>76</v>
      </c>
      <c r="B84" s="529" t="s">
        <v>241</v>
      </c>
      <c r="C84" s="516" t="s">
        <v>62</v>
      </c>
      <c r="D84" s="529" t="s">
        <v>63</v>
      </c>
      <c r="E84" s="529" t="s">
        <v>242</v>
      </c>
      <c r="F84" s="529" t="s">
        <v>243</v>
      </c>
      <c r="G84" s="510" t="s">
        <v>670</v>
      </c>
      <c r="H84" s="529">
        <v>9</v>
      </c>
      <c r="I84" s="529">
        <v>9</v>
      </c>
      <c r="J84" s="529">
        <v>14</v>
      </c>
      <c r="K84" s="529">
        <v>26884.58</v>
      </c>
      <c r="L84" s="529">
        <v>26884.58</v>
      </c>
      <c r="M84" s="529">
        <v>0</v>
      </c>
      <c r="N84" s="529">
        <v>0</v>
      </c>
      <c r="O84" s="529">
        <v>0</v>
      </c>
      <c r="P84" s="529">
        <v>0</v>
      </c>
      <c r="Q84" s="529">
        <v>0</v>
      </c>
    </row>
    <row r="85" spans="1:17" ht="15.75" customHeight="1" x14ac:dyDescent="0.2">
      <c r="A85" s="529">
        <v>77</v>
      </c>
      <c r="B85" s="529" t="s">
        <v>38</v>
      </c>
      <c r="C85" s="516" t="s">
        <v>62</v>
      </c>
      <c r="D85" s="529" t="s">
        <v>63</v>
      </c>
      <c r="E85" s="529" t="s">
        <v>244</v>
      </c>
      <c r="F85" s="529" t="s">
        <v>245</v>
      </c>
      <c r="G85" s="510" t="s">
        <v>670</v>
      </c>
      <c r="H85" s="529">
        <v>118</v>
      </c>
      <c r="I85" s="529">
        <v>103</v>
      </c>
      <c r="J85" s="529">
        <v>161</v>
      </c>
      <c r="K85" s="529">
        <v>177826.79</v>
      </c>
      <c r="L85" s="529">
        <v>177826.79</v>
      </c>
      <c r="M85" s="529">
        <v>0</v>
      </c>
      <c r="N85" s="529">
        <v>96</v>
      </c>
      <c r="O85" s="529">
        <v>272452.59000000003</v>
      </c>
      <c r="P85" s="529">
        <v>272452.59000000003</v>
      </c>
      <c r="Q85" s="529">
        <v>0</v>
      </c>
    </row>
    <row r="86" spans="1:17" ht="15.75" customHeight="1" x14ac:dyDescent="0.2">
      <c r="A86" s="529">
        <v>78</v>
      </c>
      <c r="B86" s="529" t="s">
        <v>246</v>
      </c>
      <c r="C86" s="516" t="s">
        <v>62</v>
      </c>
      <c r="D86" s="529" t="s">
        <v>63</v>
      </c>
      <c r="E86" s="529" t="s">
        <v>247</v>
      </c>
      <c r="F86" s="529" t="s">
        <v>248</v>
      </c>
      <c r="G86" s="510" t="s">
        <v>670</v>
      </c>
      <c r="H86" s="529">
        <v>53</v>
      </c>
      <c r="I86" s="529">
        <v>37</v>
      </c>
      <c r="J86" s="529">
        <v>46</v>
      </c>
      <c r="K86" s="529">
        <v>26416.06</v>
      </c>
      <c r="L86" s="529">
        <v>26416.06</v>
      </c>
      <c r="M86" s="529">
        <v>0</v>
      </c>
      <c r="N86" s="529">
        <v>0</v>
      </c>
      <c r="O86" s="529">
        <v>0</v>
      </c>
      <c r="P86" s="529">
        <v>0</v>
      </c>
      <c r="Q86" s="529">
        <v>0</v>
      </c>
    </row>
    <row r="87" spans="1:17" ht="15.75" customHeight="1" x14ac:dyDescent="0.2">
      <c r="A87" s="529">
        <v>79</v>
      </c>
      <c r="B87" s="529" t="s">
        <v>39</v>
      </c>
      <c r="C87" s="516" t="s">
        <v>62</v>
      </c>
      <c r="D87" s="529" t="s">
        <v>63</v>
      </c>
      <c r="E87" s="529" t="s">
        <v>77</v>
      </c>
      <c r="F87" s="529" t="s">
        <v>466</v>
      </c>
      <c r="G87" s="510" t="s">
        <v>670</v>
      </c>
      <c r="H87" s="529">
        <v>131</v>
      </c>
      <c r="I87" s="529">
        <v>109</v>
      </c>
      <c r="J87" s="529">
        <v>116</v>
      </c>
      <c r="K87" s="529">
        <v>62619.199999999997</v>
      </c>
      <c r="L87" s="529">
        <v>62619.199999999997</v>
      </c>
      <c r="M87" s="529">
        <v>0</v>
      </c>
      <c r="N87" s="529">
        <v>11</v>
      </c>
      <c r="O87" s="529">
        <v>18898.939999999999</v>
      </c>
      <c r="P87" s="529">
        <v>18898.939999999999</v>
      </c>
      <c r="Q87" s="529">
        <v>0</v>
      </c>
    </row>
    <row r="88" spans="1:17" ht="15.75" customHeight="1" x14ac:dyDescent="0.2">
      <c r="A88" s="529">
        <v>80</v>
      </c>
      <c r="B88" s="529" t="s">
        <v>40</v>
      </c>
      <c r="C88" s="516" t="s">
        <v>62</v>
      </c>
      <c r="D88" s="529" t="s">
        <v>63</v>
      </c>
      <c r="E88" s="529" t="s">
        <v>249</v>
      </c>
      <c r="F88" s="529" t="s">
        <v>250</v>
      </c>
      <c r="G88" s="510" t="s">
        <v>670</v>
      </c>
      <c r="H88" s="529">
        <v>34</v>
      </c>
      <c r="I88" s="529">
        <v>31</v>
      </c>
      <c r="J88" s="529">
        <v>51</v>
      </c>
      <c r="K88" s="529">
        <v>77676.240000000005</v>
      </c>
      <c r="L88" s="529">
        <v>77676.240000000005</v>
      </c>
      <c r="M88" s="529">
        <v>0</v>
      </c>
      <c r="N88" s="529">
        <v>19</v>
      </c>
      <c r="O88" s="529">
        <v>51901.91</v>
      </c>
      <c r="P88" s="529">
        <v>51901.91</v>
      </c>
      <c r="Q88" s="529">
        <v>0</v>
      </c>
    </row>
    <row r="89" spans="1:17" ht="15.75" customHeight="1" x14ac:dyDescent="0.2">
      <c r="A89" s="529">
        <v>81</v>
      </c>
      <c r="B89" s="529" t="s">
        <v>660</v>
      </c>
      <c r="C89" s="516" t="s">
        <v>67</v>
      </c>
      <c r="D89" s="529" t="s">
        <v>661</v>
      </c>
      <c r="E89" s="529" t="s">
        <v>313</v>
      </c>
      <c r="F89" s="529" t="s">
        <v>662</v>
      </c>
      <c r="G89" s="510" t="s">
        <v>670</v>
      </c>
      <c r="H89" s="529">
        <v>7</v>
      </c>
      <c r="I89" s="529">
        <v>4</v>
      </c>
      <c r="J89" s="529">
        <v>4</v>
      </c>
      <c r="K89" s="529">
        <v>0</v>
      </c>
      <c r="L89" s="529">
        <v>0</v>
      </c>
      <c r="M89" s="529">
        <v>0</v>
      </c>
      <c r="N89" s="529">
        <v>0</v>
      </c>
      <c r="O89" s="529">
        <v>0</v>
      </c>
      <c r="P89" s="529">
        <v>0</v>
      </c>
      <c r="Q89" s="529">
        <v>0</v>
      </c>
    </row>
    <row r="90" spans="1:17" ht="15.75" customHeight="1" x14ac:dyDescent="0.2">
      <c r="A90" s="529">
        <v>82</v>
      </c>
      <c r="B90" s="529" t="s">
        <v>251</v>
      </c>
      <c r="C90" s="516" t="s">
        <v>62</v>
      </c>
      <c r="D90" s="529"/>
      <c r="E90" s="529" t="s">
        <v>177</v>
      </c>
      <c r="F90" s="529" t="s">
        <v>252</v>
      </c>
      <c r="G90" s="510" t="s">
        <v>670</v>
      </c>
      <c r="H90" s="529">
        <v>68</v>
      </c>
      <c r="I90" s="529">
        <v>51</v>
      </c>
      <c r="J90" s="529">
        <v>76</v>
      </c>
      <c r="K90" s="529">
        <v>85263.69</v>
      </c>
      <c r="L90" s="529">
        <v>77010.77</v>
      </c>
      <c r="M90" s="529">
        <v>8252.92</v>
      </c>
      <c r="N90" s="529">
        <v>0</v>
      </c>
      <c r="O90" s="529">
        <v>0</v>
      </c>
      <c r="P90" s="529">
        <v>0</v>
      </c>
      <c r="Q90" s="529">
        <v>0</v>
      </c>
    </row>
    <row r="91" spans="1:17" ht="15.75" customHeight="1" x14ac:dyDescent="0.2">
      <c r="A91" s="529">
        <v>83</v>
      </c>
      <c r="B91" s="529" t="s">
        <v>117</v>
      </c>
      <c r="C91" s="516" t="s">
        <v>62</v>
      </c>
      <c r="D91" s="529" t="s">
        <v>63</v>
      </c>
      <c r="E91" s="529" t="s">
        <v>74</v>
      </c>
      <c r="F91" s="529" t="s">
        <v>520</v>
      </c>
      <c r="G91" s="510" t="s">
        <v>670</v>
      </c>
      <c r="H91" s="529">
        <v>7</v>
      </c>
      <c r="I91" s="529">
        <v>2</v>
      </c>
      <c r="J91" s="529">
        <v>2</v>
      </c>
      <c r="K91" s="529">
        <v>3618.99</v>
      </c>
      <c r="L91" s="529">
        <v>3618.99</v>
      </c>
      <c r="M91" s="529">
        <v>0</v>
      </c>
      <c r="N91" s="529">
        <v>3</v>
      </c>
      <c r="O91" s="529">
        <v>9677.56</v>
      </c>
      <c r="P91" s="529">
        <v>9677.56</v>
      </c>
      <c r="Q91" s="529">
        <v>0</v>
      </c>
    </row>
    <row r="92" spans="1:17" ht="15.75" customHeight="1" x14ac:dyDescent="0.2">
      <c r="A92" s="529">
        <v>84</v>
      </c>
      <c r="B92" s="529" t="s">
        <v>41</v>
      </c>
      <c r="C92" s="516" t="s">
        <v>64</v>
      </c>
      <c r="D92" s="529" t="s">
        <v>65</v>
      </c>
      <c r="E92" s="529" t="s">
        <v>72</v>
      </c>
      <c r="F92" s="529" t="s">
        <v>253</v>
      </c>
      <c r="G92" s="510" t="s">
        <v>670</v>
      </c>
      <c r="H92" s="529">
        <v>2</v>
      </c>
      <c r="I92" s="529">
        <v>2</v>
      </c>
      <c r="J92" s="529">
        <v>2</v>
      </c>
      <c r="K92" s="529">
        <v>1575.23</v>
      </c>
      <c r="L92" s="529">
        <v>1575.23</v>
      </c>
      <c r="M92" s="529">
        <v>0</v>
      </c>
      <c r="N92" s="529">
        <v>12</v>
      </c>
      <c r="O92" s="529">
        <v>33315.620000000003</v>
      </c>
      <c r="P92" s="529">
        <v>33315.620000000003</v>
      </c>
      <c r="Q92" s="529">
        <v>0</v>
      </c>
    </row>
    <row r="93" spans="1:17" ht="15.75" customHeight="1" x14ac:dyDescent="0.2">
      <c r="A93" s="529">
        <v>85</v>
      </c>
      <c r="B93" s="529" t="s">
        <v>118</v>
      </c>
      <c r="C93" s="516" t="s">
        <v>62</v>
      </c>
      <c r="D93" s="529" t="s">
        <v>63</v>
      </c>
      <c r="E93" s="529" t="s">
        <v>63</v>
      </c>
      <c r="F93" s="529" t="s">
        <v>467</v>
      </c>
      <c r="G93" s="510" t="s">
        <v>670</v>
      </c>
      <c r="H93" s="529">
        <v>7</v>
      </c>
      <c r="I93" s="529">
        <v>2</v>
      </c>
      <c r="J93" s="529">
        <v>2</v>
      </c>
      <c r="K93" s="529">
        <v>939.94</v>
      </c>
      <c r="L93" s="529">
        <v>939.94</v>
      </c>
      <c r="M93" s="529">
        <v>0</v>
      </c>
      <c r="N93" s="529">
        <v>2</v>
      </c>
      <c r="O93" s="529">
        <v>23833.22</v>
      </c>
      <c r="P93" s="529">
        <v>23833.22</v>
      </c>
      <c r="Q93" s="529">
        <v>0</v>
      </c>
    </row>
    <row r="94" spans="1:17" ht="15.75" customHeight="1" x14ac:dyDescent="0.2">
      <c r="A94" s="529">
        <v>86</v>
      </c>
      <c r="B94" s="529" t="s">
        <v>548</v>
      </c>
      <c r="C94" s="516" t="s">
        <v>62</v>
      </c>
      <c r="D94" s="529" t="s">
        <v>63</v>
      </c>
      <c r="E94" s="529" t="s">
        <v>549</v>
      </c>
      <c r="F94" s="529" t="s">
        <v>550</v>
      </c>
      <c r="G94" s="510" t="s">
        <v>670</v>
      </c>
      <c r="H94" s="529">
        <v>7</v>
      </c>
      <c r="I94" s="529">
        <v>4</v>
      </c>
      <c r="J94" s="529">
        <v>4</v>
      </c>
      <c r="K94" s="529">
        <v>0</v>
      </c>
      <c r="L94" s="529">
        <v>0</v>
      </c>
      <c r="M94" s="529">
        <v>0</v>
      </c>
      <c r="N94" s="529">
        <v>0</v>
      </c>
      <c r="O94" s="529">
        <v>0</v>
      </c>
      <c r="P94" s="529">
        <v>0</v>
      </c>
      <c r="Q94" s="529">
        <v>0</v>
      </c>
    </row>
    <row r="95" spans="1:17" ht="15.75" customHeight="1" x14ac:dyDescent="0.2">
      <c r="A95" s="529">
        <v>87</v>
      </c>
      <c r="B95" s="529" t="s">
        <v>254</v>
      </c>
      <c r="C95" s="516" t="s">
        <v>62</v>
      </c>
      <c r="D95" s="529" t="s">
        <v>63</v>
      </c>
      <c r="E95" s="529" t="s">
        <v>239</v>
      </c>
      <c r="F95" s="529" t="s">
        <v>255</v>
      </c>
      <c r="G95" s="510" t="s">
        <v>670</v>
      </c>
      <c r="H95" s="529">
        <v>11</v>
      </c>
      <c r="I95" s="529">
        <v>9</v>
      </c>
      <c r="J95" s="529">
        <v>12</v>
      </c>
      <c r="K95" s="529">
        <v>11766.59</v>
      </c>
      <c r="L95" s="529">
        <v>11766.59</v>
      </c>
      <c r="M95" s="529">
        <v>0</v>
      </c>
      <c r="N95" s="529">
        <v>0</v>
      </c>
      <c r="O95" s="529">
        <v>0</v>
      </c>
      <c r="P95" s="529">
        <v>0</v>
      </c>
      <c r="Q95" s="529">
        <v>0</v>
      </c>
    </row>
    <row r="96" spans="1:17" ht="15.75" customHeight="1" x14ac:dyDescent="0.2">
      <c r="A96" s="529">
        <v>88</v>
      </c>
      <c r="B96" s="529" t="s">
        <v>256</v>
      </c>
      <c r="C96" s="516" t="s">
        <v>62</v>
      </c>
      <c r="D96" s="529" t="s">
        <v>63</v>
      </c>
      <c r="E96" s="529" t="s">
        <v>158</v>
      </c>
      <c r="F96" s="529" t="s">
        <v>257</v>
      </c>
      <c r="G96" s="510" t="s">
        <v>670</v>
      </c>
      <c r="H96" s="529">
        <v>19</v>
      </c>
      <c r="I96" s="529">
        <v>10</v>
      </c>
      <c r="J96" s="529">
        <v>10</v>
      </c>
      <c r="K96" s="529">
        <v>7885.09</v>
      </c>
      <c r="L96" s="529">
        <v>7885.09</v>
      </c>
      <c r="M96" s="529">
        <v>0</v>
      </c>
      <c r="N96" s="529">
        <v>0</v>
      </c>
      <c r="O96" s="529">
        <v>0</v>
      </c>
      <c r="P96" s="529">
        <v>0</v>
      </c>
      <c r="Q96" s="529">
        <v>0</v>
      </c>
    </row>
    <row r="97" spans="1:17" ht="15.75" customHeight="1" x14ac:dyDescent="0.2">
      <c r="A97" s="529">
        <v>89</v>
      </c>
      <c r="B97" s="529" t="s">
        <v>643</v>
      </c>
      <c r="C97" s="516" t="s">
        <v>62</v>
      </c>
      <c r="D97" s="529" t="s">
        <v>63</v>
      </c>
      <c r="E97" s="529" t="s">
        <v>313</v>
      </c>
      <c r="F97" s="529" t="s">
        <v>663</v>
      </c>
      <c r="G97" s="510" t="s">
        <v>670</v>
      </c>
      <c r="H97" s="529">
        <v>11</v>
      </c>
      <c r="I97" s="529">
        <v>6</v>
      </c>
      <c r="J97" s="529">
        <v>7</v>
      </c>
      <c r="K97" s="529">
        <v>1723.18</v>
      </c>
      <c r="L97" s="529">
        <v>1723.18</v>
      </c>
      <c r="M97" s="529">
        <v>0</v>
      </c>
      <c r="N97" s="529">
        <v>0</v>
      </c>
      <c r="O97" s="529">
        <v>0</v>
      </c>
      <c r="P97" s="529">
        <v>0</v>
      </c>
      <c r="Q97" s="529">
        <v>0</v>
      </c>
    </row>
    <row r="98" spans="1:17" ht="15.75" customHeight="1" x14ac:dyDescent="0.2">
      <c r="A98" s="529">
        <v>90</v>
      </c>
      <c r="B98" s="529" t="s">
        <v>258</v>
      </c>
      <c r="C98" s="516" t="s">
        <v>62</v>
      </c>
      <c r="D98" s="529" t="s">
        <v>63</v>
      </c>
      <c r="E98" s="529" t="s">
        <v>239</v>
      </c>
      <c r="F98" s="529" t="s">
        <v>259</v>
      </c>
      <c r="G98" s="510" t="s">
        <v>670</v>
      </c>
      <c r="H98" s="529">
        <v>40</v>
      </c>
      <c r="I98" s="529">
        <v>30</v>
      </c>
      <c r="J98" s="529">
        <v>35</v>
      </c>
      <c r="K98" s="529">
        <v>42977.760000000002</v>
      </c>
      <c r="L98" s="529">
        <v>42977.760000000002</v>
      </c>
      <c r="M98" s="529">
        <v>0</v>
      </c>
      <c r="N98" s="529">
        <v>0</v>
      </c>
      <c r="O98" s="529">
        <v>0</v>
      </c>
      <c r="P98" s="529">
        <v>0</v>
      </c>
      <c r="Q98" s="529">
        <v>0</v>
      </c>
    </row>
    <row r="99" spans="1:17" ht="15.75" customHeight="1" x14ac:dyDescent="0.2">
      <c r="A99" s="529">
        <v>91</v>
      </c>
      <c r="B99" s="529" t="s">
        <v>42</v>
      </c>
      <c r="C99" s="516" t="s">
        <v>62</v>
      </c>
      <c r="D99" s="529" t="s">
        <v>63</v>
      </c>
      <c r="E99" s="529" t="s">
        <v>78</v>
      </c>
      <c r="F99" s="529" t="s">
        <v>260</v>
      </c>
      <c r="G99" s="510" t="s">
        <v>670</v>
      </c>
      <c r="H99" s="529">
        <v>53</v>
      </c>
      <c r="I99" s="529">
        <v>42</v>
      </c>
      <c r="J99" s="529">
        <v>52</v>
      </c>
      <c r="K99" s="529">
        <v>105749.62</v>
      </c>
      <c r="L99" s="529">
        <v>102029.77</v>
      </c>
      <c r="M99" s="529">
        <v>3719.85</v>
      </c>
      <c r="N99" s="529">
        <v>38</v>
      </c>
      <c r="O99" s="529">
        <v>157669.39000000001</v>
      </c>
      <c r="P99" s="529">
        <v>157669.39000000001</v>
      </c>
      <c r="Q99" s="529">
        <v>0</v>
      </c>
    </row>
    <row r="100" spans="1:17" ht="15.75" customHeight="1" x14ac:dyDescent="0.2">
      <c r="A100" s="529">
        <v>92</v>
      </c>
      <c r="B100" s="529" t="s">
        <v>43</v>
      </c>
      <c r="C100" s="516" t="s">
        <v>62</v>
      </c>
      <c r="D100" s="529" t="s">
        <v>63</v>
      </c>
      <c r="E100" s="529" t="s">
        <v>72</v>
      </c>
      <c r="F100" s="529" t="s">
        <v>261</v>
      </c>
      <c r="G100" s="510" t="s">
        <v>670</v>
      </c>
      <c r="H100" s="529">
        <v>32</v>
      </c>
      <c r="I100" s="529">
        <v>23</v>
      </c>
      <c r="J100" s="529">
        <v>30</v>
      </c>
      <c r="K100" s="529">
        <v>43931.31</v>
      </c>
      <c r="L100" s="529">
        <v>43931.31</v>
      </c>
      <c r="M100" s="529">
        <v>0</v>
      </c>
      <c r="N100" s="529">
        <v>53</v>
      </c>
      <c r="O100" s="529">
        <v>199828.54</v>
      </c>
      <c r="P100" s="529">
        <v>199828.54</v>
      </c>
      <c r="Q100" s="529">
        <v>0</v>
      </c>
    </row>
    <row r="101" spans="1:17" ht="15.75" customHeight="1" x14ac:dyDescent="0.2">
      <c r="A101" s="529">
        <v>93</v>
      </c>
      <c r="B101" s="529" t="s">
        <v>44</v>
      </c>
      <c r="C101" s="516" t="s">
        <v>62</v>
      </c>
      <c r="D101" s="529" t="s">
        <v>63</v>
      </c>
      <c r="E101" s="529" t="s">
        <v>74</v>
      </c>
      <c r="F101" s="529" t="s">
        <v>262</v>
      </c>
      <c r="G101" s="510" t="s">
        <v>670</v>
      </c>
      <c r="H101" s="529">
        <v>55</v>
      </c>
      <c r="I101" s="529">
        <v>39</v>
      </c>
      <c r="J101" s="529">
        <v>45</v>
      </c>
      <c r="K101" s="529">
        <v>33316.980000000003</v>
      </c>
      <c r="L101" s="529">
        <v>33316.980000000003</v>
      </c>
      <c r="M101" s="529">
        <v>0</v>
      </c>
      <c r="N101" s="529">
        <v>44</v>
      </c>
      <c r="O101" s="529">
        <v>148820.37</v>
      </c>
      <c r="P101" s="529">
        <v>148820.37</v>
      </c>
      <c r="Q101" s="529">
        <v>0</v>
      </c>
    </row>
    <row r="102" spans="1:17" ht="15.75" customHeight="1" x14ac:dyDescent="0.2">
      <c r="A102" s="529">
        <v>94</v>
      </c>
      <c r="B102" s="529" t="s">
        <v>45</v>
      </c>
      <c r="C102" s="516" t="s">
        <v>62</v>
      </c>
      <c r="D102" s="529" t="s">
        <v>63</v>
      </c>
      <c r="E102" s="529" t="s">
        <v>79</v>
      </c>
      <c r="F102" s="529" t="s">
        <v>263</v>
      </c>
      <c r="G102" s="510" t="s">
        <v>670</v>
      </c>
      <c r="H102" s="529">
        <v>16</v>
      </c>
      <c r="I102" s="529">
        <v>12</v>
      </c>
      <c r="J102" s="529">
        <v>19</v>
      </c>
      <c r="K102" s="529">
        <v>32539.22</v>
      </c>
      <c r="L102" s="529">
        <v>32539.22</v>
      </c>
      <c r="M102" s="529">
        <v>0</v>
      </c>
      <c r="N102" s="529">
        <v>6</v>
      </c>
      <c r="O102" s="529">
        <v>25980.78</v>
      </c>
      <c r="P102" s="529">
        <v>25980.78</v>
      </c>
      <c r="Q102" s="529">
        <v>0</v>
      </c>
    </row>
    <row r="103" spans="1:17" ht="15.75" customHeight="1" x14ac:dyDescent="0.2">
      <c r="A103" s="529">
        <v>95</v>
      </c>
      <c r="B103" s="529" t="s">
        <v>264</v>
      </c>
      <c r="C103" s="516" t="s">
        <v>62</v>
      </c>
      <c r="D103" s="529" t="s">
        <v>63</v>
      </c>
      <c r="E103" s="529" t="s">
        <v>74</v>
      </c>
      <c r="F103" s="529" t="s">
        <v>265</v>
      </c>
      <c r="G103" s="510" t="s">
        <v>670</v>
      </c>
      <c r="H103" s="529">
        <v>27</v>
      </c>
      <c r="I103" s="529">
        <v>21</v>
      </c>
      <c r="J103" s="529">
        <v>25</v>
      </c>
      <c r="K103" s="529">
        <v>18935.36</v>
      </c>
      <c r="L103" s="529">
        <v>18935.36</v>
      </c>
      <c r="M103" s="529">
        <v>0</v>
      </c>
      <c r="N103" s="529">
        <v>0</v>
      </c>
      <c r="O103" s="529">
        <v>0</v>
      </c>
      <c r="P103" s="529">
        <v>0</v>
      </c>
      <c r="Q103" s="529">
        <v>0</v>
      </c>
    </row>
    <row r="104" spans="1:17" ht="15.75" customHeight="1" x14ac:dyDescent="0.2">
      <c r="A104" s="529">
        <v>96</v>
      </c>
      <c r="B104" s="529" t="s">
        <v>119</v>
      </c>
      <c r="C104" s="516" t="s">
        <v>62</v>
      </c>
      <c r="D104" s="529" t="s">
        <v>63</v>
      </c>
      <c r="E104" s="529" t="s">
        <v>108</v>
      </c>
      <c r="F104" s="529" t="s">
        <v>266</v>
      </c>
      <c r="G104" s="510" t="s">
        <v>670</v>
      </c>
      <c r="H104" s="529">
        <v>22</v>
      </c>
      <c r="I104" s="529">
        <v>17</v>
      </c>
      <c r="J104" s="529">
        <v>20</v>
      </c>
      <c r="K104" s="529">
        <v>20121.990000000002</v>
      </c>
      <c r="L104" s="529">
        <v>20121.990000000002</v>
      </c>
      <c r="M104" s="529">
        <v>0</v>
      </c>
      <c r="N104" s="529">
        <v>6</v>
      </c>
      <c r="O104" s="529">
        <v>1881.62</v>
      </c>
      <c r="P104" s="529">
        <v>1881.62</v>
      </c>
      <c r="Q104" s="529">
        <v>0</v>
      </c>
    </row>
    <row r="105" spans="1:17" ht="15.75" customHeight="1" x14ac:dyDescent="0.2">
      <c r="A105" s="529">
        <v>97</v>
      </c>
      <c r="B105" s="529" t="s">
        <v>46</v>
      </c>
      <c r="C105" s="516" t="s">
        <v>62</v>
      </c>
      <c r="D105" s="529" t="s">
        <v>63</v>
      </c>
      <c r="E105" s="529" t="s">
        <v>267</v>
      </c>
      <c r="F105" s="529" t="s">
        <v>268</v>
      </c>
      <c r="G105" s="510" t="s">
        <v>670</v>
      </c>
      <c r="H105" s="529">
        <v>29</v>
      </c>
      <c r="I105" s="529">
        <v>21</v>
      </c>
      <c r="J105" s="529">
        <v>33</v>
      </c>
      <c r="K105" s="529">
        <v>60965.35</v>
      </c>
      <c r="L105" s="529">
        <v>60965.35</v>
      </c>
      <c r="M105" s="529">
        <v>0</v>
      </c>
      <c r="N105" s="529">
        <v>28</v>
      </c>
      <c r="O105" s="529">
        <v>125896.58</v>
      </c>
      <c r="P105" s="529">
        <v>125896.58</v>
      </c>
      <c r="Q105" s="529">
        <v>0</v>
      </c>
    </row>
    <row r="106" spans="1:17" ht="15.75" customHeight="1" x14ac:dyDescent="0.2">
      <c r="A106" s="529">
        <v>98</v>
      </c>
      <c r="B106" s="529" t="s">
        <v>47</v>
      </c>
      <c r="C106" s="516" t="s">
        <v>62</v>
      </c>
      <c r="D106" s="529" t="s">
        <v>63</v>
      </c>
      <c r="E106" s="529" t="s">
        <v>80</v>
      </c>
      <c r="F106" s="529" t="s">
        <v>269</v>
      </c>
      <c r="G106" s="510" t="s">
        <v>670</v>
      </c>
      <c r="H106" s="529">
        <v>99</v>
      </c>
      <c r="I106" s="529">
        <v>81</v>
      </c>
      <c r="J106" s="529">
        <v>127</v>
      </c>
      <c r="K106" s="529">
        <v>235508.95</v>
      </c>
      <c r="L106" s="529">
        <v>201196.12</v>
      </c>
      <c r="M106" s="529">
        <v>34312.83</v>
      </c>
      <c r="N106" s="529">
        <v>128</v>
      </c>
      <c r="O106" s="529">
        <v>480608.94</v>
      </c>
      <c r="P106" s="529">
        <v>377678.74</v>
      </c>
      <c r="Q106" s="529">
        <v>102930.2</v>
      </c>
    </row>
    <row r="107" spans="1:17" ht="15.75" customHeight="1" x14ac:dyDescent="0.2">
      <c r="A107" s="529">
        <v>99</v>
      </c>
      <c r="B107" s="529" t="s">
        <v>270</v>
      </c>
      <c r="C107" s="516" t="s">
        <v>62</v>
      </c>
      <c r="D107" s="529" t="s">
        <v>63</v>
      </c>
      <c r="E107" s="529" t="s">
        <v>271</v>
      </c>
      <c r="F107" s="529" t="s">
        <v>272</v>
      </c>
      <c r="G107" s="510" t="s">
        <v>670</v>
      </c>
      <c r="H107" s="529">
        <v>18</v>
      </c>
      <c r="I107" s="529">
        <v>11</v>
      </c>
      <c r="J107" s="529">
        <v>17</v>
      </c>
      <c r="K107" s="529">
        <v>23603.22</v>
      </c>
      <c r="L107" s="529">
        <v>23603.22</v>
      </c>
      <c r="M107" s="529">
        <v>0</v>
      </c>
      <c r="N107" s="529">
        <v>0</v>
      </c>
      <c r="O107" s="529">
        <v>0</v>
      </c>
      <c r="P107" s="529">
        <v>0</v>
      </c>
      <c r="Q107" s="529">
        <v>0</v>
      </c>
    </row>
    <row r="108" spans="1:17" ht="15.75" customHeight="1" x14ac:dyDescent="0.2">
      <c r="A108" s="529">
        <v>100</v>
      </c>
      <c r="B108" s="529" t="s">
        <v>621</v>
      </c>
      <c r="C108" s="516" t="s">
        <v>62</v>
      </c>
      <c r="D108" s="529" t="s">
        <v>63</v>
      </c>
      <c r="E108" s="529" t="s">
        <v>239</v>
      </c>
      <c r="F108" s="529" t="s">
        <v>664</v>
      </c>
      <c r="G108" s="510" t="s">
        <v>670</v>
      </c>
      <c r="H108" s="529">
        <v>16</v>
      </c>
      <c r="I108" s="529">
        <v>11</v>
      </c>
      <c r="J108" s="529">
        <v>11</v>
      </c>
      <c r="K108" s="529">
        <v>0</v>
      </c>
      <c r="L108" s="529">
        <v>0</v>
      </c>
      <c r="M108" s="529">
        <v>0</v>
      </c>
      <c r="N108" s="529">
        <v>0</v>
      </c>
      <c r="O108" s="529">
        <v>0</v>
      </c>
      <c r="P108" s="529">
        <v>0</v>
      </c>
      <c r="Q108" s="529">
        <v>0</v>
      </c>
    </row>
    <row r="109" spans="1:17" ht="15.75" customHeight="1" x14ac:dyDescent="0.2">
      <c r="A109" s="529">
        <v>101</v>
      </c>
      <c r="B109" s="529" t="s">
        <v>723</v>
      </c>
      <c r="C109" s="516" t="s">
        <v>62</v>
      </c>
      <c r="D109" s="529" t="s">
        <v>63</v>
      </c>
      <c r="E109" s="529" t="s">
        <v>242</v>
      </c>
      <c r="F109" s="529" t="s">
        <v>775</v>
      </c>
      <c r="G109" s="510" t="s">
        <v>670</v>
      </c>
      <c r="H109" s="529">
        <v>4</v>
      </c>
      <c r="I109" s="529">
        <v>0</v>
      </c>
      <c r="J109" s="529">
        <v>0</v>
      </c>
      <c r="K109" s="529">
        <v>0</v>
      </c>
      <c r="L109" s="529">
        <v>0</v>
      </c>
      <c r="M109" s="529">
        <v>0</v>
      </c>
      <c r="N109" s="529">
        <v>0</v>
      </c>
      <c r="O109" s="529">
        <v>0</v>
      </c>
      <c r="P109" s="529">
        <v>0</v>
      </c>
      <c r="Q109" s="529">
        <v>0</v>
      </c>
    </row>
    <row r="110" spans="1:17" ht="15.75" customHeight="1" x14ac:dyDescent="0.2">
      <c r="A110" s="529">
        <v>102</v>
      </c>
      <c r="B110" s="529" t="s">
        <v>273</v>
      </c>
      <c r="C110" s="516" t="s">
        <v>62</v>
      </c>
      <c r="D110" s="529" t="s">
        <v>63</v>
      </c>
      <c r="E110" s="529" t="s">
        <v>186</v>
      </c>
      <c r="F110" s="529" t="s">
        <v>511</v>
      </c>
      <c r="G110" s="510" t="s">
        <v>670</v>
      </c>
      <c r="H110" s="529">
        <v>11</v>
      </c>
      <c r="I110" s="529">
        <v>0</v>
      </c>
      <c r="J110" s="529">
        <v>0</v>
      </c>
      <c r="K110" s="529">
        <v>0</v>
      </c>
      <c r="L110" s="529">
        <v>0</v>
      </c>
      <c r="M110" s="529">
        <v>0</v>
      </c>
      <c r="N110" s="529">
        <v>0</v>
      </c>
      <c r="O110" s="529">
        <v>0</v>
      </c>
      <c r="P110" s="529">
        <v>0</v>
      </c>
      <c r="Q110" s="529">
        <v>0</v>
      </c>
    </row>
    <row r="111" spans="1:17" ht="15.75" customHeight="1" x14ac:dyDescent="0.2">
      <c r="A111" s="529">
        <v>103</v>
      </c>
      <c r="B111" s="529" t="s">
        <v>490</v>
      </c>
      <c r="C111" s="516" t="s">
        <v>62</v>
      </c>
      <c r="D111" s="529" t="s">
        <v>63</v>
      </c>
      <c r="E111" s="529" t="s">
        <v>491</v>
      </c>
      <c r="F111" s="529" t="s">
        <v>492</v>
      </c>
      <c r="G111" s="510" t="s">
        <v>670</v>
      </c>
      <c r="H111" s="529">
        <v>18</v>
      </c>
      <c r="I111" s="529">
        <v>10</v>
      </c>
      <c r="J111" s="529">
        <v>12</v>
      </c>
      <c r="K111" s="529">
        <v>10195.18</v>
      </c>
      <c r="L111" s="529">
        <v>10195.18</v>
      </c>
      <c r="M111" s="529">
        <v>0</v>
      </c>
      <c r="N111" s="529">
        <v>0</v>
      </c>
      <c r="O111" s="529">
        <v>0</v>
      </c>
      <c r="P111" s="529">
        <v>0</v>
      </c>
      <c r="Q111" s="529">
        <v>0</v>
      </c>
    </row>
    <row r="112" spans="1:17" ht="15.75" customHeight="1" x14ac:dyDescent="0.2">
      <c r="A112" s="529">
        <v>104</v>
      </c>
      <c r="B112" s="529" t="s">
        <v>94</v>
      </c>
      <c r="C112" s="516" t="s">
        <v>62</v>
      </c>
      <c r="D112" s="529" t="s">
        <v>63</v>
      </c>
      <c r="E112" s="529" t="s">
        <v>74</v>
      </c>
      <c r="F112" s="529" t="s">
        <v>274</v>
      </c>
      <c r="G112" s="510" t="s">
        <v>670</v>
      </c>
      <c r="H112" s="529">
        <v>22</v>
      </c>
      <c r="I112" s="529">
        <v>7</v>
      </c>
      <c r="J112" s="529">
        <v>7</v>
      </c>
      <c r="K112" s="529">
        <v>9135.6200000000008</v>
      </c>
      <c r="L112" s="529">
        <v>9135.6200000000008</v>
      </c>
      <c r="M112" s="529">
        <v>0</v>
      </c>
      <c r="N112" s="529">
        <v>7</v>
      </c>
      <c r="O112" s="529">
        <v>9361.67</v>
      </c>
      <c r="P112" s="529">
        <v>9361.67</v>
      </c>
      <c r="Q112" s="529">
        <v>0</v>
      </c>
    </row>
    <row r="113" spans="1:17" ht="15.75" customHeight="1" x14ac:dyDescent="0.2">
      <c r="A113" s="529">
        <v>105</v>
      </c>
      <c r="B113" s="529" t="s">
        <v>120</v>
      </c>
      <c r="C113" s="516" t="s">
        <v>67</v>
      </c>
      <c r="D113" s="529" t="s">
        <v>493</v>
      </c>
      <c r="E113" s="529" t="s">
        <v>121</v>
      </c>
      <c r="F113" s="529" t="s">
        <v>468</v>
      </c>
      <c r="G113" s="510" t="s">
        <v>670</v>
      </c>
      <c r="H113" s="529">
        <v>16</v>
      </c>
      <c r="I113" s="529">
        <v>12</v>
      </c>
      <c r="J113" s="529">
        <v>14</v>
      </c>
      <c r="K113" s="529">
        <v>11996.24</v>
      </c>
      <c r="L113" s="529">
        <v>11996.24</v>
      </c>
      <c r="M113" s="529">
        <v>0</v>
      </c>
      <c r="N113" s="529">
        <v>0</v>
      </c>
      <c r="O113" s="529">
        <v>0</v>
      </c>
      <c r="P113" s="529">
        <v>0</v>
      </c>
      <c r="Q113" s="529">
        <v>0</v>
      </c>
    </row>
    <row r="114" spans="1:17" ht="15.75" customHeight="1" x14ac:dyDescent="0.2">
      <c r="A114" s="529">
        <v>106</v>
      </c>
      <c r="B114" s="529" t="s">
        <v>407</v>
      </c>
      <c r="C114" s="516" t="s">
        <v>62</v>
      </c>
      <c r="D114" s="529"/>
      <c r="E114" s="529" t="s">
        <v>186</v>
      </c>
      <c r="F114" s="529" t="s">
        <v>512</v>
      </c>
      <c r="G114" s="510" t="s">
        <v>670</v>
      </c>
      <c r="H114" s="529">
        <v>10</v>
      </c>
      <c r="I114" s="529">
        <v>5</v>
      </c>
      <c r="J114" s="529">
        <v>6</v>
      </c>
      <c r="K114" s="529">
        <v>4577.1000000000004</v>
      </c>
      <c r="L114" s="529">
        <v>4577.1000000000004</v>
      </c>
      <c r="M114" s="529">
        <v>0</v>
      </c>
      <c r="N114" s="529">
        <v>0</v>
      </c>
      <c r="O114" s="529">
        <v>0</v>
      </c>
      <c r="P114" s="529">
        <v>0</v>
      </c>
      <c r="Q114" s="529">
        <v>0</v>
      </c>
    </row>
    <row r="115" spans="1:17" ht="15.75" customHeight="1" x14ac:dyDescent="0.2">
      <c r="A115" s="529">
        <v>107</v>
      </c>
      <c r="B115" s="529" t="s">
        <v>754</v>
      </c>
      <c r="C115" s="516" t="s">
        <v>62</v>
      </c>
      <c r="D115" s="529" t="s">
        <v>63</v>
      </c>
      <c r="E115" s="529" t="s">
        <v>121</v>
      </c>
      <c r="F115" s="529" t="s">
        <v>755</v>
      </c>
      <c r="G115" s="510" t="s">
        <v>670</v>
      </c>
      <c r="H115" s="529">
        <v>2</v>
      </c>
      <c r="I115" s="529">
        <v>0</v>
      </c>
      <c r="J115" s="529">
        <v>0</v>
      </c>
      <c r="K115" s="529">
        <v>0</v>
      </c>
      <c r="L115" s="529">
        <v>0</v>
      </c>
      <c r="M115" s="529">
        <v>0</v>
      </c>
      <c r="N115" s="529">
        <v>0</v>
      </c>
      <c r="O115" s="529">
        <v>0</v>
      </c>
      <c r="P115" s="529">
        <v>0</v>
      </c>
      <c r="Q115" s="529">
        <v>0</v>
      </c>
    </row>
    <row r="116" spans="1:17" ht="15.75" customHeight="1" x14ac:dyDescent="0.2">
      <c r="A116" s="529">
        <v>108</v>
      </c>
      <c r="B116" s="529" t="s">
        <v>122</v>
      </c>
      <c r="C116" s="516" t="s">
        <v>62</v>
      </c>
      <c r="D116" s="529" t="s">
        <v>63</v>
      </c>
      <c r="E116" s="529" t="s">
        <v>275</v>
      </c>
      <c r="F116" s="529" t="s">
        <v>276</v>
      </c>
      <c r="G116" s="510" t="s">
        <v>670</v>
      </c>
      <c r="H116" s="529">
        <v>15</v>
      </c>
      <c r="I116" s="529">
        <v>15</v>
      </c>
      <c r="J116" s="529">
        <v>23</v>
      </c>
      <c r="K116" s="529">
        <v>18022.7</v>
      </c>
      <c r="L116" s="529">
        <v>18022.7</v>
      </c>
      <c r="M116" s="529">
        <v>0</v>
      </c>
      <c r="N116" s="529">
        <v>5</v>
      </c>
      <c r="O116" s="529">
        <v>9159.1299999999992</v>
      </c>
      <c r="P116" s="529">
        <v>9159.1299999999992</v>
      </c>
      <c r="Q116" s="529">
        <v>0</v>
      </c>
    </row>
    <row r="117" spans="1:17" ht="15.75" customHeight="1" x14ac:dyDescent="0.2">
      <c r="A117" s="529">
        <v>109</v>
      </c>
      <c r="B117" s="529" t="s">
        <v>133</v>
      </c>
      <c r="C117" s="516" t="s">
        <v>67</v>
      </c>
      <c r="D117" s="529" t="s">
        <v>494</v>
      </c>
      <c r="E117" s="529" t="s">
        <v>74</v>
      </c>
      <c r="F117" s="529" t="s">
        <v>577</v>
      </c>
      <c r="G117" s="510" t="s">
        <v>670</v>
      </c>
      <c r="H117" s="529">
        <v>14</v>
      </c>
      <c r="I117" s="529">
        <v>10</v>
      </c>
      <c r="J117" s="529">
        <v>14</v>
      </c>
      <c r="K117" s="529">
        <v>24017.200000000001</v>
      </c>
      <c r="L117" s="529">
        <v>24017.200000000001</v>
      </c>
      <c r="M117" s="529">
        <v>0</v>
      </c>
      <c r="N117" s="529">
        <v>0</v>
      </c>
      <c r="O117" s="529">
        <v>0</v>
      </c>
      <c r="P117" s="529">
        <v>0</v>
      </c>
      <c r="Q117" s="529">
        <v>0</v>
      </c>
    </row>
    <row r="118" spans="1:17" ht="15.75" customHeight="1" x14ac:dyDescent="0.2">
      <c r="A118" s="529">
        <v>110</v>
      </c>
      <c r="B118" s="529" t="s">
        <v>96</v>
      </c>
      <c r="C118" s="516" t="s">
        <v>62</v>
      </c>
      <c r="D118" s="529" t="s">
        <v>63</v>
      </c>
      <c r="E118" s="529" t="s">
        <v>98</v>
      </c>
      <c r="F118" s="529" t="s">
        <v>277</v>
      </c>
      <c r="G118" s="510" t="s">
        <v>670</v>
      </c>
      <c r="H118" s="529">
        <v>42</v>
      </c>
      <c r="I118" s="529">
        <v>10</v>
      </c>
      <c r="J118" s="529">
        <v>12</v>
      </c>
      <c r="K118" s="529">
        <v>22080.639999999999</v>
      </c>
      <c r="L118" s="529">
        <v>22080.639999999999</v>
      </c>
      <c r="M118" s="529">
        <v>0</v>
      </c>
      <c r="N118" s="529">
        <v>11</v>
      </c>
      <c r="O118" s="529">
        <v>47171.47</v>
      </c>
      <c r="P118" s="529">
        <v>47171.47</v>
      </c>
      <c r="Q118" s="529">
        <v>0</v>
      </c>
    </row>
    <row r="119" spans="1:17" ht="15.75" customHeight="1" x14ac:dyDescent="0.2">
      <c r="A119" s="529">
        <v>111</v>
      </c>
      <c r="B119" s="529" t="s">
        <v>48</v>
      </c>
      <c r="C119" s="516" t="s">
        <v>62</v>
      </c>
      <c r="D119" s="529" t="s">
        <v>63</v>
      </c>
      <c r="E119" s="529" t="s">
        <v>81</v>
      </c>
      <c r="F119" s="529" t="s">
        <v>278</v>
      </c>
      <c r="G119" s="510" t="s">
        <v>670</v>
      </c>
      <c r="H119" s="529">
        <v>61</v>
      </c>
      <c r="I119" s="529">
        <v>47</v>
      </c>
      <c r="J119" s="529">
        <v>74</v>
      </c>
      <c r="K119" s="529">
        <v>87897.82</v>
      </c>
      <c r="L119" s="529">
        <v>87897.82</v>
      </c>
      <c r="M119" s="529">
        <v>0</v>
      </c>
      <c r="N119" s="529">
        <v>21</v>
      </c>
      <c r="O119" s="529">
        <v>79680.25</v>
      </c>
      <c r="P119" s="529">
        <v>79680.25</v>
      </c>
      <c r="Q119" s="529">
        <v>0</v>
      </c>
    </row>
    <row r="120" spans="1:17" ht="15.75" customHeight="1" x14ac:dyDescent="0.2">
      <c r="A120" s="529">
        <v>112</v>
      </c>
      <c r="B120" s="529" t="s">
        <v>49</v>
      </c>
      <c r="C120" s="516" t="s">
        <v>62</v>
      </c>
      <c r="D120" s="529" t="s">
        <v>63</v>
      </c>
      <c r="E120" s="529" t="s">
        <v>74</v>
      </c>
      <c r="F120" s="529" t="s">
        <v>279</v>
      </c>
      <c r="G120" s="510" t="s">
        <v>670</v>
      </c>
      <c r="H120" s="529">
        <v>29</v>
      </c>
      <c r="I120" s="529">
        <v>23</v>
      </c>
      <c r="J120" s="529">
        <v>28</v>
      </c>
      <c r="K120" s="529">
        <v>44048.7</v>
      </c>
      <c r="L120" s="529">
        <v>44048.7</v>
      </c>
      <c r="M120" s="529">
        <v>0</v>
      </c>
      <c r="N120" s="529">
        <v>7</v>
      </c>
      <c r="O120" s="529">
        <v>40198.959999999999</v>
      </c>
      <c r="P120" s="529">
        <v>40198.959999999999</v>
      </c>
      <c r="Q120" s="529">
        <v>0</v>
      </c>
    </row>
    <row r="121" spans="1:17" ht="15.75" customHeight="1" x14ac:dyDescent="0.2">
      <c r="A121" s="529">
        <v>113</v>
      </c>
      <c r="B121" s="529" t="s">
        <v>50</v>
      </c>
      <c r="C121" s="516" t="s">
        <v>67</v>
      </c>
      <c r="D121" s="529" t="s">
        <v>123</v>
      </c>
      <c r="E121" s="529" t="s">
        <v>82</v>
      </c>
      <c r="F121" s="529" t="s">
        <v>280</v>
      </c>
      <c r="G121" s="510" t="s">
        <v>670</v>
      </c>
      <c r="H121" s="529">
        <v>8</v>
      </c>
      <c r="I121" s="529">
        <v>4</v>
      </c>
      <c r="J121" s="529">
        <v>4</v>
      </c>
      <c r="K121" s="529">
        <v>12811.52</v>
      </c>
      <c r="L121" s="529">
        <v>12811.52</v>
      </c>
      <c r="M121" s="529">
        <v>0</v>
      </c>
      <c r="N121" s="529">
        <v>5</v>
      </c>
      <c r="O121" s="529">
        <v>21689.57</v>
      </c>
      <c r="P121" s="529">
        <v>21689.57</v>
      </c>
      <c r="Q121" s="529">
        <v>0</v>
      </c>
    </row>
    <row r="122" spans="1:17" ht="15.75" customHeight="1" x14ac:dyDescent="0.2">
      <c r="A122" s="529">
        <v>114</v>
      </c>
      <c r="B122" s="529" t="s">
        <v>281</v>
      </c>
      <c r="C122" s="516" t="s">
        <v>62</v>
      </c>
      <c r="D122" s="529"/>
      <c r="E122" s="529" t="s">
        <v>282</v>
      </c>
      <c r="F122" s="529" t="s">
        <v>283</v>
      </c>
      <c r="G122" s="510" t="s">
        <v>670</v>
      </c>
      <c r="H122" s="529">
        <v>28</v>
      </c>
      <c r="I122" s="529">
        <v>5</v>
      </c>
      <c r="J122" s="529">
        <v>5</v>
      </c>
      <c r="K122" s="529">
        <v>2685.29</v>
      </c>
      <c r="L122" s="529">
        <v>2685.29</v>
      </c>
      <c r="M122" s="529">
        <v>0</v>
      </c>
      <c r="N122" s="529">
        <v>0</v>
      </c>
      <c r="O122" s="529">
        <v>0</v>
      </c>
      <c r="P122" s="529">
        <v>0</v>
      </c>
      <c r="Q122" s="529">
        <v>0</v>
      </c>
    </row>
    <row r="123" spans="1:17" ht="15.75" customHeight="1" x14ac:dyDescent="0.2">
      <c r="A123" s="529">
        <v>115</v>
      </c>
      <c r="B123" s="529" t="s">
        <v>124</v>
      </c>
      <c r="C123" s="516" t="s">
        <v>62</v>
      </c>
      <c r="D123" s="529" t="s">
        <v>63</v>
      </c>
      <c r="E123" s="529" t="s">
        <v>63</v>
      </c>
      <c r="F123" s="529" t="s">
        <v>284</v>
      </c>
      <c r="G123" s="510" t="s">
        <v>670</v>
      </c>
      <c r="H123" s="529">
        <v>38</v>
      </c>
      <c r="I123" s="529">
        <v>34</v>
      </c>
      <c r="J123" s="529">
        <v>47</v>
      </c>
      <c r="K123" s="529">
        <v>58265.41</v>
      </c>
      <c r="L123" s="529">
        <v>58265.41</v>
      </c>
      <c r="M123" s="529">
        <v>0</v>
      </c>
      <c r="N123" s="529">
        <v>17</v>
      </c>
      <c r="O123" s="529">
        <v>21019.74</v>
      </c>
      <c r="P123" s="529">
        <v>21019.74</v>
      </c>
      <c r="Q123" s="529">
        <v>0</v>
      </c>
    </row>
    <row r="124" spans="1:17" ht="15.75" customHeight="1" x14ac:dyDescent="0.2">
      <c r="A124" s="529">
        <v>116</v>
      </c>
      <c r="B124" s="529" t="s">
        <v>51</v>
      </c>
      <c r="C124" s="516" t="s">
        <v>62</v>
      </c>
      <c r="D124" s="529" t="s">
        <v>63</v>
      </c>
      <c r="E124" s="529" t="s">
        <v>74</v>
      </c>
      <c r="F124" s="529" t="s">
        <v>285</v>
      </c>
      <c r="G124" s="510" t="s">
        <v>670</v>
      </c>
      <c r="H124" s="529">
        <v>23</v>
      </c>
      <c r="I124" s="529">
        <v>15</v>
      </c>
      <c r="J124" s="529">
        <v>15</v>
      </c>
      <c r="K124" s="529">
        <v>5873.82</v>
      </c>
      <c r="L124" s="529">
        <v>5873.82</v>
      </c>
      <c r="M124" s="529">
        <v>0</v>
      </c>
      <c r="N124" s="529">
        <v>10</v>
      </c>
      <c r="O124" s="529">
        <v>1797.24</v>
      </c>
      <c r="P124" s="529">
        <v>1797.24</v>
      </c>
      <c r="Q124" s="529">
        <v>0</v>
      </c>
    </row>
    <row r="125" spans="1:17" ht="15.75" customHeight="1" x14ac:dyDescent="0.2">
      <c r="A125" s="529">
        <v>117</v>
      </c>
      <c r="B125" s="529" t="s">
        <v>756</v>
      </c>
      <c r="C125" s="516" t="s">
        <v>62</v>
      </c>
      <c r="D125" s="529" t="s">
        <v>63</v>
      </c>
      <c r="E125" s="529" t="s">
        <v>74</v>
      </c>
      <c r="F125" s="529" t="s">
        <v>666</v>
      </c>
      <c r="G125" s="510" t="s">
        <v>670</v>
      </c>
      <c r="H125" s="529">
        <v>0</v>
      </c>
      <c r="I125" s="529">
        <v>0</v>
      </c>
      <c r="J125" s="529">
        <v>0</v>
      </c>
      <c r="K125" s="529">
        <v>0</v>
      </c>
      <c r="L125" s="529">
        <v>0</v>
      </c>
      <c r="M125" s="529">
        <v>0</v>
      </c>
      <c r="N125" s="529">
        <v>1</v>
      </c>
      <c r="O125" s="529">
        <v>1516.12</v>
      </c>
      <c r="P125" s="529">
        <v>1516.12</v>
      </c>
      <c r="Q125" s="529">
        <v>0</v>
      </c>
    </row>
    <row r="126" spans="1:17" ht="15.75" customHeight="1" x14ac:dyDescent="0.2">
      <c r="A126" s="529">
        <v>118</v>
      </c>
      <c r="B126" s="529" t="s">
        <v>286</v>
      </c>
      <c r="C126" s="516" t="s">
        <v>62</v>
      </c>
      <c r="D126" s="529" t="s">
        <v>63</v>
      </c>
      <c r="E126" s="529" t="s">
        <v>174</v>
      </c>
      <c r="F126" s="529" t="s">
        <v>287</v>
      </c>
      <c r="G126" s="510" t="s">
        <v>670</v>
      </c>
      <c r="H126" s="529">
        <v>21</v>
      </c>
      <c r="I126" s="529">
        <v>17</v>
      </c>
      <c r="J126" s="529">
        <v>21</v>
      </c>
      <c r="K126" s="529">
        <v>16457.87</v>
      </c>
      <c r="L126" s="529">
        <v>16457.87</v>
      </c>
      <c r="M126" s="529">
        <v>0</v>
      </c>
      <c r="N126" s="529">
        <v>0</v>
      </c>
      <c r="O126" s="529">
        <v>0</v>
      </c>
      <c r="P126" s="529">
        <v>0</v>
      </c>
      <c r="Q126" s="529">
        <v>0</v>
      </c>
    </row>
    <row r="127" spans="1:17" ht="15.75" customHeight="1" x14ac:dyDescent="0.2">
      <c r="A127" s="529">
        <v>119</v>
      </c>
      <c r="B127" s="529" t="s">
        <v>469</v>
      </c>
      <c r="C127" s="516" t="s">
        <v>62</v>
      </c>
      <c r="D127" s="529" t="s">
        <v>63</v>
      </c>
      <c r="E127" s="529" t="s">
        <v>74</v>
      </c>
      <c r="F127" s="529" t="s">
        <v>470</v>
      </c>
      <c r="G127" s="510" t="s">
        <v>670</v>
      </c>
      <c r="H127" s="529">
        <v>2</v>
      </c>
      <c r="I127" s="529">
        <v>0</v>
      </c>
      <c r="J127" s="529">
        <v>0</v>
      </c>
      <c r="K127" s="529">
        <v>0</v>
      </c>
      <c r="L127" s="529">
        <v>0</v>
      </c>
      <c r="M127" s="529">
        <v>0</v>
      </c>
      <c r="N127" s="529">
        <v>0</v>
      </c>
      <c r="O127" s="529">
        <v>0</v>
      </c>
      <c r="P127" s="529">
        <v>0</v>
      </c>
      <c r="Q127" s="529">
        <v>0</v>
      </c>
    </row>
    <row r="128" spans="1:17" ht="15.75" customHeight="1" x14ac:dyDescent="0.2">
      <c r="A128" s="529">
        <v>120</v>
      </c>
      <c r="B128" s="529" t="s">
        <v>151</v>
      </c>
      <c r="C128" s="516" t="s">
        <v>62</v>
      </c>
      <c r="D128" s="529" t="s">
        <v>63</v>
      </c>
      <c r="E128" s="529" t="s">
        <v>74</v>
      </c>
      <c r="F128" s="529" t="s">
        <v>288</v>
      </c>
      <c r="G128" s="510" t="s">
        <v>670</v>
      </c>
      <c r="H128" s="529">
        <v>10</v>
      </c>
      <c r="I128" s="529">
        <v>8</v>
      </c>
      <c r="J128" s="529">
        <v>10</v>
      </c>
      <c r="K128" s="529">
        <v>15560.06</v>
      </c>
      <c r="L128" s="529">
        <v>15560.06</v>
      </c>
      <c r="M128" s="529">
        <v>0</v>
      </c>
      <c r="N128" s="529">
        <v>7</v>
      </c>
      <c r="O128" s="529">
        <v>14253.5</v>
      </c>
      <c r="P128" s="529">
        <v>14253.5</v>
      </c>
      <c r="Q128" s="529">
        <v>0</v>
      </c>
    </row>
    <row r="129" spans="1:17" ht="15.75" customHeight="1" x14ac:dyDescent="0.2">
      <c r="A129" s="529">
        <v>121</v>
      </c>
      <c r="B129" s="529" t="s">
        <v>155</v>
      </c>
      <c r="C129" s="516" t="s">
        <v>62</v>
      </c>
      <c r="D129" s="529" t="s">
        <v>63</v>
      </c>
      <c r="E129" s="529" t="s">
        <v>74</v>
      </c>
      <c r="F129" s="529" t="s">
        <v>289</v>
      </c>
      <c r="G129" s="510" t="s">
        <v>670</v>
      </c>
      <c r="H129" s="529">
        <v>18</v>
      </c>
      <c r="I129" s="529">
        <v>10</v>
      </c>
      <c r="J129" s="529">
        <v>16</v>
      </c>
      <c r="K129" s="529">
        <v>40408.04</v>
      </c>
      <c r="L129" s="529">
        <v>40408.04</v>
      </c>
      <c r="M129" s="529">
        <v>0</v>
      </c>
      <c r="N129" s="529">
        <v>4</v>
      </c>
      <c r="O129" s="529">
        <v>36500.199999999997</v>
      </c>
      <c r="P129" s="529">
        <v>36500.199999999997</v>
      </c>
      <c r="Q129" s="529">
        <v>0</v>
      </c>
    </row>
    <row r="130" spans="1:17" ht="15.75" customHeight="1" x14ac:dyDescent="0.2">
      <c r="A130" s="529">
        <v>122</v>
      </c>
      <c r="B130" s="529" t="s">
        <v>290</v>
      </c>
      <c r="C130" s="516" t="s">
        <v>62</v>
      </c>
      <c r="D130" s="529" t="s">
        <v>63</v>
      </c>
      <c r="E130" s="529" t="s">
        <v>291</v>
      </c>
      <c r="F130" s="529" t="s">
        <v>292</v>
      </c>
      <c r="G130" s="510" t="s">
        <v>670</v>
      </c>
      <c r="H130" s="529">
        <v>41</v>
      </c>
      <c r="I130" s="529">
        <v>29</v>
      </c>
      <c r="J130" s="529">
        <v>41</v>
      </c>
      <c r="K130" s="529">
        <v>34384.86</v>
      </c>
      <c r="L130" s="529">
        <v>34384.86</v>
      </c>
      <c r="M130" s="529">
        <v>0</v>
      </c>
      <c r="N130" s="529">
        <v>0</v>
      </c>
      <c r="O130" s="529">
        <v>0</v>
      </c>
      <c r="P130" s="529">
        <v>0</v>
      </c>
      <c r="Q130" s="529">
        <v>0</v>
      </c>
    </row>
    <row r="131" spans="1:17" ht="15.75" customHeight="1" x14ac:dyDescent="0.2">
      <c r="A131" s="529">
        <v>123</v>
      </c>
      <c r="B131" s="529" t="s">
        <v>495</v>
      </c>
      <c r="C131" s="516" t="s">
        <v>62</v>
      </c>
      <c r="D131" s="529" t="s">
        <v>63</v>
      </c>
      <c r="E131" s="529" t="s">
        <v>313</v>
      </c>
      <c r="F131" s="529" t="s">
        <v>496</v>
      </c>
      <c r="G131" s="510" t="s">
        <v>670</v>
      </c>
      <c r="H131" s="529">
        <v>31</v>
      </c>
      <c r="I131" s="529">
        <v>7</v>
      </c>
      <c r="J131" s="529">
        <v>7</v>
      </c>
      <c r="K131" s="529">
        <v>9234.7099999999991</v>
      </c>
      <c r="L131" s="529">
        <v>9234.7099999999991</v>
      </c>
      <c r="M131" s="529">
        <v>0</v>
      </c>
      <c r="N131" s="529">
        <v>0</v>
      </c>
      <c r="O131" s="529">
        <v>0</v>
      </c>
      <c r="P131" s="529">
        <v>0</v>
      </c>
      <c r="Q131" s="529">
        <v>0</v>
      </c>
    </row>
    <row r="132" spans="1:17" ht="15.75" customHeight="1" x14ac:dyDescent="0.2">
      <c r="A132" s="529">
        <v>124</v>
      </c>
      <c r="B132" s="529" t="s">
        <v>134</v>
      </c>
      <c r="C132" s="516" t="s">
        <v>62</v>
      </c>
      <c r="D132" s="529" t="s">
        <v>63</v>
      </c>
      <c r="E132" s="529" t="s">
        <v>74</v>
      </c>
      <c r="F132" s="529" t="s">
        <v>293</v>
      </c>
      <c r="G132" s="510" t="s">
        <v>670</v>
      </c>
      <c r="H132" s="529">
        <v>11</v>
      </c>
      <c r="I132" s="529">
        <v>6</v>
      </c>
      <c r="J132" s="529">
        <v>7</v>
      </c>
      <c r="K132" s="529">
        <v>10480.76</v>
      </c>
      <c r="L132" s="529">
        <v>10480.76</v>
      </c>
      <c r="M132" s="529">
        <v>0</v>
      </c>
      <c r="N132" s="529">
        <v>2</v>
      </c>
      <c r="O132" s="529">
        <v>10990.78</v>
      </c>
      <c r="P132" s="529">
        <v>10990.78</v>
      </c>
      <c r="Q132" s="529">
        <v>0</v>
      </c>
    </row>
    <row r="133" spans="1:17" ht="15.75" customHeight="1" x14ac:dyDescent="0.2">
      <c r="A133" s="529">
        <v>125</v>
      </c>
      <c r="B133" s="529" t="s">
        <v>127</v>
      </c>
      <c r="C133" s="516" t="s">
        <v>62</v>
      </c>
      <c r="D133" s="529" t="s">
        <v>63</v>
      </c>
      <c r="E133" s="529" t="s">
        <v>74</v>
      </c>
      <c r="F133" s="529" t="s">
        <v>294</v>
      </c>
      <c r="G133" s="510" t="s">
        <v>670</v>
      </c>
      <c r="H133" s="529">
        <v>10</v>
      </c>
      <c r="I133" s="529">
        <v>6</v>
      </c>
      <c r="J133" s="529">
        <v>7</v>
      </c>
      <c r="K133" s="529">
        <v>5794.74</v>
      </c>
      <c r="L133" s="529">
        <v>5794.74</v>
      </c>
      <c r="M133" s="529">
        <v>0</v>
      </c>
      <c r="N133" s="529">
        <v>2</v>
      </c>
      <c r="O133" s="529">
        <v>3267.6</v>
      </c>
      <c r="P133" s="529">
        <v>3267.6</v>
      </c>
      <c r="Q133" s="529">
        <v>0</v>
      </c>
    </row>
    <row r="134" spans="1:17" ht="15.75" customHeight="1" x14ac:dyDescent="0.2">
      <c r="A134" s="529">
        <v>126</v>
      </c>
      <c r="B134" s="529" t="s">
        <v>55</v>
      </c>
      <c r="C134" s="516" t="s">
        <v>64</v>
      </c>
      <c r="D134" s="529" t="s">
        <v>66</v>
      </c>
      <c r="E134" s="529" t="s">
        <v>80</v>
      </c>
      <c r="F134" s="529" t="s">
        <v>295</v>
      </c>
      <c r="G134" s="510" t="s">
        <v>670</v>
      </c>
      <c r="H134" s="529">
        <v>11</v>
      </c>
      <c r="I134" s="529">
        <v>8</v>
      </c>
      <c r="J134" s="529">
        <v>8</v>
      </c>
      <c r="K134" s="529">
        <v>1989.43</v>
      </c>
      <c r="L134" s="529">
        <v>1989.43</v>
      </c>
      <c r="M134" s="529">
        <v>0</v>
      </c>
      <c r="N134" s="529">
        <v>4</v>
      </c>
      <c r="O134" s="529">
        <v>17287.61</v>
      </c>
      <c r="P134" s="529">
        <v>17287.61</v>
      </c>
      <c r="Q134" s="529">
        <v>0</v>
      </c>
    </row>
    <row r="135" spans="1:17" ht="15.75" customHeight="1" x14ac:dyDescent="0.2">
      <c r="A135" s="529">
        <v>127</v>
      </c>
      <c r="B135" s="529" t="s">
        <v>135</v>
      </c>
      <c r="C135" s="516" t="s">
        <v>62</v>
      </c>
      <c r="D135" s="529" t="s">
        <v>63</v>
      </c>
      <c r="E135" s="529" t="s">
        <v>63</v>
      </c>
      <c r="F135" s="529" t="s">
        <v>296</v>
      </c>
      <c r="G135" s="510" t="s">
        <v>670</v>
      </c>
      <c r="H135" s="529">
        <v>8</v>
      </c>
      <c r="I135" s="529">
        <v>3</v>
      </c>
      <c r="J135" s="529">
        <v>3</v>
      </c>
      <c r="K135" s="529">
        <v>1786.07</v>
      </c>
      <c r="L135" s="529">
        <v>1786.07</v>
      </c>
      <c r="M135" s="529">
        <v>0</v>
      </c>
      <c r="N135" s="529">
        <v>10</v>
      </c>
      <c r="O135" s="529">
        <v>18103.34</v>
      </c>
      <c r="P135" s="529">
        <v>18103.34</v>
      </c>
      <c r="Q135" s="529">
        <v>0</v>
      </c>
    </row>
    <row r="136" spans="1:17" ht="15.75" customHeight="1" x14ac:dyDescent="0.2">
      <c r="A136" s="529">
        <v>128</v>
      </c>
      <c r="B136" s="529" t="s">
        <v>128</v>
      </c>
      <c r="C136" s="516" t="s">
        <v>62</v>
      </c>
      <c r="D136" s="529" t="s">
        <v>63</v>
      </c>
      <c r="E136" s="529" t="s">
        <v>74</v>
      </c>
      <c r="F136" s="529" t="s">
        <v>297</v>
      </c>
      <c r="G136" s="510" t="s">
        <v>670</v>
      </c>
      <c r="H136" s="529">
        <v>2</v>
      </c>
      <c r="I136" s="529">
        <v>2</v>
      </c>
      <c r="J136" s="529">
        <v>2</v>
      </c>
      <c r="K136" s="529">
        <v>1303.8499999999999</v>
      </c>
      <c r="L136" s="529">
        <v>1303.8499999999999</v>
      </c>
      <c r="M136" s="529">
        <v>0</v>
      </c>
      <c r="N136" s="529">
        <v>1</v>
      </c>
      <c r="O136" s="529">
        <v>264.3</v>
      </c>
      <c r="P136" s="529">
        <v>264.3</v>
      </c>
      <c r="Q136" s="529">
        <v>0</v>
      </c>
    </row>
    <row r="137" spans="1:17" ht="15.75" customHeight="1" x14ac:dyDescent="0.2">
      <c r="A137" s="529">
        <v>129</v>
      </c>
      <c r="B137" s="529" t="s">
        <v>508</v>
      </c>
      <c r="C137" s="516" t="s">
        <v>64</v>
      </c>
      <c r="D137" s="529" t="s">
        <v>551</v>
      </c>
      <c r="E137" s="529" t="s">
        <v>313</v>
      </c>
      <c r="F137" s="529" t="s">
        <v>552</v>
      </c>
      <c r="G137" s="510" t="s">
        <v>670</v>
      </c>
      <c r="H137" s="529">
        <v>33</v>
      </c>
      <c r="I137" s="529">
        <v>24</v>
      </c>
      <c r="J137" s="529">
        <v>27</v>
      </c>
      <c r="K137" s="529">
        <v>11219.42</v>
      </c>
      <c r="L137" s="529">
        <v>11219.42</v>
      </c>
      <c r="M137" s="529">
        <v>0</v>
      </c>
      <c r="N137" s="529">
        <v>0</v>
      </c>
      <c r="O137" s="529">
        <v>0</v>
      </c>
      <c r="P137" s="529">
        <v>0</v>
      </c>
      <c r="Q137" s="529">
        <v>0</v>
      </c>
    </row>
    <row r="138" spans="1:17" ht="15.75" customHeight="1" x14ac:dyDescent="0.2">
      <c r="A138" s="529">
        <v>130</v>
      </c>
      <c r="B138" s="529" t="s">
        <v>497</v>
      </c>
      <c r="C138" s="516" t="s">
        <v>62</v>
      </c>
      <c r="D138" s="529"/>
      <c r="E138" s="529" t="s">
        <v>313</v>
      </c>
      <c r="F138" s="529" t="s">
        <v>498</v>
      </c>
      <c r="G138" s="510" t="s">
        <v>670</v>
      </c>
      <c r="H138" s="529">
        <v>71</v>
      </c>
      <c r="I138" s="529">
        <v>44</v>
      </c>
      <c r="J138" s="529">
        <v>46</v>
      </c>
      <c r="K138" s="529">
        <v>29545.75</v>
      </c>
      <c r="L138" s="529">
        <v>29545.75</v>
      </c>
      <c r="M138" s="529">
        <v>0</v>
      </c>
      <c r="N138" s="529">
        <v>0</v>
      </c>
      <c r="O138" s="529">
        <v>0</v>
      </c>
      <c r="P138" s="529">
        <v>0</v>
      </c>
      <c r="Q138" s="529">
        <v>0</v>
      </c>
    </row>
    <row r="139" spans="1:17" ht="15.75" customHeight="1" x14ac:dyDescent="0.2">
      <c r="A139" s="529">
        <v>131</v>
      </c>
      <c r="B139" s="529" t="s">
        <v>646</v>
      </c>
      <c r="C139" s="516" t="s">
        <v>62</v>
      </c>
      <c r="D139" s="529" t="s">
        <v>63</v>
      </c>
      <c r="E139" s="529" t="s">
        <v>74</v>
      </c>
      <c r="F139" s="529" t="s">
        <v>757</v>
      </c>
      <c r="G139" s="510" t="s">
        <v>670</v>
      </c>
      <c r="H139" s="529">
        <v>4</v>
      </c>
      <c r="I139" s="529">
        <v>0</v>
      </c>
      <c r="J139" s="529">
        <v>0</v>
      </c>
      <c r="K139" s="529">
        <v>0</v>
      </c>
      <c r="L139" s="529">
        <v>0</v>
      </c>
      <c r="M139" s="529">
        <v>0</v>
      </c>
      <c r="N139" s="529">
        <v>0</v>
      </c>
      <c r="O139" s="529">
        <v>0</v>
      </c>
      <c r="P139" s="529">
        <v>0</v>
      </c>
      <c r="Q139" s="529">
        <v>0</v>
      </c>
    </row>
    <row r="140" spans="1:17" ht="15.75" customHeight="1" x14ac:dyDescent="0.2">
      <c r="A140" s="529">
        <v>132</v>
      </c>
      <c r="B140" s="529" t="s">
        <v>56</v>
      </c>
      <c r="C140" s="516" t="s">
        <v>62</v>
      </c>
      <c r="D140" s="529" t="s">
        <v>63</v>
      </c>
      <c r="E140" s="529" t="s">
        <v>83</v>
      </c>
      <c r="F140" s="529" t="s">
        <v>298</v>
      </c>
      <c r="G140" s="510" t="s">
        <v>670</v>
      </c>
      <c r="H140" s="529">
        <v>109</v>
      </c>
      <c r="I140" s="529">
        <v>95</v>
      </c>
      <c r="J140" s="529">
        <v>141</v>
      </c>
      <c r="K140" s="529">
        <v>141659.84</v>
      </c>
      <c r="L140" s="529">
        <v>132938.70000000001</v>
      </c>
      <c r="M140" s="529">
        <v>8721.14</v>
      </c>
      <c r="N140" s="529">
        <v>35</v>
      </c>
      <c r="O140" s="529">
        <v>96660.36</v>
      </c>
      <c r="P140" s="529">
        <v>96660.36</v>
      </c>
      <c r="Q140" s="529">
        <v>0</v>
      </c>
    </row>
    <row r="141" spans="1:17" ht="15.75" customHeight="1" x14ac:dyDescent="0.2">
      <c r="A141" s="529">
        <v>133</v>
      </c>
      <c r="B141" s="529" t="s">
        <v>638</v>
      </c>
      <c r="C141" s="516" t="s">
        <v>67</v>
      </c>
      <c r="D141" s="529" t="s">
        <v>639</v>
      </c>
      <c r="E141" s="529" t="s">
        <v>640</v>
      </c>
      <c r="F141" s="529" t="s">
        <v>641</v>
      </c>
      <c r="G141" s="510" t="s">
        <v>670</v>
      </c>
      <c r="H141" s="529">
        <v>10</v>
      </c>
      <c r="I141" s="529">
        <v>1</v>
      </c>
      <c r="J141" s="529">
        <v>1</v>
      </c>
      <c r="K141" s="529">
        <v>0</v>
      </c>
      <c r="L141" s="529">
        <v>0</v>
      </c>
      <c r="M141" s="529">
        <v>0</v>
      </c>
      <c r="N141" s="529">
        <v>0</v>
      </c>
      <c r="O141" s="529">
        <v>0</v>
      </c>
      <c r="P141" s="529">
        <v>0</v>
      </c>
      <c r="Q141" s="529">
        <v>0</v>
      </c>
    </row>
    <row r="142" spans="1:17" ht="15.75" customHeight="1" x14ac:dyDescent="0.2">
      <c r="A142" s="529">
        <v>134</v>
      </c>
      <c r="B142" s="529" t="s">
        <v>299</v>
      </c>
      <c r="C142" s="516" t="s">
        <v>62</v>
      </c>
      <c r="D142" s="529"/>
      <c r="E142" s="529" t="s">
        <v>174</v>
      </c>
      <c r="F142" s="529" t="s">
        <v>300</v>
      </c>
      <c r="G142" s="510" t="s">
        <v>670</v>
      </c>
      <c r="H142" s="529">
        <v>25</v>
      </c>
      <c r="I142" s="529">
        <v>22</v>
      </c>
      <c r="J142" s="529">
        <v>27</v>
      </c>
      <c r="K142" s="529">
        <v>18541.13</v>
      </c>
      <c r="L142" s="529">
        <v>18541.13</v>
      </c>
      <c r="M142" s="529">
        <v>0</v>
      </c>
      <c r="N142" s="529">
        <v>0</v>
      </c>
      <c r="O142" s="529">
        <v>0</v>
      </c>
      <c r="P142" s="529">
        <v>0</v>
      </c>
      <c r="Q142" s="529">
        <v>0</v>
      </c>
    </row>
    <row r="143" spans="1:17" ht="15.75" customHeight="1" x14ac:dyDescent="0.2">
      <c r="A143" s="529">
        <v>135</v>
      </c>
      <c r="B143" s="529" t="s">
        <v>156</v>
      </c>
      <c r="C143" s="516" t="s">
        <v>67</v>
      </c>
      <c r="D143" s="529" t="s">
        <v>499</v>
      </c>
      <c r="E143" s="529" t="s">
        <v>74</v>
      </c>
      <c r="F143" s="529" t="s">
        <v>301</v>
      </c>
      <c r="G143" s="510" t="s">
        <v>670</v>
      </c>
      <c r="H143" s="529">
        <v>42</v>
      </c>
      <c r="I143" s="529">
        <v>35</v>
      </c>
      <c r="J143" s="529">
        <v>43</v>
      </c>
      <c r="K143" s="529">
        <v>37665.79</v>
      </c>
      <c r="L143" s="529">
        <v>37665.79</v>
      </c>
      <c r="M143" s="529">
        <v>0</v>
      </c>
      <c r="N143" s="529">
        <v>41</v>
      </c>
      <c r="O143" s="529">
        <v>66837.119999999995</v>
      </c>
      <c r="P143" s="529">
        <v>66837.119999999995</v>
      </c>
      <c r="Q143" s="529">
        <v>0</v>
      </c>
    </row>
    <row r="144" spans="1:17" ht="15.75" customHeight="1" x14ac:dyDescent="0.2">
      <c r="A144" s="529">
        <v>136</v>
      </c>
      <c r="B144" s="529" t="s">
        <v>302</v>
      </c>
      <c r="C144" s="516" t="s">
        <v>62</v>
      </c>
      <c r="D144" s="529"/>
      <c r="E144" s="529" t="s">
        <v>63</v>
      </c>
      <c r="F144" s="529" t="s">
        <v>303</v>
      </c>
      <c r="G144" s="510" t="s">
        <v>670</v>
      </c>
      <c r="H144" s="529">
        <v>22</v>
      </c>
      <c r="I144" s="529">
        <v>19</v>
      </c>
      <c r="J144" s="529">
        <v>23</v>
      </c>
      <c r="K144" s="529">
        <v>9697.18</v>
      </c>
      <c r="L144" s="529">
        <v>9697.18</v>
      </c>
      <c r="M144" s="529">
        <v>0</v>
      </c>
      <c r="N144" s="529">
        <v>0</v>
      </c>
      <c r="O144" s="529">
        <v>0</v>
      </c>
      <c r="P144" s="529">
        <v>0</v>
      </c>
      <c r="Q144" s="529">
        <v>0</v>
      </c>
    </row>
    <row r="145" spans="1:17" ht="15.75" customHeight="1" x14ac:dyDescent="0.2">
      <c r="A145" s="529">
        <v>137</v>
      </c>
      <c r="B145" s="529" t="s">
        <v>140</v>
      </c>
      <c r="C145" s="516" t="s">
        <v>62</v>
      </c>
      <c r="D145" s="529" t="s">
        <v>63</v>
      </c>
      <c r="E145" s="529" t="s">
        <v>74</v>
      </c>
      <c r="F145" s="529" t="s">
        <v>304</v>
      </c>
      <c r="G145" s="510" t="s">
        <v>670</v>
      </c>
      <c r="H145" s="529">
        <v>70</v>
      </c>
      <c r="I145" s="529">
        <v>59</v>
      </c>
      <c r="J145" s="529">
        <v>64</v>
      </c>
      <c r="K145" s="529">
        <v>49113.38</v>
      </c>
      <c r="L145" s="529">
        <v>49113.38</v>
      </c>
      <c r="M145" s="529">
        <v>0</v>
      </c>
      <c r="N145" s="529">
        <v>20</v>
      </c>
      <c r="O145" s="529">
        <v>43411.7</v>
      </c>
      <c r="P145" s="529">
        <v>43411.7</v>
      </c>
      <c r="Q145" s="529">
        <v>0</v>
      </c>
    </row>
    <row r="146" spans="1:17" ht="15.75" customHeight="1" x14ac:dyDescent="0.2">
      <c r="A146" s="529">
        <v>138</v>
      </c>
      <c r="B146" s="529" t="s">
        <v>305</v>
      </c>
      <c r="C146" s="516" t="s">
        <v>62</v>
      </c>
      <c r="D146" s="529" t="s">
        <v>63</v>
      </c>
      <c r="E146" s="529" t="s">
        <v>186</v>
      </c>
      <c r="F146" s="529" t="s">
        <v>513</v>
      </c>
      <c r="G146" s="510" t="s">
        <v>670</v>
      </c>
      <c r="H146" s="529">
        <v>17</v>
      </c>
      <c r="I146" s="529">
        <v>12</v>
      </c>
      <c r="J146" s="529">
        <v>13</v>
      </c>
      <c r="K146" s="529">
        <v>6542.9</v>
      </c>
      <c r="L146" s="529">
        <v>6542.9</v>
      </c>
      <c r="M146" s="529">
        <v>0</v>
      </c>
      <c r="N146" s="529">
        <v>0</v>
      </c>
      <c r="O146" s="529">
        <v>0</v>
      </c>
      <c r="P146" s="529">
        <v>0</v>
      </c>
      <c r="Q146" s="529">
        <v>0</v>
      </c>
    </row>
    <row r="147" spans="1:17" ht="15.75" customHeight="1" x14ac:dyDescent="0.2">
      <c r="A147" s="529">
        <v>139</v>
      </c>
      <c r="B147" s="529" t="s">
        <v>702</v>
      </c>
      <c r="C147" s="516" t="s">
        <v>62</v>
      </c>
      <c r="D147" s="529" t="s">
        <v>63</v>
      </c>
      <c r="E147" s="529" t="s">
        <v>239</v>
      </c>
      <c r="F147" s="529" t="s">
        <v>733</v>
      </c>
      <c r="G147" s="510" t="s">
        <v>670</v>
      </c>
      <c r="H147" s="529">
        <v>7</v>
      </c>
      <c r="I147" s="529">
        <v>1</v>
      </c>
      <c r="J147" s="529">
        <v>1</v>
      </c>
      <c r="K147" s="529">
        <v>649.87</v>
      </c>
      <c r="L147" s="529">
        <v>649.87</v>
      </c>
      <c r="M147" s="529">
        <v>0</v>
      </c>
      <c r="N147" s="529">
        <v>0</v>
      </c>
      <c r="O147" s="529">
        <v>0</v>
      </c>
      <c r="P147" s="529">
        <v>0</v>
      </c>
      <c r="Q147" s="529">
        <v>0</v>
      </c>
    </row>
    <row r="148" spans="1:17" ht="15.75" customHeight="1" x14ac:dyDescent="0.2">
      <c r="A148" s="529">
        <v>140</v>
      </c>
      <c r="B148" s="529" t="s">
        <v>471</v>
      </c>
      <c r="C148" s="516" t="s">
        <v>64</v>
      </c>
      <c r="D148" s="529" t="s">
        <v>65</v>
      </c>
      <c r="E148" s="529" t="s">
        <v>74</v>
      </c>
      <c r="F148" s="529" t="s">
        <v>472</v>
      </c>
      <c r="G148" s="510" t="s">
        <v>670</v>
      </c>
      <c r="H148" s="529">
        <v>0</v>
      </c>
      <c r="I148" s="529">
        <v>0</v>
      </c>
      <c r="J148" s="529">
        <v>0</v>
      </c>
      <c r="K148" s="529">
        <v>0</v>
      </c>
      <c r="L148" s="529">
        <v>0</v>
      </c>
      <c r="M148" s="529">
        <v>0</v>
      </c>
      <c r="N148" s="529">
        <v>1</v>
      </c>
      <c r="O148" s="529">
        <v>0</v>
      </c>
      <c r="P148" s="529">
        <v>0</v>
      </c>
      <c r="Q148" s="529">
        <v>0</v>
      </c>
    </row>
    <row r="149" spans="1:17" ht="15.75" customHeight="1" x14ac:dyDescent="0.2">
      <c r="A149" s="529">
        <v>141</v>
      </c>
      <c r="B149" s="529" t="s">
        <v>57</v>
      </c>
      <c r="C149" s="516" t="s">
        <v>62</v>
      </c>
      <c r="D149" s="529" t="s">
        <v>63</v>
      </c>
      <c r="E149" s="529" t="s">
        <v>244</v>
      </c>
      <c r="F149" s="529" t="s">
        <v>306</v>
      </c>
      <c r="G149" s="510" t="s">
        <v>670</v>
      </c>
      <c r="H149" s="529">
        <v>41</v>
      </c>
      <c r="I149" s="529">
        <v>20</v>
      </c>
      <c r="J149" s="529">
        <v>23</v>
      </c>
      <c r="K149" s="529">
        <v>28660.53</v>
      </c>
      <c r="L149" s="529">
        <v>28660.53</v>
      </c>
      <c r="M149" s="529">
        <v>0</v>
      </c>
      <c r="N149" s="529">
        <v>22</v>
      </c>
      <c r="O149" s="529">
        <v>99963.18</v>
      </c>
      <c r="P149" s="529">
        <v>92362.92</v>
      </c>
      <c r="Q149" s="529">
        <v>7600.26</v>
      </c>
    </row>
    <row r="150" spans="1:17" ht="15.75" customHeight="1" x14ac:dyDescent="0.2">
      <c r="A150" s="529">
        <v>142</v>
      </c>
      <c r="B150" s="529" t="s">
        <v>648</v>
      </c>
      <c r="C150" s="516" t="s">
        <v>62</v>
      </c>
      <c r="D150" s="529" t="s">
        <v>63</v>
      </c>
      <c r="E150" s="529" t="s">
        <v>313</v>
      </c>
      <c r="F150" s="529" t="s">
        <v>650</v>
      </c>
      <c r="G150" s="510" t="s">
        <v>670</v>
      </c>
      <c r="H150" s="529">
        <v>14</v>
      </c>
      <c r="I150" s="529">
        <v>8</v>
      </c>
      <c r="J150" s="529">
        <v>9</v>
      </c>
      <c r="K150" s="529">
        <v>4135.99</v>
      </c>
      <c r="L150" s="529">
        <v>4135.99</v>
      </c>
      <c r="M150" s="529">
        <v>0</v>
      </c>
      <c r="N150" s="529">
        <v>0</v>
      </c>
      <c r="O150" s="529">
        <v>0</v>
      </c>
      <c r="P150" s="529">
        <v>0</v>
      </c>
      <c r="Q150" s="529">
        <v>0</v>
      </c>
    </row>
    <row r="151" spans="1:17" ht="15.75" customHeight="1" x14ac:dyDescent="0.2">
      <c r="A151" s="529">
        <v>143</v>
      </c>
      <c r="B151" s="529" t="s">
        <v>473</v>
      </c>
      <c r="C151" s="516" t="s">
        <v>62</v>
      </c>
      <c r="D151" s="529" t="s">
        <v>63</v>
      </c>
      <c r="E151" s="529" t="s">
        <v>63</v>
      </c>
      <c r="F151" s="529" t="s">
        <v>500</v>
      </c>
      <c r="G151" s="510" t="s">
        <v>670</v>
      </c>
      <c r="H151" s="529">
        <v>21</v>
      </c>
      <c r="I151" s="529">
        <v>12</v>
      </c>
      <c r="J151" s="529">
        <v>14</v>
      </c>
      <c r="K151" s="529">
        <v>9948.68</v>
      </c>
      <c r="L151" s="529">
        <v>9948.68</v>
      </c>
      <c r="M151" s="529">
        <v>0</v>
      </c>
      <c r="N151" s="529">
        <v>4</v>
      </c>
      <c r="O151" s="529">
        <v>22242.99</v>
      </c>
      <c r="P151" s="529">
        <v>22242.99</v>
      </c>
      <c r="Q151" s="529">
        <v>0</v>
      </c>
    </row>
    <row r="152" spans="1:17" ht="15.75" customHeight="1" x14ac:dyDescent="0.2">
      <c r="A152" s="529">
        <v>144</v>
      </c>
      <c r="B152" s="529" t="s">
        <v>129</v>
      </c>
      <c r="C152" s="516" t="s">
        <v>62</v>
      </c>
      <c r="D152" s="529" t="s">
        <v>63</v>
      </c>
      <c r="E152" s="529" t="s">
        <v>74</v>
      </c>
      <c r="F152" s="529" t="s">
        <v>307</v>
      </c>
      <c r="G152" s="510" t="s">
        <v>670</v>
      </c>
      <c r="H152" s="529">
        <v>0</v>
      </c>
      <c r="I152" s="529">
        <v>0</v>
      </c>
      <c r="J152" s="529">
        <v>0</v>
      </c>
      <c r="K152" s="529">
        <v>0</v>
      </c>
      <c r="L152" s="529">
        <v>0</v>
      </c>
      <c r="M152" s="529">
        <v>0</v>
      </c>
      <c r="N152" s="529">
        <v>2</v>
      </c>
      <c r="O152" s="529">
        <v>12997.88</v>
      </c>
      <c r="P152" s="529">
        <v>12997.88</v>
      </c>
      <c r="Q152" s="529">
        <v>0</v>
      </c>
    </row>
    <row r="153" spans="1:17" ht="15.75" customHeight="1" x14ac:dyDescent="0.2">
      <c r="A153" s="529">
        <v>145</v>
      </c>
      <c r="B153" s="529" t="s">
        <v>58</v>
      </c>
      <c r="C153" s="516" t="s">
        <v>62</v>
      </c>
      <c r="D153" s="529" t="s">
        <v>63</v>
      </c>
      <c r="E153" s="529" t="s">
        <v>84</v>
      </c>
      <c r="F153" s="529" t="s">
        <v>308</v>
      </c>
      <c r="G153" s="510" t="s">
        <v>670</v>
      </c>
      <c r="H153" s="529">
        <v>252</v>
      </c>
      <c r="I153" s="529">
        <v>239</v>
      </c>
      <c r="J153" s="529">
        <v>272</v>
      </c>
      <c r="K153" s="529">
        <v>247950.68</v>
      </c>
      <c r="L153" s="529">
        <v>233975.56</v>
      </c>
      <c r="M153" s="529">
        <v>13975.12</v>
      </c>
      <c r="N153" s="529">
        <v>66</v>
      </c>
      <c r="O153" s="529">
        <v>216301.07</v>
      </c>
      <c r="P153" s="529">
        <v>216301.07</v>
      </c>
      <c r="Q153" s="529">
        <v>0</v>
      </c>
    </row>
    <row r="154" spans="1:17" ht="15.75" customHeight="1" x14ac:dyDescent="0.2">
      <c r="A154" s="529">
        <v>146</v>
      </c>
      <c r="B154" s="529" t="s">
        <v>59</v>
      </c>
      <c r="C154" s="516" t="s">
        <v>64</v>
      </c>
      <c r="D154" s="529" t="s">
        <v>66</v>
      </c>
      <c r="E154" s="529" t="s">
        <v>80</v>
      </c>
      <c r="F154" s="529" t="s">
        <v>309</v>
      </c>
      <c r="G154" s="510" t="s">
        <v>670</v>
      </c>
      <c r="H154" s="529">
        <v>44</v>
      </c>
      <c r="I154" s="529">
        <v>35</v>
      </c>
      <c r="J154" s="529">
        <v>55</v>
      </c>
      <c r="K154" s="529">
        <v>109498.5</v>
      </c>
      <c r="L154" s="529">
        <v>100074.76</v>
      </c>
      <c r="M154" s="529">
        <v>9423.74</v>
      </c>
      <c r="N154" s="529">
        <v>33</v>
      </c>
      <c r="O154" s="529">
        <v>108860.27</v>
      </c>
      <c r="P154" s="529">
        <v>108860.27</v>
      </c>
      <c r="Q154" s="529">
        <v>0</v>
      </c>
    </row>
    <row r="155" spans="1:17" ht="15.75" customHeight="1" x14ac:dyDescent="0.2">
      <c r="A155" s="529">
        <v>147</v>
      </c>
      <c r="B155" s="529" t="s">
        <v>130</v>
      </c>
      <c r="C155" s="516" t="s">
        <v>62</v>
      </c>
      <c r="D155" s="529" t="s">
        <v>63</v>
      </c>
      <c r="E155" s="529" t="s">
        <v>74</v>
      </c>
      <c r="F155" s="529" t="s">
        <v>553</v>
      </c>
      <c r="G155" s="510" t="s">
        <v>670</v>
      </c>
      <c r="H155" s="529">
        <v>7</v>
      </c>
      <c r="I155" s="529">
        <v>2</v>
      </c>
      <c r="J155" s="529">
        <v>2</v>
      </c>
      <c r="K155" s="529">
        <v>1772.34</v>
      </c>
      <c r="L155" s="529">
        <v>1772.34</v>
      </c>
      <c r="M155" s="529">
        <v>0</v>
      </c>
      <c r="N155" s="529">
        <v>4</v>
      </c>
      <c r="O155" s="529">
        <v>20018.759999999998</v>
      </c>
      <c r="P155" s="529">
        <v>20018.759999999998</v>
      </c>
      <c r="Q155" s="529">
        <v>0</v>
      </c>
    </row>
    <row r="156" spans="1:17" ht="15.75" customHeight="1" x14ac:dyDescent="0.2">
      <c r="A156" s="529">
        <v>148</v>
      </c>
      <c r="B156" s="529" t="s">
        <v>97</v>
      </c>
      <c r="C156" s="516" t="s">
        <v>62</v>
      </c>
      <c r="D156" s="529" t="s">
        <v>63</v>
      </c>
      <c r="E156" s="529" t="s">
        <v>74</v>
      </c>
      <c r="F156" s="529" t="s">
        <v>310</v>
      </c>
      <c r="G156" s="510" t="s">
        <v>670</v>
      </c>
      <c r="H156" s="529">
        <v>7</v>
      </c>
      <c r="I156" s="529">
        <v>4</v>
      </c>
      <c r="J156" s="529">
        <v>4</v>
      </c>
      <c r="K156" s="529">
        <v>5524.96</v>
      </c>
      <c r="L156" s="529">
        <v>5524.96</v>
      </c>
      <c r="M156" s="529">
        <v>0</v>
      </c>
      <c r="N156" s="529">
        <v>1</v>
      </c>
      <c r="O156" s="529">
        <v>3782.14</v>
      </c>
      <c r="P156" s="529">
        <v>3782.14</v>
      </c>
      <c r="Q156" s="529">
        <v>0</v>
      </c>
    </row>
    <row r="157" spans="1:17" ht="15.75" customHeight="1" x14ac:dyDescent="0.2">
      <c r="A157" s="529">
        <v>149</v>
      </c>
      <c r="B157" s="529" t="s">
        <v>667</v>
      </c>
      <c r="C157" s="516" t="s">
        <v>62</v>
      </c>
      <c r="D157" s="529" t="s">
        <v>63</v>
      </c>
      <c r="E157" s="529" t="s">
        <v>174</v>
      </c>
      <c r="F157" s="529" t="s">
        <v>668</v>
      </c>
      <c r="G157" s="510" t="s">
        <v>670</v>
      </c>
      <c r="H157" s="529">
        <v>8</v>
      </c>
      <c r="I157" s="529">
        <v>4</v>
      </c>
      <c r="J157" s="529">
        <v>4</v>
      </c>
      <c r="K157" s="529">
        <v>0</v>
      </c>
      <c r="L157" s="529">
        <v>0</v>
      </c>
      <c r="M157" s="529">
        <v>0</v>
      </c>
      <c r="N157" s="529">
        <v>0</v>
      </c>
      <c r="O157" s="529">
        <v>0</v>
      </c>
      <c r="P157" s="529">
        <v>0</v>
      </c>
      <c r="Q157" s="529">
        <v>0</v>
      </c>
    </row>
    <row r="158" spans="1:17" ht="15.75" customHeight="1" x14ac:dyDescent="0.2">
      <c r="A158" s="529">
        <v>150</v>
      </c>
      <c r="B158" s="529" t="s">
        <v>514</v>
      </c>
      <c r="C158" s="516" t="s">
        <v>62</v>
      </c>
      <c r="D158" s="529" t="s">
        <v>63</v>
      </c>
      <c r="E158" s="529" t="s">
        <v>223</v>
      </c>
      <c r="F158" s="529" t="s">
        <v>515</v>
      </c>
      <c r="G158" s="510" t="s">
        <v>670</v>
      </c>
      <c r="H158" s="529">
        <v>24</v>
      </c>
      <c r="I158" s="529">
        <v>17</v>
      </c>
      <c r="J158" s="529">
        <v>24</v>
      </c>
      <c r="K158" s="529">
        <v>25840.53</v>
      </c>
      <c r="L158" s="529">
        <v>25840.53</v>
      </c>
      <c r="M158" s="529"/>
      <c r="N158" s="529">
        <v>0</v>
      </c>
      <c r="O158" s="529">
        <v>0</v>
      </c>
      <c r="P158" s="529">
        <v>0</v>
      </c>
      <c r="Q158" s="529">
        <v>0</v>
      </c>
    </row>
    <row r="159" spans="1:17" ht="15.75" customHeight="1" x14ac:dyDescent="0.2">
      <c r="A159" s="529">
        <v>151</v>
      </c>
      <c r="B159" s="529" t="s">
        <v>132</v>
      </c>
      <c r="C159" s="516" t="s">
        <v>62</v>
      </c>
      <c r="D159" s="529" t="s">
        <v>63</v>
      </c>
      <c r="E159" s="529" t="s">
        <v>74</v>
      </c>
      <c r="F159" s="529" t="s">
        <v>311</v>
      </c>
      <c r="G159" s="510" t="s">
        <v>670</v>
      </c>
      <c r="H159" s="529">
        <v>21</v>
      </c>
      <c r="I159" s="529">
        <v>7</v>
      </c>
      <c r="J159" s="529">
        <v>8</v>
      </c>
      <c r="K159" s="529">
        <v>7071.18</v>
      </c>
      <c r="L159" s="529">
        <v>7071.18</v>
      </c>
      <c r="M159" s="529">
        <v>0</v>
      </c>
      <c r="N159" s="529">
        <v>11</v>
      </c>
      <c r="O159" s="529">
        <v>7200.72</v>
      </c>
      <c r="P159" s="529">
        <v>7200.72</v>
      </c>
      <c r="Q159" s="529">
        <v>0</v>
      </c>
    </row>
    <row r="160" spans="1:17" ht="15.75" customHeight="1" x14ac:dyDescent="0.2">
      <c r="A160" s="529">
        <v>152</v>
      </c>
      <c r="B160" s="529" t="s">
        <v>312</v>
      </c>
      <c r="C160" s="516" t="s">
        <v>62</v>
      </c>
      <c r="D160" s="529" t="s">
        <v>63</v>
      </c>
      <c r="E160" s="529" t="s">
        <v>313</v>
      </c>
      <c r="F160" s="529" t="s">
        <v>314</v>
      </c>
      <c r="G160" s="510" t="s">
        <v>670</v>
      </c>
      <c r="H160" s="529">
        <v>67</v>
      </c>
      <c r="I160" s="529">
        <v>1</v>
      </c>
      <c r="J160" s="529">
        <v>1</v>
      </c>
      <c r="K160" s="529">
        <v>0</v>
      </c>
      <c r="L160" s="529">
        <v>0</v>
      </c>
      <c r="M160" s="529">
        <v>0</v>
      </c>
      <c r="N160" s="529">
        <v>0</v>
      </c>
      <c r="O160" s="529">
        <v>0</v>
      </c>
      <c r="P160" s="529">
        <v>0</v>
      </c>
      <c r="Q160" s="529">
        <v>0</v>
      </c>
    </row>
    <row r="161" spans="1:17" ht="15.75" customHeight="1" x14ac:dyDescent="0.2">
      <c r="A161" s="529">
        <v>153</v>
      </c>
      <c r="B161" s="529" t="s">
        <v>505</v>
      </c>
      <c r="C161" s="516" t="s">
        <v>62</v>
      </c>
      <c r="D161" s="529" t="s">
        <v>63</v>
      </c>
      <c r="E161" s="529" t="s">
        <v>759</v>
      </c>
      <c r="F161" s="529" t="s">
        <v>704</v>
      </c>
      <c r="G161" s="510" t="s">
        <v>670</v>
      </c>
      <c r="H161" s="529">
        <v>8</v>
      </c>
      <c r="I161" s="529">
        <v>3</v>
      </c>
      <c r="J161" s="529">
        <v>3</v>
      </c>
      <c r="K161" s="529">
        <v>0</v>
      </c>
      <c r="L161" s="529">
        <v>0</v>
      </c>
      <c r="M161" s="529">
        <v>0</v>
      </c>
      <c r="N161" s="529">
        <v>0</v>
      </c>
      <c r="O161" s="529">
        <v>0</v>
      </c>
      <c r="P161" s="529">
        <v>0</v>
      </c>
      <c r="Q161" s="529">
        <v>0</v>
      </c>
    </row>
    <row r="162" spans="1:17" ht="15.75" customHeight="1" x14ac:dyDescent="0.2">
      <c r="A162" s="529">
        <v>154</v>
      </c>
      <c r="B162" s="529" t="s">
        <v>315</v>
      </c>
      <c r="C162" s="516" t="s">
        <v>62</v>
      </c>
      <c r="D162" s="529" t="s">
        <v>63</v>
      </c>
      <c r="E162" s="529" t="s">
        <v>74</v>
      </c>
      <c r="F162" s="529" t="s">
        <v>316</v>
      </c>
      <c r="G162" s="510" t="s">
        <v>670</v>
      </c>
      <c r="H162" s="529">
        <v>19</v>
      </c>
      <c r="I162" s="529">
        <v>11</v>
      </c>
      <c r="J162" s="529">
        <v>13</v>
      </c>
      <c r="K162" s="529">
        <v>11020.91</v>
      </c>
      <c r="L162" s="529">
        <v>11020.91</v>
      </c>
      <c r="M162" s="529">
        <v>0</v>
      </c>
      <c r="N162" s="529">
        <v>6</v>
      </c>
      <c r="O162" s="529">
        <v>3889.02</v>
      </c>
      <c r="P162" s="529">
        <v>3889.02</v>
      </c>
      <c r="Q162" s="529">
        <v>0</v>
      </c>
    </row>
    <row r="163" spans="1:17" ht="15.75" customHeight="1" x14ac:dyDescent="0.2">
      <c r="A163" s="529">
        <v>155</v>
      </c>
      <c r="B163" s="529" t="s">
        <v>317</v>
      </c>
      <c r="C163" s="516" t="s">
        <v>62</v>
      </c>
      <c r="D163" s="529" t="s">
        <v>63</v>
      </c>
      <c r="E163" s="529" t="s">
        <v>158</v>
      </c>
      <c r="F163" s="529" t="s">
        <v>474</v>
      </c>
      <c r="G163" s="510" t="s">
        <v>670</v>
      </c>
      <c r="H163" s="529">
        <v>13</v>
      </c>
      <c r="I163" s="529">
        <v>11</v>
      </c>
      <c r="J163" s="529">
        <v>12</v>
      </c>
      <c r="K163" s="529">
        <v>4210.97</v>
      </c>
      <c r="L163" s="529">
        <v>4210.97</v>
      </c>
      <c r="M163" s="529">
        <v>0</v>
      </c>
      <c r="N163" s="529">
        <v>0</v>
      </c>
      <c r="O163" s="529">
        <v>0</v>
      </c>
      <c r="P163" s="529">
        <v>0</v>
      </c>
      <c r="Q163" s="529">
        <v>0</v>
      </c>
    </row>
    <row r="164" spans="1:17" ht="15.75" customHeight="1" x14ac:dyDescent="0.2">
      <c r="A164" s="529">
        <v>156</v>
      </c>
      <c r="B164" s="529" t="s">
        <v>318</v>
      </c>
      <c r="C164" s="516" t="s">
        <v>62</v>
      </c>
      <c r="D164" s="529" t="s">
        <v>63</v>
      </c>
      <c r="E164" s="529" t="s">
        <v>174</v>
      </c>
      <c r="F164" s="529" t="s">
        <v>319</v>
      </c>
      <c r="G164" s="510" t="s">
        <v>670</v>
      </c>
      <c r="H164" s="529">
        <v>35</v>
      </c>
      <c r="I164" s="529">
        <v>29</v>
      </c>
      <c r="J164" s="529">
        <v>35</v>
      </c>
      <c r="K164" s="529">
        <v>24890.68</v>
      </c>
      <c r="L164" s="529">
        <v>24890.68</v>
      </c>
      <c r="M164" s="529">
        <v>0</v>
      </c>
      <c r="N164" s="529">
        <v>0</v>
      </c>
      <c r="O164" s="529">
        <v>0</v>
      </c>
      <c r="P164" s="529">
        <v>0</v>
      </c>
      <c r="Q164" s="529">
        <v>0</v>
      </c>
    </row>
    <row r="165" spans="1:17" ht="15.75" customHeight="1" x14ac:dyDescent="0.2">
      <c r="A165" s="529">
        <v>157</v>
      </c>
      <c r="B165" s="529" t="s">
        <v>60</v>
      </c>
      <c r="C165" s="516" t="s">
        <v>67</v>
      </c>
      <c r="D165" s="529" t="s">
        <v>68</v>
      </c>
      <c r="E165" s="529" t="s">
        <v>74</v>
      </c>
      <c r="F165" s="529" t="s">
        <v>320</v>
      </c>
      <c r="G165" s="510" t="s">
        <v>670</v>
      </c>
      <c r="H165" s="529">
        <v>78</v>
      </c>
      <c r="I165" s="529">
        <v>63</v>
      </c>
      <c r="J165" s="529">
        <v>92</v>
      </c>
      <c r="K165" s="529">
        <v>159674.60999999999</v>
      </c>
      <c r="L165" s="529">
        <v>159674.60999999999</v>
      </c>
      <c r="M165" s="529">
        <v>0</v>
      </c>
      <c r="N165" s="529">
        <v>44</v>
      </c>
      <c r="O165" s="529">
        <v>113566.75</v>
      </c>
      <c r="P165" s="529">
        <v>113566.75</v>
      </c>
      <c r="Q165" s="529">
        <v>0</v>
      </c>
    </row>
    <row r="166" spans="1:17" ht="15.75" customHeight="1" x14ac:dyDescent="0.2">
      <c r="A166" s="529">
        <v>158</v>
      </c>
      <c r="B166" s="529" t="s">
        <v>61</v>
      </c>
      <c r="C166" s="516" t="s">
        <v>67</v>
      </c>
      <c r="D166" s="529" t="s">
        <v>69</v>
      </c>
      <c r="E166" s="529" t="s">
        <v>74</v>
      </c>
      <c r="F166" s="529" t="s">
        <v>321</v>
      </c>
      <c r="G166" s="510" t="s">
        <v>670</v>
      </c>
      <c r="H166" s="529">
        <v>11</v>
      </c>
      <c r="I166" s="529">
        <v>5</v>
      </c>
      <c r="J166" s="529">
        <v>6</v>
      </c>
      <c r="K166" s="529">
        <v>12993.1</v>
      </c>
      <c r="L166" s="529">
        <v>12993.1</v>
      </c>
      <c r="M166" s="529">
        <v>0</v>
      </c>
      <c r="N166" s="529">
        <v>7</v>
      </c>
      <c r="O166" s="529">
        <v>7602.26</v>
      </c>
      <c r="P166" s="529">
        <v>7602.26</v>
      </c>
      <c r="Q166" s="529">
        <v>0</v>
      </c>
    </row>
    <row r="167" spans="1:17" ht="15.75" customHeight="1" x14ac:dyDescent="0.2">
      <c r="A167" s="526">
        <v>159</v>
      </c>
      <c r="B167" s="532" t="s">
        <v>21</v>
      </c>
      <c r="C167" s="533" t="s">
        <v>62</v>
      </c>
      <c r="D167" s="534"/>
      <c r="E167" s="532" t="s">
        <v>674</v>
      </c>
      <c r="F167" s="532" t="s">
        <v>734</v>
      </c>
      <c r="G167" s="532" t="s">
        <v>735</v>
      </c>
      <c r="H167" s="596">
        <v>1</v>
      </c>
      <c r="I167" s="596">
        <v>0</v>
      </c>
      <c r="J167" s="596">
        <v>0</v>
      </c>
      <c r="K167" s="597">
        <v>0</v>
      </c>
      <c r="L167" s="597">
        <v>0</v>
      </c>
      <c r="M167" s="597">
        <v>0</v>
      </c>
      <c r="N167" s="596">
        <v>3</v>
      </c>
      <c r="O167" s="597">
        <v>18538.8</v>
      </c>
      <c r="P167" s="597">
        <v>18538.8</v>
      </c>
      <c r="Q167" s="597">
        <v>0</v>
      </c>
    </row>
    <row r="168" spans="1:17" ht="15.75" customHeight="1" x14ac:dyDescent="0.2">
      <c r="A168" s="526">
        <v>160</v>
      </c>
      <c r="B168" s="532" t="s">
        <v>147</v>
      </c>
      <c r="C168" s="533" t="s">
        <v>62</v>
      </c>
      <c r="D168" s="534"/>
      <c r="E168" s="486" t="s">
        <v>158</v>
      </c>
      <c r="F168" s="532" t="s">
        <v>736</v>
      </c>
      <c r="G168" s="532" t="s">
        <v>706</v>
      </c>
      <c r="H168" s="596">
        <v>1</v>
      </c>
      <c r="I168" s="596">
        <v>1</v>
      </c>
      <c r="J168" s="596">
        <v>1</v>
      </c>
      <c r="K168" s="597">
        <v>1762</v>
      </c>
      <c r="L168" s="597">
        <v>1762</v>
      </c>
      <c r="M168" s="597">
        <v>0</v>
      </c>
      <c r="N168" s="596">
        <v>3</v>
      </c>
      <c r="O168" s="597">
        <v>12040</v>
      </c>
      <c r="P168" s="597">
        <v>12040</v>
      </c>
      <c r="Q168" s="597">
        <v>0</v>
      </c>
    </row>
    <row r="169" spans="1:17" ht="15.75" customHeight="1" x14ac:dyDescent="0.2">
      <c r="A169" s="526">
        <v>161</v>
      </c>
      <c r="B169" s="532" t="s">
        <v>526</v>
      </c>
      <c r="C169" s="533" t="s">
        <v>62</v>
      </c>
      <c r="D169" s="534"/>
      <c r="E169" s="532" t="s">
        <v>760</v>
      </c>
      <c r="F169" s="532" t="s">
        <v>738</v>
      </c>
      <c r="G169" s="532" t="s">
        <v>706</v>
      </c>
      <c r="H169" s="596">
        <v>0</v>
      </c>
      <c r="I169" s="596">
        <v>0</v>
      </c>
      <c r="J169" s="596">
        <v>0</v>
      </c>
      <c r="K169" s="597">
        <v>0</v>
      </c>
      <c r="L169" s="597">
        <v>0</v>
      </c>
      <c r="M169" s="597">
        <v>0</v>
      </c>
      <c r="N169" s="596">
        <v>0</v>
      </c>
      <c r="O169" s="598">
        <v>0</v>
      </c>
      <c r="P169" s="597">
        <v>0</v>
      </c>
      <c r="Q169" s="597">
        <v>0</v>
      </c>
    </row>
    <row r="170" spans="1:17" ht="15.75" customHeight="1" x14ac:dyDescent="0.2">
      <c r="A170" s="526">
        <v>162</v>
      </c>
      <c r="B170" s="532" t="s">
        <v>305</v>
      </c>
      <c r="C170" s="533" t="s">
        <v>62</v>
      </c>
      <c r="D170" s="534"/>
      <c r="E170" s="532" t="s">
        <v>674</v>
      </c>
      <c r="F170" s="532" t="s">
        <v>739</v>
      </c>
      <c r="G170" s="532" t="s">
        <v>706</v>
      </c>
      <c r="H170" s="596">
        <v>4</v>
      </c>
      <c r="I170" s="596">
        <v>4</v>
      </c>
      <c r="J170" s="596">
        <v>4</v>
      </c>
      <c r="K170" s="597">
        <v>10545.1</v>
      </c>
      <c r="L170" s="597">
        <v>10545.1</v>
      </c>
      <c r="M170" s="597">
        <v>0</v>
      </c>
      <c r="N170" s="596">
        <v>0</v>
      </c>
      <c r="O170" s="597">
        <v>0</v>
      </c>
      <c r="P170" s="597">
        <v>0</v>
      </c>
      <c r="Q170" s="597">
        <v>0</v>
      </c>
    </row>
    <row r="171" spans="1:17" ht="15.75" customHeight="1" x14ac:dyDescent="0.2">
      <c r="A171" s="526">
        <v>163</v>
      </c>
      <c r="B171" s="532" t="s">
        <v>407</v>
      </c>
      <c r="C171" s="533" t="s">
        <v>62</v>
      </c>
      <c r="D171" s="534"/>
      <c r="E171" s="532" t="s">
        <v>674</v>
      </c>
      <c r="F171" s="532" t="s">
        <v>740</v>
      </c>
      <c r="G171" s="532" t="s">
        <v>706</v>
      </c>
      <c r="H171" s="596">
        <v>4</v>
      </c>
      <c r="I171" s="596">
        <v>1</v>
      </c>
      <c r="J171" s="596">
        <v>1</v>
      </c>
      <c r="K171" s="597">
        <v>3866.1</v>
      </c>
      <c r="L171" s="597">
        <v>3866.1</v>
      </c>
      <c r="M171" s="597">
        <v>0</v>
      </c>
      <c r="N171" s="596">
        <v>0</v>
      </c>
      <c r="O171" s="597">
        <v>0</v>
      </c>
      <c r="P171" s="597">
        <v>0</v>
      </c>
      <c r="Q171" s="597">
        <v>0</v>
      </c>
    </row>
    <row r="172" spans="1:17" ht="15.75" customHeight="1" x14ac:dyDescent="0.2">
      <c r="A172" s="526">
        <v>164</v>
      </c>
      <c r="B172" s="532" t="s">
        <v>185</v>
      </c>
      <c r="C172" s="533" t="s">
        <v>62</v>
      </c>
      <c r="D172" s="534"/>
      <c r="E172" s="532" t="s">
        <v>674</v>
      </c>
      <c r="F172" s="532" t="s">
        <v>741</v>
      </c>
      <c r="G172" s="532" t="s">
        <v>706</v>
      </c>
      <c r="H172" s="596">
        <v>4</v>
      </c>
      <c r="I172" s="596">
        <v>4</v>
      </c>
      <c r="J172" s="596">
        <v>4</v>
      </c>
      <c r="K172" s="597">
        <v>14698.09</v>
      </c>
      <c r="L172" s="597">
        <v>14698.09</v>
      </c>
      <c r="M172" s="597">
        <v>0</v>
      </c>
      <c r="N172" s="596">
        <v>0</v>
      </c>
      <c r="O172" s="597">
        <v>0</v>
      </c>
      <c r="P172" s="597">
        <v>0</v>
      </c>
      <c r="Q172" s="597">
        <v>0</v>
      </c>
    </row>
    <row r="173" spans="1:17" ht="15.75" customHeight="1" x14ac:dyDescent="0.2">
      <c r="A173" s="526">
        <v>165</v>
      </c>
      <c r="B173" s="532" t="s">
        <v>534</v>
      </c>
      <c r="C173" s="533" t="s">
        <v>62</v>
      </c>
      <c r="D173" s="534"/>
      <c r="E173" s="532" t="s">
        <v>674</v>
      </c>
      <c r="F173" s="532" t="s">
        <v>774</v>
      </c>
      <c r="G173" s="532" t="s">
        <v>706</v>
      </c>
      <c r="H173" s="596">
        <v>1</v>
      </c>
      <c r="I173" s="596">
        <v>0</v>
      </c>
      <c r="J173" s="596">
        <v>0</v>
      </c>
      <c r="K173" s="597">
        <v>0</v>
      </c>
      <c r="L173" s="597">
        <v>0</v>
      </c>
      <c r="M173" s="597">
        <v>0</v>
      </c>
      <c r="N173" s="596">
        <v>0</v>
      </c>
      <c r="O173" s="597">
        <v>0</v>
      </c>
      <c r="P173" s="597">
        <v>0</v>
      </c>
      <c r="Q173" s="597">
        <v>0</v>
      </c>
    </row>
    <row r="174" spans="1:17" ht="15.75" customHeight="1" x14ac:dyDescent="0.2">
      <c r="A174" s="526">
        <v>166</v>
      </c>
      <c r="B174" s="532" t="s">
        <v>104</v>
      </c>
      <c r="C174" s="533" t="s">
        <v>62</v>
      </c>
      <c r="D174" s="534"/>
      <c r="E174" s="490" t="s">
        <v>730</v>
      </c>
      <c r="F174" s="532" t="s">
        <v>743</v>
      </c>
      <c r="G174" s="532" t="s">
        <v>706</v>
      </c>
      <c r="H174" s="596">
        <v>0</v>
      </c>
      <c r="I174" s="596">
        <v>0</v>
      </c>
      <c r="J174" s="596">
        <v>0</v>
      </c>
      <c r="K174" s="597">
        <v>0</v>
      </c>
      <c r="L174" s="597">
        <v>0</v>
      </c>
      <c r="M174" s="597">
        <v>0</v>
      </c>
      <c r="N174" s="596">
        <v>1</v>
      </c>
      <c r="O174" s="597">
        <v>3187.89</v>
      </c>
      <c r="P174" s="597">
        <v>3187.89</v>
      </c>
      <c r="Q174" s="597">
        <v>0</v>
      </c>
    </row>
    <row r="175" spans="1:17" ht="15.75" customHeight="1" x14ac:dyDescent="0.2">
      <c r="A175" s="526">
        <v>167</v>
      </c>
      <c r="B175" s="532" t="s">
        <v>621</v>
      </c>
      <c r="C175" s="533" t="s">
        <v>62</v>
      </c>
      <c r="D175" s="534"/>
      <c r="E175" s="486" t="s">
        <v>158</v>
      </c>
      <c r="F175" s="532" t="s">
        <v>744</v>
      </c>
      <c r="G175" s="532" t="s">
        <v>706</v>
      </c>
      <c r="H175" s="596">
        <v>0</v>
      </c>
      <c r="I175" s="596">
        <v>0</v>
      </c>
      <c r="J175" s="596">
        <v>0</v>
      </c>
      <c r="K175" s="597">
        <v>0</v>
      </c>
      <c r="L175" s="597">
        <v>0</v>
      </c>
      <c r="M175" s="597">
        <v>0</v>
      </c>
      <c r="N175" s="596">
        <v>0</v>
      </c>
      <c r="O175" s="597">
        <v>0</v>
      </c>
      <c r="P175" s="597">
        <v>0</v>
      </c>
      <c r="Q175" s="597">
        <v>0</v>
      </c>
    </row>
    <row r="176" spans="1:17" ht="15.75" customHeight="1" x14ac:dyDescent="0.2">
      <c r="A176" s="526">
        <v>168</v>
      </c>
      <c r="B176" s="484" t="s">
        <v>47</v>
      </c>
      <c r="C176" s="516" t="s">
        <v>62</v>
      </c>
      <c r="D176" s="484"/>
      <c r="E176" s="486" t="s">
        <v>761</v>
      </c>
      <c r="F176" s="486" t="s">
        <v>448</v>
      </c>
      <c r="G176" s="510" t="s">
        <v>142</v>
      </c>
      <c r="H176" s="484">
        <v>8</v>
      </c>
      <c r="I176" s="484">
        <v>5</v>
      </c>
      <c r="J176" s="484">
        <v>5</v>
      </c>
      <c r="K176" s="482">
        <v>10622.5</v>
      </c>
      <c r="L176" s="482">
        <v>2522.1</v>
      </c>
      <c r="M176" s="482">
        <v>0</v>
      </c>
      <c r="N176" s="484">
        <v>26</v>
      </c>
      <c r="O176" s="482">
        <v>47624.72</v>
      </c>
      <c r="P176" s="482">
        <v>43758.62</v>
      </c>
      <c r="Q176" s="482">
        <v>0</v>
      </c>
    </row>
    <row r="177" spans="1:17" ht="15.75" customHeight="1" x14ac:dyDescent="0.2">
      <c r="A177" s="526">
        <v>169</v>
      </c>
      <c r="B177" s="484" t="s">
        <v>55</v>
      </c>
      <c r="C177" s="516" t="s">
        <v>62</v>
      </c>
      <c r="D177" s="484"/>
      <c r="E177" s="486" t="s">
        <v>762</v>
      </c>
      <c r="F177" s="486" t="s">
        <v>449</v>
      </c>
      <c r="G177" s="510" t="s">
        <v>142</v>
      </c>
      <c r="H177" s="484">
        <v>9</v>
      </c>
      <c r="I177" s="484">
        <v>4</v>
      </c>
      <c r="J177" s="484">
        <v>4</v>
      </c>
      <c r="K177" s="482">
        <v>4284.1000000000004</v>
      </c>
      <c r="L177" s="482">
        <v>4284.1000000000004</v>
      </c>
      <c r="M177" s="482">
        <v>0</v>
      </c>
      <c r="N177" s="484">
        <v>14</v>
      </c>
      <c r="O177" s="482">
        <v>29300.9</v>
      </c>
      <c r="P177" s="482">
        <v>29300.9</v>
      </c>
      <c r="Q177" s="482">
        <v>0</v>
      </c>
    </row>
    <row r="178" spans="1:17" ht="15.75" customHeight="1" x14ac:dyDescent="0.2">
      <c r="A178" s="526">
        <v>170</v>
      </c>
      <c r="B178" s="484" t="s">
        <v>122</v>
      </c>
      <c r="C178" s="516" t="s">
        <v>62</v>
      </c>
      <c r="D178" s="484"/>
      <c r="E178" s="486" t="s">
        <v>763</v>
      </c>
      <c r="F178" s="486" t="s">
        <v>450</v>
      </c>
      <c r="G178" s="510" t="s">
        <v>142</v>
      </c>
      <c r="H178" s="484">
        <v>5</v>
      </c>
      <c r="I178" s="484">
        <v>2</v>
      </c>
      <c r="J178" s="484">
        <v>2</v>
      </c>
      <c r="K178" s="482">
        <v>2301.25</v>
      </c>
      <c r="L178" s="482">
        <v>2301.25</v>
      </c>
      <c r="M178" s="482">
        <v>0</v>
      </c>
      <c r="N178" s="484">
        <v>8</v>
      </c>
      <c r="O178" s="482">
        <v>16883.89</v>
      </c>
      <c r="P178" s="482">
        <v>16883.89</v>
      </c>
      <c r="Q178" s="482">
        <v>0</v>
      </c>
    </row>
    <row r="179" spans="1:17" ht="15.75" customHeight="1" x14ac:dyDescent="0.2">
      <c r="A179" s="526">
        <v>171</v>
      </c>
      <c r="B179" s="484" t="s">
        <v>144</v>
      </c>
      <c r="C179" s="516" t="s">
        <v>62</v>
      </c>
      <c r="D179" s="484"/>
      <c r="E179" s="486" t="s">
        <v>761</v>
      </c>
      <c r="F179" s="486" t="s">
        <v>451</v>
      </c>
      <c r="G179" s="510" t="s">
        <v>142</v>
      </c>
      <c r="H179" s="484">
        <v>8</v>
      </c>
      <c r="I179" s="484">
        <v>7</v>
      </c>
      <c r="J179" s="484">
        <v>7</v>
      </c>
      <c r="K179" s="482">
        <v>8121.62</v>
      </c>
      <c r="L179" s="482">
        <v>8121.62</v>
      </c>
      <c r="M179" s="482">
        <v>0</v>
      </c>
      <c r="N179" s="484">
        <v>3</v>
      </c>
      <c r="O179" s="482">
        <v>3595.1</v>
      </c>
      <c r="P179" s="482">
        <v>3595.1</v>
      </c>
      <c r="Q179" s="482">
        <v>0</v>
      </c>
    </row>
    <row r="180" spans="1:17" ht="15.75" customHeight="1" x14ac:dyDescent="0.2">
      <c r="A180" s="526">
        <v>172</v>
      </c>
      <c r="B180" s="484" t="s">
        <v>46</v>
      </c>
      <c r="C180" s="516" t="s">
        <v>62</v>
      </c>
      <c r="D180" s="484"/>
      <c r="E180" s="486" t="s">
        <v>764</v>
      </c>
      <c r="F180" s="486" t="s">
        <v>453</v>
      </c>
      <c r="G180" s="510" t="s">
        <v>142</v>
      </c>
      <c r="H180" s="484">
        <v>0</v>
      </c>
      <c r="I180" s="484">
        <v>0</v>
      </c>
      <c r="J180" s="484">
        <v>0</v>
      </c>
      <c r="K180" s="482">
        <v>0</v>
      </c>
      <c r="L180" s="482">
        <v>0</v>
      </c>
      <c r="M180" s="482">
        <v>0</v>
      </c>
      <c r="N180" s="484">
        <v>0</v>
      </c>
      <c r="O180" s="482">
        <v>0</v>
      </c>
      <c r="P180" s="482">
        <v>0</v>
      </c>
      <c r="Q180" s="482">
        <v>0</v>
      </c>
    </row>
    <row r="181" spans="1:17" ht="15.75" customHeight="1" x14ac:dyDescent="0.2">
      <c r="A181" s="526">
        <v>173</v>
      </c>
      <c r="B181" s="484" t="s">
        <v>133</v>
      </c>
      <c r="C181" s="516" t="s">
        <v>67</v>
      </c>
      <c r="D181" s="484" t="s">
        <v>397</v>
      </c>
      <c r="E181" s="486" t="s">
        <v>74</v>
      </c>
      <c r="F181" s="486" t="s">
        <v>593</v>
      </c>
      <c r="G181" s="510" t="s">
        <v>142</v>
      </c>
      <c r="H181" s="484">
        <v>0</v>
      </c>
      <c r="I181" s="484">
        <v>0</v>
      </c>
      <c r="J181" s="484">
        <v>0</v>
      </c>
      <c r="K181" s="482">
        <v>0</v>
      </c>
      <c r="L181" s="482">
        <v>0</v>
      </c>
      <c r="M181" s="482">
        <v>0</v>
      </c>
      <c r="N181" s="484">
        <v>0</v>
      </c>
      <c r="O181" s="482">
        <v>0</v>
      </c>
      <c r="P181" s="482">
        <v>0</v>
      </c>
      <c r="Q181" s="482">
        <v>0</v>
      </c>
    </row>
    <row r="182" spans="1:17" ht="15.75" customHeight="1" x14ac:dyDescent="0.2">
      <c r="A182" s="526">
        <v>174</v>
      </c>
      <c r="B182" s="484" t="s">
        <v>176</v>
      </c>
      <c r="C182" s="516" t="s">
        <v>62</v>
      </c>
      <c r="D182" s="484"/>
      <c r="E182" s="486" t="s">
        <v>765</v>
      </c>
      <c r="F182" s="486" t="s">
        <v>455</v>
      </c>
      <c r="G182" s="510" t="s">
        <v>142</v>
      </c>
      <c r="H182" s="484">
        <v>12</v>
      </c>
      <c r="I182" s="484">
        <v>10</v>
      </c>
      <c r="J182" s="484">
        <v>10</v>
      </c>
      <c r="K182" s="482">
        <v>11360.06</v>
      </c>
      <c r="L182" s="482">
        <v>11360.06</v>
      </c>
      <c r="M182" s="482">
        <v>0</v>
      </c>
      <c r="N182" s="484">
        <v>0</v>
      </c>
      <c r="O182" s="482">
        <v>0</v>
      </c>
      <c r="P182" s="482">
        <v>0</v>
      </c>
      <c r="Q182" s="482">
        <v>0</v>
      </c>
    </row>
    <row r="183" spans="1:17" ht="15.75" customHeight="1" x14ac:dyDescent="0.2">
      <c r="A183" s="526">
        <v>175</v>
      </c>
      <c r="B183" s="484" t="s">
        <v>235</v>
      </c>
      <c r="C183" s="516" t="s">
        <v>62</v>
      </c>
      <c r="D183" s="484"/>
      <c r="E183" s="486" t="s">
        <v>766</v>
      </c>
      <c r="F183" s="486" t="s">
        <v>457</v>
      </c>
      <c r="G183" s="510" t="s">
        <v>142</v>
      </c>
      <c r="H183" s="484">
        <v>4</v>
      </c>
      <c r="I183" s="484">
        <v>3</v>
      </c>
      <c r="J183" s="484">
        <v>3</v>
      </c>
      <c r="K183" s="482">
        <v>2269.65</v>
      </c>
      <c r="L183" s="482">
        <v>2269.65</v>
      </c>
      <c r="M183" s="482">
        <v>0</v>
      </c>
      <c r="N183" s="484">
        <v>0</v>
      </c>
      <c r="O183" s="482">
        <v>0</v>
      </c>
      <c r="P183" s="482">
        <v>0</v>
      </c>
      <c r="Q183" s="482">
        <v>0</v>
      </c>
    </row>
    <row r="184" spans="1:17" ht="15.75" customHeight="1" x14ac:dyDescent="0.2">
      <c r="A184" s="526">
        <v>176</v>
      </c>
      <c r="B184" s="484" t="s">
        <v>251</v>
      </c>
      <c r="C184" s="516" t="s">
        <v>62</v>
      </c>
      <c r="D184" s="484"/>
      <c r="E184" s="486" t="s">
        <v>761</v>
      </c>
      <c r="F184" s="486" t="s">
        <v>458</v>
      </c>
      <c r="G184" s="510" t="s">
        <v>142</v>
      </c>
      <c r="H184" s="484">
        <v>6</v>
      </c>
      <c r="I184" s="484">
        <v>3</v>
      </c>
      <c r="J184" s="484">
        <v>3</v>
      </c>
      <c r="K184" s="482">
        <v>3434.7</v>
      </c>
      <c r="L184" s="482">
        <v>3434.7</v>
      </c>
      <c r="M184" s="482">
        <v>0</v>
      </c>
      <c r="N184" s="484">
        <v>0</v>
      </c>
      <c r="O184" s="482">
        <v>0</v>
      </c>
      <c r="P184" s="482">
        <v>0</v>
      </c>
      <c r="Q184" s="482">
        <v>0</v>
      </c>
    </row>
    <row r="185" spans="1:17" ht="15.75" customHeight="1" x14ac:dyDescent="0.2">
      <c r="A185" s="526">
        <v>177</v>
      </c>
      <c r="B185" s="484" t="s">
        <v>30</v>
      </c>
      <c r="C185" s="516" t="s">
        <v>62</v>
      </c>
      <c r="D185" s="484"/>
      <c r="E185" s="486" t="s">
        <v>767</v>
      </c>
      <c r="F185" s="486" t="s">
        <v>460</v>
      </c>
      <c r="G185" s="510" t="s">
        <v>142</v>
      </c>
      <c r="H185" s="484">
        <v>1</v>
      </c>
      <c r="I185" s="484">
        <v>0</v>
      </c>
      <c r="J185" s="484">
        <v>0</v>
      </c>
      <c r="K185" s="482">
        <v>0</v>
      </c>
      <c r="L185" s="482">
        <v>0</v>
      </c>
      <c r="M185" s="482">
        <v>0</v>
      </c>
      <c r="N185" s="484">
        <v>0</v>
      </c>
      <c r="O185" s="482">
        <v>0</v>
      </c>
      <c r="P185" s="482">
        <v>0</v>
      </c>
      <c r="Q185" s="482">
        <v>0</v>
      </c>
    </row>
    <row r="186" spans="1:17" ht="15.75" customHeight="1" x14ac:dyDescent="0.2">
      <c r="A186" s="526">
        <v>178</v>
      </c>
      <c r="B186" s="484" t="s">
        <v>35</v>
      </c>
      <c r="C186" s="516" t="s">
        <v>62</v>
      </c>
      <c r="D186" s="484"/>
      <c r="E186" s="486" t="s">
        <v>768</v>
      </c>
      <c r="F186" s="486" t="s">
        <v>462</v>
      </c>
      <c r="G186" s="510" t="s">
        <v>142</v>
      </c>
      <c r="H186" s="484">
        <v>1</v>
      </c>
      <c r="I186" s="484">
        <v>0</v>
      </c>
      <c r="J186" s="484">
        <v>0</v>
      </c>
      <c r="K186" s="482">
        <v>0</v>
      </c>
      <c r="L186" s="482">
        <v>0</v>
      </c>
      <c r="M186" s="482">
        <v>0</v>
      </c>
      <c r="N186" s="484">
        <v>0</v>
      </c>
      <c r="O186" s="482">
        <v>0</v>
      </c>
      <c r="P186" s="482">
        <v>0</v>
      </c>
      <c r="Q186" s="482">
        <v>0</v>
      </c>
    </row>
    <row r="187" spans="1:17" ht="15.75" customHeight="1" x14ac:dyDescent="0.2">
      <c r="A187" s="526">
        <v>179</v>
      </c>
      <c r="B187" s="484" t="s">
        <v>769</v>
      </c>
      <c r="C187" s="516" t="s">
        <v>62</v>
      </c>
      <c r="D187" s="484"/>
      <c r="E187" s="486" t="s">
        <v>770</v>
      </c>
      <c r="F187" s="486" t="s">
        <v>771</v>
      </c>
      <c r="G187" s="510" t="s">
        <v>142</v>
      </c>
      <c r="H187" s="484">
        <v>1</v>
      </c>
      <c r="I187" s="484">
        <v>0</v>
      </c>
      <c r="J187" s="484">
        <v>0</v>
      </c>
      <c r="K187" s="482">
        <v>0</v>
      </c>
      <c r="L187" s="482">
        <v>0</v>
      </c>
      <c r="M187" s="482">
        <v>0</v>
      </c>
      <c r="N187" s="484">
        <v>0</v>
      </c>
      <c r="O187" s="482">
        <v>0</v>
      </c>
      <c r="P187" s="482">
        <v>0</v>
      </c>
      <c r="Q187" s="482">
        <v>0</v>
      </c>
    </row>
    <row r="188" spans="1:17" ht="15.75" customHeight="1" x14ac:dyDescent="0.2">
      <c r="A188" s="526">
        <v>180</v>
      </c>
      <c r="B188" s="556" t="s">
        <v>134</v>
      </c>
      <c r="C188" s="557" t="s">
        <v>62</v>
      </c>
      <c r="D188" s="558"/>
      <c r="E188" s="486" t="s">
        <v>158</v>
      </c>
      <c r="F188" s="556" t="s">
        <v>408</v>
      </c>
      <c r="G188" s="556" t="s">
        <v>409</v>
      </c>
      <c r="H188" s="550">
        <v>28</v>
      </c>
      <c r="I188" s="550">
        <v>11</v>
      </c>
      <c r="J188" s="550">
        <v>11</v>
      </c>
      <c r="K188" s="551">
        <v>11668.56</v>
      </c>
      <c r="L188" s="551">
        <v>11668.56</v>
      </c>
      <c r="M188" s="482">
        <v>0</v>
      </c>
      <c r="N188" s="550">
        <v>10</v>
      </c>
      <c r="O188" s="551">
        <v>24976.5</v>
      </c>
      <c r="P188" s="551">
        <v>24976.5</v>
      </c>
      <c r="Q188" s="482">
        <v>0</v>
      </c>
    </row>
    <row r="189" spans="1:17" ht="15.75" customHeight="1" x14ac:dyDescent="0.2">
      <c r="A189" s="526">
        <v>181</v>
      </c>
      <c r="B189" s="556" t="s">
        <v>335</v>
      </c>
      <c r="C189" s="557" t="s">
        <v>62</v>
      </c>
      <c r="D189" s="558"/>
      <c r="E189" s="486" t="s">
        <v>158</v>
      </c>
      <c r="F189" s="556" t="s">
        <v>410</v>
      </c>
      <c r="G189" s="556" t="s">
        <v>409</v>
      </c>
      <c r="H189" s="550">
        <v>18</v>
      </c>
      <c r="I189" s="550">
        <v>4</v>
      </c>
      <c r="J189" s="550">
        <v>4</v>
      </c>
      <c r="K189" s="551">
        <v>10075.39</v>
      </c>
      <c r="L189" s="551">
        <v>10075.39</v>
      </c>
      <c r="M189" s="482">
        <v>0</v>
      </c>
      <c r="N189" s="550">
        <v>13</v>
      </c>
      <c r="O189" s="551">
        <v>20140.7</v>
      </c>
      <c r="P189" s="551">
        <v>20140.7</v>
      </c>
      <c r="Q189" s="482">
        <v>0</v>
      </c>
    </row>
    <row r="190" spans="1:17" ht="15.75" customHeight="1" x14ac:dyDescent="0.2">
      <c r="A190" s="526">
        <v>182</v>
      </c>
      <c r="B190" s="556" t="s">
        <v>46</v>
      </c>
      <c r="C190" s="557" t="s">
        <v>62</v>
      </c>
      <c r="D190" s="558"/>
      <c r="E190" s="486" t="s">
        <v>678</v>
      </c>
      <c r="F190" s="556" t="s">
        <v>411</v>
      </c>
      <c r="G190" s="556" t="s">
        <v>409</v>
      </c>
      <c r="H190" s="550">
        <v>41</v>
      </c>
      <c r="I190" s="550">
        <v>25</v>
      </c>
      <c r="J190" s="550">
        <v>25</v>
      </c>
      <c r="K190" s="551">
        <v>43817.5</v>
      </c>
      <c r="L190" s="551">
        <v>43817.5</v>
      </c>
      <c r="M190" s="482">
        <v>0</v>
      </c>
      <c r="N190" s="550">
        <v>22</v>
      </c>
      <c r="O190" s="551">
        <v>36901.160000000003</v>
      </c>
      <c r="P190" s="551">
        <v>36901.160000000003</v>
      </c>
      <c r="Q190" s="482">
        <v>0</v>
      </c>
    </row>
    <row r="191" spans="1:17" ht="15.75" customHeight="1" x14ac:dyDescent="0.2">
      <c r="A191" s="526">
        <v>183</v>
      </c>
      <c r="B191" s="556" t="s">
        <v>36</v>
      </c>
      <c r="C191" s="557" t="s">
        <v>62</v>
      </c>
      <c r="D191" s="558"/>
      <c r="E191" s="486" t="s">
        <v>158</v>
      </c>
      <c r="F191" s="556" t="s">
        <v>412</v>
      </c>
      <c r="G191" s="556" t="s">
        <v>409</v>
      </c>
      <c r="H191" s="550">
        <v>29</v>
      </c>
      <c r="I191" s="550">
        <v>20</v>
      </c>
      <c r="J191" s="550">
        <v>20</v>
      </c>
      <c r="K191" s="551">
        <v>36461.949999999997</v>
      </c>
      <c r="L191" s="551">
        <v>36461.949999999997</v>
      </c>
      <c r="M191" s="482">
        <v>0</v>
      </c>
      <c r="N191" s="550">
        <v>25</v>
      </c>
      <c r="O191" s="551">
        <v>70762.62</v>
      </c>
      <c r="P191" s="551">
        <v>70762.62</v>
      </c>
      <c r="Q191" s="482">
        <v>0</v>
      </c>
    </row>
    <row r="192" spans="1:17" ht="15.75" customHeight="1" x14ac:dyDescent="0.2">
      <c r="A192" s="526">
        <v>184</v>
      </c>
      <c r="B192" s="556" t="s">
        <v>27</v>
      </c>
      <c r="C192" s="557" t="s">
        <v>62</v>
      </c>
      <c r="D192" s="558"/>
      <c r="E192" s="486" t="s">
        <v>158</v>
      </c>
      <c r="F192" s="556" t="s">
        <v>413</v>
      </c>
      <c r="G192" s="556" t="s">
        <v>409</v>
      </c>
      <c r="H192" s="550">
        <v>12</v>
      </c>
      <c r="I192" s="550">
        <v>9</v>
      </c>
      <c r="J192" s="550">
        <v>9</v>
      </c>
      <c r="K192" s="551">
        <v>15819.14</v>
      </c>
      <c r="L192" s="551">
        <v>15169.37</v>
      </c>
      <c r="M192" s="482">
        <v>649.77</v>
      </c>
      <c r="N192" s="550">
        <v>10</v>
      </c>
      <c r="O192" s="551">
        <v>19563.2</v>
      </c>
      <c r="P192" s="551">
        <v>19563.2</v>
      </c>
      <c r="Q192" s="482">
        <v>0</v>
      </c>
    </row>
    <row r="193" spans="1:17" ht="15.75" customHeight="1" x14ac:dyDescent="0.2">
      <c r="A193" s="526">
        <v>185</v>
      </c>
      <c r="B193" s="556" t="s">
        <v>28</v>
      </c>
      <c r="C193" s="557" t="s">
        <v>62</v>
      </c>
      <c r="D193" s="558"/>
      <c r="E193" s="486" t="s">
        <v>158</v>
      </c>
      <c r="F193" s="556" t="s">
        <v>414</v>
      </c>
      <c r="G193" s="556" t="s">
        <v>409</v>
      </c>
      <c r="H193" s="550">
        <v>31</v>
      </c>
      <c r="I193" s="550">
        <v>21</v>
      </c>
      <c r="J193" s="550">
        <v>21</v>
      </c>
      <c r="K193" s="551">
        <v>31030.02</v>
      </c>
      <c r="L193" s="551">
        <v>31030.02</v>
      </c>
      <c r="M193" s="482">
        <v>0</v>
      </c>
      <c r="N193" s="550">
        <v>16</v>
      </c>
      <c r="O193" s="551">
        <v>26212.25</v>
      </c>
      <c r="P193" s="551">
        <v>26212.25</v>
      </c>
      <c r="Q193" s="482">
        <v>0</v>
      </c>
    </row>
    <row r="194" spans="1:17" ht="15.75" customHeight="1" x14ac:dyDescent="0.2">
      <c r="A194" s="526">
        <v>186</v>
      </c>
      <c r="B194" s="532" t="s">
        <v>246</v>
      </c>
      <c r="C194" s="533" t="s">
        <v>62</v>
      </c>
      <c r="D194" s="534"/>
      <c r="E194" s="486" t="s">
        <v>158</v>
      </c>
      <c r="F194" s="532" t="s">
        <v>415</v>
      </c>
      <c r="G194" s="556" t="s">
        <v>409</v>
      </c>
      <c r="H194" s="550">
        <v>27</v>
      </c>
      <c r="I194" s="550">
        <v>7</v>
      </c>
      <c r="J194" s="550">
        <v>7</v>
      </c>
      <c r="K194" s="551">
        <v>7611.84</v>
      </c>
      <c r="L194" s="551">
        <v>7611.84</v>
      </c>
      <c r="M194" s="482">
        <v>0</v>
      </c>
      <c r="N194" s="550">
        <v>0</v>
      </c>
      <c r="O194" s="551">
        <v>0</v>
      </c>
      <c r="P194" s="551">
        <v>0</v>
      </c>
      <c r="Q194" s="482">
        <v>0</v>
      </c>
    </row>
    <row r="195" spans="1:17" ht="15.75" customHeight="1" x14ac:dyDescent="0.2">
      <c r="A195" s="526">
        <v>187</v>
      </c>
      <c r="B195" s="556" t="s">
        <v>330</v>
      </c>
      <c r="C195" s="533" t="s">
        <v>62</v>
      </c>
      <c r="D195" s="534"/>
      <c r="E195" s="486" t="s">
        <v>158</v>
      </c>
      <c r="F195" s="532" t="s">
        <v>416</v>
      </c>
      <c r="G195" s="556" t="s">
        <v>409</v>
      </c>
      <c r="H195" s="550">
        <v>10</v>
      </c>
      <c r="I195" s="550">
        <v>2</v>
      </c>
      <c r="J195" s="550">
        <v>2</v>
      </c>
      <c r="K195" s="551">
        <v>4050.2</v>
      </c>
      <c r="L195" s="551">
        <v>4050.2</v>
      </c>
      <c r="M195" s="482">
        <v>0</v>
      </c>
      <c r="N195" s="550">
        <v>0</v>
      </c>
      <c r="O195" s="551">
        <v>0</v>
      </c>
      <c r="P195" s="551">
        <v>0</v>
      </c>
      <c r="Q195" s="482">
        <v>0</v>
      </c>
    </row>
    <row r="196" spans="1:17" ht="15.75" customHeight="1" x14ac:dyDescent="0.2">
      <c r="A196" s="526">
        <v>188</v>
      </c>
      <c r="B196" s="556" t="s">
        <v>402</v>
      </c>
      <c r="C196" s="533" t="s">
        <v>62</v>
      </c>
      <c r="D196" s="534"/>
      <c r="E196" s="486" t="s">
        <v>158</v>
      </c>
      <c r="F196" s="532" t="s">
        <v>417</v>
      </c>
      <c r="G196" s="556" t="s">
        <v>409</v>
      </c>
      <c r="H196" s="550">
        <v>22</v>
      </c>
      <c r="I196" s="550">
        <v>14</v>
      </c>
      <c r="J196" s="550">
        <v>14</v>
      </c>
      <c r="K196" s="551">
        <v>28917.64</v>
      </c>
      <c r="L196" s="551">
        <v>28917.64</v>
      </c>
      <c r="M196" s="482">
        <v>0</v>
      </c>
      <c r="N196" s="550">
        <v>0</v>
      </c>
      <c r="O196" s="551">
        <v>0</v>
      </c>
      <c r="P196" s="551">
        <v>0</v>
      </c>
      <c r="Q196" s="482">
        <v>0</v>
      </c>
    </row>
    <row r="197" spans="1:17" ht="15.75" customHeight="1" x14ac:dyDescent="0.2">
      <c r="A197" s="526">
        <v>189</v>
      </c>
      <c r="B197" s="556" t="s">
        <v>154</v>
      </c>
      <c r="C197" s="533" t="s">
        <v>62</v>
      </c>
      <c r="D197" s="534"/>
      <c r="E197" s="556" t="s">
        <v>158</v>
      </c>
      <c r="F197" s="532" t="s">
        <v>418</v>
      </c>
      <c r="G197" s="556" t="s">
        <v>409</v>
      </c>
      <c r="H197" s="550">
        <v>11</v>
      </c>
      <c r="I197" s="550">
        <v>3</v>
      </c>
      <c r="J197" s="550">
        <v>3</v>
      </c>
      <c r="K197" s="551">
        <v>4422.95</v>
      </c>
      <c r="L197" s="551">
        <v>4422.95</v>
      </c>
      <c r="M197" s="482">
        <v>0</v>
      </c>
      <c r="N197" s="550">
        <v>9</v>
      </c>
      <c r="O197" s="551">
        <v>14857.9</v>
      </c>
      <c r="P197" s="551">
        <v>14857.9</v>
      </c>
      <c r="Q197" s="482">
        <v>0</v>
      </c>
    </row>
    <row r="198" spans="1:17" ht="15.75" customHeight="1" x14ac:dyDescent="0.2">
      <c r="A198" s="526">
        <v>190</v>
      </c>
      <c r="B198" s="556" t="s">
        <v>153</v>
      </c>
      <c r="C198" s="533" t="s">
        <v>62</v>
      </c>
      <c r="D198" s="534"/>
      <c r="E198" s="486" t="s">
        <v>158</v>
      </c>
      <c r="F198" s="532" t="s">
        <v>419</v>
      </c>
      <c r="G198" s="556" t="s">
        <v>409</v>
      </c>
      <c r="H198" s="550">
        <v>4</v>
      </c>
      <c r="I198" s="550">
        <v>1</v>
      </c>
      <c r="J198" s="550">
        <v>1</v>
      </c>
      <c r="K198" s="551">
        <v>1635.8</v>
      </c>
      <c r="L198" s="551">
        <v>1635.8</v>
      </c>
      <c r="M198" s="482">
        <v>0</v>
      </c>
      <c r="N198" s="550">
        <v>18</v>
      </c>
      <c r="O198" s="551">
        <v>63052.81</v>
      </c>
      <c r="P198" s="551">
        <v>63052.81</v>
      </c>
      <c r="Q198" s="482">
        <v>0</v>
      </c>
    </row>
    <row r="199" spans="1:17" ht="15.75" customHeight="1" x14ac:dyDescent="0.2">
      <c r="A199" s="526">
        <v>191</v>
      </c>
      <c r="B199" s="556" t="s">
        <v>89</v>
      </c>
      <c r="C199" s="533" t="s">
        <v>62</v>
      </c>
      <c r="D199" s="534"/>
      <c r="E199" s="486" t="s">
        <v>158</v>
      </c>
      <c r="F199" s="532" t="s">
        <v>420</v>
      </c>
      <c r="G199" s="556" t="s">
        <v>409</v>
      </c>
      <c r="H199" s="550">
        <v>14</v>
      </c>
      <c r="I199" s="550">
        <v>7</v>
      </c>
      <c r="J199" s="550">
        <v>7</v>
      </c>
      <c r="K199" s="551">
        <v>11093.25</v>
      </c>
      <c r="L199" s="551">
        <v>11093.25</v>
      </c>
      <c r="M199" s="482">
        <v>0</v>
      </c>
      <c r="N199" s="550">
        <v>4</v>
      </c>
      <c r="O199" s="551">
        <v>12828.6</v>
      </c>
      <c r="P199" s="551">
        <v>12828.6</v>
      </c>
      <c r="Q199" s="482">
        <v>0</v>
      </c>
    </row>
    <row r="200" spans="1:17" ht="15.75" customHeight="1" x14ac:dyDescent="0.2">
      <c r="A200" s="526">
        <v>192</v>
      </c>
      <c r="B200" s="556" t="s">
        <v>379</v>
      </c>
      <c r="C200" s="533" t="s">
        <v>62</v>
      </c>
      <c r="D200" s="534"/>
      <c r="E200" s="486" t="s">
        <v>158</v>
      </c>
      <c r="F200" s="532" t="s">
        <v>421</v>
      </c>
      <c r="G200" s="556" t="s">
        <v>409</v>
      </c>
      <c r="H200" s="550">
        <v>10</v>
      </c>
      <c r="I200" s="550">
        <v>6</v>
      </c>
      <c r="J200" s="550">
        <v>6</v>
      </c>
      <c r="K200" s="551">
        <v>7132.7</v>
      </c>
      <c r="L200" s="551">
        <v>7132.7</v>
      </c>
      <c r="M200" s="482">
        <v>0</v>
      </c>
      <c r="N200" s="550">
        <v>0</v>
      </c>
      <c r="O200" s="551">
        <v>0</v>
      </c>
      <c r="P200" s="551">
        <v>0</v>
      </c>
      <c r="Q200" s="482">
        <v>0</v>
      </c>
    </row>
    <row r="201" spans="1:17" ht="15.75" customHeight="1" x14ac:dyDescent="0.2">
      <c r="A201" s="526">
        <v>193</v>
      </c>
      <c r="B201" s="556" t="s">
        <v>264</v>
      </c>
      <c r="C201" s="533" t="s">
        <v>62</v>
      </c>
      <c r="D201" s="534"/>
      <c r="E201" s="486" t="s">
        <v>158</v>
      </c>
      <c r="F201" s="532" t="s">
        <v>422</v>
      </c>
      <c r="G201" s="556" t="s">
        <v>409</v>
      </c>
      <c r="H201" s="550">
        <v>3</v>
      </c>
      <c r="I201" s="550">
        <v>0</v>
      </c>
      <c r="J201" s="550">
        <v>0</v>
      </c>
      <c r="K201" s="551">
        <v>0</v>
      </c>
      <c r="L201" s="551">
        <v>0</v>
      </c>
      <c r="M201" s="482">
        <v>0</v>
      </c>
      <c r="N201" s="550">
        <v>0</v>
      </c>
      <c r="O201" s="551">
        <v>0</v>
      </c>
      <c r="P201" s="551">
        <v>0</v>
      </c>
      <c r="Q201" s="482">
        <v>0</v>
      </c>
    </row>
    <row r="202" spans="1:17" ht="15.75" customHeight="1" x14ac:dyDescent="0.2">
      <c r="A202" s="526">
        <v>194</v>
      </c>
      <c r="B202" s="556" t="s">
        <v>475</v>
      </c>
      <c r="C202" s="533" t="s">
        <v>67</v>
      </c>
      <c r="D202" s="558" t="s">
        <v>123</v>
      </c>
      <c r="E202" s="556" t="s">
        <v>158</v>
      </c>
      <c r="F202" s="532" t="s">
        <v>423</v>
      </c>
      <c r="G202" s="556" t="s">
        <v>409</v>
      </c>
      <c r="H202" s="550">
        <v>3</v>
      </c>
      <c r="I202" s="550">
        <v>0</v>
      </c>
      <c r="J202" s="550">
        <v>0</v>
      </c>
      <c r="K202" s="551">
        <v>0</v>
      </c>
      <c r="L202" s="551">
        <v>0</v>
      </c>
      <c r="M202" s="482">
        <v>0</v>
      </c>
      <c r="N202" s="550">
        <v>0</v>
      </c>
      <c r="O202" s="551">
        <v>0</v>
      </c>
      <c r="P202" s="551">
        <v>0</v>
      </c>
      <c r="Q202" s="482">
        <v>0</v>
      </c>
    </row>
    <row r="203" spans="1:17" ht="15.75" customHeight="1" x14ac:dyDescent="0.2">
      <c r="A203" s="526">
        <v>195</v>
      </c>
      <c r="B203" s="556" t="s">
        <v>137</v>
      </c>
      <c r="C203" s="533" t="s">
        <v>62</v>
      </c>
      <c r="D203" s="534"/>
      <c r="E203" s="556" t="s">
        <v>158</v>
      </c>
      <c r="F203" s="532" t="s">
        <v>424</v>
      </c>
      <c r="G203" s="556" t="s">
        <v>409</v>
      </c>
      <c r="H203" s="550">
        <v>6</v>
      </c>
      <c r="I203" s="550">
        <v>2</v>
      </c>
      <c r="J203" s="550">
        <v>2</v>
      </c>
      <c r="K203" s="551">
        <v>2243.8200000000002</v>
      </c>
      <c r="L203" s="551">
        <v>2243.8200000000002</v>
      </c>
      <c r="M203" s="482">
        <v>0</v>
      </c>
      <c r="N203" s="550">
        <v>1</v>
      </c>
      <c r="O203" s="551">
        <v>2393.3000000000002</v>
      </c>
      <c r="P203" s="551">
        <v>2393.3000000000002</v>
      </c>
      <c r="Q203" s="482">
        <v>0</v>
      </c>
    </row>
    <row r="204" spans="1:17" ht="15.75" customHeight="1" x14ac:dyDescent="0.2">
      <c r="A204" s="526">
        <v>196</v>
      </c>
      <c r="B204" s="556" t="s">
        <v>173</v>
      </c>
      <c r="C204" s="533" t="s">
        <v>67</v>
      </c>
      <c r="D204" s="484" t="s">
        <v>478</v>
      </c>
      <c r="E204" s="486" t="s">
        <v>158</v>
      </c>
      <c r="F204" s="532" t="s">
        <v>426</v>
      </c>
      <c r="G204" s="556" t="s">
        <v>409</v>
      </c>
      <c r="H204" s="550">
        <v>14</v>
      </c>
      <c r="I204" s="550">
        <v>8</v>
      </c>
      <c r="J204" s="550">
        <v>8</v>
      </c>
      <c r="K204" s="551">
        <v>13701.62</v>
      </c>
      <c r="L204" s="551">
        <v>13701.62</v>
      </c>
      <c r="M204" s="482">
        <v>0</v>
      </c>
      <c r="N204" s="550">
        <v>0</v>
      </c>
      <c r="O204" s="551">
        <v>0</v>
      </c>
      <c r="P204" s="551">
        <v>0</v>
      </c>
      <c r="Q204" s="482">
        <v>0</v>
      </c>
    </row>
    <row r="205" spans="1:17" ht="15.75" customHeight="1" x14ac:dyDescent="0.2">
      <c r="A205" s="526">
        <v>197</v>
      </c>
      <c r="B205" s="556" t="s">
        <v>135</v>
      </c>
      <c r="C205" s="533" t="s">
        <v>62</v>
      </c>
      <c r="D205" s="534"/>
      <c r="E205" s="486" t="s">
        <v>158</v>
      </c>
      <c r="F205" s="532" t="s">
        <v>427</v>
      </c>
      <c r="G205" s="556" t="s">
        <v>409</v>
      </c>
      <c r="H205" s="550">
        <v>7</v>
      </c>
      <c r="I205" s="550">
        <v>3</v>
      </c>
      <c r="J205" s="550">
        <v>3</v>
      </c>
      <c r="K205" s="551">
        <v>3524.92</v>
      </c>
      <c r="L205" s="551">
        <v>2396.3200000000002</v>
      </c>
      <c r="M205" s="482">
        <v>1128.5999999999999</v>
      </c>
      <c r="N205" s="550">
        <v>13</v>
      </c>
      <c r="O205" s="551">
        <v>29153.119999999999</v>
      </c>
      <c r="P205" s="551">
        <v>21917.97</v>
      </c>
      <c r="Q205" s="482">
        <v>7235.15</v>
      </c>
    </row>
    <row r="206" spans="1:17" ht="15.75" customHeight="1" x14ac:dyDescent="0.2">
      <c r="A206" s="526">
        <v>198</v>
      </c>
      <c r="B206" s="556" t="s">
        <v>148</v>
      </c>
      <c r="C206" s="533" t="s">
        <v>62</v>
      </c>
      <c r="D206" s="534"/>
      <c r="E206" s="556" t="s">
        <v>719</v>
      </c>
      <c r="F206" s="532" t="s">
        <v>375</v>
      </c>
      <c r="G206" s="556" t="s">
        <v>409</v>
      </c>
      <c r="H206" s="550">
        <v>26</v>
      </c>
      <c r="I206" s="550">
        <v>20</v>
      </c>
      <c r="J206" s="550">
        <v>20</v>
      </c>
      <c r="K206" s="551">
        <v>58526.37</v>
      </c>
      <c r="L206" s="551">
        <v>58526.37</v>
      </c>
      <c r="M206" s="482">
        <v>0</v>
      </c>
      <c r="N206" s="550">
        <v>30</v>
      </c>
      <c r="O206" s="551">
        <v>92970.89</v>
      </c>
      <c r="P206" s="551">
        <v>92970.89</v>
      </c>
      <c r="Q206" s="482">
        <v>0</v>
      </c>
    </row>
    <row r="207" spans="1:17" ht="15.75" customHeight="1" x14ac:dyDescent="0.2">
      <c r="A207" s="526">
        <v>199</v>
      </c>
      <c r="B207" s="556" t="s">
        <v>147</v>
      </c>
      <c r="C207" s="533" t="s">
        <v>62</v>
      </c>
      <c r="D207" s="534"/>
      <c r="E207" s="486" t="s">
        <v>158</v>
      </c>
      <c r="F207" s="532" t="s">
        <v>331</v>
      </c>
      <c r="G207" s="556" t="s">
        <v>409</v>
      </c>
      <c r="H207" s="550">
        <v>10</v>
      </c>
      <c r="I207" s="550">
        <v>3</v>
      </c>
      <c r="J207" s="550">
        <v>3</v>
      </c>
      <c r="K207" s="551">
        <v>6204.1</v>
      </c>
      <c r="L207" s="551">
        <v>4915.3999999999996</v>
      </c>
      <c r="M207" s="482">
        <v>1288.7</v>
      </c>
      <c r="N207" s="550">
        <v>10</v>
      </c>
      <c r="O207" s="551">
        <v>22395.4</v>
      </c>
      <c r="P207" s="551">
        <v>22395.4</v>
      </c>
      <c r="Q207" s="482">
        <v>0</v>
      </c>
    </row>
    <row r="208" spans="1:17" ht="15.75" customHeight="1" x14ac:dyDescent="0.2">
      <c r="A208" s="526">
        <v>200</v>
      </c>
      <c r="B208" s="556" t="s">
        <v>124</v>
      </c>
      <c r="C208" s="533" t="s">
        <v>62</v>
      </c>
      <c r="D208" s="534"/>
      <c r="E208" s="556" t="s">
        <v>720</v>
      </c>
      <c r="F208" s="532" t="s">
        <v>329</v>
      </c>
      <c r="G208" s="556" t="s">
        <v>409</v>
      </c>
      <c r="H208" s="550">
        <v>17</v>
      </c>
      <c r="I208" s="550">
        <v>11</v>
      </c>
      <c r="J208" s="550">
        <v>11</v>
      </c>
      <c r="K208" s="551">
        <v>14887.37</v>
      </c>
      <c r="L208" s="551">
        <v>14887.37</v>
      </c>
      <c r="M208" s="482">
        <v>0</v>
      </c>
      <c r="N208" s="550">
        <v>26</v>
      </c>
      <c r="O208" s="551">
        <v>35829.449999999997</v>
      </c>
      <c r="P208" s="551">
        <v>35829.449999999997</v>
      </c>
      <c r="Q208" s="482">
        <v>0</v>
      </c>
    </row>
    <row r="209" spans="1:17" ht="15.75" customHeight="1" x14ac:dyDescent="0.2">
      <c r="A209" s="526">
        <v>201</v>
      </c>
      <c r="B209" s="556" t="s">
        <v>168</v>
      </c>
      <c r="C209" s="533" t="s">
        <v>62</v>
      </c>
      <c r="D209" s="534"/>
      <c r="E209" s="532" t="s">
        <v>371</v>
      </c>
      <c r="F209" s="532" t="s">
        <v>353</v>
      </c>
      <c r="G209" s="556" t="s">
        <v>409</v>
      </c>
      <c r="H209" s="550">
        <v>11</v>
      </c>
      <c r="I209" s="550">
        <v>1</v>
      </c>
      <c r="J209" s="550">
        <v>1</v>
      </c>
      <c r="K209" s="551">
        <v>1409.6</v>
      </c>
      <c r="L209" s="551">
        <v>1409.6</v>
      </c>
      <c r="M209" s="482">
        <v>0</v>
      </c>
      <c r="N209" s="550">
        <v>0</v>
      </c>
      <c r="O209" s="551">
        <v>0</v>
      </c>
      <c r="P209" s="551">
        <v>0</v>
      </c>
      <c r="Q209" s="482">
        <v>0</v>
      </c>
    </row>
    <row r="210" spans="1:17" ht="15.75" customHeight="1" x14ac:dyDescent="0.2">
      <c r="A210" s="526">
        <v>202</v>
      </c>
      <c r="B210" s="556" t="s">
        <v>429</v>
      </c>
      <c r="C210" s="533" t="s">
        <v>62</v>
      </c>
      <c r="D210" s="534"/>
      <c r="E210" s="486" t="s">
        <v>158</v>
      </c>
      <c r="F210" s="532" t="s">
        <v>430</v>
      </c>
      <c r="G210" s="556" t="s">
        <v>409</v>
      </c>
      <c r="H210" s="550">
        <v>10</v>
      </c>
      <c r="I210" s="550">
        <v>3</v>
      </c>
      <c r="J210" s="550">
        <v>3</v>
      </c>
      <c r="K210" s="551">
        <v>5178.84</v>
      </c>
      <c r="L210" s="551">
        <v>5178.84</v>
      </c>
      <c r="M210" s="482">
        <v>0</v>
      </c>
      <c r="N210" s="550">
        <v>7</v>
      </c>
      <c r="O210" s="551">
        <v>6995.76</v>
      </c>
      <c r="P210" s="551">
        <v>6995.76</v>
      </c>
      <c r="Q210" s="482">
        <v>0</v>
      </c>
    </row>
    <row r="211" spans="1:17" ht="15.75" customHeight="1" x14ac:dyDescent="0.2">
      <c r="A211" s="526">
        <v>203</v>
      </c>
      <c r="B211" s="556" t="s">
        <v>130</v>
      </c>
      <c r="C211" s="533" t="s">
        <v>62</v>
      </c>
      <c r="D211" s="534"/>
      <c r="E211" s="486" t="s">
        <v>158</v>
      </c>
      <c r="F211" s="532" t="s">
        <v>431</v>
      </c>
      <c r="G211" s="556" t="s">
        <v>409</v>
      </c>
      <c r="H211" s="550">
        <v>7</v>
      </c>
      <c r="I211" s="550">
        <v>4</v>
      </c>
      <c r="J211" s="550">
        <v>4</v>
      </c>
      <c r="K211" s="551">
        <v>5204.2</v>
      </c>
      <c r="L211" s="551">
        <v>5204.2</v>
      </c>
      <c r="M211" s="482">
        <v>0</v>
      </c>
      <c r="N211" s="550">
        <v>5</v>
      </c>
      <c r="O211" s="551">
        <v>10391.459999999999</v>
      </c>
      <c r="P211" s="551">
        <v>10391.459999999999</v>
      </c>
      <c r="Q211" s="482">
        <v>0</v>
      </c>
    </row>
    <row r="212" spans="1:17" ht="15.75" customHeight="1" x14ac:dyDescent="0.2">
      <c r="A212" s="526">
        <v>204</v>
      </c>
      <c r="B212" s="556" t="s">
        <v>32</v>
      </c>
      <c r="C212" s="533" t="s">
        <v>62</v>
      </c>
      <c r="D212" s="534"/>
      <c r="E212" s="486" t="s">
        <v>158</v>
      </c>
      <c r="F212" s="532" t="s">
        <v>432</v>
      </c>
      <c r="G212" s="556" t="s">
        <v>409</v>
      </c>
      <c r="H212" s="550">
        <v>15</v>
      </c>
      <c r="I212" s="550">
        <v>10</v>
      </c>
      <c r="J212" s="550">
        <v>10</v>
      </c>
      <c r="K212" s="551">
        <v>16181.42</v>
      </c>
      <c r="L212" s="551">
        <v>16181.42</v>
      </c>
      <c r="M212" s="482">
        <v>0</v>
      </c>
      <c r="N212" s="550">
        <v>9</v>
      </c>
      <c r="O212" s="551">
        <v>18778.12</v>
      </c>
      <c r="P212" s="551">
        <v>18778.12</v>
      </c>
      <c r="Q212" s="482">
        <v>0</v>
      </c>
    </row>
    <row r="213" spans="1:17" ht="15.75" customHeight="1" x14ac:dyDescent="0.2">
      <c r="A213" s="526">
        <v>205</v>
      </c>
      <c r="B213" s="556" t="s">
        <v>343</v>
      </c>
      <c r="C213" s="533" t="s">
        <v>62</v>
      </c>
      <c r="D213" s="534"/>
      <c r="E213" s="486" t="s">
        <v>158</v>
      </c>
      <c r="F213" s="532" t="s">
        <v>433</v>
      </c>
      <c r="G213" s="556" t="s">
        <v>409</v>
      </c>
      <c r="H213" s="550">
        <v>16</v>
      </c>
      <c r="I213" s="550">
        <v>12</v>
      </c>
      <c r="J213" s="550">
        <v>12</v>
      </c>
      <c r="K213" s="551">
        <v>20615</v>
      </c>
      <c r="L213" s="551">
        <v>18037.599999999999</v>
      </c>
      <c r="M213" s="482">
        <v>2577.4</v>
      </c>
      <c r="N213" s="550">
        <v>0</v>
      </c>
      <c r="O213" s="551">
        <v>0</v>
      </c>
      <c r="P213" s="551">
        <v>0</v>
      </c>
      <c r="Q213" s="482">
        <v>0</v>
      </c>
    </row>
    <row r="214" spans="1:17" ht="15.75" customHeight="1" x14ac:dyDescent="0.2">
      <c r="A214" s="526">
        <v>206</v>
      </c>
      <c r="B214" s="556" t="s">
        <v>290</v>
      </c>
      <c r="C214" s="533" t="s">
        <v>62</v>
      </c>
      <c r="D214" s="534"/>
      <c r="E214" s="532" t="s">
        <v>371</v>
      </c>
      <c r="F214" s="532" t="s">
        <v>434</v>
      </c>
      <c r="G214" s="556" t="s">
        <v>409</v>
      </c>
      <c r="H214" s="550">
        <v>6</v>
      </c>
      <c r="I214" s="550">
        <v>1</v>
      </c>
      <c r="J214" s="550">
        <v>1</v>
      </c>
      <c r="K214" s="551">
        <v>1585.8</v>
      </c>
      <c r="L214" s="551">
        <v>1585.8</v>
      </c>
      <c r="M214" s="482">
        <v>0</v>
      </c>
      <c r="N214" s="550">
        <v>0</v>
      </c>
      <c r="O214" s="551">
        <v>0</v>
      </c>
      <c r="P214" s="551">
        <v>0</v>
      </c>
      <c r="Q214" s="482">
        <v>0</v>
      </c>
    </row>
    <row r="215" spans="1:17" ht="15.75" customHeight="1" x14ac:dyDescent="0.2">
      <c r="A215" s="526">
        <v>207</v>
      </c>
      <c r="B215" s="556" t="s">
        <v>315</v>
      </c>
      <c r="C215" s="533" t="s">
        <v>62</v>
      </c>
      <c r="D215" s="534"/>
      <c r="E215" s="486" t="s">
        <v>158</v>
      </c>
      <c r="F215" s="532" t="s">
        <v>435</v>
      </c>
      <c r="G215" s="556" t="s">
        <v>409</v>
      </c>
      <c r="H215" s="550">
        <v>20</v>
      </c>
      <c r="I215" s="550">
        <v>6</v>
      </c>
      <c r="J215" s="550">
        <v>6</v>
      </c>
      <c r="K215" s="551">
        <v>13025.5</v>
      </c>
      <c r="L215" s="551">
        <v>4741</v>
      </c>
      <c r="M215" s="482">
        <v>8284.5</v>
      </c>
      <c r="N215" s="550">
        <v>6</v>
      </c>
      <c r="O215" s="551">
        <v>14019.72</v>
      </c>
      <c r="P215" s="551">
        <v>7208.02</v>
      </c>
      <c r="Q215" s="482">
        <v>6811.7</v>
      </c>
    </row>
    <row r="216" spans="1:17" ht="15.75" customHeight="1" x14ac:dyDescent="0.2">
      <c r="A216" s="526">
        <v>208</v>
      </c>
      <c r="B216" s="556" t="s">
        <v>216</v>
      </c>
      <c r="C216" s="533" t="s">
        <v>67</v>
      </c>
      <c r="D216" s="534" t="s">
        <v>436</v>
      </c>
      <c r="E216" s="486" t="s">
        <v>158</v>
      </c>
      <c r="F216" s="532" t="s">
        <v>437</v>
      </c>
      <c r="G216" s="556" t="s">
        <v>409</v>
      </c>
      <c r="H216" s="550">
        <v>20</v>
      </c>
      <c r="I216" s="550">
        <v>7</v>
      </c>
      <c r="J216" s="550">
        <v>7</v>
      </c>
      <c r="K216" s="551">
        <v>13299.66</v>
      </c>
      <c r="L216" s="551">
        <v>13299.66</v>
      </c>
      <c r="M216" s="482">
        <v>0</v>
      </c>
      <c r="N216" s="550">
        <v>0</v>
      </c>
      <c r="O216" s="551">
        <v>0</v>
      </c>
      <c r="P216" s="551">
        <v>0</v>
      </c>
      <c r="Q216" s="482">
        <v>0</v>
      </c>
    </row>
    <row r="217" spans="1:17" ht="15.75" customHeight="1" x14ac:dyDescent="0.2">
      <c r="A217" s="526">
        <v>209</v>
      </c>
      <c r="B217" s="556" t="s">
        <v>438</v>
      </c>
      <c r="C217" s="533" t="s">
        <v>62</v>
      </c>
      <c r="D217" s="534"/>
      <c r="E217" s="486" t="s">
        <v>158</v>
      </c>
      <c r="F217" s="532" t="s">
        <v>439</v>
      </c>
      <c r="G217" s="556" t="s">
        <v>409</v>
      </c>
      <c r="H217" s="550">
        <v>9</v>
      </c>
      <c r="I217" s="550">
        <v>1</v>
      </c>
      <c r="J217" s="550">
        <v>1</v>
      </c>
      <c r="K217" s="551">
        <v>3497.9</v>
      </c>
      <c r="L217" s="551">
        <v>3497.9</v>
      </c>
      <c r="M217" s="482">
        <v>0</v>
      </c>
      <c r="N217" s="550">
        <v>0</v>
      </c>
      <c r="O217" s="551">
        <v>0</v>
      </c>
      <c r="P217" s="551">
        <v>0</v>
      </c>
      <c r="Q217" s="482">
        <v>0</v>
      </c>
    </row>
    <row r="218" spans="1:17" ht="15.75" customHeight="1" x14ac:dyDescent="0.2">
      <c r="A218" s="526">
        <v>210</v>
      </c>
      <c r="B218" s="556" t="s">
        <v>440</v>
      </c>
      <c r="C218" s="533" t="s">
        <v>62</v>
      </c>
      <c r="D218" s="534"/>
      <c r="E218" s="486" t="s">
        <v>158</v>
      </c>
      <c r="F218" s="532" t="s">
        <v>441</v>
      </c>
      <c r="G218" s="556" t="s">
        <v>409</v>
      </c>
      <c r="H218" s="550">
        <v>7</v>
      </c>
      <c r="I218" s="550">
        <v>3</v>
      </c>
      <c r="J218" s="550">
        <v>3</v>
      </c>
      <c r="K218" s="551">
        <v>3171.6</v>
      </c>
      <c r="L218" s="551">
        <v>3171.6</v>
      </c>
      <c r="M218" s="482">
        <v>0</v>
      </c>
      <c r="N218" s="550">
        <v>0</v>
      </c>
      <c r="O218" s="551">
        <v>0</v>
      </c>
      <c r="P218" s="551">
        <v>0</v>
      </c>
      <c r="Q218" s="482">
        <v>0</v>
      </c>
    </row>
    <row r="219" spans="1:17" ht="15.75" customHeight="1" x14ac:dyDescent="0.2">
      <c r="A219" s="526">
        <v>211</v>
      </c>
      <c r="B219" s="556" t="s">
        <v>222</v>
      </c>
      <c r="C219" s="533" t="s">
        <v>64</v>
      </c>
      <c r="D219" s="484" t="s">
        <v>486</v>
      </c>
      <c r="E219" s="486" t="s">
        <v>158</v>
      </c>
      <c r="F219" s="532" t="s">
        <v>443</v>
      </c>
      <c r="G219" s="556" t="s">
        <v>409</v>
      </c>
      <c r="H219" s="550">
        <v>1</v>
      </c>
      <c r="I219" s="550">
        <v>0</v>
      </c>
      <c r="J219" s="550">
        <v>0</v>
      </c>
      <c r="K219" s="551">
        <v>0</v>
      </c>
      <c r="L219" s="551">
        <v>0</v>
      </c>
      <c r="M219" s="482">
        <v>0</v>
      </c>
      <c r="N219" s="550">
        <v>0</v>
      </c>
      <c r="O219" s="551">
        <v>0</v>
      </c>
      <c r="P219" s="551">
        <v>0</v>
      </c>
      <c r="Q219" s="482">
        <v>0</v>
      </c>
    </row>
    <row r="220" spans="1:17" ht="15.75" customHeight="1" x14ac:dyDescent="0.2">
      <c r="A220" s="526">
        <v>212</v>
      </c>
      <c r="B220" s="556" t="s">
        <v>444</v>
      </c>
      <c r="C220" s="533" t="s">
        <v>62</v>
      </c>
      <c r="D220" s="534"/>
      <c r="E220" s="486" t="s">
        <v>158</v>
      </c>
      <c r="F220" s="532" t="s">
        <v>445</v>
      </c>
      <c r="G220" s="556" t="s">
        <v>409</v>
      </c>
      <c r="H220" s="550">
        <v>5</v>
      </c>
      <c r="I220" s="550">
        <v>5</v>
      </c>
      <c r="J220" s="550">
        <v>5</v>
      </c>
      <c r="K220" s="551">
        <v>3802.9</v>
      </c>
      <c r="L220" s="551">
        <v>3802.9</v>
      </c>
      <c r="M220" s="482">
        <v>0</v>
      </c>
      <c r="N220" s="550">
        <v>0</v>
      </c>
      <c r="O220" s="551">
        <v>0</v>
      </c>
      <c r="P220" s="551">
        <v>0</v>
      </c>
      <c r="Q220" s="482">
        <v>0</v>
      </c>
    </row>
    <row r="221" spans="1:17" ht="15.75" customHeight="1" x14ac:dyDescent="0.2">
      <c r="A221" s="526">
        <v>213</v>
      </c>
      <c r="B221" s="556" t="s">
        <v>129</v>
      </c>
      <c r="C221" s="533" t="s">
        <v>62</v>
      </c>
      <c r="D221" s="534"/>
      <c r="E221" s="486" t="s">
        <v>158</v>
      </c>
      <c r="F221" s="532" t="s">
        <v>446</v>
      </c>
      <c r="G221" s="556" t="s">
        <v>409</v>
      </c>
      <c r="H221" s="550">
        <v>12</v>
      </c>
      <c r="I221" s="550">
        <v>6</v>
      </c>
      <c r="J221" s="550">
        <v>6</v>
      </c>
      <c r="K221" s="551">
        <v>8100.41</v>
      </c>
      <c r="L221" s="551">
        <v>6080.63</v>
      </c>
      <c r="M221" s="482">
        <v>2019.78</v>
      </c>
      <c r="N221" s="550">
        <v>12</v>
      </c>
      <c r="O221" s="551">
        <v>25243.58</v>
      </c>
      <c r="P221" s="551">
        <v>25243.58</v>
      </c>
      <c r="Q221" s="482">
        <v>0</v>
      </c>
    </row>
    <row r="222" spans="1:17" ht="15.75" customHeight="1" x14ac:dyDescent="0.2">
      <c r="A222" s="526">
        <v>214</v>
      </c>
      <c r="B222" s="532" t="s">
        <v>104</v>
      </c>
      <c r="C222" s="533" t="s">
        <v>62</v>
      </c>
      <c r="D222" s="534"/>
      <c r="E222" s="490" t="s">
        <v>730</v>
      </c>
      <c r="F222" s="532" t="s">
        <v>447</v>
      </c>
      <c r="G222" s="556" t="s">
        <v>409</v>
      </c>
      <c r="H222" s="550">
        <v>0</v>
      </c>
      <c r="I222" s="550">
        <v>0</v>
      </c>
      <c r="J222" s="550">
        <v>0</v>
      </c>
      <c r="K222" s="551">
        <v>0</v>
      </c>
      <c r="L222" s="551">
        <v>0</v>
      </c>
      <c r="M222" s="482">
        <v>0</v>
      </c>
      <c r="N222" s="550">
        <v>7</v>
      </c>
      <c r="O222" s="551">
        <v>5726.5</v>
      </c>
      <c r="P222" s="551">
        <v>5726.5</v>
      </c>
      <c r="Q222" s="482">
        <v>0</v>
      </c>
    </row>
    <row r="223" spans="1:17" ht="15.75" customHeight="1" x14ac:dyDescent="0.2">
      <c r="A223" s="526">
        <v>215</v>
      </c>
      <c r="B223" s="532" t="s">
        <v>156</v>
      </c>
      <c r="C223" s="533" t="s">
        <v>67</v>
      </c>
      <c r="D223" s="534" t="s">
        <v>745</v>
      </c>
      <c r="E223" s="486" t="s">
        <v>158</v>
      </c>
      <c r="F223" s="532" t="s">
        <v>502</v>
      </c>
      <c r="G223" s="556" t="s">
        <v>409</v>
      </c>
      <c r="H223" s="550">
        <v>4</v>
      </c>
      <c r="I223" s="550">
        <v>0</v>
      </c>
      <c r="J223" s="550">
        <v>0</v>
      </c>
      <c r="K223" s="551">
        <v>0</v>
      </c>
      <c r="L223" s="551">
        <v>0</v>
      </c>
      <c r="M223" s="482">
        <v>0</v>
      </c>
      <c r="N223" s="550">
        <v>5</v>
      </c>
      <c r="O223" s="551">
        <v>8865.2999999999993</v>
      </c>
      <c r="P223" s="551">
        <v>8865.2999999999993</v>
      </c>
      <c r="Q223" s="482">
        <v>0</v>
      </c>
    </row>
    <row r="224" spans="1:17" ht="15.75" customHeight="1" x14ac:dyDescent="0.2">
      <c r="A224" s="526">
        <v>216</v>
      </c>
      <c r="B224" s="532" t="s">
        <v>133</v>
      </c>
      <c r="C224" s="533" t="s">
        <v>67</v>
      </c>
      <c r="D224" s="484" t="s">
        <v>494</v>
      </c>
      <c r="E224" s="486" t="s">
        <v>158</v>
      </c>
      <c r="F224" s="532" t="s">
        <v>503</v>
      </c>
      <c r="G224" s="556" t="s">
        <v>409</v>
      </c>
      <c r="H224" s="550">
        <v>12</v>
      </c>
      <c r="I224" s="550">
        <v>5</v>
      </c>
      <c r="J224" s="550">
        <v>5</v>
      </c>
      <c r="K224" s="551">
        <v>13731.4</v>
      </c>
      <c r="L224" s="551">
        <v>13731.4</v>
      </c>
      <c r="M224" s="482">
        <v>0</v>
      </c>
      <c r="N224" s="550">
        <v>18</v>
      </c>
      <c r="O224" s="551">
        <v>45265.08</v>
      </c>
      <c r="P224" s="551">
        <v>45265.08</v>
      </c>
      <c r="Q224" s="482">
        <v>0</v>
      </c>
    </row>
    <row r="225" spans="1:17" ht="15.75" customHeight="1" x14ac:dyDescent="0.2">
      <c r="A225" s="526">
        <v>217</v>
      </c>
      <c r="B225" s="532" t="s">
        <v>114</v>
      </c>
      <c r="C225" s="533" t="s">
        <v>62</v>
      </c>
      <c r="D225" s="534"/>
      <c r="E225" s="486" t="s">
        <v>691</v>
      </c>
      <c r="F225" s="532" t="s">
        <v>504</v>
      </c>
      <c r="G225" s="556" t="s">
        <v>409</v>
      </c>
      <c r="H225" s="550">
        <v>4</v>
      </c>
      <c r="I225" s="550">
        <v>0</v>
      </c>
      <c r="J225" s="550">
        <v>0</v>
      </c>
      <c r="K225" s="551">
        <v>0</v>
      </c>
      <c r="L225" s="551">
        <v>0</v>
      </c>
      <c r="M225" s="482">
        <v>0</v>
      </c>
      <c r="N225" s="550">
        <v>4</v>
      </c>
      <c r="O225" s="551">
        <v>3524</v>
      </c>
      <c r="P225" s="551">
        <v>3524</v>
      </c>
      <c r="Q225" s="482">
        <v>0</v>
      </c>
    </row>
    <row r="226" spans="1:17" ht="15.75" customHeight="1" x14ac:dyDescent="0.2">
      <c r="A226" s="526">
        <v>218</v>
      </c>
      <c r="B226" s="532" t="s">
        <v>505</v>
      </c>
      <c r="C226" s="533" t="s">
        <v>62</v>
      </c>
      <c r="D226" s="534"/>
      <c r="E226" s="486" t="s">
        <v>158</v>
      </c>
      <c r="F226" s="532" t="s">
        <v>506</v>
      </c>
      <c r="G226" s="556" t="s">
        <v>409</v>
      </c>
      <c r="H226" s="550">
        <v>5</v>
      </c>
      <c r="I226" s="550">
        <v>2</v>
      </c>
      <c r="J226" s="550">
        <v>2</v>
      </c>
      <c r="K226" s="551">
        <v>2025.1</v>
      </c>
      <c r="L226" s="551">
        <v>0</v>
      </c>
      <c r="M226" s="482">
        <v>2025.1</v>
      </c>
      <c r="N226" s="550">
        <v>0</v>
      </c>
      <c r="O226" s="551">
        <v>0</v>
      </c>
      <c r="P226" s="551">
        <v>0</v>
      </c>
      <c r="Q226" s="482">
        <v>0</v>
      </c>
    </row>
    <row r="227" spans="1:17" ht="15.75" customHeight="1" x14ac:dyDescent="0.2">
      <c r="A227" s="526">
        <v>219</v>
      </c>
      <c r="B227" s="532" t="s">
        <v>473</v>
      </c>
      <c r="C227" s="533" t="s">
        <v>62</v>
      </c>
      <c r="D227" s="534"/>
      <c r="E227" s="486" t="s">
        <v>158</v>
      </c>
      <c r="F227" s="532" t="s">
        <v>558</v>
      </c>
      <c r="G227" s="556" t="s">
        <v>409</v>
      </c>
      <c r="H227" s="550">
        <v>4</v>
      </c>
      <c r="I227" s="550">
        <v>0</v>
      </c>
      <c r="J227" s="550">
        <v>0</v>
      </c>
      <c r="K227" s="551">
        <v>0</v>
      </c>
      <c r="L227" s="551">
        <v>0</v>
      </c>
      <c r="M227" s="482">
        <v>0</v>
      </c>
      <c r="N227" s="550">
        <v>0</v>
      </c>
      <c r="O227" s="551">
        <v>0</v>
      </c>
      <c r="P227" s="551">
        <v>0</v>
      </c>
      <c r="Q227" s="482">
        <v>0</v>
      </c>
    </row>
    <row r="228" spans="1:17" ht="15.75" customHeight="1" x14ac:dyDescent="0.2">
      <c r="A228" s="526">
        <v>220</v>
      </c>
      <c r="B228" s="532" t="s">
        <v>376</v>
      </c>
      <c r="C228" s="533" t="s">
        <v>62</v>
      </c>
      <c r="D228" s="534"/>
      <c r="E228" s="486" t="s">
        <v>158</v>
      </c>
      <c r="F228" s="532" t="s">
        <v>559</v>
      </c>
      <c r="G228" s="556" t="s">
        <v>409</v>
      </c>
      <c r="H228" s="550">
        <v>3</v>
      </c>
      <c r="I228" s="550">
        <v>0</v>
      </c>
      <c r="J228" s="550">
        <v>0</v>
      </c>
      <c r="K228" s="551">
        <v>0</v>
      </c>
      <c r="L228" s="551">
        <v>0</v>
      </c>
      <c r="M228" s="482">
        <v>0</v>
      </c>
      <c r="N228" s="550">
        <v>0</v>
      </c>
      <c r="O228" s="551">
        <v>0</v>
      </c>
      <c r="P228" s="551">
        <v>0</v>
      </c>
      <c r="Q228" s="482">
        <v>0</v>
      </c>
    </row>
    <row r="229" spans="1:17" ht="15.75" customHeight="1" x14ac:dyDescent="0.2">
      <c r="A229" s="526">
        <v>221</v>
      </c>
      <c r="B229" s="532" t="s">
        <v>119</v>
      </c>
      <c r="C229" s="533" t="s">
        <v>62</v>
      </c>
      <c r="D229" s="534"/>
      <c r="E229" s="486" t="s">
        <v>158</v>
      </c>
      <c r="F229" s="532" t="s">
        <v>560</v>
      </c>
      <c r="G229" s="556" t="s">
        <v>409</v>
      </c>
      <c r="H229" s="550">
        <v>10</v>
      </c>
      <c r="I229" s="550">
        <v>1</v>
      </c>
      <c r="J229" s="550">
        <v>1</v>
      </c>
      <c r="K229" s="551">
        <v>1691.52</v>
      </c>
      <c r="L229" s="551">
        <v>1691.52</v>
      </c>
      <c r="M229" s="482">
        <v>0</v>
      </c>
      <c r="N229" s="550">
        <v>14</v>
      </c>
      <c r="O229" s="551">
        <v>20900.5</v>
      </c>
      <c r="P229" s="551">
        <v>20900.5</v>
      </c>
      <c r="Q229" s="482">
        <v>0</v>
      </c>
    </row>
    <row r="230" spans="1:17" ht="15.75" customHeight="1" x14ac:dyDescent="0.2">
      <c r="A230" s="526">
        <v>222</v>
      </c>
      <c r="B230" s="532" t="s">
        <v>47</v>
      </c>
      <c r="C230" s="533" t="s">
        <v>62</v>
      </c>
      <c r="D230" s="534"/>
      <c r="E230" s="486" t="s">
        <v>677</v>
      </c>
      <c r="F230" s="532" t="s">
        <v>589</v>
      </c>
      <c r="G230" s="556" t="s">
        <v>409</v>
      </c>
      <c r="H230" s="550">
        <v>0</v>
      </c>
      <c r="I230" s="550">
        <v>0</v>
      </c>
      <c r="J230" s="550">
        <v>0</v>
      </c>
      <c r="K230" s="551">
        <v>0</v>
      </c>
      <c r="L230" s="551">
        <v>0</v>
      </c>
      <c r="M230" s="482">
        <v>0</v>
      </c>
      <c r="N230" s="550">
        <v>1</v>
      </c>
      <c r="O230" s="551">
        <v>6554.64</v>
      </c>
      <c r="P230" s="551">
        <v>6554.64</v>
      </c>
      <c r="Q230" s="482">
        <v>0</v>
      </c>
    </row>
    <row r="231" spans="1:17" ht="15.75" customHeight="1" x14ac:dyDescent="0.2">
      <c r="A231" s="526">
        <v>223</v>
      </c>
      <c r="B231" s="532" t="s">
        <v>37</v>
      </c>
      <c r="C231" s="533" t="s">
        <v>62</v>
      </c>
      <c r="D231" s="534"/>
      <c r="E231" s="486" t="s">
        <v>158</v>
      </c>
      <c r="F231" s="532" t="s">
        <v>590</v>
      </c>
      <c r="G231" s="556" t="s">
        <v>409</v>
      </c>
      <c r="H231" s="550">
        <v>6</v>
      </c>
      <c r="I231" s="550">
        <v>0</v>
      </c>
      <c r="J231" s="550">
        <v>0</v>
      </c>
      <c r="K231" s="551">
        <v>0</v>
      </c>
      <c r="L231" s="551">
        <v>0</v>
      </c>
      <c r="M231" s="482">
        <v>0</v>
      </c>
      <c r="N231" s="550">
        <v>0</v>
      </c>
      <c r="O231" s="551">
        <v>0</v>
      </c>
      <c r="P231" s="551">
        <v>0</v>
      </c>
      <c r="Q231" s="482">
        <v>0</v>
      </c>
    </row>
    <row r="232" spans="1:17" ht="15.75" customHeight="1" x14ac:dyDescent="0.2">
      <c r="A232" s="526">
        <v>224</v>
      </c>
      <c r="B232" s="532" t="s">
        <v>97</v>
      </c>
      <c r="C232" s="533" t="s">
        <v>62</v>
      </c>
      <c r="D232" s="534"/>
      <c r="E232" s="486" t="s">
        <v>158</v>
      </c>
      <c r="F232" s="532" t="s">
        <v>591</v>
      </c>
      <c r="G232" s="556" t="s">
        <v>409</v>
      </c>
      <c r="H232" s="550">
        <v>4</v>
      </c>
      <c r="I232" s="550">
        <v>2</v>
      </c>
      <c r="J232" s="550">
        <v>2</v>
      </c>
      <c r="K232" s="551">
        <v>3626.7</v>
      </c>
      <c r="L232" s="551">
        <v>3626.7</v>
      </c>
      <c r="M232" s="482">
        <v>0</v>
      </c>
      <c r="N232" s="550">
        <v>3</v>
      </c>
      <c r="O232" s="551">
        <v>4570.8999999999996</v>
      </c>
      <c r="P232" s="551">
        <v>4570.8999999999996</v>
      </c>
      <c r="Q232" s="482">
        <v>0</v>
      </c>
    </row>
    <row r="233" spans="1:17" ht="15.75" customHeight="1" x14ac:dyDescent="0.2">
      <c r="A233" s="526">
        <v>225</v>
      </c>
      <c r="B233" s="532" t="s">
        <v>613</v>
      </c>
      <c r="C233" s="533" t="s">
        <v>62</v>
      </c>
      <c r="D233" s="534"/>
      <c r="E233" s="486" t="s">
        <v>158</v>
      </c>
      <c r="F233" s="532" t="s">
        <v>614</v>
      </c>
      <c r="G233" s="556" t="s">
        <v>409</v>
      </c>
      <c r="H233" s="550">
        <v>7</v>
      </c>
      <c r="I233" s="550">
        <v>2</v>
      </c>
      <c r="J233" s="550">
        <v>2</v>
      </c>
      <c r="K233" s="551">
        <v>1585.8</v>
      </c>
      <c r="L233" s="551">
        <v>1585.8</v>
      </c>
      <c r="M233" s="482">
        <v>0</v>
      </c>
      <c r="N233" s="550">
        <v>3</v>
      </c>
      <c r="O233" s="551">
        <v>616.70000000000005</v>
      </c>
      <c r="P233" s="551">
        <v>616.70000000000005</v>
      </c>
      <c r="Q233" s="482">
        <v>0</v>
      </c>
    </row>
    <row r="234" spans="1:17" ht="15.75" customHeight="1" x14ac:dyDescent="0.2">
      <c r="A234" s="526">
        <v>226</v>
      </c>
      <c r="B234" s="532" t="s">
        <v>615</v>
      </c>
      <c r="C234" s="533" t="s">
        <v>62</v>
      </c>
      <c r="D234" s="534"/>
      <c r="E234" s="486" t="s">
        <v>158</v>
      </c>
      <c r="F234" s="532" t="s">
        <v>616</v>
      </c>
      <c r="G234" s="556" t="s">
        <v>409</v>
      </c>
      <c r="H234" s="550">
        <v>6</v>
      </c>
      <c r="I234" s="550">
        <v>0</v>
      </c>
      <c r="J234" s="550">
        <v>0</v>
      </c>
      <c r="K234" s="551">
        <v>0</v>
      </c>
      <c r="L234" s="551">
        <v>0</v>
      </c>
      <c r="M234" s="482">
        <v>0</v>
      </c>
      <c r="N234" s="550">
        <v>0</v>
      </c>
      <c r="O234" s="551">
        <v>0</v>
      </c>
      <c r="P234" s="551">
        <v>0</v>
      </c>
      <c r="Q234" s="482">
        <v>0</v>
      </c>
    </row>
    <row r="235" spans="1:17" ht="15.75" customHeight="1" x14ac:dyDescent="0.2">
      <c r="A235" s="526">
        <v>227</v>
      </c>
      <c r="B235" s="532" t="s">
        <v>357</v>
      </c>
      <c r="C235" s="516" t="s">
        <v>64</v>
      </c>
      <c r="D235" s="534" t="s">
        <v>585</v>
      </c>
      <c r="E235" s="486" t="s">
        <v>158</v>
      </c>
      <c r="F235" s="532" t="s">
        <v>618</v>
      </c>
      <c r="G235" s="556" t="s">
        <v>409</v>
      </c>
      <c r="H235" s="550">
        <v>7</v>
      </c>
      <c r="I235" s="550">
        <v>1</v>
      </c>
      <c r="J235" s="550">
        <v>1</v>
      </c>
      <c r="K235" s="551">
        <v>1057.2</v>
      </c>
      <c r="L235" s="551">
        <v>1057.2</v>
      </c>
      <c r="M235" s="482">
        <v>0</v>
      </c>
      <c r="N235" s="550">
        <v>3</v>
      </c>
      <c r="O235" s="551">
        <v>5236.2</v>
      </c>
      <c r="P235" s="551">
        <v>5236.2</v>
      </c>
      <c r="Q235" s="482">
        <v>0</v>
      </c>
    </row>
    <row r="236" spans="1:17" ht="15.75" customHeight="1" x14ac:dyDescent="0.2">
      <c r="A236" s="526">
        <v>228</v>
      </c>
      <c r="B236" s="532" t="s">
        <v>621</v>
      </c>
      <c r="C236" s="533" t="s">
        <v>62</v>
      </c>
      <c r="D236" s="534"/>
      <c r="E236" s="486" t="s">
        <v>158</v>
      </c>
      <c r="F236" s="532" t="s">
        <v>625</v>
      </c>
      <c r="G236" s="556" t="s">
        <v>409</v>
      </c>
      <c r="H236" s="550">
        <v>13</v>
      </c>
      <c r="I236" s="550">
        <v>5</v>
      </c>
      <c r="J236" s="550">
        <v>5</v>
      </c>
      <c r="K236" s="551">
        <v>4878.6499999999996</v>
      </c>
      <c r="L236" s="551">
        <v>4878.6499999999996</v>
      </c>
      <c r="M236" s="482">
        <v>0</v>
      </c>
      <c r="N236" s="550">
        <v>0</v>
      </c>
      <c r="O236" s="551">
        <v>0</v>
      </c>
      <c r="P236" s="551">
        <v>0</v>
      </c>
      <c r="Q236" s="482">
        <v>0</v>
      </c>
    </row>
    <row r="237" spans="1:17" ht="15.75" customHeight="1" x14ac:dyDescent="0.2">
      <c r="A237" s="526">
        <v>229</v>
      </c>
      <c r="B237" s="484" t="s">
        <v>146</v>
      </c>
      <c r="C237" s="516" t="s">
        <v>62</v>
      </c>
      <c r="D237" s="484"/>
      <c r="E237" s="486" t="s">
        <v>74</v>
      </c>
      <c r="F237" s="486" t="s">
        <v>325</v>
      </c>
      <c r="G237" s="510" t="s">
        <v>326</v>
      </c>
      <c r="H237" s="484">
        <v>15</v>
      </c>
      <c r="I237" s="484">
        <v>7</v>
      </c>
      <c r="J237" s="484">
        <v>7</v>
      </c>
      <c r="K237" s="482">
        <v>8953.4</v>
      </c>
      <c r="L237" s="482">
        <v>8953.4</v>
      </c>
      <c r="M237" s="482">
        <v>0</v>
      </c>
      <c r="N237" s="484">
        <v>6</v>
      </c>
      <c r="O237" s="482">
        <v>5374.1</v>
      </c>
      <c r="P237" s="482">
        <v>5374.1</v>
      </c>
      <c r="Q237" s="482">
        <v>0</v>
      </c>
    </row>
    <row r="238" spans="1:17" ht="15.75" customHeight="1" x14ac:dyDescent="0.2">
      <c r="A238" s="526">
        <v>230</v>
      </c>
      <c r="B238" s="484" t="s">
        <v>166</v>
      </c>
      <c r="C238" s="516" t="s">
        <v>62</v>
      </c>
      <c r="D238" s="484"/>
      <c r="E238" s="486" t="s">
        <v>158</v>
      </c>
      <c r="F238" s="486" t="s">
        <v>327</v>
      </c>
      <c r="G238" s="510" t="s">
        <v>326</v>
      </c>
      <c r="H238" s="484">
        <v>5</v>
      </c>
      <c r="I238" s="484">
        <v>4</v>
      </c>
      <c r="J238" s="484">
        <v>4</v>
      </c>
      <c r="K238" s="482">
        <v>7763.45</v>
      </c>
      <c r="L238" s="482">
        <v>7763.45</v>
      </c>
      <c r="M238" s="482">
        <v>0</v>
      </c>
      <c r="N238" s="484">
        <v>0</v>
      </c>
      <c r="O238" s="482">
        <v>0</v>
      </c>
      <c r="P238" s="482">
        <v>0</v>
      </c>
      <c r="Q238" s="482">
        <v>0</v>
      </c>
    </row>
    <row r="239" spans="1:17" ht="15.75" customHeight="1" x14ac:dyDescent="0.2">
      <c r="A239" s="526">
        <v>231</v>
      </c>
      <c r="B239" s="484" t="s">
        <v>173</v>
      </c>
      <c r="C239" s="516" t="s">
        <v>67</v>
      </c>
      <c r="D239" s="484" t="s">
        <v>328</v>
      </c>
      <c r="E239" s="486" t="s">
        <v>158</v>
      </c>
      <c r="F239" s="486" t="s">
        <v>329</v>
      </c>
      <c r="G239" s="510" t="s">
        <v>326</v>
      </c>
      <c r="H239" s="484">
        <v>9</v>
      </c>
      <c r="I239" s="484">
        <v>5</v>
      </c>
      <c r="J239" s="484">
        <v>5</v>
      </c>
      <c r="K239" s="482">
        <v>10645.26</v>
      </c>
      <c r="L239" s="482">
        <v>10645.26</v>
      </c>
      <c r="M239" s="482">
        <v>0</v>
      </c>
      <c r="N239" s="484">
        <v>0</v>
      </c>
      <c r="O239" s="482">
        <v>0</v>
      </c>
      <c r="P239" s="482">
        <v>0</v>
      </c>
      <c r="Q239" s="482">
        <v>0</v>
      </c>
    </row>
    <row r="240" spans="1:17" ht="15.75" customHeight="1" x14ac:dyDescent="0.2">
      <c r="A240" s="526">
        <v>232</v>
      </c>
      <c r="B240" s="484" t="s">
        <v>330</v>
      </c>
      <c r="C240" s="516" t="s">
        <v>62</v>
      </c>
      <c r="D240" s="484"/>
      <c r="E240" s="486" t="s">
        <v>158</v>
      </c>
      <c r="F240" s="486" t="s">
        <v>331</v>
      </c>
      <c r="G240" s="510" t="s">
        <v>326</v>
      </c>
      <c r="H240" s="484">
        <v>16</v>
      </c>
      <c r="I240" s="484">
        <v>10</v>
      </c>
      <c r="J240" s="484">
        <v>10</v>
      </c>
      <c r="K240" s="482">
        <v>12533.9</v>
      </c>
      <c r="L240" s="482">
        <v>12533.9</v>
      </c>
      <c r="M240" s="482">
        <v>0</v>
      </c>
      <c r="N240" s="484">
        <v>0</v>
      </c>
      <c r="O240" s="482">
        <v>0</v>
      </c>
      <c r="P240" s="482">
        <v>0</v>
      </c>
      <c r="Q240" s="482">
        <v>0</v>
      </c>
    </row>
    <row r="241" spans="1:17" ht="15.75" customHeight="1" x14ac:dyDescent="0.2">
      <c r="A241" s="526">
        <v>233</v>
      </c>
      <c r="B241" s="484" t="s">
        <v>147</v>
      </c>
      <c r="C241" s="516" t="s">
        <v>62</v>
      </c>
      <c r="D241" s="484"/>
      <c r="E241" s="486" t="s">
        <v>74</v>
      </c>
      <c r="F241" s="486" t="s">
        <v>332</v>
      </c>
      <c r="G241" s="510" t="s">
        <v>326</v>
      </c>
      <c r="H241" s="484">
        <v>15</v>
      </c>
      <c r="I241" s="484">
        <v>9</v>
      </c>
      <c r="J241" s="484">
        <v>9</v>
      </c>
      <c r="K241" s="482">
        <v>17473.349999999999</v>
      </c>
      <c r="L241" s="482">
        <v>17473.349999999999</v>
      </c>
      <c r="M241" s="482">
        <v>0</v>
      </c>
      <c r="N241" s="484">
        <v>6</v>
      </c>
      <c r="O241" s="482">
        <v>15803.4</v>
      </c>
      <c r="P241" s="482">
        <v>13962.4</v>
      </c>
      <c r="Q241" s="482">
        <v>1841</v>
      </c>
    </row>
    <row r="242" spans="1:17" ht="15.75" customHeight="1" x14ac:dyDescent="0.2">
      <c r="A242" s="526">
        <v>234</v>
      </c>
      <c r="B242" s="484" t="s">
        <v>554</v>
      </c>
      <c r="C242" s="516" t="s">
        <v>67</v>
      </c>
      <c r="D242" s="484" t="s">
        <v>555</v>
      </c>
      <c r="E242" s="486" t="s">
        <v>74</v>
      </c>
      <c r="F242" s="486" t="s">
        <v>556</v>
      </c>
      <c r="G242" s="510" t="s">
        <v>326</v>
      </c>
      <c r="H242" s="484">
        <v>2</v>
      </c>
      <c r="I242" s="484">
        <v>0</v>
      </c>
      <c r="J242" s="484">
        <v>0</v>
      </c>
      <c r="K242" s="482">
        <v>0</v>
      </c>
      <c r="L242" s="482">
        <v>0</v>
      </c>
      <c r="M242" s="482">
        <v>0</v>
      </c>
      <c r="N242" s="484">
        <v>0</v>
      </c>
      <c r="O242" s="482">
        <v>0</v>
      </c>
      <c r="P242" s="482">
        <v>0</v>
      </c>
      <c r="Q242" s="482">
        <v>0</v>
      </c>
    </row>
    <row r="243" spans="1:17" ht="15.75" customHeight="1" x14ac:dyDescent="0.2">
      <c r="A243" s="526">
        <v>235</v>
      </c>
      <c r="B243" s="484" t="s">
        <v>88</v>
      </c>
      <c r="C243" s="516" t="s">
        <v>62</v>
      </c>
      <c r="D243" s="484"/>
      <c r="E243" s="486" t="s">
        <v>74</v>
      </c>
      <c r="F243" s="486" t="s">
        <v>333</v>
      </c>
      <c r="G243" s="510" t="s">
        <v>326</v>
      </c>
      <c r="H243" s="484">
        <v>2</v>
      </c>
      <c r="I243" s="484">
        <v>2</v>
      </c>
      <c r="J243" s="484">
        <v>2</v>
      </c>
      <c r="K243" s="482">
        <v>2290.6</v>
      </c>
      <c r="L243" s="482">
        <v>2290.6</v>
      </c>
      <c r="M243" s="482">
        <v>0</v>
      </c>
      <c r="N243" s="484">
        <v>1</v>
      </c>
      <c r="O243" s="482">
        <v>1145.3</v>
      </c>
      <c r="P243" s="482">
        <v>1145.3</v>
      </c>
      <c r="Q243" s="482">
        <v>0</v>
      </c>
    </row>
    <row r="244" spans="1:17" ht="15.75" customHeight="1" x14ac:dyDescent="0.2">
      <c r="A244" s="526">
        <v>236</v>
      </c>
      <c r="B244" s="484" t="s">
        <v>182</v>
      </c>
      <c r="C244" s="516" t="s">
        <v>62</v>
      </c>
      <c r="D244" s="484"/>
      <c r="E244" s="486" t="s">
        <v>158</v>
      </c>
      <c r="F244" s="486" t="s">
        <v>334</v>
      </c>
      <c r="G244" s="510" t="s">
        <v>326</v>
      </c>
      <c r="H244" s="484">
        <v>5</v>
      </c>
      <c r="I244" s="484">
        <v>1</v>
      </c>
      <c r="J244" s="484">
        <v>1</v>
      </c>
      <c r="K244" s="482">
        <v>1233.4000000000001</v>
      </c>
      <c r="L244" s="482">
        <v>1233.4000000000001</v>
      </c>
      <c r="M244" s="482">
        <v>0</v>
      </c>
      <c r="N244" s="484">
        <v>0</v>
      </c>
      <c r="O244" s="482">
        <v>0</v>
      </c>
      <c r="P244" s="482">
        <v>0</v>
      </c>
      <c r="Q244" s="482">
        <v>0</v>
      </c>
    </row>
    <row r="245" spans="1:17" ht="15.75" customHeight="1" x14ac:dyDescent="0.2">
      <c r="A245" s="526">
        <v>237</v>
      </c>
      <c r="B245" s="484" t="s">
        <v>335</v>
      </c>
      <c r="C245" s="516" t="s">
        <v>62</v>
      </c>
      <c r="D245" s="484"/>
      <c r="E245" s="486" t="s">
        <v>74</v>
      </c>
      <c r="F245" s="486" t="s">
        <v>336</v>
      </c>
      <c r="G245" s="510" t="s">
        <v>326</v>
      </c>
      <c r="H245" s="484">
        <v>15</v>
      </c>
      <c r="I245" s="484">
        <v>8</v>
      </c>
      <c r="J245" s="484">
        <v>8</v>
      </c>
      <c r="K245" s="482">
        <v>12008.05</v>
      </c>
      <c r="L245" s="482">
        <v>12008.05</v>
      </c>
      <c r="M245" s="482">
        <v>0</v>
      </c>
      <c r="N245" s="484">
        <v>9</v>
      </c>
      <c r="O245" s="482">
        <v>10605.75</v>
      </c>
      <c r="P245" s="482">
        <v>10605.75</v>
      </c>
      <c r="Q245" s="482">
        <v>0</v>
      </c>
    </row>
    <row r="246" spans="1:17" ht="15.75" customHeight="1" x14ac:dyDescent="0.2">
      <c r="A246" s="526">
        <v>238</v>
      </c>
      <c r="B246" s="484" t="s">
        <v>27</v>
      </c>
      <c r="C246" s="516" t="s">
        <v>62</v>
      </c>
      <c r="D246" s="484"/>
      <c r="E246" s="486" t="s">
        <v>158</v>
      </c>
      <c r="F246" s="486" t="s">
        <v>337</v>
      </c>
      <c r="G246" s="510" t="s">
        <v>326</v>
      </c>
      <c r="H246" s="484">
        <v>13</v>
      </c>
      <c r="I246" s="484">
        <v>12</v>
      </c>
      <c r="J246" s="484">
        <v>12</v>
      </c>
      <c r="K246" s="482">
        <v>12823.4</v>
      </c>
      <c r="L246" s="482">
        <v>12823.4</v>
      </c>
      <c r="M246" s="482">
        <v>0</v>
      </c>
      <c r="N246" s="484">
        <v>0</v>
      </c>
      <c r="O246" s="482">
        <v>0</v>
      </c>
      <c r="P246" s="482">
        <v>0</v>
      </c>
      <c r="Q246" s="482">
        <v>0</v>
      </c>
    </row>
    <row r="247" spans="1:17" ht="15.75" customHeight="1" x14ac:dyDescent="0.2">
      <c r="A247" s="526">
        <v>239</v>
      </c>
      <c r="B247" s="484" t="s">
        <v>190</v>
      </c>
      <c r="C247" s="516" t="s">
        <v>62</v>
      </c>
      <c r="D247" s="484"/>
      <c r="E247" s="486" t="s">
        <v>675</v>
      </c>
      <c r="F247" s="486" t="s">
        <v>339</v>
      </c>
      <c r="G247" s="510" t="s">
        <v>326</v>
      </c>
      <c r="H247" s="484">
        <v>23</v>
      </c>
      <c r="I247" s="484">
        <v>14</v>
      </c>
      <c r="J247" s="484">
        <v>14</v>
      </c>
      <c r="K247" s="482">
        <v>29770.6</v>
      </c>
      <c r="L247" s="482">
        <v>20433.8</v>
      </c>
      <c r="M247" s="482">
        <v>9336.7999999999993</v>
      </c>
      <c r="N247" s="484">
        <v>0</v>
      </c>
      <c r="O247" s="482">
        <v>0</v>
      </c>
      <c r="P247" s="482">
        <v>0</v>
      </c>
      <c r="Q247" s="482">
        <v>0</v>
      </c>
    </row>
    <row r="248" spans="1:17" ht="15.75" customHeight="1" x14ac:dyDescent="0.2">
      <c r="A248" s="526">
        <v>240</v>
      </c>
      <c r="B248" s="484" t="s">
        <v>89</v>
      </c>
      <c r="C248" s="516" t="s">
        <v>62</v>
      </c>
      <c r="D248" s="484"/>
      <c r="E248" s="486" t="s">
        <v>74</v>
      </c>
      <c r="F248" s="486" t="s">
        <v>340</v>
      </c>
      <c r="G248" s="510" t="s">
        <v>326</v>
      </c>
      <c r="H248" s="484">
        <v>7</v>
      </c>
      <c r="I248" s="484">
        <v>6</v>
      </c>
      <c r="J248" s="484">
        <v>6</v>
      </c>
      <c r="K248" s="482">
        <v>8633.7999999999993</v>
      </c>
      <c r="L248" s="482">
        <v>8633.7999999999993</v>
      </c>
      <c r="M248" s="482">
        <v>0</v>
      </c>
      <c r="N248" s="484">
        <v>4</v>
      </c>
      <c r="O248" s="482">
        <v>9250.5</v>
      </c>
      <c r="P248" s="482">
        <v>9250.5</v>
      </c>
      <c r="Q248" s="482">
        <v>0</v>
      </c>
    </row>
    <row r="249" spans="1:17" ht="15.75" customHeight="1" x14ac:dyDescent="0.2">
      <c r="A249" s="526">
        <v>241</v>
      </c>
      <c r="B249" s="484" t="s">
        <v>196</v>
      </c>
      <c r="C249" s="516" t="s">
        <v>62</v>
      </c>
      <c r="D249" s="484"/>
      <c r="E249" s="486" t="s">
        <v>683</v>
      </c>
      <c r="F249" s="486" t="s">
        <v>342</v>
      </c>
      <c r="G249" s="510" t="s">
        <v>326</v>
      </c>
      <c r="H249" s="484">
        <v>7</v>
      </c>
      <c r="I249" s="484">
        <v>5</v>
      </c>
      <c r="J249" s="484">
        <v>5</v>
      </c>
      <c r="K249" s="482">
        <v>4933.6000000000004</v>
      </c>
      <c r="L249" s="482">
        <v>4933.6000000000004</v>
      </c>
      <c r="M249" s="482">
        <v>0</v>
      </c>
      <c r="N249" s="484">
        <v>0</v>
      </c>
      <c r="O249" s="482">
        <v>0</v>
      </c>
      <c r="P249" s="482">
        <v>0</v>
      </c>
      <c r="Q249" s="482">
        <v>0</v>
      </c>
    </row>
    <row r="250" spans="1:17" ht="15.75" customHeight="1" x14ac:dyDescent="0.2">
      <c r="A250" s="526">
        <v>242</v>
      </c>
      <c r="B250" s="484" t="s">
        <v>631</v>
      </c>
      <c r="C250" s="516" t="s">
        <v>62</v>
      </c>
      <c r="D250" s="484"/>
      <c r="E250" s="486" t="s">
        <v>74</v>
      </c>
      <c r="F250" s="486" t="s">
        <v>642</v>
      </c>
      <c r="G250" s="510" t="s">
        <v>326</v>
      </c>
      <c r="H250" s="484">
        <v>3</v>
      </c>
      <c r="I250" s="484">
        <v>0</v>
      </c>
      <c r="J250" s="484">
        <v>0</v>
      </c>
      <c r="K250" s="482">
        <v>0</v>
      </c>
      <c r="L250" s="482">
        <v>0</v>
      </c>
      <c r="M250" s="482">
        <v>0</v>
      </c>
      <c r="N250" s="484">
        <v>0</v>
      </c>
      <c r="O250" s="482">
        <v>0</v>
      </c>
      <c r="P250" s="482">
        <v>0</v>
      </c>
      <c r="Q250" s="482">
        <v>0</v>
      </c>
    </row>
    <row r="251" spans="1:17" ht="15.75" customHeight="1" x14ac:dyDescent="0.2">
      <c r="A251" s="526">
        <v>243</v>
      </c>
      <c r="B251" s="484" t="s">
        <v>343</v>
      </c>
      <c r="C251" s="516" t="s">
        <v>62</v>
      </c>
      <c r="D251" s="484"/>
      <c r="E251" s="486" t="s">
        <v>74</v>
      </c>
      <c r="F251" s="486" t="s">
        <v>344</v>
      </c>
      <c r="G251" s="510" t="s">
        <v>326</v>
      </c>
      <c r="H251" s="484">
        <v>11</v>
      </c>
      <c r="I251" s="484">
        <v>3</v>
      </c>
      <c r="J251" s="484">
        <v>3</v>
      </c>
      <c r="K251" s="482">
        <v>3019.1</v>
      </c>
      <c r="L251" s="482">
        <v>3019.1</v>
      </c>
      <c r="M251" s="482">
        <v>0</v>
      </c>
      <c r="N251" s="484">
        <v>0</v>
      </c>
      <c r="O251" s="482">
        <v>0</v>
      </c>
      <c r="P251" s="482">
        <v>0</v>
      </c>
      <c r="Q251" s="482">
        <v>0</v>
      </c>
    </row>
    <row r="252" spans="1:17" ht="15.75" customHeight="1" x14ac:dyDescent="0.2">
      <c r="A252" s="526">
        <v>244</v>
      </c>
      <c r="B252" s="484" t="s">
        <v>154</v>
      </c>
      <c r="C252" s="516" t="s">
        <v>62</v>
      </c>
      <c r="D252" s="484"/>
      <c r="E252" s="486" t="s">
        <v>74</v>
      </c>
      <c r="F252" s="486" t="s">
        <v>345</v>
      </c>
      <c r="G252" s="510" t="s">
        <v>326</v>
      </c>
      <c r="H252" s="484">
        <v>7</v>
      </c>
      <c r="I252" s="484">
        <v>7</v>
      </c>
      <c r="J252" s="484">
        <v>7</v>
      </c>
      <c r="K252" s="482">
        <v>9690.15</v>
      </c>
      <c r="L252" s="482">
        <v>9690.15</v>
      </c>
      <c r="M252" s="482">
        <v>0</v>
      </c>
      <c r="N252" s="484">
        <v>7</v>
      </c>
      <c r="O252" s="482">
        <v>9770</v>
      </c>
      <c r="P252" s="482">
        <v>9770</v>
      </c>
      <c r="Q252" s="482">
        <v>0</v>
      </c>
    </row>
    <row r="253" spans="1:17" ht="15.75" customHeight="1" x14ac:dyDescent="0.2">
      <c r="A253" s="526">
        <v>245</v>
      </c>
      <c r="B253" s="484" t="s">
        <v>346</v>
      </c>
      <c r="C253" s="516" t="s">
        <v>62</v>
      </c>
      <c r="D253" s="484"/>
      <c r="E253" s="486" t="s">
        <v>158</v>
      </c>
      <c r="F253" s="486" t="s">
        <v>347</v>
      </c>
      <c r="G253" s="510" t="s">
        <v>326</v>
      </c>
      <c r="H253" s="484">
        <v>4</v>
      </c>
      <c r="I253" s="484">
        <v>0</v>
      </c>
      <c r="J253" s="484">
        <v>0</v>
      </c>
      <c r="K253" s="482">
        <v>0</v>
      </c>
      <c r="L253" s="482">
        <v>0</v>
      </c>
      <c r="M253" s="482">
        <v>0</v>
      </c>
      <c r="N253" s="484">
        <v>0</v>
      </c>
      <c r="O253" s="482">
        <v>0</v>
      </c>
      <c r="P253" s="482">
        <v>0</v>
      </c>
      <c r="Q253" s="482">
        <v>0</v>
      </c>
    </row>
    <row r="254" spans="1:17" ht="15.75" customHeight="1" x14ac:dyDescent="0.2">
      <c r="A254" s="526">
        <v>246</v>
      </c>
      <c r="B254" s="484" t="s">
        <v>348</v>
      </c>
      <c r="C254" s="516" t="s">
        <v>62</v>
      </c>
      <c r="D254" s="484"/>
      <c r="E254" s="486" t="s">
        <v>158</v>
      </c>
      <c r="F254" s="486" t="s">
        <v>349</v>
      </c>
      <c r="G254" s="510" t="s">
        <v>326</v>
      </c>
      <c r="H254" s="484">
        <v>6</v>
      </c>
      <c r="I254" s="484">
        <v>0</v>
      </c>
      <c r="J254" s="484">
        <v>0</v>
      </c>
      <c r="K254" s="482">
        <v>0</v>
      </c>
      <c r="L254" s="482">
        <v>0</v>
      </c>
      <c r="M254" s="482">
        <v>0</v>
      </c>
      <c r="N254" s="484">
        <v>0</v>
      </c>
      <c r="O254" s="482">
        <v>0</v>
      </c>
      <c r="P254" s="482">
        <v>0</v>
      </c>
      <c r="Q254" s="482">
        <v>0</v>
      </c>
    </row>
    <row r="255" spans="1:17" ht="15.75" customHeight="1" x14ac:dyDescent="0.2">
      <c r="A255" s="526">
        <v>247</v>
      </c>
      <c r="B255" s="484" t="s">
        <v>350</v>
      </c>
      <c r="C255" s="516" t="s">
        <v>62</v>
      </c>
      <c r="D255" s="484"/>
      <c r="E255" s="486" t="s">
        <v>74</v>
      </c>
      <c r="F255" s="486" t="s">
        <v>351</v>
      </c>
      <c r="G255" s="510" t="s">
        <v>326</v>
      </c>
      <c r="H255" s="484">
        <v>1</v>
      </c>
      <c r="I255" s="484">
        <v>1</v>
      </c>
      <c r="J255" s="484">
        <v>1</v>
      </c>
      <c r="K255" s="482">
        <v>528.6</v>
      </c>
      <c r="L255" s="482">
        <v>528.6</v>
      </c>
      <c r="M255" s="482">
        <v>0</v>
      </c>
      <c r="N255" s="484">
        <v>4</v>
      </c>
      <c r="O255" s="482">
        <v>5065.75</v>
      </c>
      <c r="P255" s="482">
        <v>5065.75</v>
      </c>
      <c r="Q255" s="482">
        <v>0</v>
      </c>
    </row>
    <row r="256" spans="1:17" ht="15.75" customHeight="1" x14ac:dyDescent="0.2">
      <c r="A256" s="526">
        <v>248</v>
      </c>
      <c r="B256" s="484" t="s">
        <v>222</v>
      </c>
      <c r="C256" s="516" t="s">
        <v>64</v>
      </c>
      <c r="D256" s="484" t="s">
        <v>352</v>
      </c>
      <c r="E256" s="486" t="s">
        <v>158</v>
      </c>
      <c r="F256" s="486" t="s">
        <v>353</v>
      </c>
      <c r="G256" s="510" t="s">
        <v>326</v>
      </c>
      <c r="H256" s="484">
        <v>6</v>
      </c>
      <c r="I256" s="484">
        <v>2</v>
      </c>
      <c r="J256" s="484">
        <v>2</v>
      </c>
      <c r="K256" s="482">
        <v>3524</v>
      </c>
      <c r="L256" s="482">
        <v>3524</v>
      </c>
      <c r="M256" s="482">
        <v>0</v>
      </c>
      <c r="N256" s="484">
        <v>0</v>
      </c>
      <c r="O256" s="482">
        <v>0</v>
      </c>
      <c r="P256" s="482">
        <v>0</v>
      </c>
      <c r="Q256" s="482">
        <v>0</v>
      </c>
    </row>
    <row r="257" spans="1:17" ht="15.75" customHeight="1" x14ac:dyDescent="0.2">
      <c r="A257" s="526">
        <v>249</v>
      </c>
      <c r="B257" s="484" t="s">
        <v>232</v>
      </c>
      <c r="C257" s="516" t="s">
        <v>62</v>
      </c>
      <c r="D257" s="484"/>
      <c r="E257" s="486" t="s">
        <v>74</v>
      </c>
      <c r="F257" s="486" t="s">
        <v>722</v>
      </c>
      <c r="G257" s="510" t="s">
        <v>326</v>
      </c>
      <c r="H257" s="484">
        <v>2</v>
      </c>
      <c r="I257" s="484">
        <v>1</v>
      </c>
      <c r="J257" s="484">
        <v>1</v>
      </c>
      <c r="K257" s="482">
        <v>1012.55</v>
      </c>
      <c r="L257" s="482">
        <v>1012.55</v>
      </c>
      <c r="M257" s="482">
        <v>0</v>
      </c>
      <c r="N257" s="484">
        <v>0</v>
      </c>
      <c r="O257" s="482">
        <v>0</v>
      </c>
      <c r="P257" s="482">
        <v>0</v>
      </c>
      <c r="Q257" s="482">
        <v>0</v>
      </c>
    </row>
    <row r="258" spans="1:17" ht="15.75" customHeight="1" x14ac:dyDescent="0.2">
      <c r="A258" s="526">
        <v>250</v>
      </c>
      <c r="B258" s="484" t="s">
        <v>238</v>
      </c>
      <c r="C258" s="516" t="s">
        <v>62</v>
      </c>
      <c r="D258" s="484"/>
      <c r="E258" s="486" t="s">
        <v>158</v>
      </c>
      <c r="F258" s="486" t="s">
        <v>354</v>
      </c>
      <c r="G258" s="510" t="s">
        <v>326</v>
      </c>
      <c r="H258" s="484">
        <v>9</v>
      </c>
      <c r="I258" s="484">
        <v>7</v>
      </c>
      <c r="J258" s="484">
        <v>7</v>
      </c>
      <c r="K258" s="482">
        <v>8060.55</v>
      </c>
      <c r="L258" s="482">
        <v>8060.55</v>
      </c>
      <c r="M258" s="482">
        <v>0</v>
      </c>
      <c r="N258" s="484">
        <v>0</v>
      </c>
      <c r="O258" s="482">
        <v>0</v>
      </c>
      <c r="P258" s="482">
        <v>0</v>
      </c>
      <c r="Q258" s="482">
        <v>0</v>
      </c>
    </row>
    <row r="259" spans="1:17" ht="15.75" customHeight="1" x14ac:dyDescent="0.2">
      <c r="A259" s="526">
        <v>251</v>
      </c>
      <c r="B259" s="484" t="s">
        <v>355</v>
      </c>
      <c r="C259" s="516" t="s">
        <v>62</v>
      </c>
      <c r="D259" s="484"/>
      <c r="E259" s="486" t="s">
        <v>158</v>
      </c>
      <c r="F259" s="486" t="s">
        <v>356</v>
      </c>
      <c r="G259" s="510" t="s">
        <v>326</v>
      </c>
      <c r="H259" s="484">
        <v>7</v>
      </c>
      <c r="I259" s="484">
        <v>3</v>
      </c>
      <c r="J259" s="484">
        <v>3</v>
      </c>
      <c r="K259" s="482">
        <v>3971.2</v>
      </c>
      <c r="L259" s="482">
        <v>3971.2</v>
      </c>
      <c r="M259" s="482">
        <v>0</v>
      </c>
      <c r="N259" s="484">
        <v>0</v>
      </c>
      <c r="O259" s="482">
        <v>0</v>
      </c>
      <c r="P259" s="482">
        <v>0</v>
      </c>
      <c r="Q259" s="482">
        <v>0</v>
      </c>
    </row>
    <row r="260" spans="1:17" ht="15.75" customHeight="1" x14ac:dyDescent="0.2">
      <c r="A260" s="526">
        <v>252</v>
      </c>
      <c r="B260" s="484" t="s">
        <v>357</v>
      </c>
      <c r="C260" s="516" t="s">
        <v>64</v>
      </c>
      <c r="D260" s="534" t="s">
        <v>358</v>
      </c>
      <c r="E260" s="486" t="s">
        <v>158</v>
      </c>
      <c r="F260" s="486" t="s">
        <v>507</v>
      </c>
      <c r="G260" s="510" t="s">
        <v>326</v>
      </c>
      <c r="H260" s="484">
        <v>3</v>
      </c>
      <c r="I260" s="484">
        <v>2</v>
      </c>
      <c r="J260" s="484">
        <v>2</v>
      </c>
      <c r="K260" s="482">
        <v>3129.7</v>
      </c>
      <c r="L260" s="482">
        <v>3129.7</v>
      </c>
      <c r="M260" s="482">
        <v>0</v>
      </c>
      <c r="N260" s="484">
        <v>0</v>
      </c>
      <c r="O260" s="482">
        <v>0</v>
      </c>
      <c r="P260" s="482">
        <v>0</v>
      </c>
      <c r="Q260" s="482">
        <v>0</v>
      </c>
    </row>
    <row r="261" spans="1:17" ht="15.75" customHeight="1" x14ac:dyDescent="0.2">
      <c r="A261" s="526">
        <v>253</v>
      </c>
      <c r="B261" s="484" t="s">
        <v>36</v>
      </c>
      <c r="C261" s="516" t="s">
        <v>62</v>
      </c>
      <c r="D261" s="484"/>
      <c r="E261" s="486" t="s">
        <v>74</v>
      </c>
      <c r="F261" s="486" t="s">
        <v>630</v>
      </c>
      <c r="G261" s="510" t="s">
        <v>326</v>
      </c>
      <c r="H261" s="484">
        <v>2</v>
      </c>
      <c r="I261" s="484">
        <v>1</v>
      </c>
      <c r="J261" s="484">
        <v>1</v>
      </c>
      <c r="K261" s="482">
        <v>552.29999999999995</v>
      </c>
      <c r="L261" s="482">
        <v>552.29999999999995</v>
      </c>
      <c r="M261" s="482">
        <v>0</v>
      </c>
      <c r="N261" s="484">
        <v>0</v>
      </c>
      <c r="O261" s="482">
        <v>0</v>
      </c>
      <c r="P261" s="482">
        <v>0</v>
      </c>
      <c r="Q261" s="482">
        <v>0</v>
      </c>
    </row>
    <row r="262" spans="1:17" ht="15.75" customHeight="1" x14ac:dyDescent="0.2">
      <c r="A262" s="526">
        <v>254</v>
      </c>
      <c r="B262" s="484" t="s">
        <v>359</v>
      </c>
      <c r="C262" s="516" t="s">
        <v>62</v>
      </c>
      <c r="D262" s="484"/>
      <c r="E262" s="486" t="s">
        <v>158</v>
      </c>
      <c r="F262" s="486" t="s">
        <v>360</v>
      </c>
      <c r="G262" s="510" t="s">
        <v>326</v>
      </c>
      <c r="H262" s="484">
        <v>5</v>
      </c>
      <c r="I262" s="484">
        <v>5</v>
      </c>
      <c r="J262" s="484">
        <v>5</v>
      </c>
      <c r="K262" s="482">
        <v>4933.6000000000004</v>
      </c>
      <c r="L262" s="482">
        <v>4933.6000000000004</v>
      </c>
      <c r="M262" s="482">
        <v>0</v>
      </c>
      <c r="N262" s="484">
        <v>0</v>
      </c>
      <c r="O262" s="482">
        <v>0</v>
      </c>
      <c r="P262" s="482">
        <v>0</v>
      </c>
      <c r="Q262" s="482">
        <v>0</v>
      </c>
    </row>
    <row r="263" spans="1:17" ht="15.75" customHeight="1" x14ac:dyDescent="0.2">
      <c r="A263" s="526">
        <v>255</v>
      </c>
      <c r="B263" s="484" t="s">
        <v>118</v>
      </c>
      <c r="C263" s="516" t="s">
        <v>62</v>
      </c>
      <c r="D263" s="484"/>
      <c r="E263" s="486" t="s">
        <v>675</v>
      </c>
      <c r="F263" s="486" t="s">
        <v>361</v>
      </c>
      <c r="G263" s="510" t="s">
        <v>326</v>
      </c>
      <c r="H263" s="484">
        <v>1</v>
      </c>
      <c r="I263" s="484">
        <v>1</v>
      </c>
      <c r="J263" s="484">
        <v>1</v>
      </c>
      <c r="K263" s="482">
        <v>1012.55</v>
      </c>
      <c r="L263" s="482">
        <v>1012.55</v>
      </c>
      <c r="M263" s="482">
        <v>0</v>
      </c>
      <c r="N263" s="484">
        <v>0</v>
      </c>
      <c r="O263" s="482">
        <v>0</v>
      </c>
      <c r="P263" s="482">
        <v>0</v>
      </c>
      <c r="Q263" s="482">
        <v>0</v>
      </c>
    </row>
    <row r="264" spans="1:17" ht="15.75" customHeight="1" x14ac:dyDescent="0.2">
      <c r="A264" s="526">
        <v>256</v>
      </c>
      <c r="B264" s="484" t="s">
        <v>246</v>
      </c>
      <c r="C264" s="516" t="s">
        <v>62</v>
      </c>
      <c r="D264" s="484"/>
      <c r="E264" s="486" t="s">
        <v>158</v>
      </c>
      <c r="F264" s="486" t="s">
        <v>362</v>
      </c>
      <c r="G264" s="510" t="s">
        <v>326</v>
      </c>
      <c r="H264" s="484">
        <v>5</v>
      </c>
      <c r="I264" s="484">
        <v>3</v>
      </c>
      <c r="J264" s="484">
        <v>3</v>
      </c>
      <c r="K264" s="482">
        <v>4271.05</v>
      </c>
      <c r="L264" s="482">
        <v>4271.05</v>
      </c>
      <c r="M264" s="482">
        <v>0</v>
      </c>
      <c r="N264" s="484">
        <v>0</v>
      </c>
      <c r="O264" s="482">
        <v>0</v>
      </c>
      <c r="P264" s="482">
        <v>0</v>
      </c>
      <c r="Q264" s="482">
        <v>0</v>
      </c>
    </row>
    <row r="265" spans="1:17" ht="15.75" customHeight="1" x14ac:dyDescent="0.2">
      <c r="A265" s="526">
        <v>257</v>
      </c>
      <c r="B265" s="484" t="s">
        <v>643</v>
      </c>
      <c r="C265" s="516" t="s">
        <v>62</v>
      </c>
      <c r="D265" s="484"/>
      <c r="E265" s="486" t="s">
        <v>74</v>
      </c>
      <c r="F265" s="486" t="s">
        <v>644</v>
      </c>
      <c r="G265" s="510" t="s">
        <v>326</v>
      </c>
      <c r="H265" s="484">
        <v>2</v>
      </c>
      <c r="I265" s="484">
        <v>0</v>
      </c>
      <c r="J265" s="484">
        <v>0</v>
      </c>
      <c r="K265" s="482">
        <v>0</v>
      </c>
      <c r="L265" s="482">
        <v>0</v>
      </c>
      <c r="M265" s="482">
        <v>0</v>
      </c>
      <c r="N265" s="484">
        <v>0</v>
      </c>
      <c r="O265" s="482">
        <v>0</v>
      </c>
      <c r="P265" s="482">
        <v>0</v>
      </c>
      <c r="Q265" s="482">
        <v>0</v>
      </c>
    </row>
    <row r="266" spans="1:17" ht="15.75" customHeight="1" x14ac:dyDescent="0.2">
      <c r="A266" s="526">
        <v>258</v>
      </c>
      <c r="B266" s="484" t="s">
        <v>43</v>
      </c>
      <c r="C266" s="516" t="s">
        <v>62</v>
      </c>
      <c r="D266" s="484"/>
      <c r="E266" s="486" t="s">
        <v>74</v>
      </c>
      <c r="F266" s="486" t="s">
        <v>363</v>
      </c>
      <c r="G266" s="510" t="s">
        <v>326</v>
      </c>
      <c r="H266" s="484">
        <v>4</v>
      </c>
      <c r="I266" s="484">
        <v>2</v>
      </c>
      <c r="J266" s="484">
        <v>2</v>
      </c>
      <c r="K266" s="482">
        <v>2869.95</v>
      </c>
      <c r="L266" s="482">
        <v>660.75</v>
      </c>
      <c r="M266" s="482">
        <v>2209.1999999999998</v>
      </c>
      <c r="N266" s="484">
        <v>2</v>
      </c>
      <c r="O266" s="482">
        <v>0</v>
      </c>
      <c r="P266" s="482">
        <v>0</v>
      </c>
      <c r="Q266" s="482">
        <v>0</v>
      </c>
    </row>
    <row r="267" spans="1:17" ht="15.75" customHeight="1" x14ac:dyDescent="0.2">
      <c r="A267" s="526">
        <v>259</v>
      </c>
      <c r="B267" s="484" t="s">
        <v>364</v>
      </c>
      <c r="C267" s="516" t="s">
        <v>62</v>
      </c>
      <c r="D267" s="484"/>
      <c r="E267" s="486" t="s">
        <v>74</v>
      </c>
      <c r="F267" s="486" t="s">
        <v>365</v>
      </c>
      <c r="G267" s="510" t="s">
        <v>326</v>
      </c>
      <c r="H267" s="484">
        <v>8</v>
      </c>
      <c r="I267" s="484">
        <v>3</v>
      </c>
      <c r="J267" s="484">
        <v>3</v>
      </c>
      <c r="K267" s="482">
        <v>7069.3</v>
      </c>
      <c r="L267" s="482">
        <v>7069.3</v>
      </c>
      <c r="M267" s="482">
        <v>0</v>
      </c>
      <c r="N267" s="484">
        <v>3</v>
      </c>
      <c r="O267" s="482">
        <v>9692.9599999999991</v>
      </c>
      <c r="P267" s="482">
        <v>9692.9599999999991</v>
      </c>
      <c r="Q267" s="482">
        <v>0</v>
      </c>
    </row>
    <row r="268" spans="1:17" ht="15.75" customHeight="1" x14ac:dyDescent="0.2">
      <c r="A268" s="526">
        <v>260</v>
      </c>
      <c r="B268" s="484" t="s">
        <v>46</v>
      </c>
      <c r="C268" s="516" t="s">
        <v>62</v>
      </c>
      <c r="D268" s="484"/>
      <c r="E268" s="486" t="s">
        <v>678</v>
      </c>
      <c r="F268" s="486" t="s">
        <v>367</v>
      </c>
      <c r="G268" s="510" t="s">
        <v>326</v>
      </c>
      <c r="H268" s="484">
        <v>0</v>
      </c>
      <c r="I268" s="484">
        <v>0</v>
      </c>
      <c r="J268" s="484">
        <v>0</v>
      </c>
      <c r="K268" s="482">
        <v>0</v>
      </c>
      <c r="L268" s="482">
        <v>0</v>
      </c>
      <c r="M268" s="482">
        <v>0</v>
      </c>
      <c r="N268" s="484">
        <v>2</v>
      </c>
      <c r="O268" s="482">
        <v>4669.3</v>
      </c>
      <c r="P268" s="482">
        <v>4669.3</v>
      </c>
      <c r="Q268" s="482">
        <v>0</v>
      </c>
    </row>
    <row r="269" spans="1:17" ht="15.75" customHeight="1" x14ac:dyDescent="0.2">
      <c r="A269" s="526">
        <v>261</v>
      </c>
      <c r="B269" s="484" t="s">
        <v>270</v>
      </c>
      <c r="C269" s="516" t="s">
        <v>62</v>
      </c>
      <c r="D269" s="484"/>
      <c r="E269" s="486" t="s">
        <v>74</v>
      </c>
      <c r="F269" s="486" t="s">
        <v>539</v>
      </c>
      <c r="G269" s="510" t="s">
        <v>326</v>
      </c>
      <c r="H269" s="484">
        <v>3</v>
      </c>
      <c r="I269" s="484">
        <v>2</v>
      </c>
      <c r="J269" s="484">
        <v>2</v>
      </c>
      <c r="K269" s="482">
        <v>1012.55</v>
      </c>
      <c r="L269" s="482">
        <v>1012.55</v>
      </c>
      <c r="M269" s="482">
        <v>0</v>
      </c>
      <c r="N269" s="484">
        <v>0</v>
      </c>
      <c r="O269" s="482">
        <v>0</v>
      </c>
      <c r="P269" s="482">
        <v>0</v>
      </c>
      <c r="Q269" s="482">
        <v>0</v>
      </c>
    </row>
    <row r="270" spans="1:17" ht="15.75" customHeight="1" x14ac:dyDescent="0.2">
      <c r="A270" s="526">
        <v>262</v>
      </c>
      <c r="B270" s="484" t="s">
        <v>621</v>
      </c>
      <c r="C270" s="516" t="s">
        <v>62</v>
      </c>
      <c r="D270" s="484"/>
      <c r="E270" s="486" t="s">
        <v>74</v>
      </c>
      <c r="F270" s="486" t="s">
        <v>622</v>
      </c>
      <c r="G270" s="510" t="s">
        <v>326</v>
      </c>
      <c r="H270" s="484">
        <v>5</v>
      </c>
      <c r="I270" s="484">
        <v>1</v>
      </c>
      <c r="J270" s="484">
        <v>1</v>
      </c>
      <c r="K270" s="482">
        <v>1012.55</v>
      </c>
      <c r="L270" s="482">
        <v>1012.55</v>
      </c>
      <c r="M270" s="482">
        <v>0</v>
      </c>
      <c r="N270" s="484">
        <v>0</v>
      </c>
      <c r="O270" s="482">
        <v>0</v>
      </c>
      <c r="P270" s="482">
        <v>0</v>
      </c>
      <c r="Q270" s="482">
        <v>0</v>
      </c>
    </row>
    <row r="271" spans="1:17" ht="15.75" customHeight="1" x14ac:dyDescent="0.2">
      <c r="A271" s="526">
        <v>263</v>
      </c>
      <c r="B271" s="484" t="s">
        <v>723</v>
      </c>
      <c r="C271" s="516" t="s">
        <v>62</v>
      </c>
      <c r="D271" s="484"/>
      <c r="E271" s="486" t="s">
        <v>74</v>
      </c>
      <c r="F271" s="486" t="s">
        <v>724</v>
      </c>
      <c r="G271" s="510" t="s">
        <v>326</v>
      </c>
      <c r="H271" s="484">
        <v>2</v>
      </c>
      <c r="I271" s="484">
        <v>0</v>
      </c>
      <c r="J271" s="484">
        <v>0</v>
      </c>
      <c r="K271" s="482">
        <v>0</v>
      </c>
      <c r="L271" s="482">
        <v>0</v>
      </c>
      <c r="M271" s="482">
        <v>0</v>
      </c>
      <c r="N271" s="484">
        <v>0</v>
      </c>
      <c r="O271" s="482">
        <v>0</v>
      </c>
      <c r="P271" s="482">
        <v>0</v>
      </c>
      <c r="Q271" s="482">
        <v>0</v>
      </c>
    </row>
    <row r="272" spans="1:17" ht="15.75" customHeight="1" x14ac:dyDescent="0.2">
      <c r="A272" s="526">
        <v>264</v>
      </c>
      <c r="B272" s="484" t="s">
        <v>96</v>
      </c>
      <c r="C272" s="516" t="s">
        <v>62</v>
      </c>
      <c r="D272" s="484"/>
      <c r="E272" s="486" t="s">
        <v>772</v>
      </c>
      <c r="F272" s="486" t="s">
        <v>540</v>
      </c>
      <c r="G272" s="510" t="s">
        <v>326</v>
      </c>
      <c r="H272" s="484">
        <v>1</v>
      </c>
      <c r="I272" s="484">
        <v>0</v>
      </c>
      <c r="J272" s="484">
        <v>0</v>
      </c>
      <c r="K272" s="482">
        <v>0</v>
      </c>
      <c r="L272" s="482">
        <v>0</v>
      </c>
      <c r="M272" s="482">
        <v>0</v>
      </c>
      <c r="N272" s="484">
        <v>1</v>
      </c>
      <c r="O272" s="482">
        <v>0</v>
      </c>
      <c r="P272" s="482">
        <v>0</v>
      </c>
      <c r="Q272" s="482">
        <v>0</v>
      </c>
    </row>
    <row r="273" spans="1:17" ht="15.75" customHeight="1" x14ac:dyDescent="0.2">
      <c r="A273" s="526">
        <v>265</v>
      </c>
      <c r="B273" s="484" t="s">
        <v>124</v>
      </c>
      <c r="C273" s="516" t="s">
        <v>62</v>
      </c>
      <c r="D273" s="484"/>
      <c r="E273" s="486" t="s">
        <v>773</v>
      </c>
      <c r="F273" s="486" t="s">
        <v>368</v>
      </c>
      <c r="G273" s="510" t="s">
        <v>326</v>
      </c>
      <c r="H273" s="484">
        <v>27</v>
      </c>
      <c r="I273" s="484">
        <v>19</v>
      </c>
      <c r="J273" s="484">
        <v>19</v>
      </c>
      <c r="K273" s="482">
        <v>23114.5</v>
      </c>
      <c r="L273" s="482">
        <v>23114.5</v>
      </c>
      <c r="M273" s="482">
        <v>0</v>
      </c>
      <c r="N273" s="484">
        <v>8</v>
      </c>
      <c r="O273" s="482">
        <v>4753.3999999999996</v>
      </c>
      <c r="P273" s="482">
        <v>4753.3999999999996</v>
      </c>
      <c r="Q273" s="482">
        <v>0</v>
      </c>
    </row>
    <row r="274" spans="1:17" ht="15.75" customHeight="1" x14ac:dyDescent="0.2">
      <c r="A274" s="526">
        <v>266</v>
      </c>
      <c r="B274" s="484" t="s">
        <v>51</v>
      </c>
      <c r="C274" s="516" t="s">
        <v>62</v>
      </c>
      <c r="D274" s="484"/>
      <c r="E274" s="486" t="s">
        <v>74</v>
      </c>
      <c r="F274" s="486" t="s">
        <v>369</v>
      </c>
      <c r="G274" s="510" t="s">
        <v>326</v>
      </c>
      <c r="H274" s="484">
        <v>0</v>
      </c>
      <c r="I274" s="484">
        <v>0</v>
      </c>
      <c r="J274" s="484">
        <v>0</v>
      </c>
      <c r="K274" s="482">
        <v>0</v>
      </c>
      <c r="L274" s="482">
        <v>0</v>
      </c>
      <c r="M274" s="482">
        <v>0</v>
      </c>
      <c r="N274" s="484">
        <v>1</v>
      </c>
      <c r="O274" s="482">
        <v>2290.6</v>
      </c>
      <c r="P274" s="482">
        <v>2290.6</v>
      </c>
      <c r="Q274" s="482">
        <v>0</v>
      </c>
    </row>
    <row r="275" spans="1:17" ht="15.75" customHeight="1" x14ac:dyDescent="0.2">
      <c r="A275" s="526">
        <v>267</v>
      </c>
      <c r="B275" s="484" t="s">
        <v>286</v>
      </c>
      <c r="C275" s="516" t="s">
        <v>62</v>
      </c>
      <c r="D275" s="484"/>
      <c r="E275" s="486" t="s">
        <v>74</v>
      </c>
      <c r="F275" s="486" t="s">
        <v>476</v>
      </c>
      <c r="G275" s="510" t="s">
        <v>326</v>
      </c>
      <c r="H275" s="484">
        <v>8</v>
      </c>
      <c r="I275" s="484">
        <v>4</v>
      </c>
      <c r="J275" s="484">
        <v>4</v>
      </c>
      <c r="K275" s="482">
        <v>3195.3</v>
      </c>
      <c r="L275" s="482">
        <v>3195.3</v>
      </c>
      <c r="M275" s="482">
        <v>0</v>
      </c>
      <c r="N275" s="484">
        <v>0</v>
      </c>
      <c r="O275" s="482">
        <v>0</v>
      </c>
      <c r="P275" s="482">
        <v>0</v>
      </c>
      <c r="Q275" s="482">
        <v>0</v>
      </c>
    </row>
    <row r="276" spans="1:17" ht="15.75" customHeight="1" x14ac:dyDescent="0.2">
      <c r="A276" s="526">
        <v>268</v>
      </c>
      <c r="B276" s="484" t="s">
        <v>290</v>
      </c>
      <c r="C276" s="516" t="s">
        <v>62</v>
      </c>
      <c r="D276" s="484"/>
      <c r="E276" s="486" t="s">
        <v>74</v>
      </c>
      <c r="F276" s="486" t="s">
        <v>372</v>
      </c>
      <c r="G276" s="510" t="s">
        <v>326</v>
      </c>
      <c r="H276" s="484">
        <v>9</v>
      </c>
      <c r="I276" s="484">
        <v>8</v>
      </c>
      <c r="J276" s="484">
        <v>8</v>
      </c>
      <c r="K276" s="482">
        <v>6532.8</v>
      </c>
      <c r="L276" s="482">
        <v>6532.8</v>
      </c>
      <c r="M276" s="482">
        <v>0</v>
      </c>
      <c r="N276" s="484">
        <v>0</v>
      </c>
      <c r="O276" s="482">
        <v>0</v>
      </c>
      <c r="P276" s="482">
        <v>0</v>
      </c>
      <c r="Q276" s="482">
        <v>0</v>
      </c>
    </row>
    <row r="277" spans="1:17" ht="15.75" customHeight="1" x14ac:dyDescent="0.2">
      <c r="A277" s="526">
        <v>269</v>
      </c>
      <c r="B277" s="484" t="s">
        <v>134</v>
      </c>
      <c r="C277" s="516" t="s">
        <v>62</v>
      </c>
      <c r="D277" s="484"/>
      <c r="E277" s="486" t="s">
        <v>74</v>
      </c>
      <c r="F277" s="486" t="s">
        <v>373</v>
      </c>
      <c r="G277" s="510" t="s">
        <v>326</v>
      </c>
      <c r="H277" s="484">
        <v>3</v>
      </c>
      <c r="I277" s="484">
        <v>1</v>
      </c>
      <c r="J277" s="484">
        <v>1</v>
      </c>
      <c r="K277" s="482">
        <v>1938.2</v>
      </c>
      <c r="L277" s="482">
        <v>1938.2</v>
      </c>
      <c r="M277" s="482">
        <v>0</v>
      </c>
      <c r="N277" s="484">
        <v>3</v>
      </c>
      <c r="O277" s="482">
        <v>6693.2</v>
      </c>
      <c r="P277" s="482">
        <v>6693.2</v>
      </c>
      <c r="Q277" s="482">
        <v>0</v>
      </c>
    </row>
    <row r="278" spans="1:17" ht="15.75" customHeight="1" x14ac:dyDescent="0.2">
      <c r="A278" s="526">
        <v>270</v>
      </c>
      <c r="B278" s="484" t="s">
        <v>135</v>
      </c>
      <c r="C278" s="516" t="s">
        <v>62</v>
      </c>
      <c r="D278" s="484"/>
      <c r="E278" s="486" t="s">
        <v>74</v>
      </c>
      <c r="F278" s="486" t="s">
        <v>374</v>
      </c>
      <c r="G278" s="510" t="s">
        <v>326</v>
      </c>
      <c r="H278" s="484">
        <v>21</v>
      </c>
      <c r="I278" s="484">
        <v>7</v>
      </c>
      <c r="J278" s="484">
        <v>7</v>
      </c>
      <c r="K278" s="482">
        <v>13053.6</v>
      </c>
      <c r="L278" s="482">
        <v>13053.6</v>
      </c>
      <c r="M278" s="482">
        <v>0</v>
      </c>
      <c r="N278" s="484">
        <v>94</v>
      </c>
      <c r="O278" s="482">
        <v>48904.95</v>
      </c>
      <c r="P278" s="482">
        <v>48904.95</v>
      </c>
      <c r="Q278" s="482">
        <v>0</v>
      </c>
    </row>
    <row r="279" spans="1:17" ht="15.75" customHeight="1" x14ac:dyDescent="0.2">
      <c r="A279" s="526">
        <v>271</v>
      </c>
      <c r="B279" s="484" t="s">
        <v>508</v>
      </c>
      <c r="C279" s="516" t="s">
        <v>64</v>
      </c>
      <c r="D279" s="484" t="s">
        <v>509</v>
      </c>
      <c r="E279" s="486" t="s">
        <v>74</v>
      </c>
      <c r="F279" s="486" t="s">
        <v>510</v>
      </c>
      <c r="G279" s="510" t="s">
        <v>326</v>
      </c>
      <c r="H279" s="484">
        <v>3</v>
      </c>
      <c r="I279" s="484">
        <v>2</v>
      </c>
      <c r="J279" s="484">
        <v>2</v>
      </c>
      <c r="K279" s="482">
        <v>4418.3999999999996</v>
      </c>
      <c r="L279" s="482">
        <v>4418.3999999999996</v>
      </c>
      <c r="M279" s="482">
        <v>0</v>
      </c>
      <c r="N279" s="484">
        <v>0</v>
      </c>
      <c r="O279" s="482">
        <v>0</v>
      </c>
      <c r="P279" s="482">
        <v>0</v>
      </c>
      <c r="Q279" s="482">
        <v>0</v>
      </c>
    </row>
    <row r="280" spans="1:17" ht="15.75" customHeight="1" x14ac:dyDescent="0.2">
      <c r="A280" s="526">
        <v>272</v>
      </c>
      <c r="B280" s="484" t="s">
        <v>299</v>
      </c>
      <c r="C280" s="516" t="s">
        <v>62</v>
      </c>
      <c r="D280" s="484"/>
      <c r="E280" s="486" t="s">
        <v>158</v>
      </c>
      <c r="F280" s="486" t="s">
        <v>375</v>
      </c>
      <c r="G280" s="510" t="s">
        <v>326</v>
      </c>
      <c r="H280" s="484">
        <v>3</v>
      </c>
      <c r="I280" s="484">
        <v>1</v>
      </c>
      <c r="J280" s="484">
        <v>1</v>
      </c>
      <c r="K280" s="482">
        <v>704.8</v>
      </c>
      <c r="L280" s="482">
        <v>704.8</v>
      </c>
      <c r="M280" s="482">
        <v>0</v>
      </c>
      <c r="N280" s="484">
        <v>0</v>
      </c>
      <c r="O280" s="482">
        <v>0</v>
      </c>
      <c r="P280" s="482">
        <v>0</v>
      </c>
      <c r="Q280" s="482">
        <v>0</v>
      </c>
    </row>
    <row r="281" spans="1:17" ht="15.75" customHeight="1" x14ac:dyDescent="0.2">
      <c r="A281" s="526">
        <v>273</v>
      </c>
      <c r="B281" s="484" t="s">
        <v>302</v>
      </c>
      <c r="C281" s="516" t="s">
        <v>62</v>
      </c>
      <c r="D281" s="484"/>
      <c r="E281" s="486" t="s">
        <v>74</v>
      </c>
      <c r="F281" s="486" t="s">
        <v>725</v>
      </c>
      <c r="G281" s="510" t="s">
        <v>326</v>
      </c>
      <c r="H281" s="484">
        <v>1</v>
      </c>
      <c r="I281" s="484">
        <v>0</v>
      </c>
      <c r="J281" s="484">
        <v>0</v>
      </c>
      <c r="K281" s="482">
        <v>0</v>
      </c>
      <c r="L281" s="482">
        <v>0</v>
      </c>
      <c r="M281" s="482">
        <v>0</v>
      </c>
      <c r="N281" s="484">
        <v>0</v>
      </c>
      <c r="O281" s="482">
        <v>0</v>
      </c>
      <c r="P281" s="482">
        <v>0</v>
      </c>
      <c r="Q281" s="482">
        <v>0</v>
      </c>
    </row>
    <row r="282" spans="1:17" ht="15.75" customHeight="1" x14ac:dyDescent="0.2">
      <c r="A282" s="526">
        <v>274</v>
      </c>
      <c r="B282" s="484" t="s">
        <v>702</v>
      </c>
      <c r="C282" s="516" t="s">
        <v>62</v>
      </c>
      <c r="D282" s="484"/>
      <c r="E282" s="486" t="s">
        <v>74</v>
      </c>
      <c r="F282" s="486" t="s">
        <v>726</v>
      </c>
      <c r="G282" s="510" t="s">
        <v>326</v>
      </c>
      <c r="H282" s="484">
        <v>1</v>
      </c>
      <c r="I282" s="484">
        <v>1</v>
      </c>
      <c r="J282" s="484">
        <v>1</v>
      </c>
      <c r="K282" s="482">
        <v>552.29999999999995</v>
      </c>
      <c r="L282" s="482">
        <v>552.29999999999995</v>
      </c>
      <c r="M282" s="482">
        <v>0</v>
      </c>
      <c r="N282" s="484">
        <v>0</v>
      </c>
      <c r="O282" s="482">
        <v>0</v>
      </c>
      <c r="P282" s="482">
        <v>0</v>
      </c>
      <c r="Q282" s="482">
        <v>0</v>
      </c>
    </row>
    <row r="283" spans="1:17" ht="15.75" customHeight="1" x14ac:dyDescent="0.2">
      <c r="A283" s="526">
        <v>275</v>
      </c>
      <c r="B283" s="484" t="s">
        <v>376</v>
      </c>
      <c r="C283" s="516" t="s">
        <v>62</v>
      </c>
      <c r="D283" s="484"/>
      <c r="E283" s="486" t="s">
        <v>74</v>
      </c>
      <c r="F283" s="486" t="s">
        <v>377</v>
      </c>
      <c r="G283" s="510" t="s">
        <v>326</v>
      </c>
      <c r="H283" s="484">
        <v>10</v>
      </c>
      <c r="I283" s="484">
        <v>6</v>
      </c>
      <c r="J283" s="484">
        <v>6</v>
      </c>
      <c r="K283" s="482">
        <v>6722.05</v>
      </c>
      <c r="L283" s="482">
        <v>6722.05</v>
      </c>
      <c r="M283" s="482">
        <v>0</v>
      </c>
      <c r="N283" s="484">
        <v>0</v>
      </c>
      <c r="O283" s="482">
        <v>0</v>
      </c>
      <c r="P283" s="482">
        <v>0</v>
      </c>
      <c r="Q283" s="482">
        <v>0</v>
      </c>
    </row>
    <row r="284" spans="1:17" ht="15.75" customHeight="1" x14ac:dyDescent="0.2">
      <c r="A284" s="526">
        <v>276</v>
      </c>
      <c r="B284" s="484" t="s">
        <v>129</v>
      </c>
      <c r="C284" s="516" t="s">
        <v>62</v>
      </c>
      <c r="D284" s="484"/>
      <c r="E284" s="486" t="s">
        <v>74</v>
      </c>
      <c r="F284" s="486" t="s">
        <v>378</v>
      </c>
      <c r="G284" s="510" t="s">
        <v>326</v>
      </c>
      <c r="H284" s="484">
        <v>55</v>
      </c>
      <c r="I284" s="484">
        <v>43</v>
      </c>
      <c r="J284" s="484">
        <v>43</v>
      </c>
      <c r="K284" s="482">
        <v>72277.66</v>
      </c>
      <c r="L284" s="482">
        <v>68698.320000000007</v>
      </c>
      <c r="M284" s="482">
        <v>3579.34</v>
      </c>
      <c r="N284" s="484">
        <v>40</v>
      </c>
      <c r="O284" s="482">
        <v>75401.06</v>
      </c>
      <c r="P284" s="482">
        <v>75401.06</v>
      </c>
      <c r="Q284" s="482">
        <v>0</v>
      </c>
    </row>
    <row r="285" spans="1:17" ht="15.75" customHeight="1" x14ac:dyDescent="0.2">
      <c r="A285" s="526">
        <v>277</v>
      </c>
      <c r="B285" s="484" t="s">
        <v>379</v>
      </c>
      <c r="C285" s="516" t="s">
        <v>62</v>
      </c>
      <c r="D285" s="484"/>
      <c r="E285" s="486" t="s">
        <v>158</v>
      </c>
      <c r="F285" s="486" t="s">
        <v>380</v>
      </c>
      <c r="G285" s="510" t="s">
        <v>326</v>
      </c>
      <c r="H285" s="484">
        <v>6</v>
      </c>
      <c r="I285" s="484">
        <v>4</v>
      </c>
      <c r="J285" s="484">
        <v>4</v>
      </c>
      <c r="K285" s="482">
        <v>4131.6499999999996</v>
      </c>
      <c r="L285" s="482">
        <v>4131.6499999999996</v>
      </c>
      <c r="M285" s="482">
        <v>0</v>
      </c>
      <c r="N285" s="484">
        <v>0</v>
      </c>
      <c r="O285" s="482">
        <v>0</v>
      </c>
      <c r="P285" s="482">
        <v>0</v>
      </c>
      <c r="Q285" s="482">
        <v>0</v>
      </c>
    </row>
    <row r="286" spans="1:17" ht="15.75" customHeight="1" x14ac:dyDescent="0.2">
      <c r="A286" s="526">
        <v>278</v>
      </c>
      <c r="B286" s="484" t="s">
        <v>130</v>
      </c>
      <c r="C286" s="516" t="s">
        <v>62</v>
      </c>
      <c r="D286" s="484"/>
      <c r="E286" s="486" t="s">
        <v>74</v>
      </c>
      <c r="F286" s="486" t="s">
        <v>557</v>
      </c>
      <c r="G286" s="510" t="s">
        <v>326</v>
      </c>
      <c r="H286" s="484">
        <v>2</v>
      </c>
      <c r="I286" s="484">
        <v>1</v>
      </c>
      <c r="J286" s="484">
        <v>1</v>
      </c>
      <c r="K286" s="482">
        <v>1104.5999999999999</v>
      </c>
      <c r="L286" s="482">
        <v>1104.5999999999999</v>
      </c>
      <c r="M286" s="482">
        <v>0</v>
      </c>
      <c r="N286" s="484">
        <v>5</v>
      </c>
      <c r="O286" s="482">
        <v>9315.25</v>
      </c>
      <c r="P286" s="482">
        <v>9315.25</v>
      </c>
      <c r="Q286" s="482">
        <v>0</v>
      </c>
    </row>
    <row r="287" spans="1:17" ht="15.75" customHeight="1" x14ac:dyDescent="0.2">
      <c r="A287" s="526">
        <v>279</v>
      </c>
      <c r="B287" s="484" t="s">
        <v>382</v>
      </c>
      <c r="C287" s="516" t="s">
        <v>62</v>
      </c>
      <c r="D287" s="484"/>
      <c r="E287" s="486" t="s">
        <v>703</v>
      </c>
      <c r="F287" s="486" t="s">
        <v>384</v>
      </c>
      <c r="G287" s="510" t="s">
        <v>326</v>
      </c>
      <c r="H287" s="484">
        <v>1</v>
      </c>
      <c r="I287" s="484">
        <v>1</v>
      </c>
      <c r="J287" s="484">
        <v>1</v>
      </c>
      <c r="K287" s="482">
        <v>704.8</v>
      </c>
      <c r="L287" s="482">
        <v>704.8</v>
      </c>
      <c r="M287" s="482">
        <v>0</v>
      </c>
      <c r="N287" s="484">
        <v>0</v>
      </c>
      <c r="O287" s="482">
        <v>0</v>
      </c>
      <c r="P287" s="482">
        <v>0</v>
      </c>
      <c r="Q287" s="482">
        <v>0</v>
      </c>
    </row>
    <row r="288" spans="1:17" ht="15.75" customHeight="1" x14ac:dyDescent="0.2">
      <c r="A288" s="526">
        <v>280</v>
      </c>
      <c r="B288" s="484" t="s">
        <v>385</v>
      </c>
      <c r="C288" s="516" t="s">
        <v>62</v>
      </c>
      <c r="D288" s="484"/>
      <c r="E288" s="486" t="s">
        <v>675</v>
      </c>
      <c r="F288" s="486" t="s">
        <v>386</v>
      </c>
      <c r="G288" s="510" t="s">
        <v>326</v>
      </c>
      <c r="H288" s="484">
        <v>15</v>
      </c>
      <c r="I288" s="484">
        <v>7</v>
      </c>
      <c r="J288" s="484">
        <v>7</v>
      </c>
      <c r="K288" s="482">
        <v>4184.75</v>
      </c>
      <c r="L288" s="482">
        <v>4184.75</v>
      </c>
      <c r="M288" s="482">
        <v>0</v>
      </c>
      <c r="N288" s="484">
        <v>18</v>
      </c>
      <c r="O288" s="482">
        <v>9602.9</v>
      </c>
      <c r="P288" s="482">
        <v>9602.9</v>
      </c>
      <c r="Q288" s="482">
        <v>0</v>
      </c>
    </row>
    <row r="289" spans="1:17" ht="15.75" customHeight="1" x14ac:dyDescent="0.2">
      <c r="A289" s="526">
        <v>281</v>
      </c>
      <c r="B289" s="599" t="s">
        <v>19</v>
      </c>
      <c r="C289" s="600" t="s">
        <v>62</v>
      </c>
      <c r="D289" s="289"/>
      <c r="E289" s="490" t="s">
        <v>671</v>
      </c>
      <c r="F289" s="601" t="s">
        <v>394</v>
      </c>
      <c r="G289" s="289" t="s">
        <v>395</v>
      </c>
      <c r="H289" s="289">
        <v>1</v>
      </c>
      <c r="I289" s="289">
        <v>0</v>
      </c>
      <c r="J289" s="491">
        <v>0</v>
      </c>
      <c r="K289" s="602">
        <v>0</v>
      </c>
      <c r="L289" s="602">
        <v>0</v>
      </c>
      <c r="M289" s="482">
        <v>0</v>
      </c>
      <c r="N289" s="371">
        <v>0</v>
      </c>
      <c r="O289" s="492">
        <v>0</v>
      </c>
      <c r="P289" s="492">
        <v>0</v>
      </c>
      <c r="Q289" s="482">
        <v>0</v>
      </c>
    </row>
    <row r="290" spans="1:17" ht="15.75" customHeight="1" x14ac:dyDescent="0.2">
      <c r="A290" s="526">
        <v>282</v>
      </c>
      <c r="B290" s="599" t="s">
        <v>90</v>
      </c>
      <c r="C290" s="600" t="s">
        <v>62</v>
      </c>
      <c r="D290" s="599"/>
      <c r="E290" s="490" t="s">
        <v>689</v>
      </c>
      <c r="F290" s="601" t="s">
        <v>396</v>
      </c>
      <c r="G290" s="599" t="s">
        <v>395</v>
      </c>
      <c r="H290" s="599">
        <v>9</v>
      </c>
      <c r="I290" s="599">
        <v>9</v>
      </c>
      <c r="J290" s="599">
        <v>9</v>
      </c>
      <c r="K290" s="602">
        <v>11276.8</v>
      </c>
      <c r="L290" s="602">
        <v>11276.8</v>
      </c>
      <c r="M290" s="482">
        <v>0</v>
      </c>
      <c r="N290" s="599">
        <v>20</v>
      </c>
      <c r="O290" s="602">
        <v>28791.88</v>
      </c>
      <c r="P290" s="602">
        <v>28791.88</v>
      </c>
      <c r="Q290" s="482">
        <v>0</v>
      </c>
    </row>
    <row r="291" spans="1:17" ht="15.75" customHeight="1" x14ac:dyDescent="0.2">
      <c r="A291" s="526">
        <v>283</v>
      </c>
      <c r="B291" s="289" t="s">
        <v>133</v>
      </c>
      <c r="C291" s="493" t="s">
        <v>67</v>
      </c>
      <c r="D291" s="484" t="s">
        <v>494</v>
      </c>
      <c r="E291" s="486" t="s">
        <v>158</v>
      </c>
      <c r="F291" s="601" t="s">
        <v>398</v>
      </c>
      <c r="G291" s="599" t="s">
        <v>395</v>
      </c>
      <c r="H291" s="599">
        <v>12</v>
      </c>
      <c r="I291" s="599">
        <v>5</v>
      </c>
      <c r="J291" s="599">
        <v>5</v>
      </c>
      <c r="K291" s="602">
        <v>7688.8</v>
      </c>
      <c r="L291" s="602">
        <v>7688.8</v>
      </c>
      <c r="M291" s="482">
        <v>0</v>
      </c>
      <c r="N291" s="599">
        <v>9</v>
      </c>
      <c r="O291" s="602">
        <v>12473.03</v>
      </c>
      <c r="P291" s="602">
        <v>12473.03</v>
      </c>
      <c r="Q291" s="482">
        <v>0</v>
      </c>
    </row>
    <row r="292" spans="1:17" ht="15.75" customHeight="1" x14ac:dyDescent="0.2">
      <c r="A292" s="526">
        <v>284</v>
      </c>
      <c r="B292" s="599" t="s">
        <v>399</v>
      </c>
      <c r="C292" s="600" t="s">
        <v>62</v>
      </c>
      <c r="D292" s="599"/>
      <c r="E292" s="490" t="s">
        <v>694</v>
      </c>
      <c r="F292" s="601" t="s">
        <v>401</v>
      </c>
      <c r="G292" s="599" t="s">
        <v>395</v>
      </c>
      <c r="H292" s="599">
        <v>31</v>
      </c>
      <c r="I292" s="599">
        <v>12</v>
      </c>
      <c r="J292" s="599">
        <v>12</v>
      </c>
      <c r="K292" s="602">
        <v>15516.6</v>
      </c>
      <c r="L292" s="602">
        <v>15514.22</v>
      </c>
      <c r="M292" s="482">
        <v>2.38</v>
      </c>
      <c r="N292" s="599">
        <v>0</v>
      </c>
      <c r="O292" s="602">
        <v>0</v>
      </c>
      <c r="P292" s="602">
        <v>0</v>
      </c>
      <c r="Q292" s="482">
        <v>0</v>
      </c>
    </row>
    <row r="293" spans="1:17" ht="15.75" customHeight="1" x14ac:dyDescent="0.2">
      <c r="A293" s="526">
        <v>285</v>
      </c>
      <c r="B293" s="599" t="s">
        <v>402</v>
      </c>
      <c r="C293" s="600" t="s">
        <v>62</v>
      </c>
      <c r="D293" s="599"/>
      <c r="E293" s="486" t="s">
        <v>158</v>
      </c>
      <c r="F293" s="601" t="s">
        <v>403</v>
      </c>
      <c r="G293" s="599" t="s">
        <v>395</v>
      </c>
      <c r="H293" s="599">
        <v>2</v>
      </c>
      <c r="I293" s="599">
        <v>2</v>
      </c>
      <c r="J293" s="599">
        <v>2</v>
      </c>
      <c r="K293" s="602">
        <v>3815.95</v>
      </c>
      <c r="L293" s="602">
        <v>3815.95</v>
      </c>
      <c r="M293" s="482">
        <v>0</v>
      </c>
      <c r="N293" s="599">
        <v>0</v>
      </c>
      <c r="O293" s="602">
        <v>0</v>
      </c>
      <c r="P293" s="602">
        <v>0</v>
      </c>
      <c r="Q293" s="482">
        <v>0</v>
      </c>
    </row>
    <row r="294" spans="1:17" ht="15.75" customHeight="1" x14ac:dyDescent="0.2">
      <c r="A294" s="526">
        <v>286</v>
      </c>
      <c r="B294" s="599" t="s">
        <v>48</v>
      </c>
      <c r="C294" s="600" t="s">
        <v>62</v>
      </c>
      <c r="D294" s="599"/>
      <c r="E294" s="490" t="s">
        <v>671</v>
      </c>
      <c r="F294" s="601" t="s">
        <v>404</v>
      </c>
      <c r="G294" s="599" t="s">
        <v>395</v>
      </c>
      <c r="H294" s="599">
        <v>48</v>
      </c>
      <c r="I294" s="599">
        <v>13</v>
      </c>
      <c r="J294" s="599">
        <v>13</v>
      </c>
      <c r="K294" s="602">
        <v>19861.5</v>
      </c>
      <c r="L294" s="602">
        <v>19861.5</v>
      </c>
      <c r="M294" s="482">
        <v>0</v>
      </c>
      <c r="N294" s="599">
        <v>22</v>
      </c>
      <c r="O294" s="602">
        <v>58443.62</v>
      </c>
      <c r="P294" s="602">
        <v>58443.62</v>
      </c>
      <c r="Q294" s="482">
        <v>0</v>
      </c>
    </row>
    <row r="295" spans="1:17" ht="15.75" customHeight="1" x14ac:dyDescent="0.2">
      <c r="A295" s="526">
        <v>287</v>
      </c>
      <c r="B295" s="599" t="s">
        <v>39</v>
      </c>
      <c r="C295" s="600" t="s">
        <v>62</v>
      </c>
      <c r="D295" s="599"/>
      <c r="E295" s="490" t="s">
        <v>694</v>
      </c>
      <c r="F295" s="601" t="s">
        <v>405</v>
      </c>
      <c r="G295" s="599" t="s">
        <v>395</v>
      </c>
      <c r="H295" s="599">
        <v>33</v>
      </c>
      <c r="I295" s="599">
        <v>3</v>
      </c>
      <c r="J295" s="599">
        <v>3</v>
      </c>
      <c r="K295" s="602">
        <v>3866.1</v>
      </c>
      <c r="L295" s="602">
        <v>3866.1</v>
      </c>
      <c r="M295" s="482">
        <v>0</v>
      </c>
      <c r="N295" s="599">
        <v>13</v>
      </c>
      <c r="O295" s="602">
        <v>23040.3</v>
      </c>
      <c r="P295" s="602">
        <v>23040.3</v>
      </c>
      <c r="Q295" s="482">
        <v>0</v>
      </c>
    </row>
    <row r="296" spans="1:17" ht="15.75" customHeight="1" x14ac:dyDescent="0.2">
      <c r="A296" s="526">
        <v>288</v>
      </c>
      <c r="B296" s="599" t="s">
        <v>127</v>
      </c>
      <c r="C296" s="600" t="s">
        <v>62</v>
      </c>
      <c r="D296" s="599"/>
      <c r="E296" s="486" t="s">
        <v>158</v>
      </c>
      <c r="F296" s="601" t="s">
        <v>406</v>
      </c>
      <c r="G296" s="599" t="s">
        <v>395</v>
      </c>
      <c r="H296" s="599">
        <v>0</v>
      </c>
      <c r="I296" s="599">
        <v>0</v>
      </c>
      <c r="J296" s="599">
        <v>0</v>
      </c>
      <c r="K296" s="602">
        <v>0</v>
      </c>
      <c r="L296" s="602">
        <v>0</v>
      </c>
      <c r="M296" s="482">
        <v>0</v>
      </c>
      <c r="N296" s="599">
        <v>1</v>
      </c>
      <c r="O296" s="602">
        <v>264.3</v>
      </c>
      <c r="P296" s="602">
        <v>264.3</v>
      </c>
      <c r="Q296" s="482">
        <v>0</v>
      </c>
    </row>
    <row r="297" spans="1:17" ht="15.75" customHeight="1" x14ac:dyDescent="0.2">
      <c r="A297" s="526">
        <v>289</v>
      </c>
      <c r="B297" s="599" t="s">
        <v>561</v>
      </c>
      <c r="C297" s="600" t="s">
        <v>62</v>
      </c>
      <c r="D297" s="599"/>
      <c r="E297" s="490" t="s">
        <v>671</v>
      </c>
      <c r="F297" s="601" t="s">
        <v>562</v>
      </c>
      <c r="G297" s="599" t="s">
        <v>395</v>
      </c>
      <c r="H297" s="599">
        <v>31</v>
      </c>
      <c r="I297" s="599">
        <v>0</v>
      </c>
      <c r="J297" s="599">
        <v>0</v>
      </c>
      <c r="K297" s="602">
        <v>0</v>
      </c>
      <c r="L297" s="602">
        <v>0</v>
      </c>
      <c r="M297" s="482">
        <v>0</v>
      </c>
      <c r="N297" s="599">
        <v>0</v>
      </c>
      <c r="O297" s="602">
        <v>0</v>
      </c>
      <c r="P297" s="602">
        <v>0</v>
      </c>
      <c r="Q297" s="482">
        <v>0</v>
      </c>
    </row>
    <row r="298" spans="1:17" ht="15.75" customHeight="1" x14ac:dyDescent="0.2">
      <c r="A298" s="526">
        <v>290</v>
      </c>
      <c r="B298" s="599" t="s">
        <v>563</v>
      </c>
      <c r="C298" s="600" t="s">
        <v>62</v>
      </c>
      <c r="D298" s="599"/>
      <c r="E298" s="490" t="s">
        <v>671</v>
      </c>
      <c r="F298" s="601" t="s">
        <v>564</v>
      </c>
      <c r="G298" s="599" t="s">
        <v>395</v>
      </c>
      <c r="H298" s="599">
        <v>36</v>
      </c>
      <c r="I298" s="599">
        <v>0</v>
      </c>
      <c r="J298" s="599">
        <v>1</v>
      </c>
      <c r="K298" s="602">
        <v>2643</v>
      </c>
      <c r="L298" s="602">
        <v>2643</v>
      </c>
      <c r="M298" s="482">
        <v>0</v>
      </c>
      <c r="N298" s="599">
        <v>0</v>
      </c>
      <c r="O298" s="602">
        <v>0</v>
      </c>
      <c r="P298" s="602">
        <v>0</v>
      </c>
      <c r="Q298" s="482">
        <v>0</v>
      </c>
    </row>
    <row r="299" spans="1:17" ht="15.75" customHeight="1" x14ac:dyDescent="0.2">
      <c r="A299" s="526">
        <v>291</v>
      </c>
      <c r="B299" s="599" t="s">
        <v>53</v>
      </c>
      <c r="C299" s="600" t="s">
        <v>62</v>
      </c>
      <c r="D299" s="599"/>
      <c r="E299" s="486" t="s">
        <v>158</v>
      </c>
      <c r="F299" s="601" t="s">
        <v>634</v>
      </c>
      <c r="G299" s="599" t="s">
        <v>395</v>
      </c>
      <c r="H299" s="599">
        <v>17</v>
      </c>
      <c r="I299" s="599">
        <v>1</v>
      </c>
      <c r="J299" s="599">
        <v>1</v>
      </c>
      <c r="K299" s="602">
        <v>920.5</v>
      </c>
      <c r="L299" s="602">
        <v>920.5</v>
      </c>
      <c r="M299" s="482">
        <v>0</v>
      </c>
      <c r="N299" s="371">
        <v>0</v>
      </c>
      <c r="O299" s="492">
        <v>0</v>
      </c>
      <c r="P299" s="492">
        <v>0</v>
      </c>
      <c r="Q299" s="482">
        <v>0</v>
      </c>
    </row>
  </sheetData>
  <autoFilter ref="A8:IV299"/>
  <pageMargins left="0.75" right="0.75" top="1" bottom="1" header="0.5" footer="0.5"/>
  <pageSetup paperSize="9" orientation="portrait" verticalDpi="300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R301"/>
  <sheetViews>
    <sheetView topLeftCell="A154" workbookViewId="0">
      <selection activeCell="B166" sqref="B166"/>
    </sheetView>
  </sheetViews>
  <sheetFormatPr defaultRowHeight="12.75" x14ac:dyDescent="0.2"/>
  <cols>
    <col min="1" max="1" width="5" style="459" customWidth="1"/>
    <col min="2" max="2" width="43" style="459" customWidth="1"/>
    <col min="3" max="3" width="10.140625" style="459" customWidth="1"/>
    <col min="4" max="4" width="45" style="459" customWidth="1"/>
    <col min="5" max="5" width="34.5703125" style="459" customWidth="1"/>
    <col min="6" max="6" width="20.42578125" style="459" customWidth="1"/>
    <col min="7" max="7" width="36" style="459" customWidth="1"/>
    <col min="8" max="10" width="9.140625" style="459"/>
    <col min="11" max="12" width="9.5703125" style="459" customWidth="1"/>
    <col min="13" max="13" width="9.42578125" style="459" customWidth="1"/>
    <col min="14" max="14" width="9.140625" style="459"/>
    <col min="15" max="16" width="10.5703125" style="459" customWidth="1"/>
    <col min="17" max="17" width="9.42578125" style="459" customWidth="1"/>
    <col min="18" max="256" width="9.140625" style="459"/>
    <col min="257" max="257" width="5" style="459" customWidth="1"/>
    <col min="258" max="258" width="43" style="459" customWidth="1"/>
    <col min="259" max="259" width="10.140625" style="459" customWidth="1"/>
    <col min="260" max="260" width="45" style="459" customWidth="1"/>
    <col min="261" max="261" width="34.5703125" style="459" customWidth="1"/>
    <col min="262" max="262" width="20.42578125" style="459" customWidth="1"/>
    <col min="263" max="263" width="36" style="459" customWidth="1"/>
    <col min="264" max="266" width="9.140625" style="459"/>
    <col min="267" max="268" width="9.5703125" style="459" customWidth="1"/>
    <col min="269" max="269" width="9.42578125" style="459" customWidth="1"/>
    <col min="270" max="270" width="9.140625" style="459"/>
    <col min="271" max="272" width="10.5703125" style="459" customWidth="1"/>
    <col min="273" max="273" width="9.42578125" style="459" customWidth="1"/>
    <col min="274" max="512" width="9.140625" style="459"/>
    <col min="513" max="513" width="5" style="459" customWidth="1"/>
    <col min="514" max="514" width="43" style="459" customWidth="1"/>
    <col min="515" max="515" width="10.140625" style="459" customWidth="1"/>
    <col min="516" max="516" width="45" style="459" customWidth="1"/>
    <col min="517" max="517" width="34.5703125" style="459" customWidth="1"/>
    <col min="518" max="518" width="20.42578125" style="459" customWidth="1"/>
    <col min="519" max="519" width="36" style="459" customWidth="1"/>
    <col min="520" max="522" width="9.140625" style="459"/>
    <col min="523" max="524" width="9.5703125" style="459" customWidth="1"/>
    <col min="525" max="525" width="9.42578125" style="459" customWidth="1"/>
    <col min="526" max="526" width="9.140625" style="459"/>
    <col min="527" max="528" width="10.5703125" style="459" customWidth="1"/>
    <col min="529" max="529" width="9.42578125" style="459" customWidth="1"/>
    <col min="530" max="768" width="9.140625" style="459"/>
    <col min="769" max="769" width="5" style="459" customWidth="1"/>
    <col min="770" max="770" width="43" style="459" customWidth="1"/>
    <col min="771" max="771" width="10.140625" style="459" customWidth="1"/>
    <col min="772" max="772" width="45" style="459" customWidth="1"/>
    <col min="773" max="773" width="34.5703125" style="459" customWidth="1"/>
    <col min="774" max="774" width="20.42578125" style="459" customWidth="1"/>
    <col min="775" max="775" width="36" style="459" customWidth="1"/>
    <col min="776" max="778" width="9.140625" style="459"/>
    <col min="779" max="780" width="9.5703125" style="459" customWidth="1"/>
    <col min="781" max="781" width="9.42578125" style="459" customWidth="1"/>
    <col min="782" max="782" width="9.140625" style="459"/>
    <col min="783" max="784" width="10.5703125" style="459" customWidth="1"/>
    <col min="785" max="785" width="9.42578125" style="459" customWidth="1"/>
    <col min="786" max="1024" width="9.140625" style="459"/>
    <col min="1025" max="1025" width="5" style="459" customWidth="1"/>
    <col min="1026" max="1026" width="43" style="459" customWidth="1"/>
    <col min="1027" max="1027" width="10.140625" style="459" customWidth="1"/>
    <col min="1028" max="1028" width="45" style="459" customWidth="1"/>
    <col min="1029" max="1029" width="34.5703125" style="459" customWidth="1"/>
    <col min="1030" max="1030" width="20.42578125" style="459" customWidth="1"/>
    <col min="1031" max="1031" width="36" style="459" customWidth="1"/>
    <col min="1032" max="1034" width="9.140625" style="459"/>
    <col min="1035" max="1036" width="9.5703125" style="459" customWidth="1"/>
    <col min="1037" max="1037" width="9.42578125" style="459" customWidth="1"/>
    <col min="1038" max="1038" width="9.140625" style="459"/>
    <col min="1039" max="1040" width="10.5703125" style="459" customWidth="1"/>
    <col min="1041" max="1041" width="9.42578125" style="459" customWidth="1"/>
    <col min="1042" max="1280" width="9.140625" style="459"/>
    <col min="1281" max="1281" width="5" style="459" customWidth="1"/>
    <col min="1282" max="1282" width="43" style="459" customWidth="1"/>
    <col min="1283" max="1283" width="10.140625" style="459" customWidth="1"/>
    <col min="1284" max="1284" width="45" style="459" customWidth="1"/>
    <col min="1285" max="1285" width="34.5703125" style="459" customWidth="1"/>
    <col min="1286" max="1286" width="20.42578125" style="459" customWidth="1"/>
    <col min="1287" max="1287" width="36" style="459" customWidth="1"/>
    <col min="1288" max="1290" width="9.140625" style="459"/>
    <col min="1291" max="1292" width="9.5703125" style="459" customWidth="1"/>
    <col min="1293" max="1293" width="9.42578125" style="459" customWidth="1"/>
    <col min="1294" max="1294" width="9.140625" style="459"/>
    <col min="1295" max="1296" width="10.5703125" style="459" customWidth="1"/>
    <col min="1297" max="1297" width="9.42578125" style="459" customWidth="1"/>
    <col min="1298" max="1536" width="9.140625" style="459"/>
    <col min="1537" max="1537" width="5" style="459" customWidth="1"/>
    <col min="1538" max="1538" width="43" style="459" customWidth="1"/>
    <col min="1539" max="1539" width="10.140625" style="459" customWidth="1"/>
    <col min="1540" max="1540" width="45" style="459" customWidth="1"/>
    <col min="1541" max="1541" width="34.5703125" style="459" customWidth="1"/>
    <col min="1542" max="1542" width="20.42578125" style="459" customWidth="1"/>
    <col min="1543" max="1543" width="36" style="459" customWidth="1"/>
    <col min="1544" max="1546" width="9.140625" style="459"/>
    <col min="1547" max="1548" width="9.5703125" style="459" customWidth="1"/>
    <col min="1549" max="1549" width="9.42578125" style="459" customWidth="1"/>
    <col min="1550" max="1550" width="9.140625" style="459"/>
    <col min="1551" max="1552" width="10.5703125" style="459" customWidth="1"/>
    <col min="1553" max="1553" width="9.42578125" style="459" customWidth="1"/>
    <col min="1554" max="1792" width="9.140625" style="459"/>
    <col min="1793" max="1793" width="5" style="459" customWidth="1"/>
    <col min="1794" max="1794" width="43" style="459" customWidth="1"/>
    <col min="1795" max="1795" width="10.140625" style="459" customWidth="1"/>
    <col min="1796" max="1796" width="45" style="459" customWidth="1"/>
    <col min="1797" max="1797" width="34.5703125" style="459" customWidth="1"/>
    <col min="1798" max="1798" width="20.42578125" style="459" customWidth="1"/>
    <col min="1799" max="1799" width="36" style="459" customWidth="1"/>
    <col min="1800" max="1802" width="9.140625" style="459"/>
    <col min="1803" max="1804" width="9.5703125" style="459" customWidth="1"/>
    <col min="1805" max="1805" width="9.42578125" style="459" customWidth="1"/>
    <col min="1806" max="1806" width="9.140625" style="459"/>
    <col min="1807" max="1808" width="10.5703125" style="459" customWidth="1"/>
    <col min="1809" max="1809" width="9.42578125" style="459" customWidth="1"/>
    <col min="1810" max="2048" width="9.140625" style="459"/>
    <col min="2049" max="2049" width="5" style="459" customWidth="1"/>
    <col min="2050" max="2050" width="43" style="459" customWidth="1"/>
    <col min="2051" max="2051" width="10.140625" style="459" customWidth="1"/>
    <col min="2052" max="2052" width="45" style="459" customWidth="1"/>
    <col min="2053" max="2053" width="34.5703125" style="459" customWidth="1"/>
    <col min="2054" max="2054" width="20.42578125" style="459" customWidth="1"/>
    <col min="2055" max="2055" width="36" style="459" customWidth="1"/>
    <col min="2056" max="2058" width="9.140625" style="459"/>
    <col min="2059" max="2060" width="9.5703125" style="459" customWidth="1"/>
    <col min="2061" max="2061" width="9.42578125" style="459" customWidth="1"/>
    <col min="2062" max="2062" width="9.140625" style="459"/>
    <col min="2063" max="2064" width="10.5703125" style="459" customWidth="1"/>
    <col min="2065" max="2065" width="9.42578125" style="459" customWidth="1"/>
    <col min="2066" max="2304" width="9.140625" style="459"/>
    <col min="2305" max="2305" width="5" style="459" customWidth="1"/>
    <col min="2306" max="2306" width="43" style="459" customWidth="1"/>
    <col min="2307" max="2307" width="10.140625" style="459" customWidth="1"/>
    <col min="2308" max="2308" width="45" style="459" customWidth="1"/>
    <col min="2309" max="2309" width="34.5703125" style="459" customWidth="1"/>
    <col min="2310" max="2310" width="20.42578125" style="459" customWidth="1"/>
    <col min="2311" max="2311" width="36" style="459" customWidth="1"/>
    <col min="2312" max="2314" width="9.140625" style="459"/>
    <col min="2315" max="2316" width="9.5703125" style="459" customWidth="1"/>
    <col min="2317" max="2317" width="9.42578125" style="459" customWidth="1"/>
    <col min="2318" max="2318" width="9.140625" style="459"/>
    <col min="2319" max="2320" width="10.5703125" style="459" customWidth="1"/>
    <col min="2321" max="2321" width="9.42578125" style="459" customWidth="1"/>
    <col min="2322" max="2560" width="9.140625" style="459"/>
    <col min="2561" max="2561" width="5" style="459" customWidth="1"/>
    <col min="2562" max="2562" width="43" style="459" customWidth="1"/>
    <col min="2563" max="2563" width="10.140625" style="459" customWidth="1"/>
    <col min="2564" max="2564" width="45" style="459" customWidth="1"/>
    <col min="2565" max="2565" width="34.5703125" style="459" customWidth="1"/>
    <col min="2566" max="2566" width="20.42578125" style="459" customWidth="1"/>
    <col min="2567" max="2567" width="36" style="459" customWidth="1"/>
    <col min="2568" max="2570" width="9.140625" style="459"/>
    <col min="2571" max="2572" width="9.5703125" style="459" customWidth="1"/>
    <col min="2573" max="2573" width="9.42578125" style="459" customWidth="1"/>
    <col min="2574" max="2574" width="9.140625" style="459"/>
    <col min="2575" max="2576" width="10.5703125" style="459" customWidth="1"/>
    <col min="2577" max="2577" width="9.42578125" style="459" customWidth="1"/>
    <col min="2578" max="2816" width="9.140625" style="459"/>
    <col min="2817" max="2817" width="5" style="459" customWidth="1"/>
    <col min="2818" max="2818" width="43" style="459" customWidth="1"/>
    <col min="2819" max="2819" width="10.140625" style="459" customWidth="1"/>
    <col min="2820" max="2820" width="45" style="459" customWidth="1"/>
    <col min="2821" max="2821" width="34.5703125" style="459" customWidth="1"/>
    <col min="2822" max="2822" width="20.42578125" style="459" customWidth="1"/>
    <col min="2823" max="2823" width="36" style="459" customWidth="1"/>
    <col min="2824" max="2826" width="9.140625" style="459"/>
    <col min="2827" max="2828" width="9.5703125" style="459" customWidth="1"/>
    <col min="2829" max="2829" width="9.42578125" style="459" customWidth="1"/>
    <col min="2830" max="2830" width="9.140625" style="459"/>
    <col min="2831" max="2832" width="10.5703125" style="459" customWidth="1"/>
    <col min="2833" max="2833" width="9.42578125" style="459" customWidth="1"/>
    <col min="2834" max="3072" width="9.140625" style="459"/>
    <col min="3073" max="3073" width="5" style="459" customWidth="1"/>
    <col min="3074" max="3074" width="43" style="459" customWidth="1"/>
    <col min="3075" max="3075" width="10.140625" style="459" customWidth="1"/>
    <col min="3076" max="3076" width="45" style="459" customWidth="1"/>
    <col min="3077" max="3077" width="34.5703125" style="459" customWidth="1"/>
    <col min="3078" max="3078" width="20.42578125" style="459" customWidth="1"/>
    <col min="3079" max="3079" width="36" style="459" customWidth="1"/>
    <col min="3080" max="3082" width="9.140625" style="459"/>
    <col min="3083" max="3084" width="9.5703125" style="459" customWidth="1"/>
    <col min="3085" max="3085" width="9.42578125" style="459" customWidth="1"/>
    <col min="3086" max="3086" width="9.140625" style="459"/>
    <col min="3087" max="3088" width="10.5703125" style="459" customWidth="1"/>
    <col min="3089" max="3089" width="9.42578125" style="459" customWidth="1"/>
    <col min="3090" max="3328" width="9.140625" style="459"/>
    <col min="3329" max="3329" width="5" style="459" customWidth="1"/>
    <col min="3330" max="3330" width="43" style="459" customWidth="1"/>
    <col min="3331" max="3331" width="10.140625" style="459" customWidth="1"/>
    <col min="3332" max="3332" width="45" style="459" customWidth="1"/>
    <col min="3333" max="3333" width="34.5703125" style="459" customWidth="1"/>
    <col min="3334" max="3334" width="20.42578125" style="459" customWidth="1"/>
    <col min="3335" max="3335" width="36" style="459" customWidth="1"/>
    <col min="3336" max="3338" width="9.140625" style="459"/>
    <col min="3339" max="3340" width="9.5703125" style="459" customWidth="1"/>
    <col min="3341" max="3341" width="9.42578125" style="459" customWidth="1"/>
    <col min="3342" max="3342" width="9.140625" style="459"/>
    <col min="3343" max="3344" width="10.5703125" style="459" customWidth="1"/>
    <col min="3345" max="3345" width="9.42578125" style="459" customWidth="1"/>
    <col min="3346" max="3584" width="9.140625" style="459"/>
    <col min="3585" max="3585" width="5" style="459" customWidth="1"/>
    <col min="3586" max="3586" width="43" style="459" customWidth="1"/>
    <col min="3587" max="3587" width="10.140625" style="459" customWidth="1"/>
    <col min="3588" max="3588" width="45" style="459" customWidth="1"/>
    <col min="3589" max="3589" width="34.5703125" style="459" customWidth="1"/>
    <col min="3590" max="3590" width="20.42578125" style="459" customWidth="1"/>
    <col min="3591" max="3591" width="36" style="459" customWidth="1"/>
    <col min="3592" max="3594" width="9.140625" style="459"/>
    <col min="3595" max="3596" width="9.5703125" style="459" customWidth="1"/>
    <col min="3597" max="3597" width="9.42578125" style="459" customWidth="1"/>
    <col min="3598" max="3598" width="9.140625" style="459"/>
    <col min="3599" max="3600" width="10.5703125" style="459" customWidth="1"/>
    <col min="3601" max="3601" width="9.42578125" style="459" customWidth="1"/>
    <col min="3602" max="3840" width="9.140625" style="459"/>
    <col min="3841" max="3841" width="5" style="459" customWidth="1"/>
    <col min="3842" max="3842" width="43" style="459" customWidth="1"/>
    <col min="3843" max="3843" width="10.140625" style="459" customWidth="1"/>
    <col min="3844" max="3844" width="45" style="459" customWidth="1"/>
    <col min="3845" max="3845" width="34.5703125" style="459" customWidth="1"/>
    <col min="3846" max="3846" width="20.42578125" style="459" customWidth="1"/>
    <col min="3847" max="3847" width="36" style="459" customWidth="1"/>
    <col min="3848" max="3850" width="9.140625" style="459"/>
    <col min="3851" max="3852" width="9.5703125" style="459" customWidth="1"/>
    <col min="3853" max="3853" width="9.42578125" style="459" customWidth="1"/>
    <col min="3854" max="3854" width="9.140625" style="459"/>
    <col min="3855" max="3856" width="10.5703125" style="459" customWidth="1"/>
    <col min="3857" max="3857" width="9.42578125" style="459" customWidth="1"/>
    <col min="3858" max="4096" width="9.140625" style="459"/>
    <col min="4097" max="4097" width="5" style="459" customWidth="1"/>
    <col min="4098" max="4098" width="43" style="459" customWidth="1"/>
    <col min="4099" max="4099" width="10.140625" style="459" customWidth="1"/>
    <col min="4100" max="4100" width="45" style="459" customWidth="1"/>
    <col min="4101" max="4101" width="34.5703125" style="459" customWidth="1"/>
    <col min="4102" max="4102" width="20.42578125" style="459" customWidth="1"/>
    <col min="4103" max="4103" width="36" style="459" customWidth="1"/>
    <col min="4104" max="4106" width="9.140625" style="459"/>
    <col min="4107" max="4108" width="9.5703125" style="459" customWidth="1"/>
    <col min="4109" max="4109" width="9.42578125" style="459" customWidth="1"/>
    <col min="4110" max="4110" width="9.140625" style="459"/>
    <col min="4111" max="4112" width="10.5703125" style="459" customWidth="1"/>
    <col min="4113" max="4113" width="9.42578125" style="459" customWidth="1"/>
    <col min="4114" max="4352" width="9.140625" style="459"/>
    <col min="4353" max="4353" width="5" style="459" customWidth="1"/>
    <col min="4354" max="4354" width="43" style="459" customWidth="1"/>
    <col min="4355" max="4355" width="10.140625" style="459" customWidth="1"/>
    <col min="4356" max="4356" width="45" style="459" customWidth="1"/>
    <col min="4357" max="4357" width="34.5703125" style="459" customWidth="1"/>
    <col min="4358" max="4358" width="20.42578125" style="459" customWidth="1"/>
    <col min="4359" max="4359" width="36" style="459" customWidth="1"/>
    <col min="4360" max="4362" width="9.140625" style="459"/>
    <col min="4363" max="4364" width="9.5703125" style="459" customWidth="1"/>
    <col min="4365" max="4365" width="9.42578125" style="459" customWidth="1"/>
    <col min="4366" max="4366" width="9.140625" style="459"/>
    <col min="4367" max="4368" width="10.5703125" style="459" customWidth="1"/>
    <col min="4369" max="4369" width="9.42578125" style="459" customWidth="1"/>
    <col min="4370" max="4608" width="9.140625" style="459"/>
    <col min="4609" max="4609" width="5" style="459" customWidth="1"/>
    <col min="4610" max="4610" width="43" style="459" customWidth="1"/>
    <col min="4611" max="4611" width="10.140625" style="459" customWidth="1"/>
    <col min="4612" max="4612" width="45" style="459" customWidth="1"/>
    <col min="4613" max="4613" width="34.5703125" style="459" customWidth="1"/>
    <col min="4614" max="4614" width="20.42578125" style="459" customWidth="1"/>
    <col min="4615" max="4615" width="36" style="459" customWidth="1"/>
    <col min="4616" max="4618" width="9.140625" style="459"/>
    <col min="4619" max="4620" width="9.5703125" style="459" customWidth="1"/>
    <col min="4621" max="4621" width="9.42578125" style="459" customWidth="1"/>
    <col min="4622" max="4622" width="9.140625" style="459"/>
    <col min="4623" max="4624" width="10.5703125" style="459" customWidth="1"/>
    <col min="4625" max="4625" width="9.42578125" style="459" customWidth="1"/>
    <col min="4626" max="4864" width="9.140625" style="459"/>
    <col min="4865" max="4865" width="5" style="459" customWidth="1"/>
    <col min="4866" max="4866" width="43" style="459" customWidth="1"/>
    <col min="4867" max="4867" width="10.140625" style="459" customWidth="1"/>
    <col min="4868" max="4868" width="45" style="459" customWidth="1"/>
    <col min="4869" max="4869" width="34.5703125" style="459" customWidth="1"/>
    <col min="4870" max="4870" width="20.42578125" style="459" customWidth="1"/>
    <col min="4871" max="4871" width="36" style="459" customWidth="1"/>
    <col min="4872" max="4874" width="9.140625" style="459"/>
    <col min="4875" max="4876" width="9.5703125" style="459" customWidth="1"/>
    <col min="4877" max="4877" width="9.42578125" style="459" customWidth="1"/>
    <col min="4878" max="4878" width="9.140625" style="459"/>
    <col min="4879" max="4880" width="10.5703125" style="459" customWidth="1"/>
    <col min="4881" max="4881" width="9.42578125" style="459" customWidth="1"/>
    <col min="4882" max="5120" width="9.140625" style="459"/>
    <col min="5121" max="5121" width="5" style="459" customWidth="1"/>
    <col min="5122" max="5122" width="43" style="459" customWidth="1"/>
    <col min="5123" max="5123" width="10.140625" style="459" customWidth="1"/>
    <col min="5124" max="5124" width="45" style="459" customWidth="1"/>
    <col min="5125" max="5125" width="34.5703125" style="459" customWidth="1"/>
    <col min="5126" max="5126" width="20.42578125" style="459" customWidth="1"/>
    <col min="5127" max="5127" width="36" style="459" customWidth="1"/>
    <col min="5128" max="5130" width="9.140625" style="459"/>
    <col min="5131" max="5132" width="9.5703125" style="459" customWidth="1"/>
    <col min="5133" max="5133" width="9.42578125" style="459" customWidth="1"/>
    <col min="5134" max="5134" width="9.140625" style="459"/>
    <col min="5135" max="5136" width="10.5703125" style="459" customWidth="1"/>
    <col min="5137" max="5137" width="9.42578125" style="459" customWidth="1"/>
    <col min="5138" max="5376" width="9.140625" style="459"/>
    <col min="5377" max="5377" width="5" style="459" customWidth="1"/>
    <col min="5378" max="5378" width="43" style="459" customWidth="1"/>
    <col min="5379" max="5379" width="10.140625" style="459" customWidth="1"/>
    <col min="5380" max="5380" width="45" style="459" customWidth="1"/>
    <col min="5381" max="5381" width="34.5703125" style="459" customWidth="1"/>
    <col min="5382" max="5382" width="20.42578125" style="459" customWidth="1"/>
    <col min="5383" max="5383" width="36" style="459" customWidth="1"/>
    <col min="5384" max="5386" width="9.140625" style="459"/>
    <col min="5387" max="5388" width="9.5703125" style="459" customWidth="1"/>
    <col min="5389" max="5389" width="9.42578125" style="459" customWidth="1"/>
    <col min="5390" max="5390" width="9.140625" style="459"/>
    <col min="5391" max="5392" width="10.5703125" style="459" customWidth="1"/>
    <col min="5393" max="5393" width="9.42578125" style="459" customWidth="1"/>
    <col min="5394" max="5632" width="9.140625" style="459"/>
    <col min="5633" max="5633" width="5" style="459" customWidth="1"/>
    <col min="5634" max="5634" width="43" style="459" customWidth="1"/>
    <col min="5635" max="5635" width="10.140625" style="459" customWidth="1"/>
    <col min="5636" max="5636" width="45" style="459" customWidth="1"/>
    <col min="5637" max="5637" width="34.5703125" style="459" customWidth="1"/>
    <col min="5638" max="5638" width="20.42578125" style="459" customWidth="1"/>
    <col min="5639" max="5639" width="36" style="459" customWidth="1"/>
    <col min="5640" max="5642" width="9.140625" style="459"/>
    <col min="5643" max="5644" width="9.5703125" style="459" customWidth="1"/>
    <col min="5645" max="5645" width="9.42578125" style="459" customWidth="1"/>
    <col min="5646" max="5646" width="9.140625" style="459"/>
    <col min="5647" max="5648" width="10.5703125" style="459" customWidth="1"/>
    <col min="5649" max="5649" width="9.42578125" style="459" customWidth="1"/>
    <col min="5650" max="5888" width="9.140625" style="459"/>
    <col min="5889" max="5889" width="5" style="459" customWidth="1"/>
    <col min="5890" max="5890" width="43" style="459" customWidth="1"/>
    <col min="5891" max="5891" width="10.140625" style="459" customWidth="1"/>
    <col min="5892" max="5892" width="45" style="459" customWidth="1"/>
    <col min="5893" max="5893" width="34.5703125" style="459" customWidth="1"/>
    <col min="5894" max="5894" width="20.42578125" style="459" customWidth="1"/>
    <col min="5895" max="5895" width="36" style="459" customWidth="1"/>
    <col min="5896" max="5898" width="9.140625" style="459"/>
    <col min="5899" max="5900" width="9.5703125" style="459" customWidth="1"/>
    <col min="5901" max="5901" width="9.42578125" style="459" customWidth="1"/>
    <col min="5902" max="5902" width="9.140625" style="459"/>
    <col min="5903" max="5904" width="10.5703125" style="459" customWidth="1"/>
    <col min="5905" max="5905" width="9.42578125" style="459" customWidth="1"/>
    <col min="5906" max="6144" width="9.140625" style="459"/>
    <col min="6145" max="6145" width="5" style="459" customWidth="1"/>
    <col min="6146" max="6146" width="43" style="459" customWidth="1"/>
    <col min="6147" max="6147" width="10.140625" style="459" customWidth="1"/>
    <col min="6148" max="6148" width="45" style="459" customWidth="1"/>
    <col min="6149" max="6149" width="34.5703125" style="459" customWidth="1"/>
    <col min="6150" max="6150" width="20.42578125" style="459" customWidth="1"/>
    <col min="6151" max="6151" width="36" style="459" customWidth="1"/>
    <col min="6152" max="6154" width="9.140625" style="459"/>
    <col min="6155" max="6156" width="9.5703125" style="459" customWidth="1"/>
    <col min="6157" max="6157" width="9.42578125" style="459" customWidth="1"/>
    <col min="6158" max="6158" width="9.140625" style="459"/>
    <col min="6159" max="6160" width="10.5703125" style="459" customWidth="1"/>
    <col min="6161" max="6161" width="9.42578125" style="459" customWidth="1"/>
    <col min="6162" max="6400" width="9.140625" style="459"/>
    <col min="6401" max="6401" width="5" style="459" customWidth="1"/>
    <col min="6402" max="6402" width="43" style="459" customWidth="1"/>
    <col min="6403" max="6403" width="10.140625" style="459" customWidth="1"/>
    <col min="6404" max="6404" width="45" style="459" customWidth="1"/>
    <col min="6405" max="6405" width="34.5703125" style="459" customWidth="1"/>
    <col min="6406" max="6406" width="20.42578125" style="459" customWidth="1"/>
    <col min="6407" max="6407" width="36" style="459" customWidth="1"/>
    <col min="6408" max="6410" width="9.140625" style="459"/>
    <col min="6411" max="6412" width="9.5703125" style="459" customWidth="1"/>
    <col min="6413" max="6413" width="9.42578125" style="459" customWidth="1"/>
    <col min="6414" max="6414" width="9.140625" style="459"/>
    <col min="6415" max="6416" width="10.5703125" style="459" customWidth="1"/>
    <col min="6417" max="6417" width="9.42578125" style="459" customWidth="1"/>
    <col min="6418" max="6656" width="9.140625" style="459"/>
    <col min="6657" max="6657" width="5" style="459" customWidth="1"/>
    <col min="6658" max="6658" width="43" style="459" customWidth="1"/>
    <col min="6659" max="6659" width="10.140625" style="459" customWidth="1"/>
    <col min="6660" max="6660" width="45" style="459" customWidth="1"/>
    <col min="6661" max="6661" width="34.5703125" style="459" customWidth="1"/>
    <col min="6662" max="6662" width="20.42578125" style="459" customWidth="1"/>
    <col min="6663" max="6663" width="36" style="459" customWidth="1"/>
    <col min="6664" max="6666" width="9.140625" style="459"/>
    <col min="6667" max="6668" width="9.5703125" style="459" customWidth="1"/>
    <col min="6669" max="6669" width="9.42578125" style="459" customWidth="1"/>
    <col min="6670" max="6670" width="9.140625" style="459"/>
    <col min="6671" max="6672" width="10.5703125" style="459" customWidth="1"/>
    <col min="6673" max="6673" width="9.42578125" style="459" customWidth="1"/>
    <col min="6674" max="6912" width="9.140625" style="459"/>
    <col min="6913" max="6913" width="5" style="459" customWidth="1"/>
    <col min="6914" max="6914" width="43" style="459" customWidth="1"/>
    <col min="6915" max="6915" width="10.140625" style="459" customWidth="1"/>
    <col min="6916" max="6916" width="45" style="459" customWidth="1"/>
    <col min="6917" max="6917" width="34.5703125" style="459" customWidth="1"/>
    <col min="6918" max="6918" width="20.42578125" style="459" customWidth="1"/>
    <col min="6919" max="6919" width="36" style="459" customWidth="1"/>
    <col min="6920" max="6922" width="9.140625" style="459"/>
    <col min="6923" max="6924" width="9.5703125" style="459" customWidth="1"/>
    <col min="6925" max="6925" width="9.42578125" style="459" customWidth="1"/>
    <col min="6926" max="6926" width="9.140625" style="459"/>
    <col min="6927" max="6928" width="10.5703125" style="459" customWidth="1"/>
    <col min="6929" max="6929" width="9.42578125" style="459" customWidth="1"/>
    <col min="6930" max="7168" width="9.140625" style="459"/>
    <col min="7169" max="7169" width="5" style="459" customWidth="1"/>
    <col min="7170" max="7170" width="43" style="459" customWidth="1"/>
    <col min="7171" max="7171" width="10.140625" style="459" customWidth="1"/>
    <col min="7172" max="7172" width="45" style="459" customWidth="1"/>
    <col min="7173" max="7173" width="34.5703125" style="459" customWidth="1"/>
    <col min="7174" max="7174" width="20.42578125" style="459" customWidth="1"/>
    <col min="7175" max="7175" width="36" style="459" customWidth="1"/>
    <col min="7176" max="7178" width="9.140625" style="459"/>
    <col min="7179" max="7180" width="9.5703125" style="459" customWidth="1"/>
    <col min="7181" max="7181" width="9.42578125" style="459" customWidth="1"/>
    <col min="7182" max="7182" width="9.140625" style="459"/>
    <col min="7183" max="7184" width="10.5703125" style="459" customWidth="1"/>
    <col min="7185" max="7185" width="9.42578125" style="459" customWidth="1"/>
    <col min="7186" max="7424" width="9.140625" style="459"/>
    <col min="7425" max="7425" width="5" style="459" customWidth="1"/>
    <col min="7426" max="7426" width="43" style="459" customWidth="1"/>
    <col min="7427" max="7427" width="10.140625" style="459" customWidth="1"/>
    <col min="7428" max="7428" width="45" style="459" customWidth="1"/>
    <col min="7429" max="7429" width="34.5703125" style="459" customWidth="1"/>
    <col min="7430" max="7430" width="20.42578125" style="459" customWidth="1"/>
    <col min="7431" max="7431" width="36" style="459" customWidth="1"/>
    <col min="7432" max="7434" width="9.140625" style="459"/>
    <col min="7435" max="7436" width="9.5703125" style="459" customWidth="1"/>
    <col min="7437" max="7437" width="9.42578125" style="459" customWidth="1"/>
    <col min="7438" max="7438" width="9.140625" style="459"/>
    <col min="7439" max="7440" width="10.5703125" style="459" customWidth="1"/>
    <col min="7441" max="7441" width="9.42578125" style="459" customWidth="1"/>
    <col min="7442" max="7680" width="9.140625" style="459"/>
    <col min="7681" max="7681" width="5" style="459" customWidth="1"/>
    <col min="7682" max="7682" width="43" style="459" customWidth="1"/>
    <col min="7683" max="7683" width="10.140625" style="459" customWidth="1"/>
    <col min="7684" max="7684" width="45" style="459" customWidth="1"/>
    <col min="7685" max="7685" width="34.5703125" style="459" customWidth="1"/>
    <col min="7686" max="7686" width="20.42578125" style="459" customWidth="1"/>
    <col min="7687" max="7687" width="36" style="459" customWidth="1"/>
    <col min="7688" max="7690" width="9.140625" style="459"/>
    <col min="7691" max="7692" width="9.5703125" style="459" customWidth="1"/>
    <col min="7693" max="7693" width="9.42578125" style="459" customWidth="1"/>
    <col min="7694" max="7694" width="9.140625" style="459"/>
    <col min="7695" max="7696" width="10.5703125" style="459" customWidth="1"/>
    <col min="7697" max="7697" width="9.42578125" style="459" customWidth="1"/>
    <col min="7698" max="7936" width="9.140625" style="459"/>
    <col min="7937" max="7937" width="5" style="459" customWidth="1"/>
    <col min="7938" max="7938" width="43" style="459" customWidth="1"/>
    <col min="7939" max="7939" width="10.140625" style="459" customWidth="1"/>
    <col min="7940" max="7940" width="45" style="459" customWidth="1"/>
    <col min="7941" max="7941" width="34.5703125" style="459" customWidth="1"/>
    <col min="7942" max="7942" width="20.42578125" style="459" customWidth="1"/>
    <col min="7943" max="7943" width="36" style="459" customWidth="1"/>
    <col min="7944" max="7946" width="9.140625" style="459"/>
    <col min="7947" max="7948" width="9.5703125" style="459" customWidth="1"/>
    <col min="7949" max="7949" width="9.42578125" style="459" customWidth="1"/>
    <col min="7950" max="7950" width="9.140625" style="459"/>
    <col min="7951" max="7952" width="10.5703125" style="459" customWidth="1"/>
    <col min="7953" max="7953" width="9.42578125" style="459" customWidth="1"/>
    <col min="7954" max="8192" width="9.140625" style="459"/>
    <col min="8193" max="8193" width="5" style="459" customWidth="1"/>
    <col min="8194" max="8194" width="43" style="459" customWidth="1"/>
    <col min="8195" max="8195" width="10.140625" style="459" customWidth="1"/>
    <col min="8196" max="8196" width="45" style="459" customWidth="1"/>
    <col min="8197" max="8197" width="34.5703125" style="459" customWidth="1"/>
    <col min="8198" max="8198" width="20.42578125" style="459" customWidth="1"/>
    <col min="8199" max="8199" width="36" style="459" customWidth="1"/>
    <col min="8200" max="8202" width="9.140625" style="459"/>
    <col min="8203" max="8204" width="9.5703125" style="459" customWidth="1"/>
    <col min="8205" max="8205" width="9.42578125" style="459" customWidth="1"/>
    <col min="8206" max="8206" width="9.140625" style="459"/>
    <col min="8207" max="8208" width="10.5703125" style="459" customWidth="1"/>
    <col min="8209" max="8209" width="9.42578125" style="459" customWidth="1"/>
    <col min="8210" max="8448" width="9.140625" style="459"/>
    <col min="8449" max="8449" width="5" style="459" customWidth="1"/>
    <col min="8450" max="8450" width="43" style="459" customWidth="1"/>
    <col min="8451" max="8451" width="10.140625" style="459" customWidth="1"/>
    <col min="8452" max="8452" width="45" style="459" customWidth="1"/>
    <col min="8453" max="8453" width="34.5703125" style="459" customWidth="1"/>
    <col min="8454" max="8454" width="20.42578125" style="459" customWidth="1"/>
    <col min="8455" max="8455" width="36" style="459" customWidth="1"/>
    <col min="8456" max="8458" width="9.140625" style="459"/>
    <col min="8459" max="8460" width="9.5703125" style="459" customWidth="1"/>
    <col min="8461" max="8461" width="9.42578125" style="459" customWidth="1"/>
    <col min="8462" max="8462" width="9.140625" style="459"/>
    <col min="8463" max="8464" width="10.5703125" style="459" customWidth="1"/>
    <col min="8465" max="8465" width="9.42578125" style="459" customWidth="1"/>
    <col min="8466" max="8704" width="9.140625" style="459"/>
    <col min="8705" max="8705" width="5" style="459" customWidth="1"/>
    <col min="8706" max="8706" width="43" style="459" customWidth="1"/>
    <col min="8707" max="8707" width="10.140625" style="459" customWidth="1"/>
    <col min="8708" max="8708" width="45" style="459" customWidth="1"/>
    <col min="8709" max="8709" width="34.5703125" style="459" customWidth="1"/>
    <col min="8710" max="8710" width="20.42578125" style="459" customWidth="1"/>
    <col min="8711" max="8711" width="36" style="459" customWidth="1"/>
    <col min="8712" max="8714" width="9.140625" style="459"/>
    <col min="8715" max="8716" width="9.5703125" style="459" customWidth="1"/>
    <col min="8717" max="8717" width="9.42578125" style="459" customWidth="1"/>
    <col min="8718" max="8718" width="9.140625" style="459"/>
    <col min="8719" max="8720" width="10.5703125" style="459" customWidth="1"/>
    <col min="8721" max="8721" width="9.42578125" style="459" customWidth="1"/>
    <col min="8722" max="8960" width="9.140625" style="459"/>
    <col min="8961" max="8961" width="5" style="459" customWidth="1"/>
    <col min="8962" max="8962" width="43" style="459" customWidth="1"/>
    <col min="8963" max="8963" width="10.140625" style="459" customWidth="1"/>
    <col min="8964" max="8964" width="45" style="459" customWidth="1"/>
    <col min="8965" max="8965" width="34.5703125" style="459" customWidth="1"/>
    <col min="8966" max="8966" width="20.42578125" style="459" customWidth="1"/>
    <col min="8967" max="8967" width="36" style="459" customWidth="1"/>
    <col min="8968" max="8970" width="9.140625" style="459"/>
    <col min="8971" max="8972" width="9.5703125" style="459" customWidth="1"/>
    <col min="8973" max="8973" width="9.42578125" style="459" customWidth="1"/>
    <col min="8974" max="8974" width="9.140625" style="459"/>
    <col min="8975" max="8976" width="10.5703125" style="459" customWidth="1"/>
    <col min="8977" max="8977" width="9.42578125" style="459" customWidth="1"/>
    <col min="8978" max="9216" width="9.140625" style="459"/>
    <col min="9217" max="9217" width="5" style="459" customWidth="1"/>
    <col min="9218" max="9218" width="43" style="459" customWidth="1"/>
    <col min="9219" max="9219" width="10.140625" style="459" customWidth="1"/>
    <col min="9220" max="9220" width="45" style="459" customWidth="1"/>
    <col min="9221" max="9221" width="34.5703125" style="459" customWidth="1"/>
    <col min="9222" max="9222" width="20.42578125" style="459" customWidth="1"/>
    <col min="9223" max="9223" width="36" style="459" customWidth="1"/>
    <col min="9224" max="9226" width="9.140625" style="459"/>
    <col min="9227" max="9228" width="9.5703125" style="459" customWidth="1"/>
    <col min="9229" max="9229" width="9.42578125" style="459" customWidth="1"/>
    <col min="9230" max="9230" width="9.140625" style="459"/>
    <col min="9231" max="9232" width="10.5703125" style="459" customWidth="1"/>
    <col min="9233" max="9233" width="9.42578125" style="459" customWidth="1"/>
    <col min="9234" max="9472" width="9.140625" style="459"/>
    <col min="9473" max="9473" width="5" style="459" customWidth="1"/>
    <col min="9474" max="9474" width="43" style="459" customWidth="1"/>
    <col min="9475" max="9475" width="10.140625" style="459" customWidth="1"/>
    <col min="9476" max="9476" width="45" style="459" customWidth="1"/>
    <col min="9477" max="9477" width="34.5703125" style="459" customWidth="1"/>
    <col min="9478" max="9478" width="20.42578125" style="459" customWidth="1"/>
    <col min="9479" max="9479" width="36" style="459" customWidth="1"/>
    <col min="9480" max="9482" width="9.140625" style="459"/>
    <col min="9483" max="9484" width="9.5703125" style="459" customWidth="1"/>
    <col min="9485" max="9485" width="9.42578125" style="459" customWidth="1"/>
    <col min="9486" max="9486" width="9.140625" style="459"/>
    <col min="9487" max="9488" width="10.5703125" style="459" customWidth="1"/>
    <col min="9489" max="9489" width="9.42578125" style="459" customWidth="1"/>
    <col min="9490" max="9728" width="9.140625" style="459"/>
    <col min="9729" max="9729" width="5" style="459" customWidth="1"/>
    <col min="9730" max="9730" width="43" style="459" customWidth="1"/>
    <col min="9731" max="9731" width="10.140625" style="459" customWidth="1"/>
    <col min="9732" max="9732" width="45" style="459" customWidth="1"/>
    <col min="9733" max="9733" width="34.5703125" style="459" customWidth="1"/>
    <col min="9734" max="9734" width="20.42578125" style="459" customWidth="1"/>
    <col min="9735" max="9735" width="36" style="459" customWidth="1"/>
    <col min="9736" max="9738" width="9.140625" style="459"/>
    <col min="9739" max="9740" width="9.5703125" style="459" customWidth="1"/>
    <col min="9741" max="9741" width="9.42578125" style="459" customWidth="1"/>
    <col min="9742" max="9742" width="9.140625" style="459"/>
    <col min="9743" max="9744" width="10.5703125" style="459" customWidth="1"/>
    <col min="9745" max="9745" width="9.42578125" style="459" customWidth="1"/>
    <col min="9746" max="9984" width="9.140625" style="459"/>
    <col min="9985" max="9985" width="5" style="459" customWidth="1"/>
    <col min="9986" max="9986" width="43" style="459" customWidth="1"/>
    <col min="9987" max="9987" width="10.140625" style="459" customWidth="1"/>
    <col min="9988" max="9988" width="45" style="459" customWidth="1"/>
    <col min="9989" max="9989" width="34.5703125" style="459" customWidth="1"/>
    <col min="9990" max="9990" width="20.42578125" style="459" customWidth="1"/>
    <col min="9991" max="9991" width="36" style="459" customWidth="1"/>
    <col min="9992" max="9994" width="9.140625" style="459"/>
    <col min="9995" max="9996" width="9.5703125" style="459" customWidth="1"/>
    <col min="9997" max="9997" width="9.42578125" style="459" customWidth="1"/>
    <col min="9998" max="9998" width="9.140625" style="459"/>
    <col min="9999" max="10000" width="10.5703125" style="459" customWidth="1"/>
    <col min="10001" max="10001" width="9.42578125" style="459" customWidth="1"/>
    <col min="10002" max="10240" width="9.140625" style="459"/>
    <col min="10241" max="10241" width="5" style="459" customWidth="1"/>
    <col min="10242" max="10242" width="43" style="459" customWidth="1"/>
    <col min="10243" max="10243" width="10.140625" style="459" customWidth="1"/>
    <col min="10244" max="10244" width="45" style="459" customWidth="1"/>
    <col min="10245" max="10245" width="34.5703125" style="459" customWidth="1"/>
    <col min="10246" max="10246" width="20.42578125" style="459" customWidth="1"/>
    <col min="10247" max="10247" width="36" style="459" customWidth="1"/>
    <col min="10248" max="10250" width="9.140625" style="459"/>
    <col min="10251" max="10252" width="9.5703125" style="459" customWidth="1"/>
    <col min="10253" max="10253" width="9.42578125" style="459" customWidth="1"/>
    <col min="10254" max="10254" width="9.140625" style="459"/>
    <col min="10255" max="10256" width="10.5703125" style="459" customWidth="1"/>
    <col min="10257" max="10257" width="9.42578125" style="459" customWidth="1"/>
    <col min="10258" max="10496" width="9.140625" style="459"/>
    <col min="10497" max="10497" width="5" style="459" customWidth="1"/>
    <col min="10498" max="10498" width="43" style="459" customWidth="1"/>
    <col min="10499" max="10499" width="10.140625" style="459" customWidth="1"/>
    <col min="10500" max="10500" width="45" style="459" customWidth="1"/>
    <col min="10501" max="10501" width="34.5703125" style="459" customWidth="1"/>
    <col min="10502" max="10502" width="20.42578125" style="459" customWidth="1"/>
    <col min="10503" max="10503" width="36" style="459" customWidth="1"/>
    <col min="10504" max="10506" width="9.140625" style="459"/>
    <col min="10507" max="10508" width="9.5703125" style="459" customWidth="1"/>
    <col min="10509" max="10509" width="9.42578125" style="459" customWidth="1"/>
    <col min="10510" max="10510" width="9.140625" style="459"/>
    <col min="10511" max="10512" width="10.5703125" style="459" customWidth="1"/>
    <col min="10513" max="10513" width="9.42578125" style="459" customWidth="1"/>
    <col min="10514" max="10752" width="9.140625" style="459"/>
    <col min="10753" max="10753" width="5" style="459" customWidth="1"/>
    <col min="10754" max="10754" width="43" style="459" customWidth="1"/>
    <col min="10755" max="10755" width="10.140625" style="459" customWidth="1"/>
    <col min="10756" max="10756" width="45" style="459" customWidth="1"/>
    <col min="10757" max="10757" width="34.5703125" style="459" customWidth="1"/>
    <col min="10758" max="10758" width="20.42578125" style="459" customWidth="1"/>
    <col min="10759" max="10759" width="36" style="459" customWidth="1"/>
    <col min="10760" max="10762" width="9.140625" style="459"/>
    <col min="10763" max="10764" width="9.5703125" style="459" customWidth="1"/>
    <col min="10765" max="10765" width="9.42578125" style="459" customWidth="1"/>
    <col min="10766" max="10766" width="9.140625" style="459"/>
    <col min="10767" max="10768" width="10.5703125" style="459" customWidth="1"/>
    <col min="10769" max="10769" width="9.42578125" style="459" customWidth="1"/>
    <col min="10770" max="11008" width="9.140625" style="459"/>
    <col min="11009" max="11009" width="5" style="459" customWidth="1"/>
    <col min="11010" max="11010" width="43" style="459" customWidth="1"/>
    <col min="11011" max="11011" width="10.140625" style="459" customWidth="1"/>
    <col min="11012" max="11012" width="45" style="459" customWidth="1"/>
    <col min="11013" max="11013" width="34.5703125" style="459" customWidth="1"/>
    <col min="11014" max="11014" width="20.42578125" style="459" customWidth="1"/>
    <col min="11015" max="11015" width="36" style="459" customWidth="1"/>
    <col min="11016" max="11018" width="9.140625" style="459"/>
    <col min="11019" max="11020" width="9.5703125" style="459" customWidth="1"/>
    <col min="11021" max="11021" width="9.42578125" style="459" customWidth="1"/>
    <col min="11022" max="11022" width="9.140625" style="459"/>
    <col min="11023" max="11024" width="10.5703125" style="459" customWidth="1"/>
    <col min="11025" max="11025" width="9.42578125" style="459" customWidth="1"/>
    <col min="11026" max="11264" width="9.140625" style="459"/>
    <col min="11265" max="11265" width="5" style="459" customWidth="1"/>
    <col min="11266" max="11266" width="43" style="459" customWidth="1"/>
    <col min="11267" max="11267" width="10.140625" style="459" customWidth="1"/>
    <col min="11268" max="11268" width="45" style="459" customWidth="1"/>
    <col min="11269" max="11269" width="34.5703125" style="459" customWidth="1"/>
    <col min="11270" max="11270" width="20.42578125" style="459" customWidth="1"/>
    <col min="11271" max="11271" width="36" style="459" customWidth="1"/>
    <col min="11272" max="11274" width="9.140625" style="459"/>
    <col min="11275" max="11276" width="9.5703125" style="459" customWidth="1"/>
    <col min="11277" max="11277" width="9.42578125" style="459" customWidth="1"/>
    <col min="11278" max="11278" width="9.140625" style="459"/>
    <col min="11279" max="11280" width="10.5703125" style="459" customWidth="1"/>
    <col min="11281" max="11281" width="9.42578125" style="459" customWidth="1"/>
    <col min="11282" max="11520" width="9.140625" style="459"/>
    <col min="11521" max="11521" width="5" style="459" customWidth="1"/>
    <col min="11522" max="11522" width="43" style="459" customWidth="1"/>
    <col min="11523" max="11523" width="10.140625" style="459" customWidth="1"/>
    <col min="11524" max="11524" width="45" style="459" customWidth="1"/>
    <col min="11525" max="11525" width="34.5703125" style="459" customWidth="1"/>
    <col min="11526" max="11526" width="20.42578125" style="459" customWidth="1"/>
    <col min="11527" max="11527" width="36" style="459" customWidth="1"/>
    <col min="11528" max="11530" width="9.140625" style="459"/>
    <col min="11531" max="11532" width="9.5703125" style="459" customWidth="1"/>
    <col min="11533" max="11533" width="9.42578125" style="459" customWidth="1"/>
    <col min="11534" max="11534" width="9.140625" style="459"/>
    <col min="11535" max="11536" width="10.5703125" style="459" customWidth="1"/>
    <col min="11537" max="11537" width="9.42578125" style="459" customWidth="1"/>
    <col min="11538" max="11776" width="9.140625" style="459"/>
    <col min="11777" max="11777" width="5" style="459" customWidth="1"/>
    <col min="11778" max="11778" width="43" style="459" customWidth="1"/>
    <col min="11779" max="11779" width="10.140625" style="459" customWidth="1"/>
    <col min="11780" max="11780" width="45" style="459" customWidth="1"/>
    <col min="11781" max="11781" width="34.5703125" style="459" customWidth="1"/>
    <col min="11782" max="11782" width="20.42578125" style="459" customWidth="1"/>
    <col min="11783" max="11783" width="36" style="459" customWidth="1"/>
    <col min="11784" max="11786" width="9.140625" style="459"/>
    <col min="11787" max="11788" width="9.5703125" style="459" customWidth="1"/>
    <col min="11789" max="11789" width="9.42578125" style="459" customWidth="1"/>
    <col min="11790" max="11790" width="9.140625" style="459"/>
    <col min="11791" max="11792" width="10.5703125" style="459" customWidth="1"/>
    <col min="11793" max="11793" width="9.42578125" style="459" customWidth="1"/>
    <col min="11794" max="12032" width="9.140625" style="459"/>
    <col min="12033" max="12033" width="5" style="459" customWidth="1"/>
    <col min="12034" max="12034" width="43" style="459" customWidth="1"/>
    <col min="12035" max="12035" width="10.140625" style="459" customWidth="1"/>
    <col min="12036" max="12036" width="45" style="459" customWidth="1"/>
    <col min="12037" max="12037" width="34.5703125" style="459" customWidth="1"/>
    <col min="12038" max="12038" width="20.42578125" style="459" customWidth="1"/>
    <col min="12039" max="12039" width="36" style="459" customWidth="1"/>
    <col min="12040" max="12042" width="9.140625" style="459"/>
    <col min="12043" max="12044" width="9.5703125" style="459" customWidth="1"/>
    <col min="12045" max="12045" width="9.42578125" style="459" customWidth="1"/>
    <col min="12046" max="12046" width="9.140625" style="459"/>
    <col min="12047" max="12048" width="10.5703125" style="459" customWidth="1"/>
    <col min="12049" max="12049" width="9.42578125" style="459" customWidth="1"/>
    <col min="12050" max="12288" width="9.140625" style="459"/>
    <col min="12289" max="12289" width="5" style="459" customWidth="1"/>
    <col min="12290" max="12290" width="43" style="459" customWidth="1"/>
    <col min="12291" max="12291" width="10.140625" style="459" customWidth="1"/>
    <col min="12292" max="12292" width="45" style="459" customWidth="1"/>
    <col min="12293" max="12293" width="34.5703125" style="459" customWidth="1"/>
    <col min="12294" max="12294" width="20.42578125" style="459" customWidth="1"/>
    <col min="12295" max="12295" width="36" style="459" customWidth="1"/>
    <col min="12296" max="12298" width="9.140625" style="459"/>
    <col min="12299" max="12300" width="9.5703125" style="459" customWidth="1"/>
    <col min="12301" max="12301" width="9.42578125" style="459" customWidth="1"/>
    <col min="12302" max="12302" width="9.140625" style="459"/>
    <col min="12303" max="12304" width="10.5703125" style="459" customWidth="1"/>
    <col min="12305" max="12305" width="9.42578125" style="459" customWidth="1"/>
    <col min="12306" max="12544" width="9.140625" style="459"/>
    <col min="12545" max="12545" width="5" style="459" customWidth="1"/>
    <col min="12546" max="12546" width="43" style="459" customWidth="1"/>
    <col min="12547" max="12547" width="10.140625" style="459" customWidth="1"/>
    <col min="12548" max="12548" width="45" style="459" customWidth="1"/>
    <col min="12549" max="12549" width="34.5703125" style="459" customWidth="1"/>
    <col min="12550" max="12550" width="20.42578125" style="459" customWidth="1"/>
    <col min="12551" max="12551" width="36" style="459" customWidth="1"/>
    <col min="12552" max="12554" width="9.140625" style="459"/>
    <col min="12555" max="12556" width="9.5703125" style="459" customWidth="1"/>
    <col min="12557" max="12557" width="9.42578125" style="459" customWidth="1"/>
    <col min="12558" max="12558" width="9.140625" style="459"/>
    <col min="12559" max="12560" width="10.5703125" style="459" customWidth="1"/>
    <col min="12561" max="12561" width="9.42578125" style="459" customWidth="1"/>
    <col min="12562" max="12800" width="9.140625" style="459"/>
    <col min="12801" max="12801" width="5" style="459" customWidth="1"/>
    <col min="12802" max="12802" width="43" style="459" customWidth="1"/>
    <col min="12803" max="12803" width="10.140625" style="459" customWidth="1"/>
    <col min="12804" max="12804" width="45" style="459" customWidth="1"/>
    <col min="12805" max="12805" width="34.5703125" style="459" customWidth="1"/>
    <col min="12806" max="12806" width="20.42578125" style="459" customWidth="1"/>
    <col min="12807" max="12807" width="36" style="459" customWidth="1"/>
    <col min="12808" max="12810" width="9.140625" style="459"/>
    <col min="12811" max="12812" width="9.5703125" style="459" customWidth="1"/>
    <col min="12813" max="12813" width="9.42578125" style="459" customWidth="1"/>
    <col min="12814" max="12814" width="9.140625" style="459"/>
    <col min="12815" max="12816" width="10.5703125" style="459" customWidth="1"/>
    <col min="12817" max="12817" width="9.42578125" style="459" customWidth="1"/>
    <col min="12818" max="13056" width="9.140625" style="459"/>
    <col min="13057" max="13057" width="5" style="459" customWidth="1"/>
    <col min="13058" max="13058" width="43" style="459" customWidth="1"/>
    <col min="13059" max="13059" width="10.140625" style="459" customWidth="1"/>
    <col min="13060" max="13060" width="45" style="459" customWidth="1"/>
    <col min="13061" max="13061" width="34.5703125" style="459" customWidth="1"/>
    <col min="13062" max="13062" width="20.42578125" style="459" customWidth="1"/>
    <col min="13063" max="13063" width="36" style="459" customWidth="1"/>
    <col min="13064" max="13066" width="9.140625" style="459"/>
    <col min="13067" max="13068" width="9.5703125" style="459" customWidth="1"/>
    <col min="13069" max="13069" width="9.42578125" style="459" customWidth="1"/>
    <col min="13070" max="13070" width="9.140625" style="459"/>
    <col min="13071" max="13072" width="10.5703125" style="459" customWidth="1"/>
    <col min="13073" max="13073" width="9.42578125" style="459" customWidth="1"/>
    <col min="13074" max="13312" width="9.140625" style="459"/>
    <col min="13313" max="13313" width="5" style="459" customWidth="1"/>
    <col min="13314" max="13314" width="43" style="459" customWidth="1"/>
    <col min="13315" max="13315" width="10.140625" style="459" customWidth="1"/>
    <col min="13316" max="13316" width="45" style="459" customWidth="1"/>
    <col min="13317" max="13317" width="34.5703125" style="459" customWidth="1"/>
    <col min="13318" max="13318" width="20.42578125" style="459" customWidth="1"/>
    <col min="13319" max="13319" width="36" style="459" customWidth="1"/>
    <col min="13320" max="13322" width="9.140625" style="459"/>
    <col min="13323" max="13324" width="9.5703125" style="459" customWidth="1"/>
    <col min="13325" max="13325" width="9.42578125" style="459" customWidth="1"/>
    <col min="13326" max="13326" width="9.140625" style="459"/>
    <col min="13327" max="13328" width="10.5703125" style="459" customWidth="1"/>
    <col min="13329" max="13329" width="9.42578125" style="459" customWidth="1"/>
    <col min="13330" max="13568" width="9.140625" style="459"/>
    <col min="13569" max="13569" width="5" style="459" customWidth="1"/>
    <col min="13570" max="13570" width="43" style="459" customWidth="1"/>
    <col min="13571" max="13571" width="10.140625" style="459" customWidth="1"/>
    <col min="13572" max="13572" width="45" style="459" customWidth="1"/>
    <col min="13573" max="13573" width="34.5703125" style="459" customWidth="1"/>
    <col min="13574" max="13574" width="20.42578125" style="459" customWidth="1"/>
    <col min="13575" max="13575" width="36" style="459" customWidth="1"/>
    <col min="13576" max="13578" width="9.140625" style="459"/>
    <col min="13579" max="13580" width="9.5703125" style="459" customWidth="1"/>
    <col min="13581" max="13581" width="9.42578125" style="459" customWidth="1"/>
    <col min="13582" max="13582" width="9.140625" style="459"/>
    <col min="13583" max="13584" width="10.5703125" style="459" customWidth="1"/>
    <col min="13585" max="13585" width="9.42578125" style="459" customWidth="1"/>
    <col min="13586" max="13824" width="9.140625" style="459"/>
    <col min="13825" max="13825" width="5" style="459" customWidth="1"/>
    <col min="13826" max="13826" width="43" style="459" customWidth="1"/>
    <col min="13827" max="13827" width="10.140625" style="459" customWidth="1"/>
    <col min="13828" max="13828" width="45" style="459" customWidth="1"/>
    <col min="13829" max="13829" width="34.5703125" style="459" customWidth="1"/>
    <col min="13830" max="13830" width="20.42578125" style="459" customWidth="1"/>
    <col min="13831" max="13831" width="36" style="459" customWidth="1"/>
    <col min="13832" max="13834" width="9.140625" style="459"/>
    <col min="13835" max="13836" width="9.5703125" style="459" customWidth="1"/>
    <col min="13837" max="13837" width="9.42578125" style="459" customWidth="1"/>
    <col min="13838" max="13838" width="9.140625" style="459"/>
    <col min="13839" max="13840" width="10.5703125" style="459" customWidth="1"/>
    <col min="13841" max="13841" width="9.42578125" style="459" customWidth="1"/>
    <col min="13842" max="14080" width="9.140625" style="459"/>
    <col min="14081" max="14081" width="5" style="459" customWidth="1"/>
    <col min="14082" max="14082" width="43" style="459" customWidth="1"/>
    <col min="14083" max="14083" width="10.140625" style="459" customWidth="1"/>
    <col min="14084" max="14084" width="45" style="459" customWidth="1"/>
    <col min="14085" max="14085" width="34.5703125" style="459" customWidth="1"/>
    <col min="14086" max="14086" width="20.42578125" style="459" customWidth="1"/>
    <col min="14087" max="14087" width="36" style="459" customWidth="1"/>
    <col min="14088" max="14090" width="9.140625" style="459"/>
    <col min="14091" max="14092" width="9.5703125" style="459" customWidth="1"/>
    <col min="14093" max="14093" width="9.42578125" style="459" customWidth="1"/>
    <col min="14094" max="14094" width="9.140625" style="459"/>
    <col min="14095" max="14096" width="10.5703125" style="459" customWidth="1"/>
    <col min="14097" max="14097" width="9.42578125" style="459" customWidth="1"/>
    <col min="14098" max="14336" width="9.140625" style="459"/>
    <col min="14337" max="14337" width="5" style="459" customWidth="1"/>
    <col min="14338" max="14338" width="43" style="459" customWidth="1"/>
    <col min="14339" max="14339" width="10.140625" style="459" customWidth="1"/>
    <col min="14340" max="14340" width="45" style="459" customWidth="1"/>
    <col min="14341" max="14341" width="34.5703125" style="459" customWidth="1"/>
    <col min="14342" max="14342" width="20.42578125" style="459" customWidth="1"/>
    <col min="14343" max="14343" width="36" style="459" customWidth="1"/>
    <col min="14344" max="14346" width="9.140625" style="459"/>
    <col min="14347" max="14348" width="9.5703125" style="459" customWidth="1"/>
    <col min="14349" max="14349" width="9.42578125" style="459" customWidth="1"/>
    <col min="14350" max="14350" width="9.140625" style="459"/>
    <col min="14351" max="14352" width="10.5703125" style="459" customWidth="1"/>
    <col min="14353" max="14353" width="9.42578125" style="459" customWidth="1"/>
    <col min="14354" max="14592" width="9.140625" style="459"/>
    <col min="14593" max="14593" width="5" style="459" customWidth="1"/>
    <col min="14594" max="14594" width="43" style="459" customWidth="1"/>
    <col min="14595" max="14595" width="10.140625" style="459" customWidth="1"/>
    <col min="14596" max="14596" width="45" style="459" customWidth="1"/>
    <col min="14597" max="14597" width="34.5703125" style="459" customWidth="1"/>
    <col min="14598" max="14598" width="20.42578125" style="459" customWidth="1"/>
    <col min="14599" max="14599" width="36" style="459" customWidth="1"/>
    <col min="14600" max="14602" width="9.140625" style="459"/>
    <col min="14603" max="14604" width="9.5703125" style="459" customWidth="1"/>
    <col min="14605" max="14605" width="9.42578125" style="459" customWidth="1"/>
    <col min="14606" max="14606" width="9.140625" style="459"/>
    <col min="14607" max="14608" width="10.5703125" style="459" customWidth="1"/>
    <col min="14609" max="14609" width="9.42578125" style="459" customWidth="1"/>
    <col min="14610" max="14848" width="9.140625" style="459"/>
    <col min="14849" max="14849" width="5" style="459" customWidth="1"/>
    <col min="14850" max="14850" width="43" style="459" customWidth="1"/>
    <col min="14851" max="14851" width="10.140625" style="459" customWidth="1"/>
    <col min="14852" max="14852" width="45" style="459" customWidth="1"/>
    <col min="14853" max="14853" width="34.5703125" style="459" customWidth="1"/>
    <col min="14854" max="14854" width="20.42578125" style="459" customWidth="1"/>
    <col min="14855" max="14855" width="36" style="459" customWidth="1"/>
    <col min="14856" max="14858" width="9.140625" style="459"/>
    <col min="14859" max="14860" width="9.5703125" style="459" customWidth="1"/>
    <col min="14861" max="14861" width="9.42578125" style="459" customWidth="1"/>
    <col min="14862" max="14862" width="9.140625" style="459"/>
    <col min="14863" max="14864" width="10.5703125" style="459" customWidth="1"/>
    <col min="14865" max="14865" width="9.42578125" style="459" customWidth="1"/>
    <col min="14866" max="15104" width="9.140625" style="459"/>
    <col min="15105" max="15105" width="5" style="459" customWidth="1"/>
    <col min="15106" max="15106" width="43" style="459" customWidth="1"/>
    <col min="15107" max="15107" width="10.140625" style="459" customWidth="1"/>
    <col min="15108" max="15108" width="45" style="459" customWidth="1"/>
    <col min="15109" max="15109" width="34.5703125" style="459" customWidth="1"/>
    <col min="15110" max="15110" width="20.42578125" style="459" customWidth="1"/>
    <col min="15111" max="15111" width="36" style="459" customWidth="1"/>
    <col min="15112" max="15114" width="9.140625" style="459"/>
    <col min="15115" max="15116" width="9.5703125" style="459" customWidth="1"/>
    <col min="15117" max="15117" width="9.42578125" style="459" customWidth="1"/>
    <col min="15118" max="15118" width="9.140625" style="459"/>
    <col min="15119" max="15120" width="10.5703125" style="459" customWidth="1"/>
    <col min="15121" max="15121" width="9.42578125" style="459" customWidth="1"/>
    <col min="15122" max="15360" width="9.140625" style="459"/>
    <col min="15361" max="15361" width="5" style="459" customWidth="1"/>
    <col min="15362" max="15362" width="43" style="459" customWidth="1"/>
    <col min="15363" max="15363" width="10.140625" style="459" customWidth="1"/>
    <col min="15364" max="15364" width="45" style="459" customWidth="1"/>
    <col min="15365" max="15365" width="34.5703125" style="459" customWidth="1"/>
    <col min="15366" max="15366" width="20.42578125" style="459" customWidth="1"/>
    <col min="15367" max="15367" width="36" style="459" customWidth="1"/>
    <col min="15368" max="15370" width="9.140625" style="459"/>
    <col min="15371" max="15372" width="9.5703125" style="459" customWidth="1"/>
    <col min="15373" max="15373" width="9.42578125" style="459" customWidth="1"/>
    <col min="15374" max="15374" width="9.140625" style="459"/>
    <col min="15375" max="15376" width="10.5703125" style="459" customWidth="1"/>
    <col min="15377" max="15377" width="9.42578125" style="459" customWidth="1"/>
    <col min="15378" max="15616" width="9.140625" style="459"/>
    <col min="15617" max="15617" width="5" style="459" customWidth="1"/>
    <col min="15618" max="15618" width="43" style="459" customWidth="1"/>
    <col min="15619" max="15619" width="10.140625" style="459" customWidth="1"/>
    <col min="15620" max="15620" width="45" style="459" customWidth="1"/>
    <col min="15621" max="15621" width="34.5703125" style="459" customWidth="1"/>
    <col min="15622" max="15622" width="20.42578125" style="459" customWidth="1"/>
    <col min="15623" max="15623" width="36" style="459" customWidth="1"/>
    <col min="15624" max="15626" width="9.140625" style="459"/>
    <col min="15627" max="15628" width="9.5703125" style="459" customWidth="1"/>
    <col min="15629" max="15629" width="9.42578125" style="459" customWidth="1"/>
    <col min="15630" max="15630" width="9.140625" style="459"/>
    <col min="15631" max="15632" width="10.5703125" style="459" customWidth="1"/>
    <col min="15633" max="15633" width="9.42578125" style="459" customWidth="1"/>
    <col min="15634" max="15872" width="9.140625" style="459"/>
    <col min="15873" max="15873" width="5" style="459" customWidth="1"/>
    <col min="15874" max="15874" width="43" style="459" customWidth="1"/>
    <col min="15875" max="15875" width="10.140625" style="459" customWidth="1"/>
    <col min="15876" max="15876" width="45" style="459" customWidth="1"/>
    <col min="15877" max="15877" width="34.5703125" style="459" customWidth="1"/>
    <col min="15878" max="15878" width="20.42578125" style="459" customWidth="1"/>
    <col min="15879" max="15879" width="36" style="459" customWidth="1"/>
    <col min="15880" max="15882" width="9.140625" style="459"/>
    <col min="15883" max="15884" width="9.5703125" style="459" customWidth="1"/>
    <col min="15885" max="15885" width="9.42578125" style="459" customWidth="1"/>
    <col min="15886" max="15886" width="9.140625" style="459"/>
    <col min="15887" max="15888" width="10.5703125" style="459" customWidth="1"/>
    <col min="15889" max="15889" width="9.42578125" style="459" customWidth="1"/>
    <col min="15890" max="16128" width="9.140625" style="459"/>
    <col min="16129" max="16129" width="5" style="459" customWidth="1"/>
    <col min="16130" max="16130" width="43" style="459" customWidth="1"/>
    <col min="16131" max="16131" width="10.140625" style="459" customWidth="1"/>
    <col min="16132" max="16132" width="45" style="459" customWidth="1"/>
    <col min="16133" max="16133" width="34.5703125" style="459" customWidth="1"/>
    <col min="16134" max="16134" width="20.42578125" style="459" customWidth="1"/>
    <col min="16135" max="16135" width="36" style="459" customWidth="1"/>
    <col min="16136" max="16138" width="9.140625" style="459"/>
    <col min="16139" max="16140" width="9.5703125" style="459" customWidth="1"/>
    <col min="16141" max="16141" width="9.42578125" style="459" customWidth="1"/>
    <col min="16142" max="16142" width="9.140625" style="459"/>
    <col min="16143" max="16144" width="10.5703125" style="459" customWidth="1"/>
    <col min="16145" max="16145" width="9.42578125" style="459" customWidth="1"/>
    <col min="16146" max="16384" width="9.140625" style="459"/>
  </cols>
  <sheetData>
    <row r="1" spans="1:252" ht="127.5" x14ac:dyDescent="0.2">
      <c r="A1" s="494"/>
      <c r="B1" s="495"/>
      <c r="C1" s="495"/>
      <c r="D1" s="495"/>
      <c r="E1" s="495"/>
      <c r="F1" s="495"/>
      <c r="G1" s="495"/>
      <c r="H1" s="495"/>
      <c r="I1" s="495"/>
      <c r="J1" s="495"/>
      <c r="K1" s="496"/>
      <c r="L1" s="496"/>
      <c r="M1" s="496"/>
      <c r="N1" s="495"/>
      <c r="O1" s="523" t="s">
        <v>15</v>
      </c>
      <c r="P1" s="523"/>
      <c r="Q1" s="523"/>
      <c r="R1" s="524"/>
      <c r="S1" s="524"/>
      <c r="T1" s="524"/>
      <c r="U1" s="524"/>
      <c r="V1" s="524"/>
      <c r="W1" s="524"/>
      <c r="X1" s="524"/>
      <c r="Y1" s="524"/>
      <c r="Z1" s="524"/>
      <c r="AA1" s="524"/>
      <c r="AB1" s="524"/>
      <c r="AC1" s="524"/>
      <c r="AD1" s="524"/>
      <c r="AE1" s="524"/>
      <c r="AF1" s="524"/>
      <c r="AG1" s="524"/>
      <c r="AH1" s="524"/>
      <c r="AI1" s="524"/>
      <c r="AJ1" s="524"/>
      <c r="AK1" s="524"/>
      <c r="AL1" s="524"/>
      <c r="AM1" s="524"/>
      <c r="AN1" s="524"/>
      <c r="AO1" s="524"/>
      <c r="AP1" s="524"/>
      <c r="AQ1" s="524"/>
      <c r="AR1" s="524"/>
      <c r="AS1" s="524"/>
      <c r="AT1" s="524"/>
      <c r="AU1" s="524"/>
      <c r="AV1" s="524"/>
      <c r="AW1" s="524"/>
      <c r="AX1" s="524"/>
      <c r="AY1" s="524"/>
      <c r="AZ1" s="524"/>
      <c r="BA1" s="524"/>
      <c r="BB1" s="524"/>
      <c r="BC1" s="524"/>
      <c r="BD1" s="524"/>
      <c r="BE1" s="524"/>
      <c r="BF1" s="524"/>
      <c r="BG1" s="524"/>
      <c r="BH1" s="524"/>
      <c r="BI1" s="524"/>
      <c r="BJ1" s="524"/>
      <c r="BK1" s="524"/>
      <c r="BL1" s="524"/>
      <c r="BM1" s="524"/>
      <c r="BN1" s="524"/>
      <c r="BO1" s="524"/>
      <c r="BP1" s="524"/>
      <c r="BQ1" s="524"/>
      <c r="BR1" s="524"/>
      <c r="BS1" s="524"/>
      <c r="BT1" s="524"/>
      <c r="BU1" s="524"/>
      <c r="BV1" s="524"/>
      <c r="BW1" s="524"/>
      <c r="BX1" s="524"/>
      <c r="BY1" s="524"/>
      <c r="BZ1" s="524"/>
      <c r="CA1" s="524"/>
      <c r="CB1" s="524"/>
      <c r="CC1" s="524"/>
      <c r="CD1" s="524"/>
      <c r="CE1" s="524"/>
      <c r="CF1" s="524"/>
      <c r="CG1" s="524"/>
      <c r="CH1" s="524"/>
      <c r="CI1" s="524"/>
      <c r="CJ1" s="524"/>
      <c r="CK1" s="524"/>
      <c r="CL1" s="524"/>
      <c r="CM1" s="524"/>
      <c r="CN1" s="524"/>
      <c r="CO1" s="524"/>
      <c r="CP1" s="524"/>
      <c r="CQ1" s="524"/>
      <c r="CR1" s="524"/>
      <c r="CS1" s="524"/>
      <c r="CT1" s="524"/>
      <c r="CU1" s="524"/>
      <c r="CV1" s="524"/>
      <c r="CW1" s="524"/>
      <c r="CX1" s="524"/>
      <c r="CY1" s="524"/>
      <c r="CZ1" s="524"/>
      <c r="DA1" s="524"/>
      <c r="DB1" s="524"/>
      <c r="DC1" s="524"/>
      <c r="DD1" s="524"/>
      <c r="DE1" s="524"/>
      <c r="DF1" s="524"/>
      <c r="DG1" s="524"/>
      <c r="DH1" s="524"/>
      <c r="DI1" s="524"/>
      <c r="DJ1" s="524"/>
      <c r="DK1" s="524"/>
      <c r="DL1" s="524"/>
      <c r="DM1" s="524"/>
      <c r="DN1" s="524"/>
      <c r="DO1" s="524"/>
      <c r="DP1" s="524"/>
      <c r="DQ1" s="524"/>
      <c r="DR1" s="524"/>
      <c r="DS1" s="524"/>
      <c r="DT1" s="524"/>
      <c r="DU1" s="524"/>
      <c r="DV1" s="524"/>
      <c r="DW1" s="524"/>
      <c r="DX1" s="524"/>
      <c r="DY1" s="524"/>
      <c r="DZ1" s="524"/>
      <c r="EA1" s="524"/>
      <c r="EB1" s="524"/>
      <c r="EC1" s="524"/>
      <c r="ED1" s="524"/>
      <c r="EE1" s="524"/>
      <c r="EF1" s="524"/>
      <c r="EG1" s="524"/>
      <c r="EH1" s="524"/>
      <c r="EI1" s="524"/>
      <c r="EJ1" s="524"/>
      <c r="EK1" s="524"/>
      <c r="EL1" s="524"/>
      <c r="EM1" s="524"/>
      <c r="EN1" s="524"/>
      <c r="EO1" s="524"/>
      <c r="EP1" s="524"/>
      <c r="EQ1" s="524"/>
      <c r="ER1" s="524"/>
      <c r="ES1" s="524"/>
      <c r="ET1" s="524"/>
      <c r="EU1" s="524"/>
      <c r="EV1" s="524"/>
      <c r="EW1" s="524"/>
      <c r="EX1" s="524"/>
      <c r="EY1" s="524"/>
      <c r="EZ1" s="524"/>
      <c r="FA1" s="524"/>
      <c r="FB1" s="524"/>
      <c r="FC1" s="524"/>
      <c r="FD1" s="524"/>
      <c r="FE1" s="524"/>
      <c r="FF1" s="524"/>
      <c r="FG1" s="524"/>
      <c r="FH1" s="524"/>
      <c r="FI1" s="524"/>
      <c r="FJ1" s="524"/>
      <c r="FK1" s="524"/>
      <c r="FL1" s="524"/>
      <c r="FM1" s="524"/>
      <c r="FN1" s="524"/>
      <c r="FO1" s="524"/>
      <c r="FP1" s="524"/>
      <c r="FQ1" s="524"/>
      <c r="FR1" s="524"/>
      <c r="FS1" s="524"/>
      <c r="FT1" s="524"/>
      <c r="FU1" s="524"/>
      <c r="FV1" s="524"/>
      <c r="FW1" s="524"/>
      <c r="FX1" s="524"/>
      <c r="FY1" s="524"/>
      <c r="FZ1" s="524"/>
      <c r="GA1" s="524"/>
      <c r="GB1" s="524"/>
      <c r="GC1" s="524"/>
      <c r="GD1" s="524"/>
      <c r="GE1" s="524"/>
      <c r="GF1" s="524"/>
      <c r="GG1" s="524"/>
      <c r="GH1" s="524"/>
      <c r="GI1" s="524"/>
      <c r="GJ1" s="524"/>
      <c r="GK1" s="524"/>
      <c r="GL1" s="524"/>
      <c r="GM1" s="524"/>
      <c r="GN1" s="524"/>
      <c r="GO1" s="524"/>
      <c r="GP1" s="524"/>
      <c r="GQ1" s="524"/>
      <c r="GR1" s="524"/>
      <c r="GS1" s="524"/>
      <c r="GT1" s="524"/>
      <c r="GU1" s="524"/>
      <c r="GV1" s="524"/>
      <c r="GW1" s="524"/>
      <c r="GX1" s="524"/>
      <c r="GY1" s="524"/>
      <c r="GZ1" s="524"/>
      <c r="HA1" s="524"/>
      <c r="HB1" s="524"/>
      <c r="HC1" s="524"/>
      <c r="HD1" s="524"/>
      <c r="HE1" s="524"/>
      <c r="HF1" s="524"/>
      <c r="HG1" s="524"/>
      <c r="HH1" s="524"/>
      <c r="HI1" s="524"/>
      <c r="HJ1" s="524"/>
      <c r="HK1" s="524"/>
      <c r="HL1" s="524"/>
      <c r="HM1" s="524"/>
      <c r="HN1" s="524"/>
      <c r="HO1" s="524"/>
      <c r="HP1" s="524"/>
      <c r="HQ1" s="524"/>
      <c r="HR1" s="524"/>
      <c r="HS1" s="524"/>
      <c r="HT1" s="524"/>
      <c r="HU1" s="524"/>
      <c r="HV1" s="524"/>
      <c r="HW1" s="524"/>
      <c r="HX1" s="524"/>
      <c r="HY1" s="524"/>
      <c r="HZ1" s="524"/>
      <c r="IA1" s="524"/>
      <c r="IB1" s="524"/>
      <c r="IC1" s="524"/>
      <c r="ID1" s="524"/>
      <c r="IE1" s="524"/>
      <c r="IF1" s="524"/>
      <c r="IG1" s="524"/>
      <c r="IH1" s="524"/>
      <c r="II1" s="524"/>
      <c r="IJ1" s="524"/>
      <c r="IK1" s="524"/>
      <c r="IL1" s="524"/>
      <c r="IM1" s="524"/>
      <c r="IN1" s="524"/>
      <c r="IO1" s="524"/>
      <c r="IP1" s="524"/>
      <c r="IQ1" s="524"/>
      <c r="IR1" s="524"/>
    </row>
    <row r="2" spans="1:252" x14ac:dyDescent="0.2">
      <c r="A2" s="494"/>
      <c r="B2" s="495"/>
      <c r="C2" s="495"/>
      <c r="D2" s="495"/>
      <c r="E2" s="495"/>
      <c r="F2" s="495"/>
      <c r="G2" s="495"/>
      <c r="H2" s="495"/>
      <c r="I2" s="495"/>
      <c r="J2" s="495"/>
      <c r="K2" s="496"/>
      <c r="L2" s="496"/>
      <c r="M2" s="496"/>
      <c r="N2" s="495"/>
      <c r="O2" s="496"/>
      <c r="P2" s="496"/>
      <c r="Q2" s="496"/>
      <c r="R2" s="524"/>
      <c r="S2" s="524"/>
      <c r="T2" s="524"/>
      <c r="U2" s="524"/>
      <c r="V2" s="524"/>
      <c r="W2" s="524"/>
      <c r="X2" s="524"/>
      <c r="Y2" s="524"/>
      <c r="Z2" s="524"/>
      <c r="AA2" s="524"/>
      <c r="AB2" s="524"/>
      <c r="AC2" s="524"/>
      <c r="AD2" s="524"/>
      <c r="AE2" s="524"/>
      <c r="AF2" s="524"/>
      <c r="AG2" s="524"/>
      <c r="AH2" s="524"/>
      <c r="AI2" s="524"/>
      <c r="AJ2" s="524"/>
      <c r="AK2" s="524"/>
      <c r="AL2" s="524"/>
      <c r="AM2" s="524"/>
      <c r="AN2" s="524"/>
      <c r="AO2" s="524"/>
      <c r="AP2" s="524"/>
      <c r="AQ2" s="524"/>
      <c r="AR2" s="524"/>
      <c r="AS2" s="524"/>
      <c r="AT2" s="524"/>
      <c r="AU2" s="524"/>
      <c r="AV2" s="524"/>
      <c r="AW2" s="524"/>
      <c r="AX2" s="524"/>
      <c r="AY2" s="524"/>
      <c r="AZ2" s="524"/>
      <c r="BA2" s="524"/>
      <c r="BB2" s="524"/>
      <c r="BC2" s="524"/>
      <c r="BD2" s="524"/>
      <c r="BE2" s="524"/>
      <c r="BF2" s="524"/>
      <c r="BG2" s="524"/>
      <c r="BH2" s="524"/>
      <c r="BI2" s="524"/>
      <c r="BJ2" s="524"/>
      <c r="BK2" s="524"/>
      <c r="BL2" s="524"/>
      <c r="BM2" s="524"/>
      <c r="BN2" s="524"/>
      <c r="BO2" s="524"/>
      <c r="BP2" s="524"/>
      <c r="BQ2" s="524"/>
      <c r="BR2" s="524"/>
      <c r="BS2" s="524"/>
      <c r="BT2" s="524"/>
      <c r="BU2" s="524"/>
      <c r="BV2" s="524"/>
      <c r="BW2" s="524"/>
      <c r="BX2" s="524"/>
      <c r="BY2" s="524"/>
      <c r="BZ2" s="524"/>
      <c r="CA2" s="524"/>
      <c r="CB2" s="524"/>
      <c r="CC2" s="524"/>
      <c r="CD2" s="524"/>
      <c r="CE2" s="524"/>
      <c r="CF2" s="524"/>
      <c r="CG2" s="524"/>
      <c r="CH2" s="524"/>
      <c r="CI2" s="524"/>
      <c r="CJ2" s="524"/>
      <c r="CK2" s="524"/>
      <c r="CL2" s="524"/>
      <c r="CM2" s="524"/>
      <c r="CN2" s="524"/>
      <c r="CO2" s="524"/>
      <c r="CP2" s="524"/>
      <c r="CQ2" s="524"/>
      <c r="CR2" s="524"/>
      <c r="CS2" s="524"/>
      <c r="CT2" s="524"/>
      <c r="CU2" s="524"/>
      <c r="CV2" s="524"/>
      <c r="CW2" s="524"/>
      <c r="CX2" s="524"/>
      <c r="CY2" s="524"/>
      <c r="CZ2" s="524"/>
      <c r="DA2" s="524"/>
      <c r="DB2" s="524"/>
      <c r="DC2" s="524"/>
      <c r="DD2" s="524"/>
      <c r="DE2" s="524"/>
      <c r="DF2" s="524"/>
      <c r="DG2" s="524"/>
      <c r="DH2" s="524"/>
      <c r="DI2" s="524"/>
      <c r="DJ2" s="524"/>
      <c r="DK2" s="524"/>
      <c r="DL2" s="524"/>
      <c r="DM2" s="524"/>
      <c r="DN2" s="524"/>
      <c r="DO2" s="524"/>
      <c r="DP2" s="524"/>
      <c r="DQ2" s="524"/>
      <c r="DR2" s="524"/>
      <c r="DS2" s="524"/>
      <c r="DT2" s="524"/>
      <c r="DU2" s="524"/>
      <c r="DV2" s="524"/>
      <c r="DW2" s="524"/>
      <c r="DX2" s="524"/>
      <c r="DY2" s="524"/>
      <c r="DZ2" s="524"/>
      <c r="EA2" s="524"/>
      <c r="EB2" s="524"/>
      <c r="EC2" s="524"/>
      <c r="ED2" s="524"/>
      <c r="EE2" s="524"/>
      <c r="EF2" s="524"/>
      <c r="EG2" s="524"/>
      <c r="EH2" s="524"/>
      <c r="EI2" s="524"/>
      <c r="EJ2" s="524"/>
      <c r="EK2" s="524"/>
      <c r="EL2" s="524"/>
      <c r="EM2" s="524"/>
      <c r="EN2" s="524"/>
      <c r="EO2" s="524"/>
      <c r="EP2" s="524"/>
      <c r="EQ2" s="524"/>
      <c r="ER2" s="524"/>
      <c r="ES2" s="524"/>
      <c r="ET2" s="524"/>
      <c r="EU2" s="524"/>
      <c r="EV2" s="524"/>
      <c r="EW2" s="524"/>
      <c r="EX2" s="524"/>
      <c r="EY2" s="524"/>
      <c r="EZ2" s="524"/>
      <c r="FA2" s="524"/>
      <c r="FB2" s="524"/>
      <c r="FC2" s="524"/>
      <c r="FD2" s="524"/>
      <c r="FE2" s="524"/>
      <c r="FF2" s="524"/>
      <c r="FG2" s="524"/>
      <c r="FH2" s="524"/>
      <c r="FI2" s="524"/>
      <c r="FJ2" s="524"/>
      <c r="FK2" s="524"/>
      <c r="FL2" s="524"/>
      <c r="FM2" s="524"/>
      <c r="FN2" s="524"/>
      <c r="FO2" s="524"/>
      <c r="FP2" s="524"/>
      <c r="FQ2" s="524"/>
      <c r="FR2" s="524"/>
      <c r="FS2" s="524"/>
      <c r="FT2" s="524"/>
      <c r="FU2" s="524"/>
      <c r="FV2" s="524"/>
      <c r="FW2" s="524"/>
      <c r="FX2" s="524"/>
      <c r="FY2" s="524"/>
      <c r="FZ2" s="524"/>
      <c r="GA2" s="524"/>
      <c r="GB2" s="524"/>
      <c r="GC2" s="524"/>
      <c r="GD2" s="524"/>
      <c r="GE2" s="524"/>
      <c r="GF2" s="524"/>
      <c r="GG2" s="524"/>
      <c r="GH2" s="524"/>
      <c r="GI2" s="524"/>
      <c r="GJ2" s="524"/>
      <c r="GK2" s="524"/>
      <c r="GL2" s="524"/>
      <c r="GM2" s="524"/>
      <c r="GN2" s="524"/>
      <c r="GO2" s="524"/>
      <c r="GP2" s="524"/>
      <c r="GQ2" s="524"/>
      <c r="GR2" s="524"/>
      <c r="GS2" s="524"/>
      <c r="GT2" s="524"/>
      <c r="GU2" s="524"/>
      <c r="GV2" s="524"/>
      <c r="GW2" s="524"/>
      <c r="GX2" s="524"/>
      <c r="GY2" s="524"/>
      <c r="GZ2" s="524"/>
      <c r="HA2" s="524"/>
      <c r="HB2" s="524"/>
      <c r="HC2" s="524"/>
      <c r="HD2" s="524"/>
      <c r="HE2" s="524"/>
      <c r="HF2" s="524"/>
      <c r="HG2" s="524"/>
      <c r="HH2" s="524"/>
      <c r="HI2" s="524"/>
      <c r="HJ2" s="524"/>
      <c r="HK2" s="524"/>
      <c r="HL2" s="524"/>
      <c r="HM2" s="524"/>
      <c r="HN2" s="524"/>
      <c r="HO2" s="524"/>
      <c r="HP2" s="524"/>
      <c r="HQ2" s="524"/>
      <c r="HR2" s="524"/>
      <c r="HS2" s="524"/>
      <c r="HT2" s="524"/>
      <c r="HU2" s="524"/>
      <c r="HV2" s="524"/>
      <c r="HW2" s="524"/>
      <c r="HX2" s="524"/>
      <c r="HY2" s="524"/>
      <c r="HZ2" s="524"/>
      <c r="IA2" s="524"/>
      <c r="IB2" s="524"/>
      <c r="IC2" s="524"/>
      <c r="ID2" s="524"/>
      <c r="IE2" s="524"/>
      <c r="IF2" s="524"/>
      <c r="IG2" s="524"/>
      <c r="IH2" s="524"/>
      <c r="II2" s="524"/>
      <c r="IJ2" s="524"/>
      <c r="IK2" s="524"/>
      <c r="IL2" s="524"/>
      <c r="IM2" s="524"/>
      <c r="IN2" s="524"/>
      <c r="IO2" s="524"/>
      <c r="IP2" s="524"/>
      <c r="IQ2" s="524"/>
      <c r="IR2" s="524"/>
    </row>
    <row r="3" spans="1:252" ht="15" x14ac:dyDescent="0.2">
      <c r="A3" s="497" t="s">
        <v>669</v>
      </c>
      <c r="B3" s="497"/>
      <c r="C3" s="497"/>
      <c r="D3" s="497"/>
      <c r="E3" s="497"/>
      <c r="F3" s="497"/>
      <c r="G3" s="497"/>
      <c r="H3" s="497"/>
      <c r="I3" s="497"/>
      <c r="J3" s="497"/>
      <c r="K3" s="497"/>
      <c r="L3" s="497"/>
      <c r="M3" s="497"/>
      <c r="N3" s="497"/>
      <c r="O3" s="497"/>
      <c r="P3" s="497"/>
      <c r="Q3" s="497"/>
      <c r="R3" s="524"/>
      <c r="S3" s="524"/>
      <c r="T3" s="524"/>
      <c r="U3" s="524"/>
      <c r="V3" s="524"/>
      <c r="W3" s="524"/>
      <c r="X3" s="524"/>
      <c r="Y3" s="524"/>
      <c r="Z3" s="524"/>
      <c r="AA3" s="524"/>
      <c r="AB3" s="524"/>
      <c r="AC3" s="524"/>
      <c r="AD3" s="524"/>
      <c r="AE3" s="524"/>
      <c r="AF3" s="524"/>
      <c r="AG3" s="524"/>
      <c r="AH3" s="524"/>
      <c r="AI3" s="524"/>
      <c r="AJ3" s="524"/>
      <c r="AK3" s="524"/>
      <c r="AL3" s="524"/>
      <c r="AM3" s="524"/>
      <c r="AN3" s="524"/>
      <c r="AO3" s="524"/>
      <c r="AP3" s="524"/>
      <c r="AQ3" s="524"/>
      <c r="AR3" s="524"/>
      <c r="AS3" s="524"/>
      <c r="AT3" s="524"/>
      <c r="AU3" s="524"/>
      <c r="AV3" s="524"/>
      <c r="AW3" s="524"/>
      <c r="AX3" s="524"/>
      <c r="AY3" s="524"/>
      <c r="AZ3" s="524"/>
      <c r="BA3" s="524"/>
      <c r="BB3" s="524"/>
      <c r="BC3" s="524"/>
      <c r="BD3" s="524"/>
      <c r="BE3" s="524"/>
      <c r="BF3" s="524"/>
      <c r="BG3" s="524"/>
      <c r="BH3" s="524"/>
      <c r="BI3" s="524"/>
      <c r="BJ3" s="524"/>
      <c r="BK3" s="524"/>
      <c r="BL3" s="524"/>
      <c r="BM3" s="524"/>
      <c r="BN3" s="524"/>
      <c r="BO3" s="524"/>
      <c r="BP3" s="524"/>
      <c r="BQ3" s="524"/>
      <c r="BR3" s="524"/>
      <c r="BS3" s="524"/>
      <c r="BT3" s="524"/>
      <c r="BU3" s="524"/>
      <c r="BV3" s="524"/>
      <c r="BW3" s="524"/>
      <c r="BX3" s="524"/>
      <c r="BY3" s="524"/>
      <c r="BZ3" s="524"/>
      <c r="CA3" s="524"/>
      <c r="CB3" s="524"/>
      <c r="CC3" s="524"/>
      <c r="CD3" s="524"/>
      <c r="CE3" s="524"/>
      <c r="CF3" s="524"/>
      <c r="CG3" s="524"/>
      <c r="CH3" s="524"/>
      <c r="CI3" s="524"/>
      <c r="CJ3" s="524"/>
      <c r="CK3" s="524"/>
      <c r="CL3" s="524"/>
      <c r="CM3" s="524"/>
      <c r="CN3" s="524"/>
      <c r="CO3" s="524"/>
      <c r="CP3" s="524"/>
      <c r="CQ3" s="524"/>
      <c r="CR3" s="524"/>
      <c r="CS3" s="524"/>
      <c r="CT3" s="524"/>
      <c r="CU3" s="524"/>
      <c r="CV3" s="524"/>
      <c r="CW3" s="524"/>
      <c r="CX3" s="524"/>
      <c r="CY3" s="524"/>
      <c r="CZ3" s="524"/>
      <c r="DA3" s="524"/>
      <c r="DB3" s="524"/>
      <c r="DC3" s="524"/>
      <c r="DD3" s="524"/>
      <c r="DE3" s="524"/>
      <c r="DF3" s="524"/>
      <c r="DG3" s="524"/>
      <c r="DH3" s="524"/>
      <c r="DI3" s="524"/>
      <c r="DJ3" s="524"/>
      <c r="DK3" s="524"/>
      <c r="DL3" s="524"/>
      <c r="DM3" s="524"/>
      <c r="DN3" s="524"/>
      <c r="DO3" s="524"/>
      <c r="DP3" s="524"/>
      <c r="DQ3" s="524"/>
      <c r="DR3" s="524"/>
      <c r="DS3" s="524"/>
      <c r="DT3" s="524"/>
      <c r="DU3" s="524"/>
      <c r="DV3" s="524"/>
      <c r="DW3" s="524"/>
      <c r="DX3" s="524"/>
      <c r="DY3" s="524"/>
      <c r="DZ3" s="524"/>
      <c r="EA3" s="524"/>
      <c r="EB3" s="524"/>
      <c r="EC3" s="524"/>
      <c r="ED3" s="524"/>
      <c r="EE3" s="524"/>
      <c r="EF3" s="524"/>
      <c r="EG3" s="524"/>
      <c r="EH3" s="524"/>
      <c r="EI3" s="524"/>
      <c r="EJ3" s="524"/>
      <c r="EK3" s="524"/>
      <c r="EL3" s="524"/>
      <c r="EM3" s="524"/>
      <c r="EN3" s="524"/>
      <c r="EO3" s="524"/>
      <c r="EP3" s="524"/>
      <c r="EQ3" s="524"/>
      <c r="ER3" s="524"/>
      <c r="ES3" s="524"/>
      <c r="ET3" s="524"/>
      <c r="EU3" s="524"/>
      <c r="EV3" s="524"/>
      <c r="EW3" s="524"/>
      <c r="EX3" s="524"/>
      <c r="EY3" s="524"/>
      <c r="EZ3" s="524"/>
      <c r="FA3" s="524"/>
      <c r="FB3" s="524"/>
      <c r="FC3" s="524"/>
      <c r="FD3" s="524"/>
      <c r="FE3" s="524"/>
      <c r="FF3" s="524"/>
      <c r="FG3" s="524"/>
      <c r="FH3" s="524"/>
      <c r="FI3" s="524"/>
      <c r="FJ3" s="524"/>
      <c r="FK3" s="524"/>
      <c r="FL3" s="524"/>
      <c r="FM3" s="524"/>
      <c r="FN3" s="524"/>
      <c r="FO3" s="524"/>
      <c r="FP3" s="524"/>
      <c r="FQ3" s="524"/>
      <c r="FR3" s="524"/>
      <c r="FS3" s="524"/>
      <c r="FT3" s="524"/>
      <c r="FU3" s="524"/>
      <c r="FV3" s="524"/>
      <c r="FW3" s="524"/>
      <c r="FX3" s="524"/>
      <c r="FY3" s="524"/>
      <c r="FZ3" s="524"/>
      <c r="GA3" s="524"/>
      <c r="GB3" s="524"/>
      <c r="GC3" s="524"/>
      <c r="GD3" s="524"/>
      <c r="GE3" s="524"/>
      <c r="GF3" s="524"/>
      <c r="GG3" s="524"/>
      <c r="GH3" s="524"/>
      <c r="GI3" s="524"/>
      <c r="GJ3" s="524"/>
      <c r="GK3" s="524"/>
      <c r="GL3" s="524"/>
      <c r="GM3" s="524"/>
      <c r="GN3" s="524"/>
      <c r="GO3" s="524"/>
      <c r="GP3" s="524"/>
      <c r="GQ3" s="524"/>
      <c r="GR3" s="524"/>
      <c r="GS3" s="524"/>
      <c r="GT3" s="524"/>
      <c r="GU3" s="524"/>
      <c r="GV3" s="524"/>
      <c r="GW3" s="524"/>
      <c r="GX3" s="524"/>
      <c r="GY3" s="524"/>
      <c r="GZ3" s="524"/>
      <c r="HA3" s="524"/>
      <c r="HB3" s="524"/>
      <c r="HC3" s="524"/>
      <c r="HD3" s="524"/>
      <c r="HE3" s="524"/>
      <c r="HF3" s="524"/>
      <c r="HG3" s="524"/>
      <c r="HH3" s="524"/>
      <c r="HI3" s="524"/>
      <c r="HJ3" s="524"/>
      <c r="HK3" s="524"/>
      <c r="HL3" s="524"/>
      <c r="HM3" s="524"/>
      <c r="HN3" s="524"/>
      <c r="HO3" s="524"/>
      <c r="HP3" s="524"/>
      <c r="HQ3" s="524"/>
      <c r="HR3" s="524"/>
      <c r="HS3" s="524"/>
      <c r="HT3" s="524"/>
      <c r="HU3" s="524"/>
      <c r="HV3" s="524"/>
      <c r="HW3" s="524"/>
      <c r="HX3" s="524"/>
      <c r="HY3" s="524"/>
      <c r="HZ3" s="524"/>
      <c r="IA3" s="524"/>
      <c r="IB3" s="524"/>
      <c r="IC3" s="524"/>
      <c r="ID3" s="524"/>
      <c r="IE3" s="524"/>
      <c r="IF3" s="524"/>
      <c r="IG3" s="524"/>
      <c r="IH3" s="524"/>
      <c r="II3" s="524"/>
      <c r="IJ3" s="524"/>
      <c r="IK3" s="524"/>
      <c r="IL3" s="524"/>
      <c r="IM3" s="524"/>
      <c r="IN3" s="524"/>
      <c r="IO3" s="524"/>
      <c r="IP3" s="524"/>
      <c r="IQ3" s="524"/>
      <c r="IR3" s="524"/>
    </row>
    <row r="4" spans="1:252" ht="18.75" x14ac:dyDescent="0.2">
      <c r="A4" s="498" t="s">
        <v>16</v>
      </c>
      <c r="B4" s="498"/>
      <c r="C4" s="498"/>
      <c r="D4" s="498"/>
      <c r="E4" s="498"/>
      <c r="F4" s="498"/>
      <c r="G4" s="498"/>
      <c r="H4" s="498"/>
      <c r="I4" s="498"/>
      <c r="J4" s="498"/>
      <c r="K4" s="498"/>
      <c r="L4" s="498"/>
      <c r="M4" s="498"/>
      <c r="N4" s="498"/>
      <c r="O4" s="498"/>
      <c r="P4" s="498"/>
      <c r="Q4" s="498"/>
      <c r="R4" s="524"/>
      <c r="S4" s="524"/>
      <c r="T4" s="524"/>
      <c r="U4" s="524"/>
      <c r="V4" s="524"/>
      <c r="W4" s="524"/>
      <c r="X4" s="524"/>
      <c r="Y4" s="524"/>
      <c r="Z4" s="524"/>
      <c r="AA4" s="524"/>
      <c r="AB4" s="524"/>
      <c r="AC4" s="524"/>
      <c r="AD4" s="524"/>
      <c r="AE4" s="524"/>
      <c r="AF4" s="524"/>
      <c r="AG4" s="524"/>
      <c r="AH4" s="524"/>
      <c r="AI4" s="524"/>
      <c r="AJ4" s="524"/>
      <c r="AK4" s="524"/>
      <c r="AL4" s="524"/>
      <c r="AM4" s="524"/>
      <c r="AN4" s="524"/>
      <c r="AO4" s="524"/>
      <c r="AP4" s="524"/>
      <c r="AQ4" s="524"/>
      <c r="AR4" s="524"/>
      <c r="AS4" s="524"/>
      <c r="AT4" s="524"/>
      <c r="AU4" s="524"/>
      <c r="AV4" s="524"/>
      <c r="AW4" s="524"/>
      <c r="AX4" s="524"/>
      <c r="AY4" s="524"/>
      <c r="AZ4" s="524"/>
      <c r="BA4" s="524"/>
      <c r="BB4" s="524"/>
      <c r="BC4" s="524"/>
      <c r="BD4" s="524"/>
      <c r="BE4" s="524"/>
      <c r="BF4" s="524"/>
      <c r="BG4" s="524"/>
      <c r="BH4" s="524"/>
      <c r="BI4" s="524"/>
      <c r="BJ4" s="524"/>
      <c r="BK4" s="524"/>
      <c r="BL4" s="524"/>
      <c r="BM4" s="524"/>
      <c r="BN4" s="524"/>
      <c r="BO4" s="524"/>
      <c r="BP4" s="524"/>
      <c r="BQ4" s="524"/>
      <c r="BR4" s="524"/>
      <c r="BS4" s="524"/>
      <c r="BT4" s="524"/>
      <c r="BU4" s="524"/>
      <c r="BV4" s="524"/>
      <c r="BW4" s="524"/>
      <c r="BX4" s="524"/>
      <c r="BY4" s="524"/>
      <c r="BZ4" s="524"/>
      <c r="CA4" s="524"/>
      <c r="CB4" s="524"/>
      <c r="CC4" s="524"/>
      <c r="CD4" s="524"/>
      <c r="CE4" s="524"/>
      <c r="CF4" s="524"/>
      <c r="CG4" s="524"/>
      <c r="CH4" s="524"/>
      <c r="CI4" s="524"/>
      <c r="CJ4" s="524"/>
      <c r="CK4" s="524"/>
      <c r="CL4" s="524"/>
      <c r="CM4" s="524"/>
      <c r="CN4" s="524"/>
      <c r="CO4" s="524"/>
      <c r="CP4" s="524"/>
      <c r="CQ4" s="524"/>
      <c r="CR4" s="524"/>
      <c r="CS4" s="524"/>
      <c r="CT4" s="524"/>
      <c r="CU4" s="524"/>
      <c r="CV4" s="524"/>
      <c r="CW4" s="524"/>
      <c r="CX4" s="524"/>
      <c r="CY4" s="524"/>
      <c r="CZ4" s="524"/>
      <c r="DA4" s="524"/>
      <c r="DB4" s="524"/>
      <c r="DC4" s="524"/>
      <c r="DD4" s="524"/>
      <c r="DE4" s="524"/>
      <c r="DF4" s="524"/>
      <c r="DG4" s="524"/>
      <c r="DH4" s="524"/>
      <c r="DI4" s="524"/>
      <c r="DJ4" s="524"/>
      <c r="DK4" s="524"/>
      <c r="DL4" s="524"/>
      <c r="DM4" s="524"/>
      <c r="DN4" s="524"/>
      <c r="DO4" s="524"/>
      <c r="DP4" s="524"/>
      <c r="DQ4" s="524"/>
      <c r="DR4" s="524"/>
      <c r="DS4" s="524"/>
      <c r="DT4" s="524"/>
      <c r="DU4" s="524"/>
      <c r="DV4" s="524"/>
      <c r="DW4" s="524"/>
      <c r="DX4" s="524"/>
      <c r="DY4" s="524"/>
      <c r="DZ4" s="524"/>
      <c r="EA4" s="524"/>
      <c r="EB4" s="524"/>
      <c r="EC4" s="524"/>
      <c r="ED4" s="524"/>
      <c r="EE4" s="524"/>
      <c r="EF4" s="524"/>
      <c r="EG4" s="524"/>
      <c r="EH4" s="524"/>
      <c r="EI4" s="524"/>
      <c r="EJ4" s="524"/>
      <c r="EK4" s="524"/>
      <c r="EL4" s="524"/>
      <c r="EM4" s="524"/>
      <c r="EN4" s="524"/>
      <c r="EO4" s="524"/>
      <c r="EP4" s="524"/>
      <c r="EQ4" s="524"/>
      <c r="ER4" s="524"/>
      <c r="ES4" s="524"/>
      <c r="ET4" s="524"/>
      <c r="EU4" s="524"/>
      <c r="EV4" s="524"/>
      <c r="EW4" s="524"/>
      <c r="EX4" s="524"/>
      <c r="EY4" s="524"/>
      <c r="EZ4" s="524"/>
      <c r="FA4" s="524"/>
      <c r="FB4" s="524"/>
      <c r="FC4" s="524"/>
      <c r="FD4" s="524"/>
      <c r="FE4" s="524"/>
      <c r="FF4" s="524"/>
      <c r="FG4" s="524"/>
      <c r="FH4" s="524"/>
      <c r="FI4" s="524"/>
      <c r="FJ4" s="524"/>
      <c r="FK4" s="524"/>
      <c r="FL4" s="524"/>
      <c r="FM4" s="524"/>
      <c r="FN4" s="524"/>
      <c r="FO4" s="524"/>
      <c r="FP4" s="524"/>
      <c r="FQ4" s="524"/>
      <c r="FR4" s="524"/>
      <c r="FS4" s="524"/>
      <c r="FT4" s="524"/>
      <c r="FU4" s="524"/>
      <c r="FV4" s="524"/>
      <c r="FW4" s="524"/>
      <c r="FX4" s="524"/>
      <c r="FY4" s="524"/>
      <c r="FZ4" s="524"/>
      <c r="GA4" s="524"/>
      <c r="GB4" s="524"/>
      <c r="GC4" s="524"/>
      <c r="GD4" s="524"/>
      <c r="GE4" s="524"/>
      <c r="GF4" s="524"/>
      <c r="GG4" s="524"/>
      <c r="GH4" s="524"/>
      <c r="GI4" s="524"/>
      <c r="GJ4" s="524"/>
      <c r="GK4" s="524"/>
      <c r="GL4" s="524"/>
      <c r="GM4" s="524"/>
      <c r="GN4" s="524"/>
      <c r="GO4" s="524"/>
      <c r="GP4" s="524"/>
      <c r="GQ4" s="524"/>
      <c r="GR4" s="524"/>
      <c r="GS4" s="524"/>
      <c r="GT4" s="524"/>
      <c r="GU4" s="524"/>
      <c r="GV4" s="524"/>
      <c r="GW4" s="524"/>
      <c r="GX4" s="524"/>
      <c r="GY4" s="524"/>
      <c r="GZ4" s="524"/>
      <c r="HA4" s="524"/>
      <c r="HB4" s="524"/>
      <c r="HC4" s="524"/>
      <c r="HD4" s="524"/>
      <c r="HE4" s="524"/>
      <c r="HF4" s="524"/>
      <c r="HG4" s="524"/>
      <c r="HH4" s="524"/>
      <c r="HI4" s="524"/>
      <c r="HJ4" s="524"/>
      <c r="HK4" s="524"/>
      <c r="HL4" s="524"/>
      <c r="HM4" s="524"/>
      <c r="HN4" s="524"/>
      <c r="HO4" s="524"/>
      <c r="HP4" s="524"/>
      <c r="HQ4" s="524"/>
      <c r="HR4" s="524"/>
      <c r="HS4" s="524"/>
      <c r="HT4" s="524"/>
      <c r="HU4" s="524"/>
      <c r="HV4" s="524"/>
      <c r="HW4" s="524"/>
      <c r="HX4" s="524"/>
      <c r="HY4" s="524"/>
      <c r="HZ4" s="524"/>
      <c r="IA4" s="524"/>
      <c r="IB4" s="524"/>
      <c r="IC4" s="524"/>
      <c r="ID4" s="524"/>
      <c r="IE4" s="524"/>
      <c r="IF4" s="524"/>
      <c r="IG4" s="524"/>
      <c r="IH4" s="524"/>
      <c r="II4" s="524"/>
      <c r="IJ4" s="524"/>
      <c r="IK4" s="524"/>
      <c r="IL4" s="524"/>
      <c r="IM4" s="524"/>
      <c r="IN4" s="524"/>
      <c r="IO4" s="524"/>
      <c r="IP4" s="524"/>
      <c r="IQ4" s="524"/>
      <c r="IR4" s="524"/>
    </row>
    <row r="5" spans="1:252" x14ac:dyDescent="0.2">
      <c r="A5" s="499" t="s">
        <v>14</v>
      </c>
      <c r="B5" s="499"/>
      <c r="C5" s="499"/>
      <c r="D5" s="499"/>
      <c r="E5" s="499"/>
      <c r="F5" s="499"/>
      <c r="G5" s="499"/>
      <c r="H5" s="499"/>
      <c r="I5" s="499"/>
      <c r="J5" s="499"/>
      <c r="K5" s="499"/>
      <c r="L5" s="499"/>
      <c r="M5" s="499"/>
      <c r="N5" s="499"/>
      <c r="O5" s="499"/>
      <c r="P5" s="499"/>
      <c r="Q5" s="499"/>
      <c r="R5" s="524"/>
      <c r="S5" s="524"/>
      <c r="T5" s="524"/>
      <c r="U5" s="524"/>
      <c r="V5" s="524"/>
      <c r="W5" s="524"/>
      <c r="X5" s="524"/>
      <c r="Y5" s="524"/>
      <c r="Z5" s="524"/>
      <c r="AA5" s="524"/>
      <c r="AB5" s="524"/>
      <c r="AC5" s="524"/>
      <c r="AD5" s="524"/>
      <c r="AE5" s="524"/>
      <c r="AF5" s="524"/>
      <c r="AG5" s="524"/>
      <c r="AH5" s="524"/>
      <c r="AI5" s="524"/>
      <c r="AJ5" s="524"/>
      <c r="AK5" s="524"/>
      <c r="AL5" s="524"/>
      <c r="AM5" s="524"/>
      <c r="AN5" s="524"/>
      <c r="AO5" s="524"/>
      <c r="AP5" s="524"/>
      <c r="AQ5" s="524"/>
      <c r="AR5" s="524"/>
      <c r="AS5" s="524"/>
      <c r="AT5" s="524"/>
      <c r="AU5" s="524"/>
      <c r="AV5" s="524"/>
      <c r="AW5" s="524"/>
      <c r="AX5" s="524"/>
      <c r="AY5" s="524"/>
      <c r="AZ5" s="524"/>
      <c r="BA5" s="524"/>
      <c r="BB5" s="524"/>
      <c r="BC5" s="524"/>
      <c r="BD5" s="524"/>
      <c r="BE5" s="524"/>
      <c r="BF5" s="524"/>
      <c r="BG5" s="524"/>
      <c r="BH5" s="524"/>
      <c r="BI5" s="524"/>
      <c r="BJ5" s="524"/>
      <c r="BK5" s="524"/>
      <c r="BL5" s="524"/>
      <c r="BM5" s="524"/>
      <c r="BN5" s="524"/>
      <c r="BO5" s="524"/>
      <c r="BP5" s="524"/>
      <c r="BQ5" s="524"/>
      <c r="BR5" s="524"/>
      <c r="BS5" s="524"/>
      <c r="BT5" s="524"/>
      <c r="BU5" s="524"/>
      <c r="BV5" s="524"/>
      <c r="BW5" s="524"/>
      <c r="BX5" s="524"/>
      <c r="BY5" s="524"/>
      <c r="BZ5" s="524"/>
      <c r="CA5" s="524"/>
      <c r="CB5" s="524"/>
      <c r="CC5" s="524"/>
      <c r="CD5" s="524"/>
      <c r="CE5" s="524"/>
      <c r="CF5" s="524"/>
      <c r="CG5" s="524"/>
      <c r="CH5" s="524"/>
      <c r="CI5" s="524"/>
      <c r="CJ5" s="524"/>
      <c r="CK5" s="524"/>
      <c r="CL5" s="524"/>
      <c r="CM5" s="524"/>
      <c r="CN5" s="524"/>
      <c r="CO5" s="524"/>
      <c r="CP5" s="524"/>
      <c r="CQ5" s="524"/>
      <c r="CR5" s="524"/>
      <c r="CS5" s="524"/>
      <c r="CT5" s="524"/>
      <c r="CU5" s="524"/>
      <c r="CV5" s="524"/>
      <c r="CW5" s="524"/>
      <c r="CX5" s="524"/>
      <c r="CY5" s="524"/>
      <c r="CZ5" s="524"/>
      <c r="DA5" s="524"/>
      <c r="DB5" s="524"/>
      <c r="DC5" s="524"/>
      <c r="DD5" s="524"/>
      <c r="DE5" s="524"/>
      <c r="DF5" s="524"/>
      <c r="DG5" s="524"/>
      <c r="DH5" s="524"/>
      <c r="DI5" s="524"/>
      <c r="DJ5" s="524"/>
      <c r="DK5" s="524"/>
      <c r="DL5" s="524"/>
      <c r="DM5" s="524"/>
      <c r="DN5" s="524"/>
      <c r="DO5" s="524"/>
      <c r="DP5" s="524"/>
      <c r="DQ5" s="524"/>
      <c r="DR5" s="524"/>
      <c r="DS5" s="524"/>
      <c r="DT5" s="524"/>
      <c r="DU5" s="524"/>
      <c r="DV5" s="524"/>
      <c r="DW5" s="524"/>
      <c r="DX5" s="524"/>
      <c r="DY5" s="524"/>
      <c r="DZ5" s="524"/>
      <c r="EA5" s="524"/>
      <c r="EB5" s="524"/>
      <c r="EC5" s="524"/>
      <c r="ED5" s="524"/>
      <c r="EE5" s="524"/>
      <c r="EF5" s="524"/>
      <c r="EG5" s="524"/>
      <c r="EH5" s="524"/>
      <c r="EI5" s="524"/>
      <c r="EJ5" s="524"/>
      <c r="EK5" s="524"/>
      <c r="EL5" s="524"/>
      <c r="EM5" s="524"/>
      <c r="EN5" s="524"/>
      <c r="EO5" s="524"/>
      <c r="EP5" s="524"/>
      <c r="EQ5" s="524"/>
      <c r="ER5" s="524"/>
      <c r="ES5" s="524"/>
      <c r="ET5" s="524"/>
      <c r="EU5" s="524"/>
      <c r="EV5" s="524"/>
      <c r="EW5" s="524"/>
      <c r="EX5" s="524"/>
      <c r="EY5" s="524"/>
      <c r="EZ5" s="524"/>
      <c r="FA5" s="524"/>
      <c r="FB5" s="524"/>
      <c r="FC5" s="524"/>
      <c r="FD5" s="524"/>
      <c r="FE5" s="524"/>
      <c r="FF5" s="524"/>
      <c r="FG5" s="524"/>
      <c r="FH5" s="524"/>
      <c r="FI5" s="524"/>
      <c r="FJ5" s="524"/>
      <c r="FK5" s="524"/>
      <c r="FL5" s="524"/>
      <c r="FM5" s="524"/>
      <c r="FN5" s="524"/>
      <c r="FO5" s="524"/>
      <c r="FP5" s="524"/>
      <c r="FQ5" s="524"/>
      <c r="FR5" s="524"/>
      <c r="FS5" s="524"/>
      <c r="FT5" s="524"/>
      <c r="FU5" s="524"/>
      <c r="FV5" s="524"/>
      <c r="FW5" s="524"/>
      <c r="FX5" s="524"/>
      <c r="FY5" s="524"/>
      <c r="FZ5" s="524"/>
      <c r="GA5" s="524"/>
      <c r="GB5" s="524"/>
      <c r="GC5" s="524"/>
      <c r="GD5" s="524"/>
      <c r="GE5" s="524"/>
      <c r="GF5" s="524"/>
      <c r="GG5" s="524"/>
      <c r="GH5" s="524"/>
      <c r="GI5" s="524"/>
      <c r="GJ5" s="524"/>
      <c r="GK5" s="524"/>
      <c r="GL5" s="524"/>
      <c r="GM5" s="524"/>
      <c r="GN5" s="524"/>
      <c r="GO5" s="524"/>
      <c r="GP5" s="524"/>
      <c r="GQ5" s="524"/>
      <c r="GR5" s="524"/>
      <c r="GS5" s="524"/>
      <c r="GT5" s="524"/>
      <c r="GU5" s="524"/>
      <c r="GV5" s="524"/>
      <c r="GW5" s="524"/>
      <c r="GX5" s="524"/>
      <c r="GY5" s="524"/>
      <c r="GZ5" s="524"/>
      <c r="HA5" s="524"/>
      <c r="HB5" s="524"/>
      <c r="HC5" s="524"/>
      <c r="HD5" s="524"/>
      <c r="HE5" s="524"/>
      <c r="HF5" s="524"/>
      <c r="HG5" s="524"/>
      <c r="HH5" s="524"/>
      <c r="HI5" s="524"/>
      <c r="HJ5" s="524"/>
      <c r="HK5" s="524"/>
      <c r="HL5" s="524"/>
      <c r="HM5" s="524"/>
      <c r="HN5" s="524"/>
      <c r="HO5" s="524"/>
      <c r="HP5" s="524"/>
      <c r="HQ5" s="524"/>
      <c r="HR5" s="524"/>
      <c r="HS5" s="524"/>
      <c r="HT5" s="524"/>
      <c r="HU5" s="524"/>
      <c r="HV5" s="524"/>
      <c r="HW5" s="524"/>
      <c r="HX5" s="524"/>
      <c r="HY5" s="524"/>
      <c r="HZ5" s="524"/>
      <c r="IA5" s="524"/>
      <c r="IB5" s="524"/>
      <c r="IC5" s="524"/>
      <c r="ID5" s="524"/>
      <c r="IE5" s="524"/>
      <c r="IF5" s="524"/>
      <c r="IG5" s="524"/>
      <c r="IH5" s="524"/>
      <c r="II5" s="524"/>
      <c r="IJ5" s="524"/>
      <c r="IK5" s="524"/>
      <c r="IL5" s="524"/>
      <c r="IM5" s="524"/>
      <c r="IN5" s="524"/>
      <c r="IO5" s="524"/>
      <c r="IP5" s="524"/>
      <c r="IQ5" s="524"/>
      <c r="IR5" s="524"/>
    </row>
    <row r="6" spans="1:252" ht="21" x14ac:dyDescent="0.2">
      <c r="A6" s="525" t="s">
        <v>17</v>
      </c>
      <c r="B6" s="525"/>
      <c r="C6" s="525"/>
      <c r="D6" s="525"/>
      <c r="E6" s="525"/>
      <c r="F6" s="525"/>
      <c r="G6" s="525"/>
      <c r="H6" s="525"/>
      <c r="I6" s="525"/>
      <c r="J6" s="525"/>
      <c r="K6" s="525"/>
      <c r="L6" s="525"/>
      <c r="M6" s="525"/>
      <c r="N6" s="525"/>
      <c r="O6" s="525"/>
      <c r="P6" s="525"/>
      <c r="Q6" s="525"/>
      <c r="R6" s="524"/>
      <c r="S6" s="524"/>
      <c r="T6" s="524"/>
      <c r="U6" s="524"/>
      <c r="V6" s="524"/>
      <c r="W6" s="524"/>
      <c r="X6" s="524"/>
      <c r="Y6" s="524"/>
      <c r="Z6" s="524"/>
      <c r="AA6" s="524"/>
      <c r="AB6" s="524"/>
      <c r="AC6" s="524"/>
      <c r="AD6" s="524"/>
      <c r="AE6" s="524"/>
      <c r="AF6" s="524"/>
      <c r="AG6" s="524"/>
      <c r="AH6" s="524"/>
      <c r="AI6" s="524"/>
      <c r="AJ6" s="524"/>
      <c r="AK6" s="524"/>
      <c r="AL6" s="524"/>
      <c r="AM6" s="524"/>
      <c r="AN6" s="524"/>
      <c r="AO6" s="524"/>
      <c r="AP6" s="524"/>
      <c r="AQ6" s="524"/>
      <c r="AR6" s="524"/>
      <c r="AS6" s="524"/>
      <c r="AT6" s="524"/>
      <c r="AU6" s="524"/>
      <c r="AV6" s="524"/>
      <c r="AW6" s="524"/>
      <c r="AX6" s="524"/>
      <c r="AY6" s="524"/>
      <c r="AZ6" s="524"/>
      <c r="BA6" s="524"/>
      <c r="BB6" s="524"/>
      <c r="BC6" s="524"/>
      <c r="BD6" s="524"/>
      <c r="BE6" s="524"/>
      <c r="BF6" s="524"/>
      <c r="BG6" s="524"/>
      <c r="BH6" s="524"/>
      <c r="BI6" s="524"/>
      <c r="BJ6" s="524"/>
      <c r="BK6" s="524"/>
      <c r="BL6" s="524"/>
      <c r="BM6" s="524"/>
      <c r="BN6" s="524"/>
      <c r="BO6" s="524"/>
      <c r="BP6" s="524"/>
      <c r="BQ6" s="524"/>
      <c r="BR6" s="524"/>
      <c r="BS6" s="524"/>
      <c r="BT6" s="524"/>
      <c r="BU6" s="524"/>
      <c r="BV6" s="524"/>
      <c r="BW6" s="524"/>
      <c r="BX6" s="524"/>
      <c r="BY6" s="524"/>
      <c r="BZ6" s="524"/>
      <c r="CA6" s="524"/>
      <c r="CB6" s="524"/>
      <c r="CC6" s="524"/>
      <c r="CD6" s="524"/>
      <c r="CE6" s="524"/>
      <c r="CF6" s="524"/>
      <c r="CG6" s="524"/>
      <c r="CH6" s="524"/>
      <c r="CI6" s="524"/>
      <c r="CJ6" s="524"/>
      <c r="CK6" s="524"/>
      <c r="CL6" s="524"/>
      <c r="CM6" s="524"/>
      <c r="CN6" s="524"/>
      <c r="CO6" s="524"/>
      <c r="CP6" s="524"/>
      <c r="CQ6" s="524"/>
      <c r="CR6" s="524"/>
      <c r="CS6" s="524"/>
      <c r="CT6" s="524"/>
      <c r="CU6" s="524"/>
      <c r="CV6" s="524"/>
      <c r="CW6" s="524"/>
      <c r="CX6" s="524"/>
      <c r="CY6" s="524"/>
      <c r="CZ6" s="524"/>
      <c r="DA6" s="524"/>
      <c r="DB6" s="524"/>
      <c r="DC6" s="524"/>
      <c r="DD6" s="524"/>
      <c r="DE6" s="524"/>
      <c r="DF6" s="524"/>
      <c r="DG6" s="524"/>
      <c r="DH6" s="524"/>
      <c r="DI6" s="524"/>
      <c r="DJ6" s="524"/>
      <c r="DK6" s="524"/>
      <c r="DL6" s="524"/>
      <c r="DM6" s="524"/>
      <c r="DN6" s="524"/>
      <c r="DO6" s="524"/>
      <c r="DP6" s="524"/>
      <c r="DQ6" s="524"/>
      <c r="DR6" s="524"/>
      <c r="DS6" s="524"/>
      <c r="DT6" s="524"/>
      <c r="DU6" s="524"/>
      <c r="DV6" s="524"/>
      <c r="DW6" s="524"/>
      <c r="DX6" s="524"/>
      <c r="DY6" s="524"/>
      <c r="DZ6" s="524"/>
      <c r="EA6" s="524"/>
      <c r="EB6" s="524"/>
      <c r="EC6" s="524"/>
      <c r="ED6" s="524"/>
      <c r="EE6" s="524"/>
      <c r="EF6" s="524"/>
      <c r="EG6" s="524"/>
      <c r="EH6" s="524"/>
      <c r="EI6" s="524"/>
      <c r="EJ6" s="524"/>
      <c r="EK6" s="524"/>
      <c r="EL6" s="524"/>
      <c r="EM6" s="524"/>
      <c r="EN6" s="524"/>
      <c r="EO6" s="524"/>
      <c r="EP6" s="524"/>
      <c r="EQ6" s="524"/>
      <c r="ER6" s="524"/>
      <c r="ES6" s="524"/>
      <c r="ET6" s="524"/>
      <c r="EU6" s="524"/>
      <c r="EV6" s="524"/>
      <c r="EW6" s="524"/>
      <c r="EX6" s="524"/>
      <c r="EY6" s="524"/>
      <c r="EZ6" s="524"/>
      <c r="FA6" s="524"/>
      <c r="FB6" s="524"/>
      <c r="FC6" s="524"/>
      <c r="FD6" s="524"/>
      <c r="FE6" s="524"/>
      <c r="FF6" s="524"/>
      <c r="FG6" s="524"/>
      <c r="FH6" s="524"/>
      <c r="FI6" s="524"/>
      <c r="FJ6" s="524"/>
      <c r="FK6" s="524"/>
      <c r="FL6" s="524"/>
      <c r="FM6" s="524"/>
      <c r="FN6" s="524"/>
      <c r="FO6" s="524"/>
      <c r="FP6" s="524"/>
      <c r="FQ6" s="524"/>
      <c r="FR6" s="524"/>
      <c r="FS6" s="524"/>
      <c r="FT6" s="524"/>
      <c r="FU6" s="524"/>
      <c r="FV6" s="524"/>
      <c r="FW6" s="524"/>
      <c r="FX6" s="524"/>
      <c r="FY6" s="524"/>
      <c r="FZ6" s="524"/>
      <c r="GA6" s="524"/>
      <c r="GB6" s="524"/>
      <c r="GC6" s="524"/>
      <c r="GD6" s="524"/>
      <c r="GE6" s="524"/>
      <c r="GF6" s="524"/>
      <c r="GG6" s="524"/>
      <c r="GH6" s="524"/>
      <c r="GI6" s="524"/>
      <c r="GJ6" s="524"/>
      <c r="GK6" s="524"/>
      <c r="GL6" s="524"/>
      <c r="GM6" s="524"/>
      <c r="GN6" s="524"/>
      <c r="GO6" s="524"/>
      <c r="GP6" s="524"/>
      <c r="GQ6" s="524"/>
      <c r="GR6" s="524"/>
      <c r="GS6" s="524"/>
      <c r="GT6" s="524"/>
      <c r="GU6" s="524"/>
      <c r="GV6" s="524"/>
      <c r="GW6" s="524"/>
      <c r="GX6" s="524"/>
      <c r="GY6" s="524"/>
      <c r="GZ6" s="524"/>
      <c r="HA6" s="524"/>
      <c r="HB6" s="524"/>
      <c r="HC6" s="524"/>
      <c r="HD6" s="524"/>
      <c r="HE6" s="524"/>
      <c r="HF6" s="524"/>
      <c r="HG6" s="524"/>
      <c r="HH6" s="524"/>
      <c r="HI6" s="524"/>
      <c r="HJ6" s="524"/>
      <c r="HK6" s="524"/>
      <c r="HL6" s="524"/>
      <c r="HM6" s="524"/>
      <c r="HN6" s="524"/>
      <c r="HO6" s="524"/>
      <c r="HP6" s="524"/>
      <c r="HQ6" s="524"/>
      <c r="HR6" s="524"/>
      <c r="HS6" s="524"/>
      <c r="HT6" s="524"/>
      <c r="HU6" s="524"/>
      <c r="HV6" s="524"/>
      <c r="HW6" s="524"/>
      <c r="HX6" s="524"/>
      <c r="HY6" s="524"/>
      <c r="HZ6" s="524"/>
      <c r="IA6" s="524"/>
      <c r="IB6" s="524"/>
      <c r="IC6" s="524"/>
      <c r="ID6" s="524"/>
      <c r="IE6" s="524"/>
      <c r="IF6" s="524"/>
      <c r="IG6" s="524"/>
      <c r="IH6" s="524"/>
      <c r="II6" s="524"/>
      <c r="IJ6" s="524"/>
      <c r="IK6" s="524"/>
      <c r="IL6" s="524"/>
      <c r="IM6" s="524"/>
      <c r="IN6" s="524"/>
      <c r="IO6" s="524"/>
      <c r="IP6" s="524"/>
      <c r="IQ6" s="524"/>
      <c r="IR6" s="524"/>
    </row>
    <row r="7" spans="1:252" ht="51" x14ac:dyDescent="0.2">
      <c r="A7" s="501" t="s">
        <v>0</v>
      </c>
      <c r="B7" s="502" t="s">
        <v>10</v>
      </c>
      <c r="C7" s="503"/>
      <c r="D7" s="503"/>
      <c r="E7" s="503"/>
      <c r="F7" s="503"/>
      <c r="G7" s="504"/>
      <c r="H7" s="502" t="s">
        <v>322</v>
      </c>
      <c r="I7" s="503"/>
      <c r="J7" s="503"/>
      <c r="K7" s="503"/>
      <c r="L7" s="503"/>
      <c r="M7" s="503"/>
      <c r="N7" s="502" t="s">
        <v>324</v>
      </c>
      <c r="O7" s="503"/>
      <c r="P7" s="503"/>
      <c r="Q7" s="504"/>
      <c r="R7" s="524"/>
      <c r="S7" s="524"/>
      <c r="T7" s="524"/>
      <c r="U7" s="524"/>
      <c r="V7" s="524"/>
      <c r="W7" s="524"/>
      <c r="X7" s="524"/>
      <c r="Y7" s="524"/>
      <c r="Z7" s="524"/>
      <c r="AA7" s="524"/>
      <c r="AB7" s="524"/>
      <c r="AC7" s="524"/>
      <c r="AD7" s="524"/>
      <c r="AE7" s="524"/>
      <c r="AF7" s="524"/>
      <c r="AG7" s="524"/>
      <c r="AH7" s="524"/>
      <c r="AI7" s="524"/>
      <c r="AJ7" s="524"/>
      <c r="AK7" s="524"/>
      <c r="AL7" s="524"/>
      <c r="AM7" s="524"/>
      <c r="AN7" s="524"/>
      <c r="AO7" s="524"/>
      <c r="AP7" s="524"/>
      <c r="AQ7" s="524"/>
      <c r="AR7" s="524"/>
      <c r="AS7" s="524"/>
      <c r="AT7" s="524"/>
      <c r="AU7" s="524"/>
      <c r="AV7" s="524"/>
      <c r="AW7" s="524"/>
      <c r="AX7" s="524"/>
      <c r="AY7" s="524"/>
      <c r="AZ7" s="524"/>
      <c r="BA7" s="524"/>
      <c r="BB7" s="524"/>
      <c r="BC7" s="524"/>
      <c r="BD7" s="524"/>
      <c r="BE7" s="524"/>
      <c r="BF7" s="524"/>
      <c r="BG7" s="524"/>
      <c r="BH7" s="524"/>
      <c r="BI7" s="524"/>
      <c r="BJ7" s="524"/>
      <c r="BK7" s="524"/>
      <c r="BL7" s="524"/>
      <c r="BM7" s="524"/>
      <c r="BN7" s="524"/>
      <c r="BO7" s="524"/>
      <c r="BP7" s="524"/>
      <c r="BQ7" s="524"/>
      <c r="BR7" s="524"/>
      <c r="BS7" s="524"/>
      <c r="BT7" s="524"/>
      <c r="BU7" s="524"/>
      <c r="BV7" s="524"/>
      <c r="BW7" s="524"/>
      <c r="BX7" s="524"/>
      <c r="BY7" s="524"/>
      <c r="BZ7" s="524"/>
      <c r="CA7" s="524"/>
      <c r="CB7" s="524"/>
      <c r="CC7" s="524"/>
      <c r="CD7" s="524"/>
      <c r="CE7" s="524"/>
      <c r="CF7" s="524"/>
      <c r="CG7" s="524"/>
      <c r="CH7" s="524"/>
      <c r="CI7" s="524"/>
      <c r="CJ7" s="524"/>
      <c r="CK7" s="524"/>
      <c r="CL7" s="524"/>
      <c r="CM7" s="524"/>
      <c r="CN7" s="524"/>
      <c r="CO7" s="524"/>
      <c r="CP7" s="524"/>
      <c r="CQ7" s="524"/>
      <c r="CR7" s="524"/>
      <c r="CS7" s="524"/>
      <c r="CT7" s="524"/>
      <c r="CU7" s="524"/>
      <c r="CV7" s="524"/>
      <c r="CW7" s="524"/>
      <c r="CX7" s="524"/>
      <c r="CY7" s="524"/>
      <c r="CZ7" s="524"/>
      <c r="DA7" s="524"/>
      <c r="DB7" s="524"/>
      <c r="DC7" s="524"/>
      <c r="DD7" s="524"/>
      <c r="DE7" s="524"/>
      <c r="DF7" s="524"/>
      <c r="DG7" s="524"/>
      <c r="DH7" s="524"/>
      <c r="DI7" s="524"/>
      <c r="DJ7" s="524"/>
      <c r="DK7" s="524"/>
      <c r="DL7" s="524"/>
      <c r="DM7" s="524"/>
      <c r="DN7" s="524"/>
      <c r="DO7" s="524"/>
      <c r="DP7" s="524"/>
      <c r="DQ7" s="524"/>
      <c r="DR7" s="524"/>
      <c r="DS7" s="524"/>
      <c r="DT7" s="524"/>
      <c r="DU7" s="524"/>
      <c r="DV7" s="524"/>
      <c r="DW7" s="524"/>
      <c r="DX7" s="524"/>
      <c r="DY7" s="524"/>
      <c r="DZ7" s="524"/>
      <c r="EA7" s="524"/>
      <c r="EB7" s="524"/>
      <c r="EC7" s="524"/>
      <c r="ED7" s="524"/>
      <c r="EE7" s="524"/>
      <c r="EF7" s="524"/>
      <c r="EG7" s="524"/>
      <c r="EH7" s="524"/>
      <c r="EI7" s="524"/>
      <c r="EJ7" s="524"/>
      <c r="EK7" s="524"/>
      <c r="EL7" s="524"/>
      <c r="EM7" s="524"/>
      <c r="EN7" s="524"/>
      <c r="EO7" s="524"/>
      <c r="EP7" s="524"/>
      <c r="EQ7" s="524"/>
      <c r="ER7" s="524"/>
      <c r="ES7" s="524"/>
      <c r="ET7" s="524"/>
      <c r="EU7" s="524"/>
      <c r="EV7" s="524"/>
      <c r="EW7" s="524"/>
      <c r="EX7" s="524"/>
      <c r="EY7" s="524"/>
      <c r="EZ7" s="524"/>
      <c r="FA7" s="524"/>
      <c r="FB7" s="524"/>
      <c r="FC7" s="524"/>
      <c r="FD7" s="524"/>
      <c r="FE7" s="524"/>
      <c r="FF7" s="524"/>
      <c r="FG7" s="524"/>
      <c r="FH7" s="524"/>
      <c r="FI7" s="524"/>
      <c r="FJ7" s="524"/>
      <c r="FK7" s="524"/>
      <c r="FL7" s="524"/>
      <c r="FM7" s="524"/>
      <c r="FN7" s="524"/>
      <c r="FO7" s="524"/>
      <c r="FP7" s="524"/>
      <c r="FQ7" s="524"/>
      <c r="FR7" s="524"/>
      <c r="FS7" s="524"/>
      <c r="FT7" s="524"/>
      <c r="FU7" s="524"/>
      <c r="FV7" s="524"/>
      <c r="FW7" s="524"/>
      <c r="FX7" s="524"/>
      <c r="FY7" s="524"/>
      <c r="FZ7" s="524"/>
      <c r="GA7" s="524"/>
      <c r="GB7" s="524"/>
      <c r="GC7" s="524"/>
      <c r="GD7" s="524"/>
      <c r="GE7" s="524"/>
      <c r="GF7" s="524"/>
      <c r="GG7" s="524"/>
      <c r="GH7" s="524"/>
      <c r="GI7" s="524"/>
      <c r="GJ7" s="524"/>
      <c r="GK7" s="524"/>
      <c r="GL7" s="524"/>
      <c r="GM7" s="524"/>
      <c r="GN7" s="524"/>
      <c r="GO7" s="524"/>
      <c r="GP7" s="524"/>
      <c r="GQ7" s="524"/>
      <c r="GR7" s="524"/>
      <c r="GS7" s="524"/>
      <c r="GT7" s="524"/>
      <c r="GU7" s="524"/>
      <c r="GV7" s="524"/>
      <c r="GW7" s="524"/>
      <c r="GX7" s="524"/>
      <c r="GY7" s="524"/>
      <c r="GZ7" s="524"/>
      <c r="HA7" s="524"/>
      <c r="HB7" s="524"/>
      <c r="HC7" s="524"/>
      <c r="HD7" s="524"/>
      <c r="HE7" s="524"/>
      <c r="HF7" s="524"/>
      <c r="HG7" s="524"/>
      <c r="HH7" s="524"/>
      <c r="HI7" s="524"/>
      <c r="HJ7" s="524"/>
      <c r="HK7" s="524"/>
      <c r="HL7" s="524"/>
      <c r="HM7" s="524"/>
      <c r="HN7" s="524"/>
      <c r="HO7" s="524"/>
      <c r="HP7" s="524"/>
      <c r="HQ7" s="524"/>
      <c r="HR7" s="524"/>
      <c r="HS7" s="524"/>
      <c r="HT7" s="524"/>
      <c r="HU7" s="524"/>
      <c r="HV7" s="524"/>
      <c r="HW7" s="524"/>
      <c r="HX7" s="524"/>
      <c r="HY7" s="524"/>
      <c r="HZ7" s="524"/>
      <c r="IA7" s="524"/>
      <c r="IB7" s="524"/>
      <c r="IC7" s="524"/>
      <c r="ID7" s="524"/>
      <c r="IE7" s="524"/>
      <c r="IF7" s="524"/>
      <c r="IG7" s="524"/>
      <c r="IH7" s="524"/>
      <c r="II7" s="524"/>
      <c r="IJ7" s="524"/>
      <c r="IK7" s="524"/>
      <c r="IL7" s="524"/>
      <c r="IM7" s="524"/>
      <c r="IN7" s="524"/>
      <c r="IO7" s="524"/>
      <c r="IP7" s="524"/>
      <c r="IQ7" s="524"/>
      <c r="IR7" s="524"/>
    </row>
    <row r="8" spans="1:252" ht="204" x14ac:dyDescent="0.2">
      <c r="A8" s="505"/>
      <c r="B8" s="506" t="s">
        <v>4</v>
      </c>
      <c r="C8" s="506" t="s">
        <v>1</v>
      </c>
      <c r="D8" s="506" t="s">
        <v>3</v>
      </c>
      <c r="E8" s="506" t="s">
        <v>2</v>
      </c>
      <c r="F8" s="506" t="s">
        <v>6</v>
      </c>
      <c r="G8" s="506" t="s">
        <v>5</v>
      </c>
      <c r="H8" s="506" t="s">
        <v>7</v>
      </c>
      <c r="I8" s="507" t="s">
        <v>8</v>
      </c>
      <c r="J8" s="507" t="s">
        <v>9</v>
      </c>
      <c r="K8" s="508" t="s">
        <v>11</v>
      </c>
      <c r="L8" s="508" t="s">
        <v>12</v>
      </c>
      <c r="M8" s="508" t="s">
        <v>13</v>
      </c>
      <c r="N8" s="507" t="s">
        <v>9</v>
      </c>
      <c r="O8" s="508" t="s">
        <v>11</v>
      </c>
      <c r="P8" s="508" t="s">
        <v>12</v>
      </c>
      <c r="Q8" s="509" t="s">
        <v>13</v>
      </c>
      <c r="R8" s="524"/>
      <c r="S8" s="524"/>
      <c r="T8" s="524"/>
      <c r="U8" s="524"/>
      <c r="V8" s="524"/>
      <c r="W8" s="524"/>
      <c r="X8" s="524"/>
      <c r="Y8" s="524"/>
      <c r="Z8" s="524"/>
      <c r="AA8" s="524"/>
      <c r="AB8" s="524"/>
      <c r="AC8" s="524"/>
      <c r="AD8" s="524"/>
      <c r="AE8" s="524"/>
      <c r="AF8" s="524"/>
      <c r="AG8" s="524"/>
      <c r="AH8" s="524"/>
      <c r="AI8" s="524"/>
      <c r="AJ8" s="524"/>
      <c r="AK8" s="524"/>
      <c r="AL8" s="524"/>
      <c r="AM8" s="524"/>
      <c r="AN8" s="524"/>
      <c r="AO8" s="524"/>
      <c r="AP8" s="524"/>
      <c r="AQ8" s="524"/>
      <c r="AR8" s="524"/>
      <c r="AS8" s="524"/>
      <c r="AT8" s="524"/>
      <c r="AU8" s="524"/>
      <c r="AV8" s="524"/>
      <c r="AW8" s="524"/>
      <c r="AX8" s="524"/>
      <c r="AY8" s="524"/>
      <c r="AZ8" s="524"/>
      <c r="BA8" s="524"/>
      <c r="BB8" s="524"/>
      <c r="BC8" s="524"/>
      <c r="BD8" s="524"/>
      <c r="BE8" s="524"/>
      <c r="BF8" s="524"/>
      <c r="BG8" s="524"/>
      <c r="BH8" s="524"/>
      <c r="BI8" s="524"/>
      <c r="BJ8" s="524"/>
      <c r="BK8" s="524"/>
      <c r="BL8" s="524"/>
      <c r="BM8" s="524"/>
      <c r="BN8" s="524"/>
      <c r="BO8" s="524"/>
      <c r="BP8" s="524"/>
      <c r="BQ8" s="524"/>
      <c r="BR8" s="524"/>
      <c r="BS8" s="524"/>
      <c r="BT8" s="524"/>
      <c r="BU8" s="524"/>
      <c r="BV8" s="524"/>
      <c r="BW8" s="524"/>
      <c r="BX8" s="524"/>
      <c r="BY8" s="524"/>
      <c r="BZ8" s="524"/>
      <c r="CA8" s="524"/>
      <c r="CB8" s="524"/>
      <c r="CC8" s="524"/>
      <c r="CD8" s="524"/>
      <c r="CE8" s="524"/>
      <c r="CF8" s="524"/>
      <c r="CG8" s="524"/>
      <c r="CH8" s="524"/>
      <c r="CI8" s="524"/>
      <c r="CJ8" s="524"/>
      <c r="CK8" s="524"/>
      <c r="CL8" s="524"/>
      <c r="CM8" s="524"/>
      <c r="CN8" s="524"/>
      <c r="CO8" s="524"/>
      <c r="CP8" s="524"/>
      <c r="CQ8" s="524"/>
      <c r="CR8" s="524"/>
      <c r="CS8" s="524"/>
      <c r="CT8" s="524"/>
      <c r="CU8" s="524"/>
      <c r="CV8" s="524"/>
      <c r="CW8" s="524"/>
      <c r="CX8" s="524"/>
      <c r="CY8" s="524"/>
      <c r="CZ8" s="524"/>
      <c r="DA8" s="524"/>
      <c r="DB8" s="524"/>
      <c r="DC8" s="524"/>
      <c r="DD8" s="524"/>
      <c r="DE8" s="524"/>
      <c r="DF8" s="524"/>
      <c r="DG8" s="524"/>
      <c r="DH8" s="524"/>
      <c r="DI8" s="524"/>
      <c r="DJ8" s="524"/>
      <c r="DK8" s="524"/>
      <c r="DL8" s="524"/>
      <c r="DM8" s="524"/>
      <c r="DN8" s="524"/>
      <c r="DO8" s="524"/>
      <c r="DP8" s="524"/>
      <c r="DQ8" s="524"/>
      <c r="DR8" s="524"/>
      <c r="DS8" s="524"/>
      <c r="DT8" s="524"/>
      <c r="DU8" s="524"/>
      <c r="DV8" s="524"/>
      <c r="DW8" s="524"/>
      <c r="DX8" s="524"/>
      <c r="DY8" s="524"/>
      <c r="DZ8" s="524"/>
      <c r="EA8" s="524"/>
      <c r="EB8" s="524"/>
      <c r="EC8" s="524"/>
      <c r="ED8" s="524"/>
      <c r="EE8" s="524"/>
      <c r="EF8" s="524"/>
      <c r="EG8" s="524"/>
      <c r="EH8" s="524"/>
      <c r="EI8" s="524"/>
      <c r="EJ8" s="524"/>
      <c r="EK8" s="524"/>
      <c r="EL8" s="524"/>
      <c r="EM8" s="524"/>
      <c r="EN8" s="524"/>
      <c r="EO8" s="524"/>
      <c r="EP8" s="524"/>
      <c r="EQ8" s="524"/>
      <c r="ER8" s="524"/>
      <c r="ES8" s="524"/>
      <c r="ET8" s="524"/>
      <c r="EU8" s="524"/>
      <c r="EV8" s="524"/>
      <c r="EW8" s="524"/>
      <c r="EX8" s="524"/>
      <c r="EY8" s="524"/>
      <c r="EZ8" s="524"/>
      <c r="FA8" s="524"/>
      <c r="FB8" s="524"/>
      <c r="FC8" s="524"/>
      <c r="FD8" s="524"/>
      <c r="FE8" s="524"/>
      <c r="FF8" s="524"/>
      <c r="FG8" s="524"/>
      <c r="FH8" s="524"/>
      <c r="FI8" s="524"/>
      <c r="FJ8" s="524"/>
      <c r="FK8" s="524"/>
      <c r="FL8" s="524"/>
      <c r="FM8" s="524"/>
      <c r="FN8" s="524"/>
      <c r="FO8" s="524"/>
      <c r="FP8" s="524"/>
      <c r="FQ8" s="524"/>
      <c r="FR8" s="524"/>
      <c r="FS8" s="524"/>
      <c r="FT8" s="524"/>
      <c r="FU8" s="524"/>
      <c r="FV8" s="524"/>
      <c r="FW8" s="524"/>
      <c r="FX8" s="524"/>
      <c r="FY8" s="524"/>
      <c r="FZ8" s="524"/>
      <c r="GA8" s="524"/>
      <c r="GB8" s="524"/>
      <c r="GC8" s="524"/>
      <c r="GD8" s="524"/>
      <c r="GE8" s="524"/>
      <c r="GF8" s="524"/>
      <c r="GG8" s="524"/>
      <c r="GH8" s="524"/>
      <c r="GI8" s="524"/>
      <c r="GJ8" s="524"/>
      <c r="GK8" s="524"/>
      <c r="GL8" s="524"/>
      <c r="GM8" s="524"/>
      <c r="GN8" s="524"/>
      <c r="GO8" s="524"/>
      <c r="GP8" s="524"/>
      <c r="GQ8" s="524"/>
      <c r="GR8" s="524"/>
      <c r="GS8" s="524"/>
      <c r="GT8" s="524"/>
      <c r="GU8" s="524"/>
      <c r="GV8" s="524"/>
      <c r="GW8" s="524"/>
      <c r="GX8" s="524"/>
      <c r="GY8" s="524"/>
      <c r="GZ8" s="524"/>
      <c r="HA8" s="524"/>
      <c r="HB8" s="524"/>
      <c r="HC8" s="524"/>
      <c r="HD8" s="524"/>
      <c r="HE8" s="524"/>
      <c r="HF8" s="524"/>
      <c r="HG8" s="524"/>
      <c r="HH8" s="524"/>
      <c r="HI8" s="524"/>
      <c r="HJ8" s="524"/>
      <c r="HK8" s="524"/>
      <c r="HL8" s="524"/>
      <c r="HM8" s="524"/>
      <c r="HN8" s="524"/>
      <c r="HO8" s="524"/>
      <c r="HP8" s="524"/>
      <c r="HQ8" s="524"/>
      <c r="HR8" s="524"/>
      <c r="HS8" s="524"/>
      <c r="HT8" s="524"/>
      <c r="HU8" s="524"/>
      <c r="HV8" s="524"/>
      <c r="HW8" s="524"/>
      <c r="HX8" s="524"/>
      <c r="HY8" s="524"/>
      <c r="HZ8" s="524"/>
      <c r="IA8" s="524"/>
      <c r="IB8" s="524"/>
      <c r="IC8" s="524"/>
      <c r="ID8" s="524"/>
      <c r="IE8" s="524"/>
      <c r="IF8" s="524"/>
      <c r="IG8" s="524"/>
      <c r="IH8" s="524"/>
      <c r="II8" s="524"/>
      <c r="IJ8" s="524"/>
      <c r="IK8" s="524"/>
      <c r="IL8" s="524"/>
      <c r="IM8" s="524"/>
      <c r="IN8" s="524"/>
      <c r="IO8" s="524"/>
      <c r="IP8" s="524"/>
      <c r="IQ8" s="524"/>
      <c r="IR8" s="524"/>
    </row>
    <row r="9" spans="1:252" ht="15.75" customHeight="1" x14ac:dyDescent="0.2">
      <c r="A9" s="484">
        <v>1</v>
      </c>
      <c r="B9" s="484" t="s">
        <v>159</v>
      </c>
      <c r="C9" s="516" t="s">
        <v>62</v>
      </c>
      <c r="D9" s="484" t="s">
        <v>63</v>
      </c>
      <c r="E9" s="486" t="s">
        <v>158</v>
      </c>
      <c r="F9" s="486" t="s">
        <v>160</v>
      </c>
      <c r="G9" s="510" t="s">
        <v>670</v>
      </c>
      <c r="H9" s="484">
        <v>3</v>
      </c>
      <c r="I9" s="484">
        <v>3</v>
      </c>
      <c r="J9" s="484">
        <v>3</v>
      </c>
      <c r="K9" s="482">
        <v>1493.3</v>
      </c>
      <c r="L9" s="482">
        <v>1493.3</v>
      </c>
      <c r="M9" s="482">
        <f>K9-L9</f>
        <v>0</v>
      </c>
      <c r="N9" s="484">
        <v>8</v>
      </c>
      <c r="O9" s="482">
        <v>26421.62</v>
      </c>
      <c r="P9" s="482">
        <v>26421.62</v>
      </c>
      <c r="Q9" s="482">
        <f>O9-P9</f>
        <v>0</v>
      </c>
    </row>
    <row r="10" spans="1:252" ht="15.75" customHeight="1" x14ac:dyDescent="0.2">
      <c r="A10" s="484">
        <f>A9+1</f>
        <v>2</v>
      </c>
      <c r="B10" s="484" t="s">
        <v>581</v>
      </c>
      <c r="C10" s="516" t="s">
        <v>62</v>
      </c>
      <c r="D10" s="484" t="s">
        <v>63</v>
      </c>
      <c r="E10" s="486" t="s">
        <v>158</v>
      </c>
      <c r="F10" s="486" t="s">
        <v>582</v>
      </c>
      <c r="G10" s="510" t="s">
        <v>670</v>
      </c>
      <c r="H10" s="484">
        <v>0</v>
      </c>
      <c r="I10" s="484">
        <v>0</v>
      </c>
      <c r="J10" s="484">
        <v>0</v>
      </c>
      <c r="K10" s="482">
        <v>0</v>
      </c>
      <c r="L10" s="482">
        <v>0</v>
      </c>
      <c r="M10" s="482">
        <f t="shared" ref="M10:M73" si="0">K10-L10</f>
        <v>0</v>
      </c>
      <c r="N10" s="484">
        <v>2</v>
      </c>
      <c r="O10" s="482">
        <v>0</v>
      </c>
      <c r="P10" s="482">
        <v>0</v>
      </c>
      <c r="Q10" s="482">
        <f t="shared" ref="Q10:Q73" si="1">O10-P10</f>
        <v>0</v>
      </c>
    </row>
    <row r="11" spans="1:252" ht="15.75" customHeight="1" x14ac:dyDescent="0.2">
      <c r="A11" s="484">
        <f t="shared" ref="A11:A74" si="2">A10+1</f>
        <v>3</v>
      </c>
      <c r="B11" s="484" t="s">
        <v>95</v>
      </c>
      <c r="C11" s="516" t="s">
        <v>62</v>
      </c>
      <c r="D11" s="484" t="s">
        <v>63</v>
      </c>
      <c r="E11" s="486" t="s">
        <v>158</v>
      </c>
      <c r="F11" s="486" t="s">
        <v>161</v>
      </c>
      <c r="G11" s="510" t="s">
        <v>670</v>
      </c>
      <c r="H11" s="484">
        <v>54</v>
      </c>
      <c r="I11" s="484">
        <v>44</v>
      </c>
      <c r="J11" s="484">
        <v>58</v>
      </c>
      <c r="K11" s="482">
        <v>77731.58</v>
      </c>
      <c r="L11" s="482">
        <f>70400.34+3873.83</f>
        <v>74274.17</v>
      </c>
      <c r="M11" s="482">
        <f t="shared" si="0"/>
        <v>3457.4100000000035</v>
      </c>
      <c r="N11" s="484">
        <v>30</v>
      </c>
      <c r="O11" s="482">
        <v>98356.77</v>
      </c>
      <c r="P11" s="482">
        <v>90695.42</v>
      </c>
      <c r="Q11" s="482">
        <f t="shared" si="1"/>
        <v>7661.3500000000058</v>
      </c>
    </row>
    <row r="12" spans="1:252" ht="15.75" customHeight="1" x14ac:dyDescent="0.2">
      <c r="A12" s="484">
        <f t="shared" si="2"/>
        <v>4</v>
      </c>
      <c r="B12" s="484" t="s">
        <v>684</v>
      </c>
      <c r="C12" s="516" t="s">
        <v>62</v>
      </c>
      <c r="D12" s="484"/>
      <c r="E12" s="486" t="s">
        <v>158</v>
      </c>
      <c r="F12" s="486" t="s">
        <v>685</v>
      </c>
      <c r="G12" s="510" t="s">
        <v>670</v>
      </c>
      <c r="H12" s="484">
        <v>8</v>
      </c>
      <c r="I12" s="484">
        <v>3</v>
      </c>
      <c r="J12" s="484">
        <v>3</v>
      </c>
      <c r="K12" s="482">
        <v>0</v>
      </c>
      <c r="L12" s="482">
        <v>0</v>
      </c>
      <c r="M12" s="482">
        <f t="shared" si="0"/>
        <v>0</v>
      </c>
      <c r="N12" s="484">
        <v>0</v>
      </c>
      <c r="O12" s="482">
        <v>0</v>
      </c>
      <c r="P12" s="482">
        <v>0</v>
      </c>
      <c r="Q12" s="482">
        <f t="shared" si="1"/>
        <v>0</v>
      </c>
    </row>
    <row r="13" spans="1:252" ht="15.75" customHeight="1" x14ac:dyDescent="0.2">
      <c r="A13" s="484">
        <f t="shared" si="2"/>
        <v>5</v>
      </c>
      <c r="B13" s="484" t="s">
        <v>541</v>
      </c>
      <c r="C13" s="516" t="s">
        <v>62</v>
      </c>
      <c r="D13" s="484"/>
      <c r="E13" s="486" t="s">
        <v>677</v>
      </c>
      <c r="F13" s="486" t="s">
        <v>542</v>
      </c>
      <c r="G13" s="510" t="s">
        <v>670</v>
      </c>
      <c r="H13" s="484">
        <v>29</v>
      </c>
      <c r="I13" s="484">
        <v>22</v>
      </c>
      <c r="J13" s="484">
        <v>30</v>
      </c>
      <c r="K13" s="482">
        <v>16190.58</v>
      </c>
      <c r="L13" s="482">
        <v>16190.58</v>
      </c>
      <c r="M13" s="482">
        <f t="shared" si="0"/>
        <v>0</v>
      </c>
      <c r="N13" s="484">
        <v>0</v>
      </c>
      <c r="O13" s="482">
        <v>0</v>
      </c>
      <c r="P13" s="482">
        <v>0</v>
      </c>
      <c r="Q13" s="482">
        <f t="shared" si="1"/>
        <v>0</v>
      </c>
    </row>
    <row r="14" spans="1:252" ht="15.75" customHeight="1" x14ac:dyDescent="0.2">
      <c r="A14" s="484">
        <f t="shared" si="2"/>
        <v>6</v>
      </c>
      <c r="B14" s="484" t="s">
        <v>628</v>
      </c>
      <c r="C14" s="516" t="s">
        <v>62</v>
      </c>
      <c r="D14" s="484"/>
      <c r="E14" s="486" t="s">
        <v>158</v>
      </c>
      <c r="F14" s="486" t="s">
        <v>653</v>
      </c>
      <c r="G14" s="510" t="s">
        <v>670</v>
      </c>
      <c r="H14" s="484">
        <v>9</v>
      </c>
      <c r="I14" s="484">
        <v>6</v>
      </c>
      <c r="J14" s="484">
        <v>6</v>
      </c>
      <c r="K14" s="482">
        <v>0</v>
      </c>
      <c r="L14" s="482">
        <v>0</v>
      </c>
      <c r="M14" s="482">
        <f t="shared" si="0"/>
        <v>0</v>
      </c>
      <c r="N14" s="484">
        <v>0</v>
      </c>
      <c r="O14" s="482">
        <v>0</v>
      </c>
      <c r="P14" s="482">
        <v>0</v>
      </c>
      <c r="Q14" s="482">
        <f t="shared" si="1"/>
        <v>0</v>
      </c>
    </row>
    <row r="15" spans="1:252" ht="15.75" customHeight="1" x14ac:dyDescent="0.2">
      <c r="A15" s="484">
        <f t="shared" si="2"/>
        <v>7</v>
      </c>
      <c r="B15" s="484" t="s">
        <v>18</v>
      </c>
      <c r="C15" s="516" t="s">
        <v>62</v>
      </c>
      <c r="D15" s="484" t="s">
        <v>63</v>
      </c>
      <c r="E15" s="486" t="s">
        <v>158</v>
      </c>
      <c r="F15" s="486" t="s">
        <v>565</v>
      </c>
      <c r="G15" s="510" t="s">
        <v>670</v>
      </c>
      <c r="H15" s="484">
        <v>5</v>
      </c>
      <c r="I15" s="484">
        <v>1</v>
      </c>
      <c r="J15" s="484">
        <v>1</v>
      </c>
      <c r="K15" s="482">
        <v>3936.79</v>
      </c>
      <c r="L15" s="482">
        <v>3936.79</v>
      </c>
      <c r="M15" s="482">
        <f t="shared" si="0"/>
        <v>0</v>
      </c>
      <c r="N15" s="484">
        <v>2</v>
      </c>
      <c r="O15" s="482">
        <v>3205.88</v>
      </c>
      <c r="P15" s="482">
        <v>3205.88</v>
      </c>
      <c r="Q15" s="482">
        <f t="shared" si="1"/>
        <v>0</v>
      </c>
    </row>
    <row r="16" spans="1:252" ht="15.75" customHeight="1" x14ac:dyDescent="0.2">
      <c r="A16" s="484">
        <f t="shared" si="2"/>
        <v>8</v>
      </c>
      <c r="B16" s="484" t="s">
        <v>19</v>
      </c>
      <c r="C16" s="516" t="s">
        <v>62</v>
      </c>
      <c r="D16" s="484" t="s">
        <v>63</v>
      </c>
      <c r="E16" s="486" t="s">
        <v>671</v>
      </c>
      <c r="F16" s="486" t="s">
        <v>162</v>
      </c>
      <c r="G16" s="510" t="s">
        <v>670</v>
      </c>
      <c r="H16" s="484">
        <v>116</v>
      </c>
      <c r="I16" s="484">
        <v>104</v>
      </c>
      <c r="J16" s="484">
        <v>137</v>
      </c>
      <c r="K16" s="482">
        <v>121382.82</v>
      </c>
      <c r="L16" s="482">
        <v>98370.9</v>
      </c>
      <c r="M16" s="482">
        <f t="shared" si="0"/>
        <v>23011.920000000013</v>
      </c>
      <c r="N16" s="484">
        <v>27</v>
      </c>
      <c r="O16" s="482">
        <v>87506.880000000005</v>
      </c>
      <c r="P16" s="482">
        <v>85049.71</v>
      </c>
      <c r="Q16" s="482">
        <f t="shared" si="1"/>
        <v>2457.1699999999983</v>
      </c>
    </row>
    <row r="17" spans="1:17" ht="15.75" customHeight="1" x14ac:dyDescent="0.2">
      <c r="A17" s="484">
        <f t="shared" si="2"/>
        <v>9</v>
      </c>
      <c r="B17" s="484" t="s">
        <v>672</v>
      </c>
      <c r="C17" s="516" t="s">
        <v>62</v>
      </c>
      <c r="D17" s="484"/>
      <c r="E17" s="486" t="s">
        <v>158</v>
      </c>
      <c r="F17" s="486" t="s">
        <v>673</v>
      </c>
      <c r="G17" s="510" t="s">
        <v>670</v>
      </c>
      <c r="H17" s="484">
        <v>0</v>
      </c>
      <c r="I17" s="484">
        <v>0</v>
      </c>
      <c r="J17" s="484">
        <v>0</v>
      </c>
      <c r="K17" s="482">
        <v>0</v>
      </c>
      <c r="L17" s="482">
        <v>0</v>
      </c>
      <c r="M17" s="482">
        <f t="shared" si="0"/>
        <v>0</v>
      </c>
      <c r="N17" s="484">
        <v>1</v>
      </c>
      <c r="O17" s="482">
        <v>5462.2</v>
      </c>
      <c r="P17" s="482">
        <v>5462.2</v>
      </c>
      <c r="Q17" s="482">
        <f t="shared" si="1"/>
        <v>0</v>
      </c>
    </row>
    <row r="18" spans="1:17" ht="15.75" customHeight="1" x14ac:dyDescent="0.2">
      <c r="A18" s="484">
        <f t="shared" si="2"/>
        <v>10</v>
      </c>
      <c r="B18" s="484" t="s">
        <v>20</v>
      </c>
      <c r="C18" s="516" t="s">
        <v>62</v>
      </c>
      <c r="D18" s="484" t="s">
        <v>63</v>
      </c>
      <c r="E18" s="486" t="s">
        <v>158</v>
      </c>
      <c r="F18" s="486" t="s">
        <v>163</v>
      </c>
      <c r="G18" s="510" t="s">
        <v>670</v>
      </c>
      <c r="H18" s="484">
        <v>0</v>
      </c>
      <c r="I18" s="484">
        <v>0</v>
      </c>
      <c r="J18" s="484">
        <v>0</v>
      </c>
      <c r="K18" s="482">
        <v>0</v>
      </c>
      <c r="L18" s="482">
        <v>0</v>
      </c>
      <c r="M18" s="482">
        <f t="shared" si="0"/>
        <v>0</v>
      </c>
      <c r="N18" s="484">
        <v>1</v>
      </c>
      <c r="O18" s="482">
        <v>6138.73</v>
      </c>
      <c r="P18" s="482">
        <v>6138.73</v>
      </c>
      <c r="Q18" s="482">
        <f t="shared" si="1"/>
        <v>0</v>
      </c>
    </row>
    <row r="19" spans="1:17" ht="15.75" customHeight="1" x14ac:dyDescent="0.2">
      <c r="A19" s="484">
        <f t="shared" si="2"/>
        <v>11</v>
      </c>
      <c r="B19" s="484" t="s">
        <v>100</v>
      </c>
      <c r="C19" s="516" t="s">
        <v>62</v>
      </c>
      <c r="D19" s="484" t="s">
        <v>63</v>
      </c>
      <c r="E19" s="486" t="s">
        <v>675</v>
      </c>
      <c r="F19" s="486" t="s">
        <v>164</v>
      </c>
      <c r="G19" s="510" t="s">
        <v>670</v>
      </c>
      <c r="H19" s="484">
        <v>17</v>
      </c>
      <c r="I19" s="484">
        <v>14</v>
      </c>
      <c r="J19" s="484">
        <v>18</v>
      </c>
      <c r="K19" s="482">
        <f>28244.77-6.51</f>
        <v>28238.260000000002</v>
      </c>
      <c r="L19" s="482">
        <f>28244.77-6.51</f>
        <v>28238.260000000002</v>
      </c>
      <c r="M19" s="482">
        <f t="shared" si="0"/>
        <v>0</v>
      </c>
      <c r="N19" s="484">
        <v>13</v>
      </c>
      <c r="O19" s="482">
        <v>40299.47</v>
      </c>
      <c r="P19" s="482">
        <v>40299.47</v>
      </c>
      <c r="Q19" s="482">
        <f t="shared" si="1"/>
        <v>0</v>
      </c>
    </row>
    <row r="20" spans="1:17" ht="15.75" customHeight="1" x14ac:dyDescent="0.2">
      <c r="A20" s="484">
        <f t="shared" si="2"/>
        <v>12</v>
      </c>
      <c r="B20" s="484" t="s">
        <v>86</v>
      </c>
      <c r="C20" s="516" t="s">
        <v>62</v>
      </c>
      <c r="D20" s="484" t="s">
        <v>63</v>
      </c>
      <c r="E20" s="486" t="s">
        <v>158</v>
      </c>
      <c r="F20" s="486" t="s">
        <v>165</v>
      </c>
      <c r="G20" s="510" t="s">
        <v>670</v>
      </c>
      <c r="H20" s="484">
        <v>51</v>
      </c>
      <c r="I20" s="484">
        <v>31</v>
      </c>
      <c r="J20" s="484">
        <v>33</v>
      </c>
      <c r="K20" s="482">
        <v>26897.93</v>
      </c>
      <c r="L20" s="482">
        <v>26897.93</v>
      </c>
      <c r="M20" s="482">
        <f t="shared" si="0"/>
        <v>0</v>
      </c>
      <c r="N20" s="484">
        <v>20</v>
      </c>
      <c r="O20" s="482">
        <f>58106.78+607.89</f>
        <v>58714.67</v>
      </c>
      <c r="P20" s="482">
        <f>58106.78+607.89</f>
        <v>58714.67</v>
      </c>
      <c r="Q20" s="482">
        <f t="shared" si="1"/>
        <v>0</v>
      </c>
    </row>
    <row r="21" spans="1:17" ht="15.75" customHeight="1" x14ac:dyDescent="0.2">
      <c r="A21" s="484">
        <f t="shared" si="2"/>
        <v>13</v>
      </c>
      <c r="B21" s="484" t="s">
        <v>166</v>
      </c>
      <c r="C21" s="516" t="s">
        <v>62</v>
      </c>
      <c r="D21" s="484"/>
      <c r="E21" s="486" t="s">
        <v>158</v>
      </c>
      <c r="F21" s="486" t="s">
        <v>167</v>
      </c>
      <c r="G21" s="510" t="s">
        <v>670</v>
      </c>
      <c r="H21" s="484">
        <v>19</v>
      </c>
      <c r="I21" s="484">
        <v>16</v>
      </c>
      <c r="J21" s="484">
        <v>17</v>
      </c>
      <c r="K21" s="482">
        <v>12377.17</v>
      </c>
      <c r="L21" s="482">
        <v>12377.17</v>
      </c>
      <c r="M21" s="482">
        <f t="shared" si="0"/>
        <v>0</v>
      </c>
      <c r="N21" s="484">
        <v>0</v>
      </c>
      <c r="O21" s="482">
        <v>0</v>
      </c>
      <c r="P21" s="482">
        <v>0</v>
      </c>
      <c r="Q21" s="482">
        <f t="shared" si="1"/>
        <v>0</v>
      </c>
    </row>
    <row r="22" spans="1:17" ht="15.75" customHeight="1" x14ac:dyDescent="0.2">
      <c r="A22" s="484">
        <f t="shared" si="2"/>
        <v>14</v>
      </c>
      <c r="B22" s="484" t="s">
        <v>168</v>
      </c>
      <c r="C22" s="516" t="s">
        <v>62</v>
      </c>
      <c r="D22" s="484"/>
      <c r="E22" s="486" t="s">
        <v>371</v>
      </c>
      <c r="F22" s="486" t="s">
        <v>169</v>
      </c>
      <c r="G22" s="510" t="s">
        <v>670</v>
      </c>
      <c r="H22" s="484">
        <v>44</v>
      </c>
      <c r="I22" s="484">
        <v>38</v>
      </c>
      <c r="J22" s="484">
        <v>45</v>
      </c>
      <c r="K22" s="482">
        <f>34087.32+1761.84</f>
        <v>35849.159999999996</v>
      </c>
      <c r="L22" s="482">
        <f>34087.32+1761.84</f>
        <v>35849.159999999996</v>
      </c>
      <c r="M22" s="482">
        <f t="shared" si="0"/>
        <v>0</v>
      </c>
      <c r="N22" s="484">
        <v>0</v>
      </c>
      <c r="O22" s="482">
        <v>0</v>
      </c>
      <c r="P22" s="482">
        <v>0</v>
      </c>
      <c r="Q22" s="482">
        <f t="shared" si="1"/>
        <v>0</v>
      </c>
    </row>
    <row r="23" spans="1:17" ht="15.75" customHeight="1" x14ac:dyDescent="0.2">
      <c r="A23" s="484">
        <f t="shared" si="2"/>
        <v>15</v>
      </c>
      <c r="B23" s="484" t="s">
        <v>21</v>
      </c>
      <c r="C23" s="516" t="s">
        <v>62</v>
      </c>
      <c r="D23" s="484" t="s">
        <v>63</v>
      </c>
      <c r="E23" s="486" t="s">
        <v>674</v>
      </c>
      <c r="F23" s="486" t="s">
        <v>170</v>
      </c>
      <c r="G23" s="510" t="s">
        <v>670</v>
      </c>
      <c r="H23" s="484">
        <v>54</v>
      </c>
      <c r="I23" s="484">
        <v>46</v>
      </c>
      <c r="J23" s="484">
        <v>55</v>
      </c>
      <c r="K23" s="482">
        <f>62209.16+1570</f>
        <v>63779.16</v>
      </c>
      <c r="L23" s="482">
        <f>62209.16+1570</f>
        <v>63779.16</v>
      </c>
      <c r="M23" s="482">
        <f t="shared" si="0"/>
        <v>0</v>
      </c>
      <c r="N23" s="484">
        <v>41</v>
      </c>
      <c r="O23" s="482">
        <v>148889.4</v>
      </c>
      <c r="P23" s="482">
        <v>148889.4</v>
      </c>
      <c r="Q23" s="482">
        <f t="shared" si="1"/>
        <v>0</v>
      </c>
    </row>
    <row r="24" spans="1:17" ht="15.75" customHeight="1" x14ac:dyDescent="0.2">
      <c r="A24" s="484">
        <f t="shared" si="2"/>
        <v>16</v>
      </c>
      <c r="B24" s="484" t="s">
        <v>22</v>
      </c>
      <c r="C24" s="516" t="s">
        <v>62</v>
      </c>
      <c r="D24" s="484" t="s">
        <v>63</v>
      </c>
      <c r="E24" s="486" t="s">
        <v>158</v>
      </c>
      <c r="F24" s="486" t="s">
        <v>171</v>
      </c>
      <c r="G24" s="510" t="s">
        <v>670</v>
      </c>
      <c r="H24" s="484">
        <v>43</v>
      </c>
      <c r="I24" s="484">
        <v>35</v>
      </c>
      <c r="J24" s="484">
        <v>48</v>
      </c>
      <c r="K24" s="482">
        <f>51085.36+2014.97</f>
        <v>53100.33</v>
      </c>
      <c r="L24" s="482">
        <f>51085.36+2014.97</f>
        <v>53100.33</v>
      </c>
      <c r="M24" s="482">
        <f t="shared" si="0"/>
        <v>0</v>
      </c>
      <c r="N24" s="484">
        <v>44</v>
      </c>
      <c r="O24" s="482">
        <v>101080.14</v>
      </c>
      <c r="P24" s="482">
        <v>101080.14</v>
      </c>
      <c r="Q24" s="482">
        <f t="shared" si="1"/>
        <v>0</v>
      </c>
    </row>
    <row r="25" spans="1:17" ht="15.75" customHeight="1" x14ac:dyDescent="0.2">
      <c r="A25" s="484">
        <f t="shared" si="2"/>
        <v>17</v>
      </c>
      <c r="B25" s="484" t="s">
        <v>23</v>
      </c>
      <c r="C25" s="516" t="s">
        <v>62</v>
      </c>
      <c r="D25" s="484" t="s">
        <v>63</v>
      </c>
      <c r="E25" s="486" t="s">
        <v>158</v>
      </c>
      <c r="F25" s="486" t="s">
        <v>136</v>
      </c>
      <c r="G25" s="510" t="s">
        <v>670</v>
      </c>
      <c r="H25" s="484">
        <v>2</v>
      </c>
      <c r="I25" s="484">
        <v>0</v>
      </c>
      <c r="J25" s="484">
        <v>0</v>
      </c>
      <c r="K25" s="482">
        <v>0</v>
      </c>
      <c r="L25" s="482">
        <v>0</v>
      </c>
      <c r="M25" s="482">
        <f t="shared" si="0"/>
        <v>0</v>
      </c>
      <c r="N25" s="484">
        <v>0</v>
      </c>
      <c r="O25" s="482">
        <v>0</v>
      </c>
      <c r="P25" s="482">
        <v>0</v>
      </c>
      <c r="Q25" s="482">
        <f t="shared" si="1"/>
        <v>0</v>
      </c>
    </row>
    <row r="26" spans="1:17" ht="15.75" customHeight="1" x14ac:dyDescent="0.2">
      <c r="A26" s="484">
        <f t="shared" si="2"/>
        <v>18</v>
      </c>
      <c r="B26" s="484" t="s">
        <v>24</v>
      </c>
      <c r="C26" s="516" t="s">
        <v>62</v>
      </c>
      <c r="D26" s="484" t="s">
        <v>63</v>
      </c>
      <c r="E26" s="486" t="s">
        <v>158</v>
      </c>
      <c r="F26" s="486" t="s">
        <v>172</v>
      </c>
      <c r="G26" s="510" t="s">
        <v>670</v>
      </c>
      <c r="H26" s="484">
        <v>59</v>
      </c>
      <c r="I26" s="484">
        <v>50</v>
      </c>
      <c r="J26" s="484">
        <v>64</v>
      </c>
      <c r="K26" s="482">
        <v>43142.82</v>
      </c>
      <c r="L26" s="482">
        <v>43142.82</v>
      </c>
      <c r="M26" s="482">
        <f t="shared" si="0"/>
        <v>0</v>
      </c>
      <c r="N26" s="484">
        <v>34</v>
      </c>
      <c r="O26" s="482">
        <v>91426.1</v>
      </c>
      <c r="P26" s="482">
        <v>91426.1</v>
      </c>
      <c r="Q26" s="482">
        <f t="shared" si="1"/>
        <v>0</v>
      </c>
    </row>
    <row r="27" spans="1:17" ht="15.75" customHeight="1" x14ac:dyDescent="0.2">
      <c r="A27" s="484">
        <f t="shared" si="2"/>
        <v>19</v>
      </c>
      <c r="B27" s="484" t="s">
        <v>102</v>
      </c>
      <c r="C27" s="516" t="s">
        <v>67</v>
      </c>
      <c r="D27" s="484" t="s">
        <v>516</v>
      </c>
      <c r="E27" s="486" t="s">
        <v>158</v>
      </c>
      <c r="F27" s="486" t="s">
        <v>477</v>
      </c>
      <c r="G27" s="510" t="s">
        <v>670</v>
      </c>
      <c r="H27" s="484">
        <v>4</v>
      </c>
      <c r="I27" s="484">
        <v>1</v>
      </c>
      <c r="J27" s="484">
        <v>1</v>
      </c>
      <c r="K27" s="482">
        <v>528.6</v>
      </c>
      <c r="L27" s="482">
        <v>528.6</v>
      </c>
      <c r="M27" s="482">
        <f t="shared" si="0"/>
        <v>0</v>
      </c>
      <c r="N27" s="484">
        <v>4</v>
      </c>
      <c r="O27" s="482">
        <v>9770.18</v>
      </c>
      <c r="P27" s="482">
        <v>9770.18</v>
      </c>
      <c r="Q27" s="482">
        <f t="shared" si="1"/>
        <v>0</v>
      </c>
    </row>
    <row r="28" spans="1:17" ht="15.75" customHeight="1" x14ac:dyDescent="0.2">
      <c r="A28" s="484">
        <f t="shared" si="2"/>
        <v>20</v>
      </c>
      <c r="B28" s="484" t="s">
        <v>173</v>
      </c>
      <c r="C28" s="516" t="s">
        <v>67</v>
      </c>
      <c r="D28" s="484" t="s">
        <v>478</v>
      </c>
      <c r="E28" s="486" t="s">
        <v>158</v>
      </c>
      <c r="F28" s="486" t="s">
        <v>175</v>
      </c>
      <c r="G28" s="510" t="s">
        <v>670</v>
      </c>
      <c r="H28" s="484">
        <v>32</v>
      </c>
      <c r="I28" s="484">
        <v>24</v>
      </c>
      <c r="J28" s="484">
        <v>28</v>
      </c>
      <c r="K28" s="482">
        <v>19933.77</v>
      </c>
      <c r="L28" s="482">
        <v>14928.42</v>
      </c>
      <c r="M28" s="482">
        <f t="shared" si="0"/>
        <v>5005.3500000000004</v>
      </c>
      <c r="N28" s="484">
        <v>0</v>
      </c>
      <c r="O28" s="482">
        <v>0</v>
      </c>
      <c r="P28" s="482">
        <v>0</v>
      </c>
      <c r="Q28" s="482">
        <f t="shared" si="1"/>
        <v>0</v>
      </c>
    </row>
    <row r="29" spans="1:17" ht="15.75" customHeight="1" x14ac:dyDescent="0.2">
      <c r="A29" s="484">
        <f t="shared" si="2"/>
        <v>21</v>
      </c>
      <c r="B29" s="484" t="s">
        <v>25</v>
      </c>
      <c r="C29" s="516" t="s">
        <v>62</v>
      </c>
      <c r="D29" s="484" t="s">
        <v>63</v>
      </c>
      <c r="E29" s="486" t="s">
        <v>676</v>
      </c>
      <c r="F29" s="486" t="s">
        <v>584</v>
      </c>
      <c r="G29" s="510" t="s">
        <v>670</v>
      </c>
      <c r="H29" s="484">
        <v>62</v>
      </c>
      <c r="I29" s="484">
        <v>0</v>
      </c>
      <c r="J29" s="484">
        <v>0</v>
      </c>
      <c r="K29" s="482">
        <v>0</v>
      </c>
      <c r="L29" s="482">
        <v>0</v>
      </c>
      <c r="M29" s="482">
        <f t="shared" si="0"/>
        <v>0</v>
      </c>
      <c r="N29" s="484">
        <v>0</v>
      </c>
      <c r="O29" s="482">
        <v>0</v>
      </c>
      <c r="P29" s="482">
        <v>0</v>
      </c>
      <c r="Q29" s="482">
        <f t="shared" si="1"/>
        <v>0</v>
      </c>
    </row>
    <row r="30" spans="1:17" ht="15.75" customHeight="1" x14ac:dyDescent="0.2">
      <c r="A30" s="484">
        <f t="shared" si="2"/>
        <v>22</v>
      </c>
      <c r="B30" s="484" t="s">
        <v>600</v>
      </c>
      <c r="C30" s="516" t="s">
        <v>62</v>
      </c>
      <c r="D30" s="484" t="s">
        <v>63</v>
      </c>
      <c r="E30" s="486" t="s">
        <v>158</v>
      </c>
      <c r="F30" s="486" t="s">
        <v>103</v>
      </c>
      <c r="G30" s="510" t="s">
        <v>670</v>
      </c>
      <c r="H30" s="484">
        <v>0</v>
      </c>
      <c r="I30" s="484">
        <v>0</v>
      </c>
      <c r="J30" s="484">
        <v>0</v>
      </c>
      <c r="K30" s="482">
        <v>0</v>
      </c>
      <c r="L30" s="482">
        <v>0</v>
      </c>
      <c r="M30" s="482">
        <f t="shared" si="0"/>
        <v>0</v>
      </c>
      <c r="N30" s="484">
        <v>15</v>
      </c>
      <c r="O30" s="482">
        <v>62481.86</v>
      </c>
      <c r="P30" s="482">
        <v>62481.86</v>
      </c>
      <c r="Q30" s="482">
        <f t="shared" si="1"/>
        <v>0</v>
      </c>
    </row>
    <row r="31" spans="1:17" ht="15.75" customHeight="1" x14ac:dyDescent="0.2">
      <c r="A31" s="484">
        <f t="shared" si="2"/>
        <v>23</v>
      </c>
      <c r="B31" s="484" t="s">
        <v>479</v>
      </c>
      <c r="C31" s="516" t="s">
        <v>67</v>
      </c>
      <c r="D31" s="484" t="s">
        <v>480</v>
      </c>
      <c r="E31" s="486" t="s">
        <v>158</v>
      </c>
      <c r="F31" s="486" t="s">
        <v>481</v>
      </c>
      <c r="G31" s="510" t="s">
        <v>670</v>
      </c>
      <c r="H31" s="484">
        <v>14</v>
      </c>
      <c r="I31" s="484">
        <v>7</v>
      </c>
      <c r="J31" s="484">
        <v>7</v>
      </c>
      <c r="K31" s="482">
        <v>3449.4</v>
      </c>
      <c r="L31" s="482">
        <v>3449.4</v>
      </c>
      <c r="M31" s="482">
        <f t="shared" si="0"/>
        <v>0</v>
      </c>
      <c r="N31" s="484">
        <v>0</v>
      </c>
      <c r="O31" s="482">
        <v>0</v>
      </c>
      <c r="P31" s="482">
        <v>0</v>
      </c>
      <c r="Q31" s="482">
        <f t="shared" si="1"/>
        <v>0</v>
      </c>
    </row>
    <row r="32" spans="1:17" ht="15.75" customHeight="1" x14ac:dyDescent="0.2">
      <c r="A32" s="484">
        <f t="shared" si="2"/>
        <v>24</v>
      </c>
      <c r="B32" s="484" t="s">
        <v>176</v>
      </c>
      <c r="C32" s="516" t="s">
        <v>62</v>
      </c>
      <c r="D32" s="484"/>
      <c r="E32" s="486" t="s">
        <v>677</v>
      </c>
      <c r="F32" s="486" t="s">
        <v>178</v>
      </c>
      <c r="G32" s="510" t="s">
        <v>670</v>
      </c>
      <c r="H32" s="484">
        <v>20</v>
      </c>
      <c r="I32" s="484">
        <v>15</v>
      </c>
      <c r="J32" s="484">
        <v>16</v>
      </c>
      <c r="K32" s="482">
        <v>14354.65</v>
      </c>
      <c r="L32" s="482">
        <f>7259.44+2025.1</f>
        <v>9284.5399999999991</v>
      </c>
      <c r="M32" s="482">
        <f t="shared" si="0"/>
        <v>5070.1100000000006</v>
      </c>
      <c r="N32" s="484">
        <v>0</v>
      </c>
      <c r="O32" s="482">
        <v>0</v>
      </c>
      <c r="P32" s="482">
        <v>0</v>
      </c>
      <c r="Q32" s="482">
        <f t="shared" si="1"/>
        <v>0</v>
      </c>
    </row>
    <row r="33" spans="1:17" ht="15.75" customHeight="1" x14ac:dyDescent="0.2">
      <c r="A33" s="484">
        <f t="shared" si="2"/>
        <v>25</v>
      </c>
      <c r="B33" s="484" t="s">
        <v>152</v>
      </c>
      <c r="C33" s="516" t="s">
        <v>62</v>
      </c>
      <c r="D33" s="484" t="s">
        <v>63</v>
      </c>
      <c r="E33" s="486" t="s">
        <v>158</v>
      </c>
      <c r="F33" s="486" t="s">
        <v>179</v>
      </c>
      <c r="G33" s="510" t="s">
        <v>670</v>
      </c>
      <c r="H33" s="484">
        <v>31</v>
      </c>
      <c r="I33" s="484">
        <v>16</v>
      </c>
      <c r="J33" s="484">
        <v>18</v>
      </c>
      <c r="K33" s="482">
        <v>38119.06</v>
      </c>
      <c r="L33" s="482">
        <v>38119.06</v>
      </c>
      <c r="M33" s="482">
        <f t="shared" si="0"/>
        <v>0</v>
      </c>
      <c r="N33" s="484">
        <v>16</v>
      </c>
      <c r="O33" s="482">
        <v>10875.99</v>
      </c>
      <c r="P33" s="482">
        <v>10875.99</v>
      </c>
      <c r="Q33" s="482">
        <f t="shared" si="1"/>
        <v>0</v>
      </c>
    </row>
    <row r="34" spans="1:17" ht="15.75" customHeight="1" x14ac:dyDescent="0.2">
      <c r="A34" s="484">
        <f t="shared" si="2"/>
        <v>26</v>
      </c>
      <c r="B34" s="484" t="s">
        <v>88</v>
      </c>
      <c r="C34" s="516" t="s">
        <v>62</v>
      </c>
      <c r="D34" s="484" t="s">
        <v>63</v>
      </c>
      <c r="E34" s="486" t="s">
        <v>158</v>
      </c>
      <c r="F34" s="486" t="s">
        <v>180</v>
      </c>
      <c r="G34" s="510" t="s">
        <v>670</v>
      </c>
      <c r="H34" s="484">
        <v>9</v>
      </c>
      <c r="I34" s="484">
        <v>5</v>
      </c>
      <c r="J34" s="484">
        <v>5</v>
      </c>
      <c r="K34" s="482">
        <v>7768.25</v>
      </c>
      <c r="L34" s="482">
        <f>2706.43+1215.06</f>
        <v>3921.49</v>
      </c>
      <c r="M34" s="482">
        <f t="shared" si="0"/>
        <v>3846.76</v>
      </c>
      <c r="N34" s="484">
        <v>2</v>
      </c>
      <c r="O34" s="482">
        <v>22884.99</v>
      </c>
      <c r="P34" s="482">
        <v>22884.99</v>
      </c>
      <c r="Q34" s="482">
        <f t="shared" si="1"/>
        <v>0</v>
      </c>
    </row>
    <row r="35" spans="1:17" ht="15.75" customHeight="1" x14ac:dyDescent="0.2">
      <c r="A35" s="484">
        <f t="shared" si="2"/>
        <v>27</v>
      </c>
      <c r="B35" s="484" t="s">
        <v>26</v>
      </c>
      <c r="C35" s="516" t="s">
        <v>62</v>
      </c>
      <c r="D35" s="484" t="s">
        <v>63</v>
      </c>
      <c r="E35" s="486" t="s">
        <v>158</v>
      </c>
      <c r="F35" s="486" t="s">
        <v>181</v>
      </c>
      <c r="G35" s="510" t="s">
        <v>670</v>
      </c>
      <c r="H35" s="484">
        <v>30</v>
      </c>
      <c r="I35" s="484">
        <v>24</v>
      </c>
      <c r="J35" s="484">
        <v>34</v>
      </c>
      <c r="K35" s="482">
        <v>65045.440000000002</v>
      </c>
      <c r="L35" s="482">
        <v>65045.440000000002</v>
      </c>
      <c r="M35" s="482">
        <f t="shared" si="0"/>
        <v>0</v>
      </c>
      <c r="N35" s="484">
        <v>16</v>
      </c>
      <c r="O35" s="482">
        <v>27881.98</v>
      </c>
      <c r="P35" s="482">
        <v>27881.98</v>
      </c>
      <c r="Q35" s="482">
        <f t="shared" si="1"/>
        <v>0</v>
      </c>
    </row>
    <row r="36" spans="1:17" ht="15.75" customHeight="1" x14ac:dyDescent="0.2">
      <c r="A36" s="484">
        <f t="shared" si="2"/>
        <v>28</v>
      </c>
      <c r="B36" s="484" t="s">
        <v>182</v>
      </c>
      <c r="C36" s="516" t="s">
        <v>62</v>
      </c>
      <c r="D36" s="484"/>
      <c r="E36" s="486" t="s">
        <v>158</v>
      </c>
      <c r="F36" s="486" t="s">
        <v>183</v>
      </c>
      <c r="G36" s="510" t="s">
        <v>670</v>
      </c>
      <c r="H36" s="484">
        <v>41</v>
      </c>
      <c r="I36" s="484">
        <v>23</v>
      </c>
      <c r="J36" s="484">
        <v>28</v>
      </c>
      <c r="K36" s="482">
        <v>23283.040000000001</v>
      </c>
      <c r="L36" s="482">
        <v>23283.040000000001</v>
      </c>
      <c r="M36" s="482">
        <f t="shared" si="0"/>
        <v>0</v>
      </c>
      <c r="N36" s="484">
        <v>0</v>
      </c>
      <c r="O36" s="482">
        <v>0</v>
      </c>
      <c r="P36" s="482">
        <v>0</v>
      </c>
      <c r="Q36" s="482">
        <f t="shared" si="1"/>
        <v>0</v>
      </c>
    </row>
    <row r="37" spans="1:17" ht="15.75" customHeight="1" x14ac:dyDescent="0.2">
      <c r="A37" s="484">
        <f t="shared" si="2"/>
        <v>29</v>
      </c>
      <c r="B37" s="484" t="s">
        <v>601</v>
      </c>
      <c r="C37" s="516" t="s">
        <v>62</v>
      </c>
      <c r="D37" s="484" t="s">
        <v>63</v>
      </c>
      <c r="E37" s="486" t="s">
        <v>678</v>
      </c>
      <c r="F37" s="486" t="s">
        <v>602</v>
      </c>
      <c r="G37" s="510" t="s">
        <v>670</v>
      </c>
      <c r="H37" s="484">
        <v>4</v>
      </c>
      <c r="I37" s="484">
        <v>0</v>
      </c>
      <c r="J37" s="484">
        <v>0</v>
      </c>
      <c r="K37" s="482">
        <v>0</v>
      </c>
      <c r="L37" s="482">
        <v>0</v>
      </c>
      <c r="M37" s="482">
        <f t="shared" si="0"/>
        <v>0</v>
      </c>
      <c r="N37" s="484">
        <v>0</v>
      </c>
      <c r="O37" s="482">
        <v>0</v>
      </c>
      <c r="P37" s="482">
        <v>0</v>
      </c>
      <c r="Q37" s="482">
        <f t="shared" si="1"/>
        <v>0</v>
      </c>
    </row>
    <row r="38" spans="1:17" ht="15.75" customHeight="1" x14ac:dyDescent="0.2">
      <c r="A38" s="484">
        <f t="shared" si="2"/>
        <v>30</v>
      </c>
      <c r="B38" s="484" t="s">
        <v>137</v>
      </c>
      <c r="C38" s="516" t="s">
        <v>62</v>
      </c>
      <c r="D38" s="484" t="s">
        <v>63</v>
      </c>
      <c r="E38" s="486" t="s">
        <v>158</v>
      </c>
      <c r="F38" s="486" t="s">
        <v>184</v>
      </c>
      <c r="G38" s="510" t="s">
        <v>670</v>
      </c>
      <c r="H38" s="484">
        <v>11</v>
      </c>
      <c r="I38" s="484">
        <v>6</v>
      </c>
      <c r="J38" s="484">
        <v>6</v>
      </c>
      <c r="K38" s="482">
        <v>8691.83</v>
      </c>
      <c r="L38" s="482">
        <v>8691.83</v>
      </c>
      <c r="M38" s="482">
        <f t="shared" si="0"/>
        <v>0</v>
      </c>
      <c r="N38" s="484">
        <v>5</v>
      </c>
      <c r="O38" s="482">
        <v>9148.83</v>
      </c>
      <c r="P38" s="482">
        <v>9148.83</v>
      </c>
      <c r="Q38" s="482">
        <f t="shared" si="1"/>
        <v>0</v>
      </c>
    </row>
    <row r="39" spans="1:17" ht="15.75" customHeight="1" x14ac:dyDescent="0.2">
      <c r="A39" s="484">
        <f t="shared" si="2"/>
        <v>31</v>
      </c>
      <c r="B39" s="484" t="s">
        <v>185</v>
      </c>
      <c r="C39" s="516" t="s">
        <v>62</v>
      </c>
      <c r="D39" s="484"/>
      <c r="E39" s="486" t="s">
        <v>674</v>
      </c>
      <c r="F39" s="486" t="s">
        <v>463</v>
      </c>
      <c r="G39" s="510" t="s">
        <v>670</v>
      </c>
      <c r="H39" s="484">
        <v>15</v>
      </c>
      <c r="I39" s="484">
        <v>10</v>
      </c>
      <c r="J39" s="484">
        <v>12</v>
      </c>
      <c r="K39" s="482">
        <f>3098.57-352.4</f>
        <v>2746.17</v>
      </c>
      <c r="L39" s="482">
        <v>2746.17</v>
      </c>
      <c r="M39" s="482">
        <f t="shared" si="0"/>
        <v>0</v>
      </c>
      <c r="N39" s="484">
        <v>0</v>
      </c>
      <c r="O39" s="482">
        <v>0</v>
      </c>
      <c r="P39" s="482">
        <v>0</v>
      </c>
      <c r="Q39" s="482">
        <f t="shared" si="1"/>
        <v>0</v>
      </c>
    </row>
    <row r="40" spans="1:17" ht="15.75" customHeight="1" x14ac:dyDescent="0.2">
      <c r="A40" s="484">
        <f t="shared" si="2"/>
        <v>32</v>
      </c>
      <c r="B40" s="484" t="s">
        <v>27</v>
      </c>
      <c r="C40" s="516" t="s">
        <v>62</v>
      </c>
      <c r="D40" s="484" t="s">
        <v>63</v>
      </c>
      <c r="E40" s="486" t="s">
        <v>158</v>
      </c>
      <c r="F40" s="486" t="s">
        <v>187</v>
      </c>
      <c r="G40" s="510" t="s">
        <v>670</v>
      </c>
      <c r="H40" s="484">
        <v>19</v>
      </c>
      <c r="I40" s="484">
        <v>13</v>
      </c>
      <c r="J40" s="484">
        <v>14</v>
      </c>
      <c r="K40" s="482">
        <v>11368.12</v>
      </c>
      <c r="L40" s="482">
        <v>11368.12</v>
      </c>
      <c r="M40" s="482">
        <f t="shared" si="0"/>
        <v>0</v>
      </c>
      <c r="N40" s="484">
        <v>7</v>
      </c>
      <c r="O40" s="482">
        <v>35186.089999999997</v>
      </c>
      <c r="P40" s="482">
        <v>35186.089999999997</v>
      </c>
      <c r="Q40" s="482">
        <f t="shared" si="1"/>
        <v>0</v>
      </c>
    </row>
    <row r="41" spans="1:17" ht="15.75" customHeight="1" x14ac:dyDescent="0.2">
      <c r="A41" s="484">
        <f t="shared" si="2"/>
        <v>33</v>
      </c>
      <c r="B41" s="484" t="s">
        <v>654</v>
      </c>
      <c r="C41" s="516" t="s">
        <v>62</v>
      </c>
      <c r="D41" s="484"/>
      <c r="E41" s="486" t="s">
        <v>681</v>
      </c>
      <c r="F41" s="486" t="s">
        <v>656</v>
      </c>
      <c r="G41" s="510" t="s">
        <v>670</v>
      </c>
      <c r="H41" s="484">
        <v>6</v>
      </c>
      <c r="I41" s="484">
        <v>0</v>
      </c>
      <c r="J41" s="484">
        <v>0</v>
      </c>
      <c r="K41" s="482">
        <v>0</v>
      </c>
      <c r="L41" s="482">
        <v>0</v>
      </c>
      <c r="M41" s="482">
        <f t="shared" si="0"/>
        <v>0</v>
      </c>
      <c r="N41" s="484">
        <v>0</v>
      </c>
      <c r="O41" s="482">
        <v>0</v>
      </c>
      <c r="P41" s="482">
        <v>0</v>
      </c>
      <c r="Q41" s="482">
        <f t="shared" si="1"/>
        <v>0</v>
      </c>
    </row>
    <row r="42" spans="1:17" ht="15.75" customHeight="1" x14ac:dyDescent="0.2">
      <c r="A42" s="484">
        <f t="shared" si="2"/>
        <v>34</v>
      </c>
      <c r="B42" s="484" t="s">
        <v>482</v>
      </c>
      <c r="C42" s="516" t="s">
        <v>64</v>
      </c>
      <c r="D42" s="484" t="s">
        <v>483</v>
      </c>
      <c r="E42" s="486" t="s">
        <v>158</v>
      </c>
      <c r="F42" s="486" t="s">
        <v>484</v>
      </c>
      <c r="G42" s="510" t="s">
        <v>670</v>
      </c>
      <c r="H42" s="484">
        <v>11</v>
      </c>
      <c r="I42" s="484">
        <v>0</v>
      </c>
      <c r="J42" s="484">
        <v>0</v>
      </c>
      <c r="K42" s="482">
        <v>0</v>
      </c>
      <c r="L42" s="482">
        <v>0</v>
      </c>
      <c r="M42" s="482">
        <f t="shared" si="0"/>
        <v>0</v>
      </c>
      <c r="N42" s="484">
        <v>0</v>
      </c>
      <c r="O42" s="482">
        <v>0</v>
      </c>
      <c r="P42" s="482">
        <v>0</v>
      </c>
      <c r="Q42" s="482">
        <f t="shared" si="1"/>
        <v>0</v>
      </c>
    </row>
    <row r="43" spans="1:17" ht="15.75" customHeight="1" x14ac:dyDescent="0.2">
      <c r="A43" s="484">
        <f t="shared" si="2"/>
        <v>35</v>
      </c>
      <c r="B43" s="484" t="s">
        <v>104</v>
      </c>
      <c r="C43" s="516" t="s">
        <v>62</v>
      </c>
      <c r="D43" s="484" t="s">
        <v>63</v>
      </c>
      <c r="E43" s="490" t="s">
        <v>730</v>
      </c>
      <c r="F43" s="486" t="s">
        <v>188</v>
      </c>
      <c r="G43" s="510" t="s">
        <v>670</v>
      </c>
      <c r="H43" s="484">
        <v>9</v>
      </c>
      <c r="I43" s="484">
        <v>7</v>
      </c>
      <c r="J43" s="484">
        <v>9</v>
      </c>
      <c r="K43" s="482">
        <v>19587.169999999998</v>
      </c>
      <c r="L43" s="482">
        <v>19587.169999999998</v>
      </c>
      <c r="M43" s="482">
        <f t="shared" si="0"/>
        <v>0</v>
      </c>
      <c r="N43" s="484">
        <v>26</v>
      </c>
      <c r="O43" s="482">
        <f>49255.29+5920.32</f>
        <v>55175.61</v>
      </c>
      <c r="P43" s="482">
        <f>49255.29+5920.32</f>
        <v>55175.61</v>
      </c>
      <c r="Q43" s="482">
        <f t="shared" si="1"/>
        <v>0</v>
      </c>
    </row>
    <row r="44" spans="1:17" ht="15.75" customHeight="1" x14ac:dyDescent="0.2">
      <c r="A44" s="484">
        <f t="shared" si="2"/>
        <v>36</v>
      </c>
      <c r="B44" s="484" t="s">
        <v>517</v>
      </c>
      <c r="C44" s="516" t="s">
        <v>62</v>
      </c>
      <c r="D44" s="484"/>
      <c r="E44" s="486" t="s">
        <v>158</v>
      </c>
      <c r="F44" s="486" t="s">
        <v>567</v>
      </c>
      <c r="G44" s="510" t="s">
        <v>670</v>
      </c>
      <c r="H44" s="484">
        <v>22</v>
      </c>
      <c r="I44" s="484">
        <v>15</v>
      </c>
      <c r="J44" s="484">
        <v>16</v>
      </c>
      <c r="K44" s="482">
        <v>8593.74</v>
      </c>
      <c r="L44" s="482">
        <v>8593.74</v>
      </c>
      <c r="M44" s="482">
        <f t="shared" si="0"/>
        <v>0</v>
      </c>
      <c r="N44" s="484">
        <v>0</v>
      </c>
      <c r="O44" s="482">
        <v>0</v>
      </c>
      <c r="P44" s="482">
        <v>0</v>
      </c>
      <c r="Q44" s="482">
        <f t="shared" si="1"/>
        <v>0</v>
      </c>
    </row>
    <row r="45" spans="1:17" ht="15.75" customHeight="1" x14ac:dyDescent="0.2">
      <c r="A45" s="484">
        <f t="shared" si="2"/>
        <v>37</v>
      </c>
      <c r="B45" s="484" t="s">
        <v>28</v>
      </c>
      <c r="C45" s="516" t="s">
        <v>62</v>
      </c>
      <c r="D45" s="484" t="s">
        <v>63</v>
      </c>
      <c r="E45" s="486" t="s">
        <v>158</v>
      </c>
      <c r="F45" s="486" t="s">
        <v>189</v>
      </c>
      <c r="G45" s="510" t="s">
        <v>670</v>
      </c>
      <c r="H45" s="484">
        <v>14</v>
      </c>
      <c r="I45" s="484">
        <v>10</v>
      </c>
      <c r="J45" s="484">
        <v>11</v>
      </c>
      <c r="K45" s="482">
        <v>13276.34</v>
      </c>
      <c r="L45" s="482">
        <f>10155.84+3120.5</f>
        <v>13276.34</v>
      </c>
      <c r="M45" s="482">
        <f t="shared" si="0"/>
        <v>0</v>
      </c>
      <c r="N45" s="484">
        <v>8</v>
      </c>
      <c r="O45" s="482">
        <v>18393.25</v>
      </c>
      <c r="P45" s="482">
        <v>18393.25</v>
      </c>
      <c r="Q45" s="482">
        <f t="shared" si="1"/>
        <v>0</v>
      </c>
    </row>
    <row r="46" spans="1:17" ht="15.75" customHeight="1" x14ac:dyDescent="0.2">
      <c r="A46" s="484">
        <f t="shared" si="2"/>
        <v>38</v>
      </c>
      <c r="B46" s="484" t="s">
        <v>190</v>
      </c>
      <c r="C46" s="516" t="s">
        <v>62</v>
      </c>
      <c r="D46" s="484"/>
      <c r="E46" s="486" t="s">
        <v>675</v>
      </c>
      <c r="F46" s="486" t="s">
        <v>191</v>
      </c>
      <c r="G46" s="510" t="s">
        <v>670</v>
      </c>
      <c r="H46" s="484">
        <v>20</v>
      </c>
      <c r="I46" s="484">
        <v>17</v>
      </c>
      <c r="J46" s="484">
        <v>17</v>
      </c>
      <c r="K46" s="482">
        <v>15430.42</v>
      </c>
      <c r="L46" s="482">
        <f>13185.23+2245.19</f>
        <v>15430.42</v>
      </c>
      <c r="M46" s="482">
        <f t="shared" si="0"/>
        <v>0</v>
      </c>
      <c r="N46" s="484">
        <v>0</v>
      </c>
      <c r="O46" s="482">
        <v>0</v>
      </c>
      <c r="P46" s="482">
        <v>0</v>
      </c>
      <c r="Q46" s="482">
        <f t="shared" si="1"/>
        <v>0</v>
      </c>
    </row>
    <row r="47" spans="1:17" ht="15.75" customHeight="1" x14ac:dyDescent="0.2">
      <c r="A47" s="484">
        <f t="shared" si="2"/>
        <v>39</v>
      </c>
      <c r="B47" s="484" t="s">
        <v>192</v>
      </c>
      <c r="C47" s="516" t="s">
        <v>64</v>
      </c>
      <c r="D47" s="484" t="s">
        <v>731</v>
      </c>
      <c r="E47" s="486" t="s">
        <v>158</v>
      </c>
      <c r="F47" s="486" t="s">
        <v>194</v>
      </c>
      <c r="G47" s="510" t="s">
        <v>670</v>
      </c>
      <c r="H47" s="484">
        <v>1</v>
      </c>
      <c r="I47" s="484">
        <v>0</v>
      </c>
      <c r="J47" s="484">
        <v>0</v>
      </c>
      <c r="K47" s="482">
        <v>0</v>
      </c>
      <c r="L47" s="482">
        <v>0</v>
      </c>
      <c r="M47" s="482">
        <f t="shared" si="0"/>
        <v>0</v>
      </c>
      <c r="N47" s="484">
        <v>0</v>
      </c>
      <c r="O47" s="482">
        <v>0</v>
      </c>
      <c r="P47" s="482">
        <v>0</v>
      </c>
      <c r="Q47" s="482">
        <f t="shared" si="1"/>
        <v>0</v>
      </c>
    </row>
    <row r="48" spans="1:17" ht="15.75" customHeight="1" x14ac:dyDescent="0.2">
      <c r="A48" s="484">
        <f t="shared" si="2"/>
        <v>40</v>
      </c>
      <c r="B48" s="484" t="s">
        <v>89</v>
      </c>
      <c r="C48" s="516" t="s">
        <v>62</v>
      </c>
      <c r="D48" s="484" t="s">
        <v>63</v>
      </c>
      <c r="E48" s="486" t="s">
        <v>158</v>
      </c>
      <c r="F48" s="486" t="s">
        <v>195</v>
      </c>
      <c r="G48" s="510" t="s">
        <v>670</v>
      </c>
      <c r="H48" s="484">
        <v>39</v>
      </c>
      <c r="I48" s="484">
        <v>36</v>
      </c>
      <c r="J48" s="484">
        <v>38</v>
      </c>
      <c r="K48" s="482">
        <v>34420.629999999997</v>
      </c>
      <c r="L48" s="482">
        <v>34420.629999999997</v>
      </c>
      <c r="M48" s="482">
        <f t="shared" si="0"/>
        <v>0</v>
      </c>
      <c r="N48" s="484">
        <v>7</v>
      </c>
      <c r="O48" s="482">
        <v>39298.120000000003</v>
      </c>
      <c r="P48" s="482">
        <v>39298.120000000003</v>
      </c>
      <c r="Q48" s="482">
        <f t="shared" si="1"/>
        <v>0</v>
      </c>
    </row>
    <row r="49" spans="1:17" ht="15.75" customHeight="1" x14ac:dyDescent="0.2">
      <c r="A49" s="484">
        <f t="shared" si="2"/>
        <v>41</v>
      </c>
      <c r="B49" s="484" t="s">
        <v>196</v>
      </c>
      <c r="C49" s="516" t="s">
        <v>62</v>
      </c>
      <c r="D49" s="484"/>
      <c r="E49" s="486" t="s">
        <v>683</v>
      </c>
      <c r="F49" s="486" t="s">
        <v>198</v>
      </c>
      <c r="G49" s="510" t="s">
        <v>670</v>
      </c>
      <c r="H49" s="484">
        <v>27</v>
      </c>
      <c r="I49" s="484">
        <v>18</v>
      </c>
      <c r="J49" s="484">
        <v>19</v>
      </c>
      <c r="K49" s="482">
        <v>29345.31</v>
      </c>
      <c r="L49" s="482">
        <f>18951.14+1654.69</f>
        <v>20605.829999999998</v>
      </c>
      <c r="M49" s="482">
        <f t="shared" si="0"/>
        <v>8739.4800000000032</v>
      </c>
      <c r="N49" s="484">
        <v>0</v>
      </c>
      <c r="O49" s="482">
        <v>0</v>
      </c>
      <c r="P49" s="482">
        <v>0</v>
      </c>
      <c r="Q49" s="482">
        <f t="shared" si="1"/>
        <v>0</v>
      </c>
    </row>
    <row r="50" spans="1:17" ht="15.75" customHeight="1" x14ac:dyDescent="0.2">
      <c r="A50" s="484">
        <f t="shared" si="2"/>
        <v>42</v>
      </c>
      <c r="B50" s="484" t="s">
        <v>106</v>
      </c>
      <c r="C50" s="516" t="s">
        <v>62</v>
      </c>
      <c r="D50" s="484" t="s">
        <v>63</v>
      </c>
      <c r="E50" s="486" t="s">
        <v>158</v>
      </c>
      <c r="F50" s="486" t="s">
        <v>199</v>
      </c>
      <c r="G50" s="510" t="s">
        <v>670</v>
      </c>
      <c r="H50" s="484">
        <v>53</v>
      </c>
      <c r="I50" s="484">
        <v>46</v>
      </c>
      <c r="J50" s="484">
        <v>65</v>
      </c>
      <c r="K50" s="482">
        <v>84398.3</v>
      </c>
      <c r="L50" s="482">
        <v>84398.3</v>
      </c>
      <c r="M50" s="482">
        <f t="shared" si="0"/>
        <v>0</v>
      </c>
      <c r="N50" s="484">
        <v>27</v>
      </c>
      <c r="O50" s="482">
        <f>150774.94+1610.89</f>
        <v>152385.83000000002</v>
      </c>
      <c r="P50" s="482">
        <f>150774.94+1610.89</f>
        <v>152385.83000000002</v>
      </c>
      <c r="Q50" s="482">
        <f t="shared" si="1"/>
        <v>0</v>
      </c>
    </row>
    <row r="51" spans="1:17" ht="15.75" customHeight="1" x14ac:dyDescent="0.2">
      <c r="A51" s="484">
        <f t="shared" si="2"/>
        <v>43</v>
      </c>
      <c r="B51" s="484" t="s">
        <v>107</v>
      </c>
      <c r="C51" s="516" t="s">
        <v>62</v>
      </c>
      <c r="D51" s="484" t="s">
        <v>63</v>
      </c>
      <c r="E51" s="486" t="s">
        <v>158</v>
      </c>
      <c r="F51" s="486" t="s">
        <v>138</v>
      </c>
      <c r="G51" s="510" t="s">
        <v>670</v>
      </c>
      <c r="H51" s="484">
        <v>10</v>
      </c>
      <c r="I51" s="484">
        <v>0</v>
      </c>
      <c r="J51" s="484">
        <v>0</v>
      </c>
      <c r="K51" s="482">
        <v>0</v>
      </c>
      <c r="L51" s="482">
        <v>0</v>
      </c>
      <c r="M51" s="482">
        <f t="shared" si="0"/>
        <v>0</v>
      </c>
      <c r="N51" s="484">
        <v>0</v>
      </c>
      <c r="O51" s="482">
        <v>0</v>
      </c>
      <c r="P51" s="482">
        <v>0</v>
      </c>
      <c r="Q51" s="482">
        <f t="shared" si="1"/>
        <v>0</v>
      </c>
    </row>
    <row r="52" spans="1:17" ht="15.75" customHeight="1" x14ac:dyDescent="0.2">
      <c r="A52" s="484">
        <f t="shared" si="2"/>
        <v>44</v>
      </c>
      <c r="B52" s="484" t="s">
        <v>29</v>
      </c>
      <c r="C52" s="516" t="s">
        <v>62</v>
      </c>
      <c r="D52" s="484" t="s">
        <v>63</v>
      </c>
      <c r="E52" s="486" t="s">
        <v>158</v>
      </c>
      <c r="F52" s="486" t="s">
        <v>200</v>
      </c>
      <c r="G52" s="510" t="s">
        <v>670</v>
      </c>
      <c r="H52" s="484">
        <v>29</v>
      </c>
      <c r="I52" s="484">
        <v>25</v>
      </c>
      <c r="J52" s="484">
        <v>39</v>
      </c>
      <c r="K52" s="482">
        <f>38488.66+2052.19</f>
        <v>40540.850000000006</v>
      </c>
      <c r="L52" s="482">
        <f>38488.66+2052.19</f>
        <v>40540.850000000006</v>
      </c>
      <c r="M52" s="482">
        <f t="shared" si="0"/>
        <v>0</v>
      </c>
      <c r="N52" s="484">
        <v>21</v>
      </c>
      <c r="O52" s="482">
        <v>29336.76</v>
      </c>
      <c r="P52" s="482">
        <v>29336.76</v>
      </c>
      <c r="Q52" s="482">
        <f t="shared" si="1"/>
        <v>0</v>
      </c>
    </row>
    <row r="53" spans="1:17" ht="15.75" customHeight="1" x14ac:dyDescent="0.2">
      <c r="A53" s="484">
        <f t="shared" si="2"/>
        <v>45</v>
      </c>
      <c r="B53" s="484" t="s">
        <v>201</v>
      </c>
      <c r="C53" s="516" t="s">
        <v>67</v>
      </c>
      <c r="D53" s="484" t="s">
        <v>485</v>
      </c>
      <c r="E53" s="486" t="s">
        <v>158</v>
      </c>
      <c r="F53" s="486" t="s">
        <v>202</v>
      </c>
      <c r="G53" s="510" t="s">
        <v>670</v>
      </c>
      <c r="H53" s="484">
        <v>31</v>
      </c>
      <c r="I53" s="484">
        <v>24</v>
      </c>
      <c r="J53" s="484">
        <v>25</v>
      </c>
      <c r="K53" s="482">
        <v>42330.61</v>
      </c>
      <c r="L53" s="482">
        <v>42330.61</v>
      </c>
      <c r="M53" s="482">
        <f t="shared" si="0"/>
        <v>0</v>
      </c>
      <c r="N53" s="484">
        <v>1</v>
      </c>
      <c r="O53" s="482">
        <v>1717.95</v>
      </c>
      <c r="P53" s="482">
        <v>1717.95</v>
      </c>
      <c r="Q53" s="482">
        <f t="shared" si="1"/>
        <v>0</v>
      </c>
    </row>
    <row r="54" spans="1:17" ht="15.75" customHeight="1" x14ac:dyDescent="0.2">
      <c r="A54" s="484">
        <f t="shared" si="2"/>
        <v>46</v>
      </c>
      <c r="B54" s="484" t="s">
        <v>30</v>
      </c>
      <c r="C54" s="516" t="s">
        <v>62</v>
      </c>
      <c r="D54" s="484" t="s">
        <v>63</v>
      </c>
      <c r="E54" s="486" t="s">
        <v>686</v>
      </c>
      <c r="F54" s="486" t="s">
        <v>204</v>
      </c>
      <c r="G54" s="510" t="s">
        <v>670</v>
      </c>
      <c r="H54" s="484">
        <v>26</v>
      </c>
      <c r="I54" s="484">
        <v>19</v>
      </c>
      <c r="J54" s="484">
        <v>27</v>
      </c>
      <c r="K54" s="482">
        <f>75123.31-11884.74</f>
        <v>63238.57</v>
      </c>
      <c r="L54" s="482">
        <f>75123.31-11884.74</f>
        <v>63238.57</v>
      </c>
      <c r="M54" s="482">
        <f t="shared" si="0"/>
        <v>0</v>
      </c>
      <c r="N54" s="484">
        <v>20</v>
      </c>
      <c r="O54" s="482">
        <v>87105.46</v>
      </c>
      <c r="P54" s="482">
        <v>87105.46</v>
      </c>
      <c r="Q54" s="482">
        <f t="shared" si="1"/>
        <v>0</v>
      </c>
    </row>
    <row r="55" spans="1:17" ht="15.75" customHeight="1" x14ac:dyDescent="0.2">
      <c r="A55" s="484">
        <f t="shared" si="2"/>
        <v>47</v>
      </c>
      <c r="B55" s="484" t="s">
        <v>90</v>
      </c>
      <c r="C55" s="516" t="s">
        <v>62</v>
      </c>
      <c r="D55" s="484" t="s">
        <v>63</v>
      </c>
      <c r="E55" s="486" t="s">
        <v>689</v>
      </c>
      <c r="F55" s="486" t="s">
        <v>464</v>
      </c>
      <c r="G55" s="510" t="s">
        <v>670</v>
      </c>
      <c r="H55" s="484">
        <v>27</v>
      </c>
      <c r="I55" s="484">
        <v>18</v>
      </c>
      <c r="J55" s="484">
        <v>25</v>
      </c>
      <c r="K55" s="482">
        <v>36149.81</v>
      </c>
      <c r="L55" s="482">
        <v>36149.81</v>
      </c>
      <c r="M55" s="482">
        <f t="shared" si="0"/>
        <v>0</v>
      </c>
      <c r="N55" s="484">
        <v>18</v>
      </c>
      <c r="O55" s="482">
        <v>23475.1</v>
      </c>
      <c r="P55" s="482">
        <v>23475.1</v>
      </c>
      <c r="Q55" s="482">
        <f t="shared" si="1"/>
        <v>0</v>
      </c>
    </row>
    <row r="56" spans="1:17" ht="15.75" customHeight="1" x14ac:dyDescent="0.2">
      <c r="A56" s="484">
        <f t="shared" si="2"/>
        <v>48</v>
      </c>
      <c r="B56" s="484" t="s">
        <v>31</v>
      </c>
      <c r="C56" s="516" t="s">
        <v>62</v>
      </c>
      <c r="D56" s="484" t="s">
        <v>63</v>
      </c>
      <c r="E56" s="486" t="s">
        <v>158</v>
      </c>
      <c r="F56" s="486" t="s">
        <v>206</v>
      </c>
      <c r="G56" s="510" t="s">
        <v>670</v>
      </c>
      <c r="H56" s="484">
        <v>60</v>
      </c>
      <c r="I56" s="484">
        <v>54</v>
      </c>
      <c r="J56" s="484">
        <v>64</v>
      </c>
      <c r="K56" s="482">
        <f>109795.51+2396.98</f>
        <v>112192.48999999999</v>
      </c>
      <c r="L56" s="482">
        <f>104800.98+4994.53</f>
        <v>109795.51</v>
      </c>
      <c r="M56" s="482">
        <f t="shared" si="0"/>
        <v>2396.9799999999959</v>
      </c>
      <c r="N56" s="484">
        <v>22</v>
      </c>
      <c r="O56" s="482">
        <v>88399.12</v>
      </c>
      <c r="P56" s="482">
        <v>88399.12</v>
      </c>
      <c r="Q56" s="482">
        <f t="shared" si="1"/>
        <v>0</v>
      </c>
    </row>
    <row r="57" spans="1:17" ht="15.75" customHeight="1" x14ac:dyDescent="0.2">
      <c r="A57" s="484">
        <f t="shared" si="2"/>
        <v>49</v>
      </c>
      <c r="B57" s="484" t="s">
        <v>631</v>
      </c>
      <c r="C57" s="516" t="s">
        <v>62</v>
      </c>
      <c r="D57" s="484"/>
      <c r="E57" s="486" t="s">
        <v>687</v>
      </c>
      <c r="F57" s="486" t="s">
        <v>732</v>
      </c>
      <c r="G57" s="510" t="s">
        <v>670</v>
      </c>
      <c r="H57" s="484">
        <v>11</v>
      </c>
      <c r="I57" s="484">
        <v>5</v>
      </c>
      <c r="J57" s="484">
        <v>5</v>
      </c>
      <c r="K57" s="482">
        <v>589.12</v>
      </c>
      <c r="L57" s="482">
        <v>589.12</v>
      </c>
      <c r="M57" s="482">
        <f t="shared" si="0"/>
        <v>0</v>
      </c>
      <c r="N57" s="484">
        <v>0</v>
      </c>
      <c r="O57" s="482">
        <v>0</v>
      </c>
      <c r="P57" s="482">
        <v>0</v>
      </c>
      <c r="Q57" s="482">
        <f t="shared" si="1"/>
        <v>0</v>
      </c>
    </row>
    <row r="58" spans="1:17" ht="15.75" customHeight="1" x14ac:dyDescent="0.2">
      <c r="A58" s="484">
        <f t="shared" si="2"/>
        <v>50</v>
      </c>
      <c r="B58" s="484" t="s">
        <v>605</v>
      </c>
      <c r="C58" s="516" t="s">
        <v>62</v>
      </c>
      <c r="D58" s="484" t="s">
        <v>63</v>
      </c>
      <c r="E58" s="486" t="s">
        <v>158</v>
      </c>
      <c r="F58" s="486" t="s">
        <v>619</v>
      </c>
      <c r="G58" s="510" t="s">
        <v>670</v>
      </c>
      <c r="H58" s="484">
        <v>4</v>
      </c>
      <c r="I58" s="484">
        <v>0</v>
      </c>
      <c r="J58" s="484">
        <v>0</v>
      </c>
      <c r="K58" s="482">
        <v>0</v>
      </c>
      <c r="L58" s="482">
        <v>0</v>
      </c>
      <c r="M58" s="482">
        <f t="shared" si="0"/>
        <v>0</v>
      </c>
      <c r="N58" s="484">
        <v>1</v>
      </c>
      <c r="O58" s="482">
        <v>1200.69</v>
      </c>
      <c r="P58" s="482">
        <v>1200.69</v>
      </c>
      <c r="Q58" s="482">
        <f t="shared" si="1"/>
        <v>0</v>
      </c>
    </row>
    <row r="59" spans="1:17" ht="15.75" customHeight="1" x14ac:dyDescent="0.2">
      <c r="A59" s="484">
        <f t="shared" si="2"/>
        <v>51</v>
      </c>
      <c r="B59" s="484" t="s">
        <v>32</v>
      </c>
      <c r="C59" s="516" t="s">
        <v>62</v>
      </c>
      <c r="D59" s="484" t="s">
        <v>63</v>
      </c>
      <c r="E59" s="486" t="s">
        <v>158</v>
      </c>
      <c r="F59" s="486" t="s">
        <v>207</v>
      </c>
      <c r="G59" s="510" t="s">
        <v>670</v>
      </c>
      <c r="H59" s="484">
        <v>53</v>
      </c>
      <c r="I59" s="484">
        <v>45</v>
      </c>
      <c r="J59" s="484">
        <v>49</v>
      </c>
      <c r="K59" s="482">
        <v>34934.46</v>
      </c>
      <c r="L59" s="482">
        <v>34934.46</v>
      </c>
      <c r="M59" s="482">
        <f t="shared" si="0"/>
        <v>0</v>
      </c>
      <c r="N59" s="484">
        <v>37</v>
      </c>
      <c r="O59" s="482">
        <v>99653.31</v>
      </c>
      <c r="P59" s="482">
        <v>99653.31</v>
      </c>
      <c r="Q59" s="482">
        <f t="shared" si="1"/>
        <v>0</v>
      </c>
    </row>
    <row r="60" spans="1:17" ht="15.75" customHeight="1" x14ac:dyDescent="0.2">
      <c r="A60" s="484">
        <f t="shared" si="2"/>
        <v>52</v>
      </c>
      <c r="B60" s="484" t="s">
        <v>91</v>
      </c>
      <c r="C60" s="516" t="s">
        <v>62</v>
      </c>
      <c r="D60" s="484" t="s">
        <v>63</v>
      </c>
      <c r="E60" s="486" t="s">
        <v>158</v>
      </c>
      <c r="F60" s="486" t="s">
        <v>208</v>
      </c>
      <c r="G60" s="510" t="s">
        <v>670</v>
      </c>
      <c r="H60" s="484">
        <v>19</v>
      </c>
      <c r="I60" s="484">
        <v>12</v>
      </c>
      <c r="J60" s="484">
        <v>12</v>
      </c>
      <c r="K60" s="482">
        <v>7911.39</v>
      </c>
      <c r="L60" s="482">
        <v>7911.39</v>
      </c>
      <c r="M60" s="482">
        <f t="shared" si="0"/>
        <v>0</v>
      </c>
      <c r="N60" s="484">
        <v>2</v>
      </c>
      <c r="O60" s="482">
        <v>17381.23</v>
      </c>
      <c r="P60" s="482">
        <v>17381.23</v>
      </c>
      <c r="Q60" s="482">
        <f t="shared" si="1"/>
        <v>0</v>
      </c>
    </row>
    <row r="61" spans="1:17" ht="15.75" customHeight="1" x14ac:dyDescent="0.2">
      <c r="A61" s="484">
        <f t="shared" si="2"/>
        <v>53</v>
      </c>
      <c r="B61" s="484" t="s">
        <v>33</v>
      </c>
      <c r="C61" s="516" t="s">
        <v>62</v>
      </c>
      <c r="D61" s="484" t="s">
        <v>63</v>
      </c>
      <c r="E61" s="486" t="s">
        <v>158</v>
      </c>
      <c r="F61" s="486" t="s">
        <v>209</v>
      </c>
      <c r="G61" s="510" t="s">
        <v>670</v>
      </c>
      <c r="H61" s="484">
        <v>42</v>
      </c>
      <c r="I61" s="484">
        <v>32</v>
      </c>
      <c r="J61" s="484">
        <v>46</v>
      </c>
      <c r="K61" s="482">
        <v>71294.710000000006</v>
      </c>
      <c r="L61" s="482">
        <v>71294.710000000006</v>
      </c>
      <c r="M61" s="482">
        <f t="shared" si="0"/>
        <v>0</v>
      </c>
      <c r="N61" s="484">
        <v>42</v>
      </c>
      <c r="O61" s="482">
        <f>103361.98+16311.09</f>
        <v>119673.06999999999</v>
      </c>
      <c r="P61" s="482">
        <f>103361.98+16311.09</f>
        <v>119673.06999999999</v>
      </c>
      <c r="Q61" s="482">
        <f t="shared" si="1"/>
        <v>0</v>
      </c>
    </row>
    <row r="62" spans="1:17" ht="15.75" customHeight="1" x14ac:dyDescent="0.2">
      <c r="A62" s="484">
        <f t="shared" si="2"/>
        <v>54</v>
      </c>
      <c r="B62" s="484" t="s">
        <v>153</v>
      </c>
      <c r="C62" s="516" t="s">
        <v>62</v>
      </c>
      <c r="D62" s="484" t="s">
        <v>63</v>
      </c>
      <c r="E62" s="486" t="s">
        <v>158</v>
      </c>
      <c r="F62" s="486" t="s">
        <v>210</v>
      </c>
      <c r="G62" s="510" t="s">
        <v>670</v>
      </c>
      <c r="H62" s="484">
        <v>0</v>
      </c>
      <c r="I62" s="484">
        <v>0</v>
      </c>
      <c r="J62" s="484">
        <v>0</v>
      </c>
      <c r="K62" s="482">
        <v>0</v>
      </c>
      <c r="L62" s="482">
        <v>0</v>
      </c>
      <c r="M62" s="482">
        <f t="shared" si="0"/>
        <v>0</v>
      </c>
      <c r="N62" s="484">
        <v>4</v>
      </c>
      <c r="O62" s="482">
        <f>17789.33+18202.46</f>
        <v>35991.79</v>
      </c>
      <c r="P62" s="482">
        <f>17789.33+18202.46</f>
        <v>35991.79</v>
      </c>
      <c r="Q62" s="482">
        <f t="shared" si="1"/>
        <v>0</v>
      </c>
    </row>
    <row r="63" spans="1:17" ht="15.75" customHeight="1" x14ac:dyDescent="0.2">
      <c r="A63" s="484">
        <f t="shared" si="2"/>
        <v>55</v>
      </c>
      <c r="B63" s="484" t="s">
        <v>34</v>
      </c>
      <c r="C63" s="516" t="s">
        <v>62</v>
      </c>
      <c r="D63" s="484" t="s">
        <v>63</v>
      </c>
      <c r="E63" s="486" t="s">
        <v>158</v>
      </c>
      <c r="F63" s="486" t="s">
        <v>211</v>
      </c>
      <c r="G63" s="510" t="s">
        <v>670</v>
      </c>
      <c r="H63" s="484">
        <v>23</v>
      </c>
      <c r="I63" s="484">
        <v>13</v>
      </c>
      <c r="J63" s="484">
        <v>15</v>
      </c>
      <c r="K63" s="482">
        <v>7566.68</v>
      </c>
      <c r="L63" s="482">
        <v>7566.68</v>
      </c>
      <c r="M63" s="482">
        <f t="shared" si="0"/>
        <v>0</v>
      </c>
      <c r="N63" s="484">
        <v>26</v>
      </c>
      <c r="O63" s="482">
        <v>106055.76</v>
      </c>
      <c r="P63" s="482">
        <v>106055.76</v>
      </c>
      <c r="Q63" s="482">
        <f t="shared" si="1"/>
        <v>0</v>
      </c>
    </row>
    <row r="64" spans="1:17" ht="15.75" customHeight="1" x14ac:dyDescent="0.2">
      <c r="A64" s="484">
        <f t="shared" si="2"/>
        <v>56</v>
      </c>
      <c r="B64" s="484" t="s">
        <v>154</v>
      </c>
      <c r="C64" s="516" t="s">
        <v>62</v>
      </c>
      <c r="D64" s="484" t="s">
        <v>63</v>
      </c>
      <c r="E64" s="486" t="s">
        <v>158</v>
      </c>
      <c r="F64" s="486" t="s">
        <v>212</v>
      </c>
      <c r="G64" s="510" t="s">
        <v>670</v>
      </c>
      <c r="H64" s="484">
        <v>6</v>
      </c>
      <c r="I64" s="484">
        <v>2</v>
      </c>
      <c r="J64" s="484">
        <v>2</v>
      </c>
      <c r="K64" s="482">
        <f>2172.77+3171.6</f>
        <v>5344.37</v>
      </c>
      <c r="L64" s="482">
        <f>2172.77+3171.6</f>
        <v>5344.37</v>
      </c>
      <c r="M64" s="482">
        <f t="shared" si="0"/>
        <v>0</v>
      </c>
      <c r="N64" s="484">
        <v>2</v>
      </c>
      <c r="O64" s="482">
        <v>6845.37</v>
      </c>
      <c r="P64" s="482">
        <v>6845.37</v>
      </c>
      <c r="Q64" s="482">
        <f t="shared" si="1"/>
        <v>0</v>
      </c>
    </row>
    <row r="65" spans="1:17" ht="15.75" customHeight="1" x14ac:dyDescent="0.2">
      <c r="A65" s="484">
        <f t="shared" si="2"/>
        <v>57</v>
      </c>
      <c r="B65" s="484" t="s">
        <v>109</v>
      </c>
      <c r="C65" s="516" t="s">
        <v>62</v>
      </c>
      <c r="D65" s="484" t="s">
        <v>63</v>
      </c>
      <c r="E65" s="486" t="s">
        <v>158</v>
      </c>
      <c r="F65" s="486" t="s">
        <v>213</v>
      </c>
      <c r="G65" s="510" t="s">
        <v>670</v>
      </c>
      <c r="H65" s="484">
        <v>0</v>
      </c>
      <c r="I65" s="484">
        <v>0</v>
      </c>
      <c r="J65" s="484">
        <v>0</v>
      </c>
      <c r="K65" s="482">
        <v>0</v>
      </c>
      <c r="L65" s="482">
        <v>0</v>
      </c>
      <c r="M65" s="482">
        <f t="shared" si="0"/>
        <v>0</v>
      </c>
      <c r="N65" s="484">
        <v>2</v>
      </c>
      <c r="O65" s="482">
        <v>3812.68</v>
      </c>
      <c r="P65" s="482">
        <v>3812.68</v>
      </c>
      <c r="Q65" s="482">
        <f t="shared" si="1"/>
        <v>0</v>
      </c>
    </row>
    <row r="66" spans="1:17" ht="15.75" customHeight="1" x14ac:dyDescent="0.2">
      <c r="A66" s="484">
        <f t="shared" si="2"/>
        <v>58</v>
      </c>
      <c r="B66" s="484" t="s">
        <v>110</v>
      </c>
      <c r="C66" s="516" t="s">
        <v>62</v>
      </c>
      <c r="D66" s="484" t="s">
        <v>63</v>
      </c>
      <c r="E66" s="486" t="s">
        <v>158</v>
      </c>
      <c r="F66" s="486" t="s">
        <v>214</v>
      </c>
      <c r="G66" s="510" t="s">
        <v>670</v>
      </c>
      <c r="H66" s="484">
        <v>0</v>
      </c>
      <c r="I66" s="484">
        <v>0</v>
      </c>
      <c r="J66" s="484">
        <v>0</v>
      </c>
      <c r="K66" s="482">
        <v>0</v>
      </c>
      <c r="L66" s="482">
        <v>0</v>
      </c>
      <c r="M66" s="482">
        <f t="shared" si="0"/>
        <v>0</v>
      </c>
      <c r="N66" s="484">
        <v>1</v>
      </c>
      <c r="O66" s="482">
        <v>12489.14</v>
      </c>
      <c r="P66" s="482">
        <v>12489.14</v>
      </c>
      <c r="Q66" s="482">
        <f t="shared" si="1"/>
        <v>0</v>
      </c>
    </row>
    <row r="67" spans="1:17" ht="15.75" customHeight="1" x14ac:dyDescent="0.2">
      <c r="A67" s="484">
        <f t="shared" si="2"/>
        <v>59</v>
      </c>
      <c r="B67" s="484" t="s">
        <v>111</v>
      </c>
      <c r="C67" s="516" t="s">
        <v>67</v>
      </c>
      <c r="D67" s="484" t="s">
        <v>569</v>
      </c>
      <c r="E67" s="486" t="s">
        <v>63</v>
      </c>
      <c r="F67" s="486" t="s">
        <v>139</v>
      </c>
      <c r="G67" s="510" t="s">
        <v>670</v>
      </c>
      <c r="H67" s="484">
        <v>1</v>
      </c>
      <c r="I67" s="484">
        <v>0</v>
      </c>
      <c r="J67" s="484">
        <v>0</v>
      </c>
      <c r="K67" s="482">
        <v>0</v>
      </c>
      <c r="L67" s="482">
        <v>0</v>
      </c>
      <c r="M67" s="482">
        <f t="shared" si="0"/>
        <v>0</v>
      </c>
      <c r="N67" s="484">
        <v>0</v>
      </c>
      <c r="O67" s="482">
        <v>0</v>
      </c>
      <c r="P67" s="482">
        <v>0</v>
      </c>
      <c r="Q67" s="482">
        <f t="shared" si="1"/>
        <v>0</v>
      </c>
    </row>
    <row r="68" spans="1:17" ht="15.75" customHeight="1" x14ac:dyDescent="0.2">
      <c r="A68" s="484">
        <f t="shared" si="2"/>
        <v>60</v>
      </c>
      <c r="B68" s="484" t="s">
        <v>92</v>
      </c>
      <c r="C68" s="516" t="s">
        <v>62</v>
      </c>
      <c r="D68" s="484" t="s">
        <v>63</v>
      </c>
      <c r="E68" s="486" t="s">
        <v>158</v>
      </c>
      <c r="F68" s="486" t="s">
        <v>215</v>
      </c>
      <c r="G68" s="510" t="s">
        <v>670</v>
      </c>
      <c r="H68" s="484">
        <v>40</v>
      </c>
      <c r="I68" s="484">
        <v>33</v>
      </c>
      <c r="J68" s="484">
        <v>42</v>
      </c>
      <c r="K68" s="482">
        <v>55173.48</v>
      </c>
      <c r="L68" s="482">
        <v>55173.48</v>
      </c>
      <c r="M68" s="482">
        <f t="shared" si="0"/>
        <v>0</v>
      </c>
      <c r="N68" s="484">
        <v>13</v>
      </c>
      <c r="O68" s="482">
        <v>47264.21</v>
      </c>
      <c r="P68" s="482">
        <v>47264.21</v>
      </c>
      <c r="Q68" s="482">
        <f t="shared" si="1"/>
        <v>0</v>
      </c>
    </row>
    <row r="69" spans="1:17" ht="15.75" customHeight="1" x14ac:dyDescent="0.2">
      <c r="A69" s="484">
        <f t="shared" si="2"/>
        <v>61</v>
      </c>
      <c r="B69" s="484" t="s">
        <v>216</v>
      </c>
      <c r="C69" s="516" t="s">
        <v>67</v>
      </c>
      <c r="D69" s="484" t="s">
        <v>436</v>
      </c>
      <c r="E69" s="486" t="s">
        <v>158</v>
      </c>
      <c r="F69" s="486" t="s">
        <v>218</v>
      </c>
      <c r="G69" s="510" t="s">
        <v>670</v>
      </c>
      <c r="H69" s="484">
        <v>15</v>
      </c>
      <c r="I69" s="484">
        <v>11</v>
      </c>
      <c r="J69" s="484">
        <v>11</v>
      </c>
      <c r="K69" s="482">
        <v>8808.74</v>
      </c>
      <c r="L69" s="482">
        <v>8808.74</v>
      </c>
      <c r="M69" s="482">
        <f t="shared" si="0"/>
        <v>0</v>
      </c>
      <c r="N69" s="484">
        <v>0</v>
      </c>
      <c r="O69" s="482">
        <v>0</v>
      </c>
      <c r="P69" s="482">
        <v>0</v>
      </c>
      <c r="Q69" s="482">
        <f t="shared" si="1"/>
        <v>0</v>
      </c>
    </row>
    <row r="70" spans="1:17" ht="15.75" customHeight="1" x14ac:dyDescent="0.2">
      <c r="A70" s="484">
        <f t="shared" si="2"/>
        <v>62</v>
      </c>
      <c r="B70" s="484" t="s">
        <v>35</v>
      </c>
      <c r="C70" s="516" t="s">
        <v>62</v>
      </c>
      <c r="D70" s="484" t="s">
        <v>63</v>
      </c>
      <c r="E70" s="486" t="s">
        <v>690</v>
      </c>
      <c r="F70" s="486" t="s">
        <v>220</v>
      </c>
      <c r="G70" s="510" t="s">
        <v>670</v>
      </c>
      <c r="H70" s="484">
        <v>57</v>
      </c>
      <c r="I70" s="484">
        <v>55</v>
      </c>
      <c r="J70" s="484">
        <v>62</v>
      </c>
      <c r="K70" s="482">
        <f>82511.28+3166.34</f>
        <v>85677.62</v>
      </c>
      <c r="L70" s="482">
        <f>82511.28+3166.34</f>
        <v>85677.62</v>
      </c>
      <c r="M70" s="482">
        <f t="shared" si="0"/>
        <v>0</v>
      </c>
      <c r="N70" s="484">
        <v>34</v>
      </c>
      <c r="O70" s="482">
        <v>85576.88</v>
      </c>
      <c r="P70" s="482">
        <v>85576.88</v>
      </c>
      <c r="Q70" s="482">
        <f t="shared" si="1"/>
        <v>0</v>
      </c>
    </row>
    <row r="71" spans="1:17" ht="15.75" customHeight="1" x14ac:dyDescent="0.2">
      <c r="A71" s="484">
        <f t="shared" si="2"/>
        <v>63</v>
      </c>
      <c r="B71" s="484" t="s">
        <v>114</v>
      </c>
      <c r="C71" s="516" t="s">
        <v>62</v>
      </c>
      <c r="D71" s="484" t="s">
        <v>63</v>
      </c>
      <c r="E71" s="486" t="s">
        <v>691</v>
      </c>
      <c r="F71" s="486" t="s">
        <v>221</v>
      </c>
      <c r="G71" s="510" t="s">
        <v>670</v>
      </c>
      <c r="H71" s="484">
        <v>16</v>
      </c>
      <c r="I71" s="484">
        <v>11</v>
      </c>
      <c r="J71" s="484">
        <v>11</v>
      </c>
      <c r="K71" s="482">
        <v>10059.370000000001</v>
      </c>
      <c r="L71" s="482">
        <v>3176.06</v>
      </c>
      <c r="M71" s="482">
        <f t="shared" si="0"/>
        <v>6883.3100000000013</v>
      </c>
      <c r="N71" s="484">
        <v>1</v>
      </c>
      <c r="O71" s="482">
        <v>12547.55</v>
      </c>
      <c r="P71" s="482">
        <f>1108.48+2023.07</f>
        <v>3131.55</v>
      </c>
      <c r="Q71" s="482">
        <f t="shared" si="1"/>
        <v>9416</v>
      </c>
    </row>
    <row r="72" spans="1:17" ht="15.75" customHeight="1" x14ac:dyDescent="0.2">
      <c r="A72" s="484">
        <f t="shared" si="2"/>
        <v>64</v>
      </c>
      <c r="B72" s="484" t="s">
        <v>222</v>
      </c>
      <c r="C72" s="516" t="s">
        <v>64</v>
      </c>
      <c r="D72" s="484" t="s">
        <v>486</v>
      </c>
      <c r="E72" s="486" t="s">
        <v>158</v>
      </c>
      <c r="F72" s="486" t="s">
        <v>224</v>
      </c>
      <c r="G72" s="510" t="s">
        <v>670</v>
      </c>
      <c r="H72" s="484">
        <v>22</v>
      </c>
      <c r="I72" s="484">
        <v>18</v>
      </c>
      <c r="J72" s="484">
        <v>22</v>
      </c>
      <c r="K72" s="482">
        <v>31179.34</v>
      </c>
      <c r="L72" s="482">
        <v>31179.34</v>
      </c>
      <c r="M72" s="482">
        <f t="shared" si="0"/>
        <v>0</v>
      </c>
      <c r="N72" s="484">
        <v>0</v>
      </c>
      <c r="O72" s="482">
        <v>0</v>
      </c>
      <c r="P72" s="482">
        <v>0</v>
      </c>
      <c r="Q72" s="482">
        <f t="shared" si="1"/>
        <v>0</v>
      </c>
    </row>
    <row r="73" spans="1:17" ht="15.75" customHeight="1" x14ac:dyDescent="0.2">
      <c r="A73" s="484">
        <f t="shared" si="2"/>
        <v>65</v>
      </c>
      <c r="B73" s="484" t="s">
        <v>93</v>
      </c>
      <c r="C73" s="516" t="s">
        <v>62</v>
      </c>
      <c r="D73" s="484" t="s">
        <v>63</v>
      </c>
      <c r="E73" s="486" t="s">
        <v>158</v>
      </c>
      <c r="F73" s="486" t="s">
        <v>225</v>
      </c>
      <c r="G73" s="510" t="s">
        <v>670</v>
      </c>
      <c r="H73" s="484">
        <v>14</v>
      </c>
      <c r="I73" s="484">
        <v>6</v>
      </c>
      <c r="J73" s="484">
        <v>7</v>
      </c>
      <c r="K73" s="482">
        <v>11798.3</v>
      </c>
      <c r="L73" s="482">
        <v>11798.3</v>
      </c>
      <c r="M73" s="482">
        <f t="shared" si="0"/>
        <v>0</v>
      </c>
      <c r="N73" s="484">
        <v>7</v>
      </c>
      <c r="O73" s="482">
        <v>10672.71</v>
      </c>
      <c r="P73" s="482">
        <v>10672.71</v>
      </c>
      <c r="Q73" s="482">
        <f t="shared" si="1"/>
        <v>0</v>
      </c>
    </row>
    <row r="74" spans="1:17" ht="15.75" customHeight="1" x14ac:dyDescent="0.2">
      <c r="A74" s="484">
        <f t="shared" si="2"/>
        <v>66</v>
      </c>
      <c r="B74" s="484" t="s">
        <v>226</v>
      </c>
      <c r="C74" s="516" t="s">
        <v>62</v>
      </c>
      <c r="D74" s="484"/>
      <c r="E74" s="486" t="s">
        <v>158</v>
      </c>
      <c r="F74" s="486" t="s">
        <v>227</v>
      </c>
      <c r="G74" s="510" t="s">
        <v>670</v>
      </c>
      <c r="H74" s="484">
        <v>41</v>
      </c>
      <c r="I74" s="484">
        <v>17</v>
      </c>
      <c r="J74" s="484">
        <v>20</v>
      </c>
      <c r="K74" s="482">
        <v>59599.24</v>
      </c>
      <c r="L74" s="482">
        <f>59599.24-4173.36</f>
        <v>55425.88</v>
      </c>
      <c r="M74" s="482">
        <f t="shared" ref="M74:M137" si="3">K74-L74</f>
        <v>4173.3600000000006</v>
      </c>
      <c r="N74" s="484">
        <v>0</v>
      </c>
      <c r="O74" s="482">
        <v>0</v>
      </c>
      <c r="P74" s="482">
        <v>0</v>
      </c>
      <c r="Q74" s="482">
        <f t="shared" ref="Q74:Q137" si="4">O74-P74</f>
        <v>0</v>
      </c>
    </row>
    <row r="75" spans="1:17" ht="15.75" customHeight="1" x14ac:dyDescent="0.2">
      <c r="A75" s="484">
        <f t="shared" ref="A75:A138" si="5">A74+1</f>
        <v>67</v>
      </c>
      <c r="B75" s="484" t="s">
        <v>228</v>
      </c>
      <c r="C75" s="516" t="s">
        <v>62</v>
      </c>
      <c r="D75" s="484"/>
      <c r="E75" s="486" t="s">
        <v>692</v>
      </c>
      <c r="F75" s="486" t="s">
        <v>230</v>
      </c>
      <c r="G75" s="510" t="s">
        <v>670</v>
      </c>
      <c r="H75" s="484">
        <v>44</v>
      </c>
      <c r="I75" s="484">
        <v>23</v>
      </c>
      <c r="J75" s="484">
        <v>29</v>
      </c>
      <c r="K75" s="482">
        <v>34002.400000000001</v>
      </c>
      <c r="L75" s="482">
        <v>34002.400000000001</v>
      </c>
      <c r="M75" s="482">
        <f t="shared" si="3"/>
        <v>0</v>
      </c>
      <c r="N75" s="484">
        <v>0</v>
      </c>
      <c r="O75" s="482">
        <v>0</v>
      </c>
      <c r="P75" s="482">
        <v>0</v>
      </c>
      <c r="Q75" s="482">
        <f t="shared" si="4"/>
        <v>0</v>
      </c>
    </row>
    <row r="76" spans="1:17" ht="15.75" customHeight="1" x14ac:dyDescent="0.2">
      <c r="A76" s="484">
        <f t="shared" si="5"/>
        <v>68</v>
      </c>
      <c r="B76" s="484" t="s">
        <v>116</v>
      </c>
      <c r="C76" s="516" t="s">
        <v>62</v>
      </c>
      <c r="D76" s="484" t="s">
        <v>63</v>
      </c>
      <c r="E76" s="486" t="s">
        <v>158</v>
      </c>
      <c r="F76" s="486" t="s">
        <v>231</v>
      </c>
      <c r="G76" s="510" t="s">
        <v>670</v>
      </c>
      <c r="H76" s="484">
        <v>38</v>
      </c>
      <c r="I76" s="484">
        <v>30</v>
      </c>
      <c r="J76" s="484">
        <v>36</v>
      </c>
      <c r="K76" s="482">
        <v>42164.54</v>
      </c>
      <c r="L76" s="482">
        <v>42164.54</v>
      </c>
      <c r="M76" s="482">
        <f t="shared" si="3"/>
        <v>0</v>
      </c>
      <c r="N76" s="484">
        <v>3</v>
      </c>
      <c r="O76" s="482">
        <v>5058.49</v>
      </c>
      <c r="P76" s="482">
        <v>5058.49</v>
      </c>
      <c r="Q76" s="482">
        <f t="shared" si="4"/>
        <v>0</v>
      </c>
    </row>
    <row r="77" spans="1:17" ht="15.75" customHeight="1" x14ac:dyDescent="0.2">
      <c r="A77" s="484">
        <f t="shared" si="5"/>
        <v>69</v>
      </c>
      <c r="B77" s="484" t="s">
        <v>232</v>
      </c>
      <c r="C77" s="516" t="s">
        <v>62</v>
      </c>
      <c r="D77" s="484"/>
      <c r="E77" s="486" t="s">
        <v>158</v>
      </c>
      <c r="F77" s="486" t="s">
        <v>233</v>
      </c>
      <c r="G77" s="510" t="s">
        <v>670</v>
      </c>
      <c r="H77" s="484">
        <v>18</v>
      </c>
      <c r="I77" s="484">
        <v>14</v>
      </c>
      <c r="J77" s="484">
        <v>15</v>
      </c>
      <c r="K77" s="482">
        <v>9716.0300000000007</v>
      </c>
      <c r="L77" s="482">
        <v>9716.0300000000007</v>
      </c>
      <c r="M77" s="482">
        <f t="shared" si="3"/>
        <v>0</v>
      </c>
      <c r="N77" s="484">
        <v>0</v>
      </c>
      <c r="O77" s="482">
        <v>0</v>
      </c>
      <c r="P77" s="482">
        <v>0</v>
      </c>
      <c r="Q77" s="482">
        <f t="shared" si="4"/>
        <v>0</v>
      </c>
    </row>
    <row r="78" spans="1:17" ht="15.75" customHeight="1" x14ac:dyDescent="0.2">
      <c r="A78" s="484">
        <f t="shared" si="5"/>
        <v>70</v>
      </c>
      <c r="B78" s="484" t="s">
        <v>487</v>
      </c>
      <c r="C78" s="516" t="s">
        <v>62</v>
      </c>
      <c r="D78" s="484"/>
      <c r="E78" s="486" t="s">
        <v>158</v>
      </c>
      <c r="F78" s="486" t="s">
        <v>488</v>
      </c>
      <c r="G78" s="510" t="s">
        <v>670</v>
      </c>
      <c r="H78" s="484">
        <v>9</v>
      </c>
      <c r="I78" s="484">
        <v>3</v>
      </c>
      <c r="J78" s="484">
        <v>3</v>
      </c>
      <c r="K78" s="482">
        <v>1999.87</v>
      </c>
      <c r="L78" s="482">
        <v>1999.87</v>
      </c>
      <c r="M78" s="482">
        <f t="shared" si="3"/>
        <v>0</v>
      </c>
      <c r="N78" s="484">
        <v>0</v>
      </c>
      <c r="O78" s="482">
        <v>0</v>
      </c>
      <c r="P78" s="482">
        <v>0</v>
      </c>
      <c r="Q78" s="482">
        <f t="shared" si="4"/>
        <v>0</v>
      </c>
    </row>
    <row r="79" spans="1:17" ht="15.75" customHeight="1" x14ac:dyDescent="0.2">
      <c r="A79" s="484">
        <f t="shared" si="5"/>
        <v>71</v>
      </c>
      <c r="B79" s="484" t="s">
        <v>357</v>
      </c>
      <c r="C79" s="516" t="s">
        <v>64</v>
      </c>
      <c r="D79" s="484" t="s">
        <v>585</v>
      </c>
      <c r="E79" s="486" t="s">
        <v>158</v>
      </c>
      <c r="F79" s="486" t="s">
        <v>573</v>
      </c>
      <c r="G79" s="510" t="s">
        <v>670</v>
      </c>
      <c r="H79" s="484">
        <v>6</v>
      </c>
      <c r="I79" s="484">
        <v>0</v>
      </c>
      <c r="J79" s="484">
        <v>0</v>
      </c>
      <c r="K79" s="482">
        <v>0</v>
      </c>
      <c r="L79" s="482">
        <v>0</v>
      </c>
      <c r="M79" s="482">
        <f t="shared" si="3"/>
        <v>0</v>
      </c>
      <c r="N79" s="484">
        <v>1</v>
      </c>
      <c r="O79" s="482">
        <v>6753.85</v>
      </c>
      <c r="P79" s="482">
        <v>6753.85</v>
      </c>
      <c r="Q79" s="482">
        <f t="shared" si="4"/>
        <v>0</v>
      </c>
    </row>
    <row r="80" spans="1:17" ht="15.75" customHeight="1" x14ac:dyDescent="0.2">
      <c r="A80" s="484">
        <f t="shared" si="5"/>
        <v>72</v>
      </c>
      <c r="B80" s="484" t="s">
        <v>36</v>
      </c>
      <c r="C80" s="516" t="s">
        <v>62</v>
      </c>
      <c r="D80" s="484" t="s">
        <v>63</v>
      </c>
      <c r="E80" s="486" t="s">
        <v>158</v>
      </c>
      <c r="F80" s="486" t="s">
        <v>465</v>
      </c>
      <c r="G80" s="510" t="s">
        <v>670</v>
      </c>
      <c r="H80" s="484">
        <v>8</v>
      </c>
      <c r="I80" s="484">
        <v>3</v>
      </c>
      <c r="J80" s="484">
        <v>3</v>
      </c>
      <c r="K80" s="482">
        <f>352.4+616.7</f>
        <v>969.1</v>
      </c>
      <c r="L80" s="482">
        <f>352.4+616.7</f>
        <v>969.1</v>
      </c>
      <c r="M80" s="482">
        <f t="shared" si="3"/>
        <v>0</v>
      </c>
      <c r="N80" s="484">
        <v>6</v>
      </c>
      <c r="O80" s="482">
        <v>17817.939999999999</v>
      </c>
      <c r="P80" s="482">
        <v>17817.939999999999</v>
      </c>
      <c r="Q80" s="482">
        <f t="shared" si="4"/>
        <v>0</v>
      </c>
    </row>
    <row r="81" spans="1:17" ht="15.75" customHeight="1" x14ac:dyDescent="0.2">
      <c r="A81" s="484">
        <f t="shared" si="5"/>
        <v>73</v>
      </c>
      <c r="B81" s="484" t="s">
        <v>658</v>
      </c>
      <c r="C81" s="516" t="s">
        <v>62</v>
      </c>
      <c r="D81" s="484"/>
      <c r="E81" s="486" t="s">
        <v>158</v>
      </c>
      <c r="F81" s="486" t="s">
        <v>659</v>
      </c>
      <c r="G81" s="510" t="s">
        <v>670</v>
      </c>
      <c r="H81" s="484">
        <v>13</v>
      </c>
      <c r="I81" s="484">
        <v>0</v>
      </c>
      <c r="J81" s="484">
        <v>0</v>
      </c>
      <c r="K81" s="482">
        <v>0</v>
      </c>
      <c r="L81" s="482">
        <v>0</v>
      </c>
      <c r="M81" s="482">
        <f t="shared" si="3"/>
        <v>0</v>
      </c>
      <c r="N81" s="484">
        <v>0</v>
      </c>
      <c r="O81" s="482">
        <v>0</v>
      </c>
      <c r="P81" s="482">
        <v>0</v>
      </c>
      <c r="Q81" s="482">
        <f t="shared" si="4"/>
        <v>0</v>
      </c>
    </row>
    <row r="82" spans="1:17" ht="15.75" customHeight="1" x14ac:dyDescent="0.2">
      <c r="A82" s="484">
        <f t="shared" si="5"/>
        <v>74</v>
      </c>
      <c r="B82" s="484" t="s">
        <v>37</v>
      </c>
      <c r="C82" s="516" t="s">
        <v>62</v>
      </c>
      <c r="D82" s="484" t="s">
        <v>63</v>
      </c>
      <c r="E82" s="486" t="s">
        <v>158</v>
      </c>
      <c r="F82" s="486" t="s">
        <v>234</v>
      </c>
      <c r="G82" s="510" t="s">
        <v>670</v>
      </c>
      <c r="H82" s="484">
        <v>17</v>
      </c>
      <c r="I82" s="484">
        <v>9</v>
      </c>
      <c r="J82" s="484">
        <v>9</v>
      </c>
      <c r="K82" s="482">
        <v>11914.75</v>
      </c>
      <c r="L82" s="482">
        <v>11914.75</v>
      </c>
      <c r="M82" s="482">
        <f t="shared" si="3"/>
        <v>0</v>
      </c>
      <c r="N82" s="484">
        <v>3</v>
      </c>
      <c r="O82" s="482">
        <v>19390.900000000001</v>
      </c>
      <c r="P82" s="482">
        <v>19390.900000000001</v>
      </c>
      <c r="Q82" s="482">
        <f t="shared" si="4"/>
        <v>0</v>
      </c>
    </row>
    <row r="83" spans="1:17" ht="15.75" customHeight="1" x14ac:dyDescent="0.2">
      <c r="A83" s="484">
        <f t="shared" si="5"/>
        <v>75</v>
      </c>
      <c r="B83" s="484" t="s">
        <v>235</v>
      </c>
      <c r="C83" s="516" t="s">
        <v>62</v>
      </c>
      <c r="D83" s="484"/>
      <c r="E83" s="486" t="s">
        <v>693</v>
      </c>
      <c r="F83" s="486" t="s">
        <v>237</v>
      </c>
      <c r="G83" s="510" t="s">
        <v>670</v>
      </c>
      <c r="H83" s="484">
        <v>14</v>
      </c>
      <c r="I83" s="484">
        <v>8</v>
      </c>
      <c r="J83" s="484">
        <v>11</v>
      </c>
      <c r="K83" s="482">
        <v>23840.49</v>
      </c>
      <c r="L83" s="482">
        <f>21167.35+1336.57</f>
        <v>22503.919999999998</v>
      </c>
      <c r="M83" s="482">
        <f t="shared" si="3"/>
        <v>1336.5700000000033</v>
      </c>
      <c r="N83" s="484">
        <v>0</v>
      </c>
      <c r="O83" s="482">
        <v>0</v>
      </c>
      <c r="P83" s="482">
        <v>0</v>
      </c>
      <c r="Q83" s="482">
        <f t="shared" si="4"/>
        <v>0</v>
      </c>
    </row>
    <row r="84" spans="1:17" ht="15.75" customHeight="1" x14ac:dyDescent="0.2">
      <c r="A84" s="484">
        <f t="shared" si="5"/>
        <v>76</v>
      </c>
      <c r="B84" s="484" t="s">
        <v>238</v>
      </c>
      <c r="C84" s="516" t="s">
        <v>62</v>
      </c>
      <c r="D84" s="484"/>
      <c r="E84" s="486" t="s">
        <v>158</v>
      </c>
      <c r="F84" s="486" t="s">
        <v>240</v>
      </c>
      <c r="G84" s="510" t="s">
        <v>670</v>
      </c>
      <c r="H84" s="484">
        <v>15</v>
      </c>
      <c r="I84" s="484">
        <v>9</v>
      </c>
      <c r="J84" s="484">
        <v>10</v>
      </c>
      <c r="K84" s="482">
        <v>9410.77</v>
      </c>
      <c r="L84" s="482">
        <v>9410.77</v>
      </c>
      <c r="M84" s="482">
        <f t="shared" si="3"/>
        <v>0</v>
      </c>
      <c r="N84" s="484">
        <v>0</v>
      </c>
      <c r="O84" s="482">
        <v>0</v>
      </c>
      <c r="P84" s="482">
        <v>0</v>
      </c>
      <c r="Q84" s="482">
        <f t="shared" si="4"/>
        <v>0</v>
      </c>
    </row>
    <row r="85" spans="1:17" ht="15.75" customHeight="1" x14ac:dyDescent="0.2">
      <c r="A85" s="484">
        <f t="shared" si="5"/>
        <v>77</v>
      </c>
      <c r="B85" s="484" t="s">
        <v>587</v>
      </c>
      <c r="C85" s="516" t="s">
        <v>62</v>
      </c>
      <c r="D85" s="484" t="s">
        <v>63</v>
      </c>
      <c r="E85" s="486" t="s">
        <v>158</v>
      </c>
      <c r="F85" s="486" t="s">
        <v>609</v>
      </c>
      <c r="G85" s="510" t="s">
        <v>670</v>
      </c>
      <c r="H85" s="484">
        <v>0</v>
      </c>
      <c r="I85" s="484">
        <v>0</v>
      </c>
      <c r="J85" s="484">
        <v>0</v>
      </c>
      <c r="K85" s="482">
        <v>0</v>
      </c>
      <c r="L85" s="482">
        <v>0</v>
      </c>
      <c r="M85" s="482">
        <f t="shared" si="3"/>
        <v>0</v>
      </c>
      <c r="N85" s="484">
        <v>1</v>
      </c>
      <c r="O85" s="482">
        <v>3658.79</v>
      </c>
      <c r="P85" s="482">
        <v>3658.79</v>
      </c>
      <c r="Q85" s="482">
        <f t="shared" si="4"/>
        <v>0</v>
      </c>
    </row>
    <row r="86" spans="1:17" ht="15.75" customHeight="1" x14ac:dyDescent="0.2">
      <c r="A86" s="484">
        <f t="shared" si="5"/>
        <v>78</v>
      </c>
      <c r="B86" s="484" t="s">
        <v>241</v>
      </c>
      <c r="C86" s="516" t="s">
        <v>62</v>
      </c>
      <c r="D86" s="484"/>
      <c r="E86" s="486" t="s">
        <v>158</v>
      </c>
      <c r="F86" s="486" t="s">
        <v>243</v>
      </c>
      <c r="G86" s="510" t="s">
        <v>670</v>
      </c>
      <c r="H86" s="484">
        <v>9</v>
      </c>
      <c r="I86" s="484">
        <v>9</v>
      </c>
      <c r="J86" s="484">
        <v>13</v>
      </c>
      <c r="K86" s="482">
        <v>26884.58</v>
      </c>
      <c r="L86" s="482">
        <v>26884.58</v>
      </c>
      <c r="M86" s="482">
        <f t="shared" si="3"/>
        <v>0</v>
      </c>
      <c r="N86" s="484">
        <v>0</v>
      </c>
      <c r="O86" s="482">
        <v>0</v>
      </c>
      <c r="P86" s="482">
        <v>0</v>
      </c>
      <c r="Q86" s="482">
        <f t="shared" si="4"/>
        <v>0</v>
      </c>
    </row>
    <row r="87" spans="1:17" ht="15.75" customHeight="1" x14ac:dyDescent="0.2">
      <c r="A87" s="484">
        <f t="shared" si="5"/>
        <v>79</v>
      </c>
      <c r="B87" s="484" t="s">
        <v>38</v>
      </c>
      <c r="C87" s="516" t="s">
        <v>62</v>
      </c>
      <c r="D87" s="484" t="s">
        <v>63</v>
      </c>
      <c r="E87" s="486" t="s">
        <v>698</v>
      </c>
      <c r="F87" s="486" t="s">
        <v>245</v>
      </c>
      <c r="G87" s="510" t="s">
        <v>670</v>
      </c>
      <c r="H87" s="484">
        <v>110</v>
      </c>
      <c r="I87" s="484">
        <v>97</v>
      </c>
      <c r="J87" s="484">
        <v>152</v>
      </c>
      <c r="K87" s="482">
        <v>177826.79</v>
      </c>
      <c r="L87" s="482">
        <v>177826.79</v>
      </c>
      <c r="M87" s="482">
        <f t="shared" si="3"/>
        <v>0</v>
      </c>
      <c r="N87" s="484">
        <v>93</v>
      </c>
      <c r="O87" s="482">
        <v>272452.59000000003</v>
      </c>
      <c r="P87" s="482">
        <v>272452.59000000003</v>
      </c>
      <c r="Q87" s="482">
        <f t="shared" si="4"/>
        <v>0</v>
      </c>
    </row>
    <row r="88" spans="1:17" ht="15.75" customHeight="1" x14ac:dyDescent="0.2">
      <c r="A88" s="484">
        <f t="shared" si="5"/>
        <v>80</v>
      </c>
      <c r="B88" s="484" t="s">
        <v>246</v>
      </c>
      <c r="C88" s="516" t="s">
        <v>62</v>
      </c>
      <c r="D88" s="484"/>
      <c r="E88" s="486" t="s">
        <v>158</v>
      </c>
      <c r="F88" s="486" t="s">
        <v>248</v>
      </c>
      <c r="G88" s="510" t="s">
        <v>670</v>
      </c>
      <c r="H88" s="484">
        <v>47</v>
      </c>
      <c r="I88" s="484">
        <v>34</v>
      </c>
      <c r="J88" s="484">
        <v>40</v>
      </c>
      <c r="K88" s="482">
        <v>26416.06</v>
      </c>
      <c r="L88" s="482">
        <f>15436.02+1838.54</f>
        <v>17274.560000000001</v>
      </c>
      <c r="M88" s="482">
        <f t="shared" si="3"/>
        <v>9141.5</v>
      </c>
      <c r="N88" s="484">
        <v>0</v>
      </c>
      <c r="O88" s="482">
        <v>0</v>
      </c>
      <c r="P88" s="482">
        <v>0</v>
      </c>
      <c r="Q88" s="482">
        <f t="shared" si="4"/>
        <v>0</v>
      </c>
    </row>
    <row r="89" spans="1:17" ht="15.75" customHeight="1" x14ac:dyDescent="0.2">
      <c r="A89" s="484">
        <f t="shared" si="5"/>
        <v>81</v>
      </c>
      <c r="B89" s="484" t="s">
        <v>39</v>
      </c>
      <c r="C89" s="516" t="s">
        <v>62</v>
      </c>
      <c r="D89" s="484" t="s">
        <v>63</v>
      </c>
      <c r="E89" s="486" t="s">
        <v>694</v>
      </c>
      <c r="F89" s="486" t="s">
        <v>466</v>
      </c>
      <c r="G89" s="510" t="s">
        <v>670</v>
      </c>
      <c r="H89" s="484">
        <v>120</v>
      </c>
      <c r="I89" s="484">
        <v>95</v>
      </c>
      <c r="J89" s="484">
        <v>102</v>
      </c>
      <c r="K89" s="482">
        <v>62619.199999999997</v>
      </c>
      <c r="L89" s="482">
        <v>62619.199999999997</v>
      </c>
      <c r="M89" s="482">
        <f t="shared" si="3"/>
        <v>0</v>
      </c>
      <c r="N89" s="484">
        <v>11</v>
      </c>
      <c r="O89" s="482">
        <v>18898.939999999999</v>
      </c>
      <c r="P89" s="482">
        <v>18898.939999999999</v>
      </c>
      <c r="Q89" s="482">
        <f t="shared" si="4"/>
        <v>0</v>
      </c>
    </row>
    <row r="90" spans="1:17" ht="15.75" customHeight="1" x14ac:dyDescent="0.2">
      <c r="A90" s="484">
        <f t="shared" si="5"/>
        <v>82</v>
      </c>
      <c r="B90" s="484" t="s">
        <v>40</v>
      </c>
      <c r="C90" s="516" t="s">
        <v>62</v>
      </c>
      <c r="D90" s="484" t="s">
        <v>63</v>
      </c>
      <c r="E90" s="486" t="s">
        <v>695</v>
      </c>
      <c r="F90" s="486" t="s">
        <v>250</v>
      </c>
      <c r="G90" s="510" t="s">
        <v>670</v>
      </c>
      <c r="H90" s="484">
        <v>33</v>
      </c>
      <c r="I90" s="484">
        <v>30</v>
      </c>
      <c r="J90" s="484">
        <v>47</v>
      </c>
      <c r="K90" s="482">
        <f>72302.81+5373.43</f>
        <v>77676.239999999991</v>
      </c>
      <c r="L90" s="482">
        <f>72302.81+5373.43</f>
        <v>77676.239999999991</v>
      </c>
      <c r="M90" s="482">
        <f t="shared" si="3"/>
        <v>0</v>
      </c>
      <c r="N90" s="484">
        <v>19</v>
      </c>
      <c r="O90" s="482">
        <v>51901.91</v>
      </c>
      <c r="P90" s="482">
        <v>51901.91</v>
      </c>
      <c r="Q90" s="482">
        <f t="shared" si="4"/>
        <v>0</v>
      </c>
    </row>
    <row r="91" spans="1:17" ht="15.75" customHeight="1" x14ac:dyDescent="0.2">
      <c r="A91" s="484">
        <f t="shared" si="5"/>
        <v>83</v>
      </c>
      <c r="B91" s="484" t="s">
        <v>660</v>
      </c>
      <c r="C91" s="516" t="s">
        <v>67</v>
      </c>
      <c r="D91" s="484" t="s">
        <v>661</v>
      </c>
      <c r="E91" s="486" t="s">
        <v>158</v>
      </c>
      <c r="F91" s="486" t="s">
        <v>662</v>
      </c>
      <c r="G91" s="510" t="s">
        <v>670</v>
      </c>
      <c r="H91" s="484">
        <v>5</v>
      </c>
      <c r="I91" s="484">
        <v>0</v>
      </c>
      <c r="J91" s="484">
        <v>0</v>
      </c>
      <c r="K91" s="482">
        <v>0</v>
      </c>
      <c r="L91" s="482">
        <v>0</v>
      </c>
      <c r="M91" s="482">
        <f t="shared" si="3"/>
        <v>0</v>
      </c>
      <c r="N91" s="484">
        <v>0</v>
      </c>
      <c r="O91" s="482">
        <v>0</v>
      </c>
      <c r="P91" s="482">
        <v>0</v>
      </c>
      <c r="Q91" s="482">
        <f t="shared" si="4"/>
        <v>0</v>
      </c>
    </row>
    <row r="92" spans="1:17" ht="15.75" customHeight="1" x14ac:dyDescent="0.2">
      <c r="A92" s="484">
        <f t="shared" si="5"/>
        <v>84</v>
      </c>
      <c r="B92" s="484" t="s">
        <v>251</v>
      </c>
      <c r="C92" s="516" t="s">
        <v>62</v>
      </c>
      <c r="D92" s="484"/>
      <c r="E92" s="486" t="s">
        <v>677</v>
      </c>
      <c r="F92" s="486" t="s">
        <v>252</v>
      </c>
      <c r="G92" s="510" t="s">
        <v>670</v>
      </c>
      <c r="H92" s="484">
        <v>55</v>
      </c>
      <c r="I92" s="484">
        <v>33</v>
      </c>
      <c r="J92" s="484">
        <v>51</v>
      </c>
      <c r="K92" s="482">
        <v>85263.69</v>
      </c>
      <c r="L92" s="482">
        <f>65719.15+1750.29</f>
        <v>67469.439999999988</v>
      </c>
      <c r="M92" s="482">
        <f t="shared" si="3"/>
        <v>17794.250000000015</v>
      </c>
      <c r="N92" s="484">
        <v>0</v>
      </c>
      <c r="O92" s="482">
        <v>0</v>
      </c>
      <c r="P92" s="482">
        <v>0</v>
      </c>
      <c r="Q92" s="482">
        <f t="shared" si="4"/>
        <v>0</v>
      </c>
    </row>
    <row r="93" spans="1:17" ht="15.75" customHeight="1" x14ac:dyDescent="0.2">
      <c r="A93" s="484">
        <f t="shared" si="5"/>
        <v>85</v>
      </c>
      <c r="B93" s="484" t="s">
        <v>117</v>
      </c>
      <c r="C93" s="516" t="s">
        <v>62</v>
      </c>
      <c r="D93" s="484" t="s">
        <v>63</v>
      </c>
      <c r="E93" s="486" t="s">
        <v>158</v>
      </c>
      <c r="F93" s="486" t="s">
        <v>520</v>
      </c>
      <c r="G93" s="510" t="s">
        <v>670</v>
      </c>
      <c r="H93" s="484">
        <v>4</v>
      </c>
      <c r="I93" s="484">
        <v>2</v>
      </c>
      <c r="J93" s="484">
        <v>2</v>
      </c>
      <c r="K93" s="482">
        <v>3618.99</v>
      </c>
      <c r="L93" s="482">
        <v>3618.99</v>
      </c>
      <c r="M93" s="482">
        <f t="shared" si="3"/>
        <v>0</v>
      </c>
      <c r="N93" s="484">
        <v>3</v>
      </c>
      <c r="O93" s="482">
        <v>9677.56</v>
      </c>
      <c r="P93" s="482">
        <v>9677.56</v>
      </c>
      <c r="Q93" s="482">
        <f t="shared" si="4"/>
        <v>0</v>
      </c>
    </row>
    <row r="94" spans="1:17" ht="15.75" customHeight="1" x14ac:dyDescent="0.2">
      <c r="A94" s="484">
        <f t="shared" si="5"/>
        <v>86</v>
      </c>
      <c r="B94" s="484" t="s">
        <v>41</v>
      </c>
      <c r="C94" s="516" t="s">
        <v>64</v>
      </c>
      <c r="D94" s="484" t="s">
        <v>65</v>
      </c>
      <c r="E94" s="486" t="s">
        <v>158</v>
      </c>
      <c r="F94" s="486" t="s">
        <v>253</v>
      </c>
      <c r="G94" s="510" t="s">
        <v>670</v>
      </c>
      <c r="H94" s="484">
        <v>2</v>
      </c>
      <c r="I94" s="484">
        <v>2</v>
      </c>
      <c r="J94" s="484">
        <v>2</v>
      </c>
      <c r="K94" s="482">
        <v>1575.23</v>
      </c>
      <c r="L94" s="482">
        <v>1575.23</v>
      </c>
      <c r="M94" s="482">
        <f t="shared" si="3"/>
        <v>0</v>
      </c>
      <c r="N94" s="484">
        <v>12</v>
      </c>
      <c r="O94" s="482">
        <v>33315.620000000003</v>
      </c>
      <c r="P94" s="482">
        <v>33315.620000000003</v>
      </c>
      <c r="Q94" s="482">
        <f t="shared" si="4"/>
        <v>0</v>
      </c>
    </row>
    <row r="95" spans="1:17" ht="15.75" customHeight="1" x14ac:dyDescent="0.2">
      <c r="A95" s="484">
        <f t="shared" si="5"/>
        <v>87</v>
      </c>
      <c r="B95" s="484" t="s">
        <v>118</v>
      </c>
      <c r="C95" s="516" t="s">
        <v>62</v>
      </c>
      <c r="D95" s="484" t="s">
        <v>63</v>
      </c>
      <c r="E95" s="486" t="s">
        <v>675</v>
      </c>
      <c r="F95" s="486" t="s">
        <v>467</v>
      </c>
      <c r="G95" s="510" t="s">
        <v>670</v>
      </c>
      <c r="H95" s="484">
        <v>7</v>
      </c>
      <c r="I95" s="484">
        <v>2</v>
      </c>
      <c r="J95" s="484">
        <v>2</v>
      </c>
      <c r="K95" s="482">
        <v>939.94</v>
      </c>
      <c r="L95" s="482">
        <v>939.94</v>
      </c>
      <c r="M95" s="482">
        <f t="shared" si="3"/>
        <v>0</v>
      </c>
      <c r="N95" s="484">
        <v>2</v>
      </c>
      <c r="O95" s="482">
        <f>18723.42+5109.8</f>
        <v>23833.219999999998</v>
      </c>
      <c r="P95" s="482">
        <f>10491.36+5109.8</f>
        <v>15601.16</v>
      </c>
      <c r="Q95" s="482">
        <f t="shared" si="4"/>
        <v>8232.0599999999977</v>
      </c>
    </row>
    <row r="96" spans="1:17" ht="15.75" customHeight="1" x14ac:dyDescent="0.2">
      <c r="A96" s="484">
        <f t="shared" si="5"/>
        <v>88</v>
      </c>
      <c r="B96" s="484" t="s">
        <v>548</v>
      </c>
      <c r="C96" s="516" t="s">
        <v>62</v>
      </c>
      <c r="D96" s="484"/>
      <c r="E96" s="486" t="s">
        <v>675</v>
      </c>
      <c r="F96" s="486" t="s">
        <v>550</v>
      </c>
      <c r="G96" s="510" t="s">
        <v>670</v>
      </c>
      <c r="H96" s="484">
        <v>4</v>
      </c>
      <c r="I96" s="484">
        <v>2</v>
      </c>
      <c r="J96" s="484">
        <v>2</v>
      </c>
      <c r="K96" s="482">
        <v>0</v>
      </c>
      <c r="L96" s="482">
        <v>0</v>
      </c>
      <c r="M96" s="482">
        <f t="shared" si="3"/>
        <v>0</v>
      </c>
      <c r="N96" s="484">
        <v>0</v>
      </c>
      <c r="O96" s="482">
        <v>0</v>
      </c>
      <c r="P96" s="482">
        <v>0</v>
      </c>
      <c r="Q96" s="482">
        <f t="shared" si="4"/>
        <v>0</v>
      </c>
    </row>
    <row r="97" spans="1:17" ht="15.75" customHeight="1" x14ac:dyDescent="0.2">
      <c r="A97" s="484">
        <f t="shared" si="5"/>
        <v>89</v>
      </c>
      <c r="B97" s="484" t="s">
        <v>254</v>
      </c>
      <c r="C97" s="516" t="s">
        <v>62</v>
      </c>
      <c r="D97" s="484"/>
      <c r="E97" s="486" t="s">
        <v>158</v>
      </c>
      <c r="F97" s="486" t="s">
        <v>255</v>
      </c>
      <c r="G97" s="510" t="s">
        <v>670</v>
      </c>
      <c r="H97" s="484">
        <v>11</v>
      </c>
      <c r="I97" s="484">
        <v>9</v>
      </c>
      <c r="J97" s="484">
        <v>11</v>
      </c>
      <c r="K97" s="482">
        <f>10146.51+1620.08</f>
        <v>11766.59</v>
      </c>
      <c r="L97" s="482">
        <f>10146.51+1620.08</f>
        <v>11766.59</v>
      </c>
      <c r="M97" s="482">
        <f t="shared" si="3"/>
        <v>0</v>
      </c>
      <c r="N97" s="484">
        <v>0</v>
      </c>
      <c r="O97" s="482">
        <v>0</v>
      </c>
      <c r="P97" s="482">
        <v>0</v>
      </c>
      <c r="Q97" s="482">
        <f t="shared" si="4"/>
        <v>0</v>
      </c>
    </row>
    <row r="98" spans="1:17" ht="15.75" customHeight="1" x14ac:dyDescent="0.2">
      <c r="A98" s="484">
        <f t="shared" si="5"/>
        <v>90</v>
      </c>
      <c r="B98" s="484" t="s">
        <v>256</v>
      </c>
      <c r="C98" s="516" t="s">
        <v>62</v>
      </c>
      <c r="D98" s="484"/>
      <c r="E98" s="486" t="s">
        <v>158</v>
      </c>
      <c r="F98" s="486" t="s">
        <v>257</v>
      </c>
      <c r="G98" s="510" t="s">
        <v>670</v>
      </c>
      <c r="H98" s="484">
        <v>17</v>
      </c>
      <c r="I98" s="484">
        <v>7</v>
      </c>
      <c r="J98" s="484">
        <v>7</v>
      </c>
      <c r="K98" s="482">
        <v>7885.09</v>
      </c>
      <c r="L98" s="482">
        <v>7885.09</v>
      </c>
      <c r="M98" s="482">
        <f t="shared" si="3"/>
        <v>0</v>
      </c>
      <c r="N98" s="484">
        <v>0</v>
      </c>
      <c r="O98" s="482">
        <v>0</v>
      </c>
      <c r="P98" s="482">
        <v>0</v>
      </c>
      <c r="Q98" s="482">
        <f t="shared" si="4"/>
        <v>0</v>
      </c>
    </row>
    <row r="99" spans="1:17" ht="15.75" customHeight="1" x14ac:dyDescent="0.2">
      <c r="A99" s="484">
        <f t="shared" si="5"/>
        <v>91</v>
      </c>
      <c r="B99" s="484" t="s">
        <v>643</v>
      </c>
      <c r="C99" s="516" t="s">
        <v>62</v>
      </c>
      <c r="D99" s="484"/>
      <c r="E99" s="486" t="s">
        <v>158</v>
      </c>
      <c r="F99" s="486" t="s">
        <v>663</v>
      </c>
      <c r="G99" s="510" t="s">
        <v>670</v>
      </c>
      <c r="H99" s="484">
        <v>6</v>
      </c>
      <c r="I99" s="484">
        <v>5</v>
      </c>
      <c r="J99" s="484">
        <v>5</v>
      </c>
      <c r="K99" s="482">
        <v>1723.18</v>
      </c>
      <c r="L99" s="482">
        <v>1723.18</v>
      </c>
      <c r="M99" s="482">
        <f t="shared" si="3"/>
        <v>0</v>
      </c>
      <c r="N99" s="484">
        <v>0</v>
      </c>
      <c r="O99" s="482">
        <v>0</v>
      </c>
      <c r="P99" s="482">
        <v>0</v>
      </c>
      <c r="Q99" s="482">
        <f t="shared" si="4"/>
        <v>0</v>
      </c>
    </row>
    <row r="100" spans="1:17" ht="15.75" customHeight="1" x14ac:dyDescent="0.2">
      <c r="A100" s="484">
        <f t="shared" si="5"/>
        <v>92</v>
      </c>
      <c r="B100" s="484" t="s">
        <v>258</v>
      </c>
      <c r="C100" s="516" t="s">
        <v>62</v>
      </c>
      <c r="D100" s="484"/>
      <c r="E100" s="486" t="s">
        <v>158</v>
      </c>
      <c r="F100" s="486" t="s">
        <v>259</v>
      </c>
      <c r="G100" s="510" t="s">
        <v>670</v>
      </c>
      <c r="H100" s="484">
        <v>37</v>
      </c>
      <c r="I100" s="484">
        <v>28</v>
      </c>
      <c r="J100" s="484">
        <v>32</v>
      </c>
      <c r="K100" s="482">
        <f>39127.08+3850.68</f>
        <v>42977.760000000002</v>
      </c>
      <c r="L100" s="482">
        <f>39127.08+1356.82</f>
        <v>40483.9</v>
      </c>
      <c r="M100" s="482">
        <f t="shared" si="3"/>
        <v>2493.8600000000006</v>
      </c>
      <c r="N100" s="484">
        <v>0</v>
      </c>
      <c r="O100" s="482">
        <v>0</v>
      </c>
      <c r="P100" s="482">
        <v>0</v>
      </c>
      <c r="Q100" s="482">
        <f t="shared" si="4"/>
        <v>0</v>
      </c>
    </row>
    <row r="101" spans="1:17" ht="15.75" customHeight="1" x14ac:dyDescent="0.2">
      <c r="A101" s="484">
        <f t="shared" si="5"/>
        <v>93</v>
      </c>
      <c r="B101" s="484" t="s">
        <v>42</v>
      </c>
      <c r="C101" s="516" t="s">
        <v>62</v>
      </c>
      <c r="D101" s="484" t="s">
        <v>63</v>
      </c>
      <c r="E101" s="486" t="s">
        <v>158</v>
      </c>
      <c r="F101" s="486" t="s">
        <v>260</v>
      </c>
      <c r="G101" s="510" t="s">
        <v>670</v>
      </c>
      <c r="H101" s="484">
        <v>51</v>
      </c>
      <c r="I101" s="484">
        <v>42</v>
      </c>
      <c r="J101" s="484">
        <v>52</v>
      </c>
      <c r="K101" s="482">
        <v>105749.62</v>
      </c>
      <c r="L101" s="482">
        <f>91702.68+1822.59</f>
        <v>93525.26999999999</v>
      </c>
      <c r="M101" s="482">
        <f t="shared" si="3"/>
        <v>12224.350000000006</v>
      </c>
      <c r="N101" s="484">
        <v>35</v>
      </c>
      <c r="O101" s="482">
        <v>157669.39000000001</v>
      </c>
      <c r="P101" s="482">
        <v>157669.39000000001</v>
      </c>
      <c r="Q101" s="482">
        <f t="shared" si="4"/>
        <v>0</v>
      </c>
    </row>
    <row r="102" spans="1:17" ht="15.75" customHeight="1" x14ac:dyDescent="0.2">
      <c r="A102" s="484">
        <f t="shared" si="5"/>
        <v>94</v>
      </c>
      <c r="B102" s="484" t="s">
        <v>43</v>
      </c>
      <c r="C102" s="516" t="s">
        <v>62</v>
      </c>
      <c r="D102" s="484" t="s">
        <v>63</v>
      </c>
      <c r="E102" s="486" t="s">
        <v>158</v>
      </c>
      <c r="F102" s="486" t="s">
        <v>261</v>
      </c>
      <c r="G102" s="510" t="s">
        <v>670</v>
      </c>
      <c r="H102" s="484">
        <v>30</v>
      </c>
      <c r="I102" s="484">
        <v>20</v>
      </c>
      <c r="J102" s="484">
        <v>26</v>
      </c>
      <c r="K102" s="482">
        <f>39852.75+2742.8</f>
        <v>42595.55</v>
      </c>
      <c r="L102" s="482">
        <f>39852.75+2742.8</f>
        <v>42595.55</v>
      </c>
      <c r="M102" s="482">
        <f t="shared" si="3"/>
        <v>0</v>
      </c>
      <c r="N102" s="484">
        <v>50</v>
      </c>
      <c r="O102" s="482">
        <v>197997.04</v>
      </c>
      <c r="P102" s="482">
        <v>197997.04</v>
      </c>
      <c r="Q102" s="482">
        <f t="shared" si="4"/>
        <v>0</v>
      </c>
    </row>
    <row r="103" spans="1:17" ht="15.75" customHeight="1" x14ac:dyDescent="0.2">
      <c r="A103" s="484">
        <f t="shared" si="5"/>
        <v>95</v>
      </c>
      <c r="B103" s="484" t="s">
        <v>44</v>
      </c>
      <c r="C103" s="516" t="s">
        <v>62</v>
      </c>
      <c r="D103" s="484" t="s">
        <v>63</v>
      </c>
      <c r="E103" s="486" t="s">
        <v>158</v>
      </c>
      <c r="F103" s="486" t="s">
        <v>262</v>
      </c>
      <c r="G103" s="510" t="s">
        <v>670</v>
      </c>
      <c r="H103" s="484">
        <v>51</v>
      </c>
      <c r="I103" s="484">
        <v>38</v>
      </c>
      <c r="J103" s="484">
        <v>44</v>
      </c>
      <c r="K103" s="482">
        <f>30894.23+2422.75</f>
        <v>33316.979999999996</v>
      </c>
      <c r="L103" s="482">
        <v>33316.980000000003</v>
      </c>
      <c r="M103" s="482">
        <f t="shared" si="3"/>
        <v>0</v>
      </c>
      <c r="N103" s="484">
        <v>42</v>
      </c>
      <c r="O103" s="482">
        <v>147210.87</v>
      </c>
      <c r="P103" s="482">
        <v>147210.87</v>
      </c>
      <c r="Q103" s="482">
        <f t="shared" si="4"/>
        <v>0</v>
      </c>
    </row>
    <row r="104" spans="1:17" ht="15.75" customHeight="1" x14ac:dyDescent="0.2">
      <c r="A104" s="484">
        <f t="shared" si="5"/>
        <v>96</v>
      </c>
      <c r="B104" s="484" t="s">
        <v>45</v>
      </c>
      <c r="C104" s="516" t="s">
        <v>62</v>
      </c>
      <c r="D104" s="484" t="s">
        <v>63</v>
      </c>
      <c r="E104" s="486" t="s">
        <v>683</v>
      </c>
      <c r="F104" s="486" t="s">
        <v>263</v>
      </c>
      <c r="G104" s="510" t="s">
        <v>670</v>
      </c>
      <c r="H104" s="484">
        <v>16</v>
      </c>
      <c r="I104" s="484">
        <v>12</v>
      </c>
      <c r="J104" s="484">
        <v>19</v>
      </c>
      <c r="K104" s="482">
        <v>32539.22</v>
      </c>
      <c r="L104" s="482">
        <v>32539.22</v>
      </c>
      <c r="M104" s="482">
        <f t="shared" si="3"/>
        <v>0</v>
      </c>
      <c r="N104" s="484">
        <v>4</v>
      </c>
      <c r="O104" s="482">
        <v>25980.78</v>
      </c>
      <c r="P104" s="482">
        <v>25980.78</v>
      </c>
      <c r="Q104" s="482">
        <f t="shared" si="4"/>
        <v>0</v>
      </c>
    </row>
    <row r="105" spans="1:17" ht="15.75" customHeight="1" x14ac:dyDescent="0.2">
      <c r="A105" s="484">
        <f t="shared" si="5"/>
        <v>97</v>
      </c>
      <c r="B105" s="484" t="s">
        <v>264</v>
      </c>
      <c r="C105" s="516" t="s">
        <v>62</v>
      </c>
      <c r="D105" s="484" t="s">
        <v>63</v>
      </c>
      <c r="E105" s="486" t="s">
        <v>158</v>
      </c>
      <c r="F105" s="486" t="s">
        <v>265</v>
      </c>
      <c r="G105" s="510" t="s">
        <v>670</v>
      </c>
      <c r="H105" s="484">
        <v>27</v>
      </c>
      <c r="I105" s="484">
        <v>21</v>
      </c>
      <c r="J105" s="484">
        <v>25</v>
      </c>
      <c r="K105" s="482">
        <v>18935.36</v>
      </c>
      <c r="L105" s="482">
        <v>18935.36</v>
      </c>
      <c r="M105" s="482">
        <f t="shared" si="3"/>
        <v>0</v>
      </c>
      <c r="N105" s="484">
        <v>0</v>
      </c>
      <c r="O105" s="482">
        <v>0</v>
      </c>
      <c r="P105" s="482">
        <v>0</v>
      </c>
      <c r="Q105" s="482">
        <f t="shared" si="4"/>
        <v>0</v>
      </c>
    </row>
    <row r="106" spans="1:17" ht="15.75" customHeight="1" x14ac:dyDescent="0.2">
      <c r="A106" s="484">
        <f t="shared" si="5"/>
        <v>98</v>
      </c>
      <c r="B106" s="484" t="s">
        <v>119</v>
      </c>
      <c r="C106" s="516" t="s">
        <v>62</v>
      </c>
      <c r="D106" s="484" t="s">
        <v>63</v>
      </c>
      <c r="E106" s="486" t="s">
        <v>158</v>
      </c>
      <c r="F106" s="486" t="s">
        <v>266</v>
      </c>
      <c r="G106" s="510" t="s">
        <v>670</v>
      </c>
      <c r="H106" s="484">
        <v>22</v>
      </c>
      <c r="I106" s="484">
        <v>16</v>
      </c>
      <c r="J106" s="484">
        <v>18</v>
      </c>
      <c r="K106" s="482">
        <v>20121.990000000002</v>
      </c>
      <c r="L106" s="482">
        <v>20121.990000000002</v>
      </c>
      <c r="M106" s="482">
        <f t="shared" si="3"/>
        <v>0</v>
      </c>
      <c r="N106" s="484">
        <v>6</v>
      </c>
      <c r="O106" s="482">
        <v>1881.62</v>
      </c>
      <c r="P106" s="482">
        <v>1881.62</v>
      </c>
      <c r="Q106" s="482">
        <f t="shared" si="4"/>
        <v>0</v>
      </c>
    </row>
    <row r="107" spans="1:17" ht="15.75" customHeight="1" x14ac:dyDescent="0.2">
      <c r="A107" s="484">
        <f t="shared" si="5"/>
        <v>99</v>
      </c>
      <c r="B107" s="484" t="s">
        <v>46</v>
      </c>
      <c r="C107" s="516" t="s">
        <v>62</v>
      </c>
      <c r="D107" s="484" t="s">
        <v>63</v>
      </c>
      <c r="E107" s="486" t="s">
        <v>678</v>
      </c>
      <c r="F107" s="486" t="s">
        <v>268</v>
      </c>
      <c r="G107" s="510" t="s">
        <v>670</v>
      </c>
      <c r="H107" s="484">
        <v>28</v>
      </c>
      <c r="I107" s="484">
        <v>18</v>
      </c>
      <c r="J107" s="484">
        <v>29</v>
      </c>
      <c r="K107" s="482">
        <v>60965.35</v>
      </c>
      <c r="L107" s="482">
        <v>60965.35</v>
      </c>
      <c r="M107" s="482">
        <f t="shared" si="3"/>
        <v>0</v>
      </c>
      <c r="N107" s="484">
        <v>28</v>
      </c>
      <c r="O107" s="482">
        <v>125896.58</v>
      </c>
      <c r="P107" s="482">
        <v>125896.58</v>
      </c>
      <c r="Q107" s="482">
        <f t="shared" si="4"/>
        <v>0</v>
      </c>
    </row>
    <row r="108" spans="1:17" ht="15.75" customHeight="1" x14ac:dyDescent="0.2">
      <c r="A108" s="484">
        <f t="shared" si="5"/>
        <v>100</v>
      </c>
      <c r="B108" s="484" t="s">
        <v>47</v>
      </c>
      <c r="C108" s="516" t="s">
        <v>62</v>
      </c>
      <c r="D108" s="484" t="s">
        <v>63</v>
      </c>
      <c r="E108" s="486" t="s">
        <v>677</v>
      </c>
      <c r="F108" s="486" t="s">
        <v>269</v>
      </c>
      <c r="G108" s="510" t="s">
        <v>670</v>
      </c>
      <c r="H108" s="484">
        <v>91</v>
      </c>
      <c r="I108" s="484">
        <v>66</v>
      </c>
      <c r="J108" s="484">
        <v>102</v>
      </c>
      <c r="K108" s="482">
        <v>191322.19</v>
      </c>
      <c r="L108" s="482">
        <v>130721.37</v>
      </c>
      <c r="M108" s="482">
        <f t="shared" si="3"/>
        <v>60600.820000000007</v>
      </c>
      <c r="N108" s="484">
        <v>124</v>
      </c>
      <c r="O108" s="482">
        <v>524795.69999999995</v>
      </c>
      <c r="P108" s="482">
        <f>439929.29+1857.39</f>
        <v>441786.68</v>
      </c>
      <c r="Q108" s="482">
        <f t="shared" si="4"/>
        <v>83009.01999999996</v>
      </c>
    </row>
    <row r="109" spans="1:17" ht="15.75" customHeight="1" x14ac:dyDescent="0.2">
      <c r="A109" s="484">
        <f t="shared" si="5"/>
        <v>101</v>
      </c>
      <c r="B109" s="484" t="s">
        <v>270</v>
      </c>
      <c r="C109" s="516" t="s">
        <v>62</v>
      </c>
      <c r="D109" s="484"/>
      <c r="E109" s="486" t="s">
        <v>158</v>
      </c>
      <c r="F109" s="486" t="s">
        <v>272</v>
      </c>
      <c r="G109" s="510" t="s">
        <v>670</v>
      </c>
      <c r="H109" s="484">
        <v>16</v>
      </c>
      <c r="I109" s="484">
        <v>11</v>
      </c>
      <c r="J109" s="484">
        <v>17</v>
      </c>
      <c r="K109" s="482">
        <v>23603.22</v>
      </c>
      <c r="L109" s="482">
        <v>23603.22</v>
      </c>
      <c r="M109" s="482">
        <f t="shared" si="3"/>
        <v>0</v>
      </c>
      <c r="N109" s="484">
        <v>0</v>
      </c>
      <c r="O109" s="482">
        <v>0</v>
      </c>
      <c r="P109" s="482">
        <v>0</v>
      </c>
      <c r="Q109" s="482">
        <f t="shared" si="4"/>
        <v>0</v>
      </c>
    </row>
    <row r="110" spans="1:17" ht="15.75" customHeight="1" x14ac:dyDescent="0.2">
      <c r="A110" s="484">
        <f t="shared" si="5"/>
        <v>102</v>
      </c>
      <c r="B110" s="484" t="s">
        <v>621</v>
      </c>
      <c r="C110" s="516" t="s">
        <v>62</v>
      </c>
      <c r="D110" s="484"/>
      <c r="E110" s="486" t="s">
        <v>158</v>
      </c>
      <c r="F110" s="486" t="s">
        <v>664</v>
      </c>
      <c r="G110" s="510" t="s">
        <v>670</v>
      </c>
      <c r="H110" s="484">
        <v>12</v>
      </c>
      <c r="I110" s="484">
        <v>7</v>
      </c>
      <c r="J110" s="484">
        <v>7</v>
      </c>
      <c r="K110" s="482">
        <v>0</v>
      </c>
      <c r="L110" s="482">
        <v>0</v>
      </c>
      <c r="M110" s="482">
        <f t="shared" si="3"/>
        <v>0</v>
      </c>
      <c r="N110" s="484">
        <v>0</v>
      </c>
      <c r="O110" s="482">
        <v>0</v>
      </c>
      <c r="P110" s="482">
        <v>0</v>
      </c>
      <c r="Q110" s="482">
        <f t="shared" si="4"/>
        <v>0</v>
      </c>
    </row>
    <row r="111" spans="1:17" ht="15.75" customHeight="1" x14ac:dyDescent="0.2">
      <c r="A111" s="484">
        <f t="shared" si="5"/>
        <v>103</v>
      </c>
      <c r="B111" s="484" t="s">
        <v>273</v>
      </c>
      <c r="C111" s="516" t="s">
        <v>62</v>
      </c>
      <c r="D111" s="484"/>
      <c r="E111" s="486" t="s">
        <v>674</v>
      </c>
      <c r="F111" s="486" t="s">
        <v>511</v>
      </c>
      <c r="G111" s="510" t="s">
        <v>670</v>
      </c>
      <c r="H111" s="484">
        <v>10</v>
      </c>
      <c r="I111" s="484">
        <v>0</v>
      </c>
      <c r="J111" s="484">
        <v>0</v>
      </c>
      <c r="K111" s="482">
        <v>0</v>
      </c>
      <c r="L111" s="482">
        <v>0</v>
      </c>
      <c r="M111" s="482">
        <f t="shared" si="3"/>
        <v>0</v>
      </c>
      <c r="N111" s="484">
        <v>0</v>
      </c>
      <c r="O111" s="482">
        <v>0</v>
      </c>
      <c r="P111" s="482">
        <v>0</v>
      </c>
      <c r="Q111" s="482">
        <f t="shared" si="4"/>
        <v>0</v>
      </c>
    </row>
    <row r="112" spans="1:17" ht="15.75" customHeight="1" x14ac:dyDescent="0.2">
      <c r="A112" s="484">
        <f t="shared" si="5"/>
        <v>104</v>
      </c>
      <c r="B112" s="484" t="s">
        <v>490</v>
      </c>
      <c r="C112" s="516" t="s">
        <v>62</v>
      </c>
      <c r="D112" s="484"/>
      <c r="E112" s="486" t="s">
        <v>491</v>
      </c>
      <c r="F112" s="486" t="s">
        <v>492</v>
      </c>
      <c r="G112" s="510" t="s">
        <v>670</v>
      </c>
      <c r="H112" s="484">
        <v>18</v>
      </c>
      <c r="I112" s="484">
        <v>10</v>
      </c>
      <c r="J112" s="484">
        <v>12</v>
      </c>
      <c r="K112" s="482">
        <v>10195.18</v>
      </c>
      <c r="L112" s="482">
        <v>10195.18</v>
      </c>
      <c r="M112" s="482">
        <f t="shared" si="3"/>
        <v>0</v>
      </c>
      <c r="N112" s="484">
        <v>0</v>
      </c>
      <c r="O112" s="482">
        <v>0</v>
      </c>
      <c r="P112" s="482">
        <v>0</v>
      </c>
      <c r="Q112" s="482">
        <f t="shared" si="4"/>
        <v>0</v>
      </c>
    </row>
    <row r="113" spans="1:17" ht="15.75" customHeight="1" x14ac:dyDescent="0.2">
      <c r="A113" s="484">
        <f t="shared" si="5"/>
        <v>105</v>
      </c>
      <c r="B113" s="484" t="s">
        <v>94</v>
      </c>
      <c r="C113" s="516" t="s">
        <v>62</v>
      </c>
      <c r="D113" s="484" t="s">
        <v>63</v>
      </c>
      <c r="E113" s="486" t="s">
        <v>158</v>
      </c>
      <c r="F113" s="486" t="s">
        <v>274</v>
      </c>
      <c r="G113" s="510" t="s">
        <v>670</v>
      </c>
      <c r="H113" s="484">
        <v>20</v>
      </c>
      <c r="I113" s="484">
        <v>7</v>
      </c>
      <c r="J113" s="484">
        <v>7</v>
      </c>
      <c r="K113" s="482">
        <v>7580.9</v>
      </c>
      <c r="L113" s="482">
        <v>7580.9</v>
      </c>
      <c r="M113" s="482">
        <f t="shared" si="3"/>
        <v>0</v>
      </c>
      <c r="N113" s="484">
        <v>7</v>
      </c>
      <c r="O113" s="482">
        <v>9361.67</v>
      </c>
      <c r="P113" s="482">
        <v>9361.67</v>
      </c>
      <c r="Q113" s="482">
        <f t="shared" si="4"/>
        <v>0</v>
      </c>
    </row>
    <row r="114" spans="1:17" ht="15.75" customHeight="1" x14ac:dyDescent="0.2">
      <c r="A114" s="484">
        <f t="shared" si="5"/>
        <v>106</v>
      </c>
      <c r="B114" s="484" t="s">
        <v>120</v>
      </c>
      <c r="C114" s="516" t="s">
        <v>67</v>
      </c>
      <c r="D114" s="484" t="s">
        <v>493</v>
      </c>
      <c r="E114" s="486" t="s">
        <v>158</v>
      </c>
      <c r="F114" s="486" t="s">
        <v>468</v>
      </c>
      <c r="G114" s="510" t="s">
        <v>670</v>
      </c>
      <c r="H114" s="484">
        <v>14</v>
      </c>
      <c r="I114" s="484">
        <v>11</v>
      </c>
      <c r="J114" s="484">
        <v>12</v>
      </c>
      <c r="K114" s="482">
        <v>11996.24</v>
      </c>
      <c r="L114" s="482">
        <v>11996.24</v>
      </c>
      <c r="M114" s="482">
        <f t="shared" si="3"/>
        <v>0</v>
      </c>
      <c r="N114" s="484">
        <v>0</v>
      </c>
      <c r="O114" s="482">
        <v>0</v>
      </c>
      <c r="P114" s="482">
        <v>0</v>
      </c>
      <c r="Q114" s="482">
        <f t="shared" si="4"/>
        <v>0</v>
      </c>
    </row>
    <row r="115" spans="1:17" ht="15.75" customHeight="1" x14ac:dyDescent="0.2">
      <c r="A115" s="484">
        <f t="shared" si="5"/>
        <v>107</v>
      </c>
      <c r="B115" s="484" t="s">
        <v>407</v>
      </c>
      <c r="C115" s="516" t="s">
        <v>62</v>
      </c>
      <c r="D115" s="484"/>
      <c r="E115" s="486" t="s">
        <v>674</v>
      </c>
      <c r="F115" s="486" t="s">
        <v>512</v>
      </c>
      <c r="G115" s="510" t="s">
        <v>670</v>
      </c>
      <c r="H115" s="484">
        <v>8</v>
      </c>
      <c r="I115" s="484">
        <v>5</v>
      </c>
      <c r="J115" s="484">
        <v>6</v>
      </c>
      <c r="K115" s="482">
        <v>4577.1000000000004</v>
      </c>
      <c r="L115" s="482">
        <v>4577.1000000000004</v>
      </c>
      <c r="M115" s="482">
        <f t="shared" si="3"/>
        <v>0</v>
      </c>
      <c r="N115" s="484">
        <v>0</v>
      </c>
      <c r="O115" s="482">
        <v>0</v>
      </c>
      <c r="P115" s="482">
        <v>0</v>
      </c>
      <c r="Q115" s="482">
        <f t="shared" si="4"/>
        <v>0</v>
      </c>
    </row>
    <row r="116" spans="1:17" ht="15.75" customHeight="1" x14ac:dyDescent="0.2">
      <c r="A116" s="484">
        <f t="shared" si="5"/>
        <v>108</v>
      </c>
      <c r="B116" s="484" t="s">
        <v>122</v>
      </c>
      <c r="C116" s="516" t="s">
        <v>62</v>
      </c>
      <c r="D116" s="484" t="s">
        <v>63</v>
      </c>
      <c r="E116" s="486" t="s">
        <v>699</v>
      </c>
      <c r="F116" s="486" t="s">
        <v>276</v>
      </c>
      <c r="G116" s="510" t="s">
        <v>670</v>
      </c>
      <c r="H116" s="484">
        <v>13</v>
      </c>
      <c r="I116" s="484">
        <v>11</v>
      </c>
      <c r="J116" s="484">
        <v>18</v>
      </c>
      <c r="K116" s="482">
        <v>18022.7</v>
      </c>
      <c r="L116" s="482">
        <v>18022.7</v>
      </c>
      <c r="M116" s="482">
        <f t="shared" si="3"/>
        <v>0</v>
      </c>
      <c r="N116" s="484">
        <v>5</v>
      </c>
      <c r="O116" s="482">
        <v>9159.1299999999992</v>
      </c>
      <c r="P116" s="482">
        <v>9159.1299999999992</v>
      </c>
      <c r="Q116" s="482">
        <f t="shared" si="4"/>
        <v>0</v>
      </c>
    </row>
    <row r="117" spans="1:17" ht="15.75" customHeight="1" x14ac:dyDescent="0.2">
      <c r="A117" s="484">
        <f t="shared" si="5"/>
        <v>109</v>
      </c>
      <c r="B117" s="484" t="s">
        <v>133</v>
      </c>
      <c r="C117" s="516" t="s">
        <v>67</v>
      </c>
      <c r="D117" s="484" t="s">
        <v>494</v>
      </c>
      <c r="E117" s="486" t="s">
        <v>158</v>
      </c>
      <c r="F117" s="486" t="s">
        <v>620</v>
      </c>
      <c r="G117" s="510" t="s">
        <v>670</v>
      </c>
      <c r="H117" s="484">
        <v>14</v>
      </c>
      <c r="I117" s="484">
        <v>7</v>
      </c>
      <c r="J117" s="484">
        <v>10</v>
      </c>
      <c r="K117" s="482">
        <v>24017.200000000001</v>
      </c>
      <c r="L117" s="482">
        <v>24017.200000000001</v>
      </c>
      <c r="M117" s="482">
        <f t="shared" si="3"/>
        <v>0</v>
      </c>
      <c r="N117" s="484">
        <v>0</v>
      </c>
      <c r="O117" s="482">
        <v>0</v>
      </c>
      <c r="P117" s="482">
        <v>0</v>
      </c>
      <c r="Q117" s="482">
        <f t="shared" si="4"/>
        <v>0</v>
      </c>
    </row>
    <row r="118" spans="1:17" ht="15.75" customHeight="1" x14ac:dyDescent="0.2">
      <c r="A118" s="484">
        <f t="shared" si="5"/>
        <v>110</v>
      </c>
      <c r="B118" s="484" t="s">
        <v>96</v>
      </c>
      <c r="C118" s="516" t="s">
        <v>62</v>
      </c>
      <c r="D118" s="484" t="s">
        <v>63</v>
      </c>
      <c r="E118" s="486" t="s">
        <v>671</v>
      </c>
      <c r="F118" s="486" t="s">
        <v>277</v>
      </c>
      <c r="G118" s="510" t="s">
        <v>670</v>
      </c>
      <c r="H118" s="484">
        <v>40</v>
      </c>
      <c r="I118" s="484">
        <v>10</v>
      </c>
      <c r="J118" s="484">
        <v>12</v>
      </c>
      <c r="K118" s="482">
        <v>22080.639999999999</v>
      </c>
      <c r="L118" s="482">
        <v>22080.639999999999</v>
      </c>
      <c r="M118" s="482">
        <f t="shared" si="3"/>
        <v>0</v>
      </c>
      <c r="N118" s="484">
        <v>11</v>
      </c>
      <c r="O118" s="482">
        <v>47171.47</v>
      </c>
      <c r="P118" s="482">
        <v>47171.47</v>
      </c>
      <c r="Q118" s="482">
        <f t="shared" si="4"/>
        <v>0</v>
      </c>
    </row>
    <row r="119" spans="1:17" ht="15.75" customHeight="1" x14ac:dyDescent="0.2">
      <c r="A119" s="484">
        <f t="shared" si="5"/>
        <v>111</v>
      </c>
      <c r="B119" s="484" t="s">
        <v>48</v>
      </c>
      <c r="C119" s="516" t="s">
        <v>62</v>
      </c>
      <c r="D119" s="484" t="s">
        <v>63</v>
      </c>
      <c r="E119" s="486" t="s">
        <v>671</v>
      </c>
      <c r="F119" s="486" t="s">
        <v>278</v>
      </c>
      <c r="G119" s="510" t="s">
        <v>670</v>
      </c>
      <c r="H119" s="484">
        <v>56</v>
      </c>
      <c r="I119" s="484">
        <v>41</v>
      </c>
      <c r="J119" s="484">
        <v>65</v>
      </c>
      <c r="K119" s="482">
        <v>87897.82</v>
      </c>
      <c r="L119" s="482">
        <v>87897.82</v>
      </c>
      <c r="M119" s="482">
        <f t="shared" si="3"/>
        <v>0</v>
      </c>
      <c r="N119" s="484">
        <v>19</v>
      </c>
      <c r="O119" s="482">
        <v>79680.25</v>
      </c>
      <c r="P119" s="482">
        <v>79680.25</v>
      </c>
      <c r="Q119" s="482">
        <f t="shared" si="4"/>
        <v>0</v>
      </c>
    </row>
    <row r="120" spans="1:17" ht="15.75" customHeight="1" x14ac:dyDescent="0.2">
      <c r="A120" s="484">
        <f t="shared" si="5"/>
        <v>112</v>
      </c>
      <c r="B120" s="484" t="s">
        <v>49</v>
      </c>
      <c r="C120" s="516" t="s">
        <v>62</v>
      </c>
      <c r="D120" s="484" t="s">
        <v>63</v>
      </c>
      <c r="E120" s="486" t="s">
        <v>158</v>
      </c>
      <c r="F120" s="486" t="s">
        <v>279</v>
      </c>
      <c r="G120" s="510" t="s">
        <v>670</v>
      </c>
      <c r="H120" s="484">
        <v>27</v>
      </c>
      <c r="I120" s="484">
        <v>22</v>
      </c>
      <c r="J120" s="484">
        <v>25</v>
      </c>
      <c r="K120" s="482">
        <v>42604.57</v>
      </c>
      <c r="L120" s="482">
        <v>42604.57</v>
      </c>
      <c r="M120" s="482">
        <f t="shared" si="3"/>
        <v>0</v>
      </c>
      <c r="N120" s="484">
        <v>7</v>
      </c>
      <c r="O120" s="482">
        <f>37590.26+4052.83</f>
        <v>41643.090000000004</v>
      </c>
      <c r="P120" s="482">
        <f>37590.26+4052.83</f>
        <v>41643.090000000004</v>
      </c>
      <c r="Q120" s="482">
        <f t="shared" si="4"/>
        <v>0</v>
      </c>
    </row>
    <row r="121" spans="1:17" ht="15.75" customHeight="1" x14ac:dyDescent="0.2">
      <c r="A121" s="484">
        <f t="shared" si="5"/>
        <v>113</v>
      </c>
      <c r="B121" s="484" t="s">
        <v>50</v>
      </c>
      <c r="C121" s="516" t="s">
        <v>67</v>
      </c>
      <c r="D121" s="484" t="s">
        <v>123</v>
      </c>
      <c r="E121" s="486" t="s">
        <v>158</v>
      </c>
      <c r="F121" s="486" t="s">
        <v>280</v>
      </c>
      <c r="G121" s="510" t="s">
        <v>670</v>
      </c>
      <c r="H121" s="484">
        <v>8</v>
      </c>
      <c r="I121" s="484">
        <v>4</v>
      </c>
      <c r="J121" s="484">
        <v>4</v>
      </c>
      <c r="K121" s="482">
        <v>12811.52</v>
      </c>
      <c r="L121" s="482">
        <v>12811.52</v>
      </c>
      <c r="M121" s="482">
        <f t="shared" si="3"/>
        <v>0</v>
      </c>
      <c r="N121" s="484">
        <v>5</v>
      </c>
      <c r="O121" s="482">
        <v>21689.57</v>
      </c>
      <c r="P121" s="482">
        <v>21689.57</v>
      </c>
      <c r="Q121" s="482">
        <f t="shared" si="4"/>
        <v>0</v>
      </c>
    </row>
    <row r="122" spans="1:17" ht="15.75" customHeight="1" x14ac:dyDescent="0.2">
      <c r="A122" s="484">
        <f t="shared" si="5"/>
        <v>114</v>
      </c>
      <c r="B122" s="484" t="s">
        <v>281</v>
      </c>
      <c r="C122" s="516" t="s">
        <v>62</v>
      </c>
      <c r="D122" s="484"/>
      <c r="E122" s="486" t="s">
        <v>158</v>
      </c>
      <c r="F122" s="486" t="s">
        <v>283</v>
      </c>
      <c r="G122" s="510" t="s">
        <v>670</v>
      </c>
      <c r="H122" s="484">
        <v>27</v>
      </c>
      <c r="I122" s="484">
        <v>5</v>
      </c>
      <c r="J122" s="484">
        <v>5</v>
      </c>
      <c r="K122" s="482">
        <v>2685.29</v>
      </c>
      <c r="L122" s="482">
        <v>2685.29</v>
      </c>
      <c r="M122" s="482">
        <f t="shared" si="3"/>
        <v>0</v>
      </c>
      <c r="N122" s="484">
        <v>0</v>
      </c>
      <c r="O122" s="482">
        <v>0</v>
      </c>
      <c r="P122" s="482">
        <v>0</v>
      </c>
      <c r="Q122" s="482">
        <f t="shared" si="4"/>
        <v>0</v>
      </c>
    </row>
    <row r="123" spans="1:17" ht="15.75" customHeight="1" x14ac:dyDescent="0.2">
      <c r="A123" s="484">
        <f t="shared" si="5"/>
        <v>115</v>
      </c>
      <c r="B123" s="484" t="s">
        <v>124</v>
      </c>
      <c r="C123" s="516" t="s">
        <v>62</v>
      </c>
      <c r="D123" s="484" t="s">
        <v>63</v>
      </c>
      <c r="E123" s="486" t="s">
        <v>158</v>
      </c>
      <c r="F123" s="486" t="s">
        <v>284</v>
      </c>
      <c r="G123" s="510" t="s">
        <v>670</v>
      </c>
      <c r="H123" s="484">
        <v>35</v>
      </c>
      <c r="I123" s="484">
        <v>31</v>
      </c>
      <c r="J123" s="484">
        <v>44</v>
      </c>
      <c r="K123" s="482">
        <v>56018.86</v>
      </c>
      <c r="L123" s="482">
        <v>56018.86</v>
      </c>
      <c r="M123" s="482">
        <f t="shared" si="3"/>
        <v>0</v>
      </c>
      <c r="N123" s="484">
        <v>17</v>
      </c>
      <c r="O123" s="482">
        <f>27397.93-4131.64</f>
        <v>23266.29</v>
      </c>
      <c r="P123" s="482">
        <f>21019.74+2246.55</f>
        <v>23266.29</v>
      </c>
      <c r="Q123" s="482">
        <f t="shared" si="4"/>
        <v>0</v>
      </c>
    </row>
    <row r="124" spans="1:17" ht="15.75" customHeight="1" x14ac:dyDescent="0.2">
      <c r="A124" s="484">
        <f t="shared" si="5"/>
        <v>116</v>
      </c>
      <c r="B124" s="484" t="s">
        <v>51</v>
      </c>
      <c r="C124" s="516" t="s">
        <v>62</v>
      </c>
      <c r="D124" s="484" t="s">
        <v>63</v>
      </c>
      <c r="E124" s="486" t="s">
        <v>158</v>
      </c>
      <c r="F124" s="486" t="s">
        <v>285</v>
      </c>
      <c r="G124" s="510" t="s">
        <v>670</v>
      </c>
      <c r="H124" s="484">
        <v>20</v>
      </c>
      <c r="I124" s="484">
        <v>15</v>
      </c>
      <c r="J124" s="484">
        <v>15</v>
      </c>
      <c r="K124" s="482">
        <v>5873.82</v>
      </c>
      <c r="L124" s="482">
        <v>5873.82</v>
      </c>
      <c r="M124" s="482">
        <f t="shared" si="3"/>
        <v>0</v>
      </c>
      <c r="N124" s="484">
        <v>10</v>
      </c>
      <c r="O124" s="482">
        <v>1797.24</v>
      </c>
      <c r="P124" s="482">
        <v>1797.24</v>
      </c>
      <c r="Q124" s="482">
        <f t="shared" si="4"/>
        <v>0</v>
      </c>
    </row>
    <row r="125" spans="1:17" ht="15.75" customHeight="1" x14ac:dyDescent="0.2">
      <c r="A125" s="484">
        <f t="shared" si="5"/>
        <v>117</v>
      </c>
      <c r="B125" s="484" t="s">
        <v>665</v>
      </c>
      <c r="C125" s="516" t="s">
        <v>62</v>
      </c>
      <c r="D125" s="484" t="s">
        <v>63</v>
      </c>
      <c r="E125" s="486" t="s">
        <v>158</v>
      </c>
      <c r="F125" s="486" t="s">
        <v>666</v>
      </c>
      <c r="G125" s="510" t="s">
        <v>670</v>
      </c>
      <c r="H125" s="484">
        <v>0</v>
      </c>
      <c r="I125" s="484">
        <v>0</v>
      </c>
      <c r="J125" s="484">
        <v>0</v>
      </c>
      <c r="K125" s="482">
        <v>0</v>
      </c>
      <c r="L125" s="482">
        <v>0</v>
      </c>
      <c r="M125" s="482">
        <f t="shared" si="3"/>
        <v>0</v>
      </c>
      <c r="N125" s="484">
        <v>1</v>
      </c>
      <c r="O125" s="482">
        <v>1516.12</v>
      </c>
      <c r="P125" s="482">
        <v>1516.12</v>
      </c>
      <c r="Q125" s="482">
        <f t="shared" si="4"/>
        <v>0</v>
      </c>
    </row>
    <row r="126" spans="1:17" ht="15.75" customHeight="1" x14ac:dyDescent="0.2">
      <c r="A126" s="484">
        <f t="shared" si="5"/>
        <v>118</v>
      </c>
      <c r="B126" s="484" t="s">
        <v>286</v>
      </c>
      <c r="C126" s="516" t="s">
        <v>62</v>
      </c>
      <c r="D126" s="484"/>
      <c r="E126" s="486" t="s">
        <v>158</v>
      </c>
      <c r="F126" s="486" t="s">
        <v>287</v>
      </c>
      <c r="G126" s="510" t="s">
        <v>670</v>
      </c>
      <c r="H126" s="484">
        <v>19</v>
      </c>
      <c r="I126" s="484">
        <v>13</v>
      </c>
      <c r="J126" s="484">
        <v>16</v>
      </c>
      <c r="K126" s="482">
        <v>16457.87</v>
      </c>
      <c r="L126" s="482">
        <v>16457.87</v>
      </c>
      <c r="M126" s="482">
        <f t="shared" si="3"/>
        <v>0</v>
      </c>
      <c r="N126" s="484">
        <v>0</v>
      </c>
      <c r="O126" s="482">
        <v>0</v>
      </c>
      <c r="P126" s="482">
        <v>0</v>
      </c>
      <c r="Q126" s="482">
        <f t="shared" si="4"/>
        <v>0</v>
      </c>
    </row>
    <row r="127" spans="1:17" ht="15.75" customHeight="1" x14ac:dyDescent="0.2">
      <c r="A127" s="484">
        <f t="shared" si="5"/>
        <v>119</v>
      </c>
      <c r="B127" s="484" t="s">
        <v>52</v>
      </c>
      <c r="C127" s="516" t="s">
        <v>62</v>
      </c>
      <c r="D127" s="484" t="s">
        <v>63</v>
      </c>
      <c r="E127" s="486" t="s">
        <v>158</v>
      </c>
      <c r="F127" s="486" t="s">
        <v>125</v>
      </c>
      <c r="G127" s="510" t="s">
        <v>670</v>
      </c>
      <c r="H127" s="484">
        <v>3</v>
      </c>
      <c r="I127" s="484">
        <v>0</v>
      </c>
      <c r="J127" s="484">
        <v>0</v>
      </c>
      <c r="K127" s="482">
        <v>0</v>
      </c>
      <c r="L127" s="482">
        <v>0</v>
      </c>
      <c r="M127" s="482">
        <f t="shared" si="3"/>
        <v>0</v>
      </c>
      <c r="N127" s="484">
        <v>0</v>
      </c>
      <c r="O127" s="482">
        <v>0</v>
      </c>
      <c r="P127" s="482">
        <v>0</v>
      </c>
      <c r="Q127" s="482">
        <f t="shared" si="4"/>
        <v>0</v>
      </c>
    </row>
    <row r="128" spans="1:17" ht="15.75" customHeight="1" x14ac:dyDescent="0.2">
      <c r="A128" s="484">
        <f t="shared" si="5"/>
        <v>120</v>
      </c>
      <c r="B128" s="484" t="s">
        <v>469</v>
      </c>
      <c r="C128" s="516" t="s">
        <v>62</v>
      </c>
      <c r="D128" s="484" t="s">
        <v>63</v>
      </c>
      <c r="E128" s="486" t="s">
        <v>158</v>
      </c>
      <c r="F128" s="486" t="s">
        <v>470</v>
      </c>
      <c r="G128" s="510" t="s">
        <v>670</v>
      </c>
      <c r="H128" s="484">
        <v>1</v>
      </c>
      <c r="I128" s="484">
        <v>0</v>
      </c>
      <c r="J128" s="484">
        <v>0</v>
      </c>
      <c r="K128" s="482">
        <v>0</v>
      </c>
      <c r="L128" s="482">
        <v>0</v>
      </c>
      <c r="M128" s="482">
        <f t="shared" si="3"/>
        <v>0</v>
      </c>
      <c r="N128" s="484">
        <v>0</v>
      </c>
      <c r="O128" s="482">
        <v>0</v>
      </c>
      <c r="P128" s="482">
        <v>0</v>
      </c>
      <c r="Q128" s="482">
        <f t="shared" si="4"/>
        <v>0</v>
      </c>
    </row>
    <row r="129" spans="1:17" ht="15.75" customHeight="1" x14ac:dyDescent="0.2">
      <c r="A129" s="484">
        <f t="shared" si="5"/>
        <v>121</v>
      </c>
      <c r="B129" s="484" t="s">
        <v>53</v>
      </c>
      <c r="C129" s="516" t="s">
        <v>62</v>
      </c>
      <c r="D129" s="484" t="s">
        <v>63</v>
      </c>
      <c r="E129" s="486" t="s">
        <v>158</v>
      </c>
      <c r="F129" s="486" t="s">
        <v>126</v>
      </c>
      <c r="G129" s="510" t="s">
        <v>670</v>
      </c>
      <c r="H129" s="484">
        <v>8</v>
      </c>
      <c r="I129" s="484">
        <v>0</v>
      </c>
      <c r="J129" s="484">
        <v>0</v>
      </c>
      <c r="K129" s="482">
        <v>0</v>
      </c>
      <c r="L129" s="482">
        <v>0</v>
      </c>
      <c r="M129" s="482">
        <f t="shared" si="3"/>
        <v>0</v>
      </c>
      <c r="N129" s="484">
        <v>0</v>
      </c>
      <c r="O129" s="482">
        <v>0</v>
      </c>
      <c r="P129" s="482">
        <v>0</v>
      </c>
      <c r="Q129" s="482">
        <f t="shared" si="4"/>
        <v>0</v>
      </c>
    </row>
    <row r="130" spans="1:17" ht="15.75" customHeight="1" x14ac:dyDescent="0.2">
      <c r="A130" s="484">
        <f t="shared" si="5"/>
        <v>122</v>
      </c>
      <c r="B130" s="484" t="s">
        <v>151</v>
      </c>
      <c r="C130" s="516" t="s">
        <v>62</v>
      </c>
      <c r="D130" s="484" t="s">
        <v>63</v>
      </c>
      <c r="E130" s="486" t="s">
        <v>158</v>
      </c>
      <c r="F130" s="486" t="s">
        <v>288</v>
      </c>
      <c r="G130" s="510" t="s">
        <v>670</v>
      </c>
      <c r="H130" s="484">
        <v>10</v>
      </c>
      <c r="I130" s="484">
        <v>8</v>
      </c>
      <c r="J130" s="484">
        <v>10</v>
      </c>
      <c r="K130" s="482">
        <v>15560.06</v>
      </c>
      <c r="L130" s="482">
        <v>15560.06</v>
      </c>
      <c r="M130" s="482">
        <f t="shared" si="3"/>
        <v>0</v>
      </c>
      <c r="N130" s="484">
        <v>6</v>
      </c>
      <c r="O130" s="482">
        <v>14253.5</v>
      </c>
      <c r="P130" s="482">
        <v>14253.5</v>
      </c>
      <c r="Q130" s="482">
        <f t="shared" si="4"/>
        <v>0</v>
      </c>
    </row>
    <row r="131" spans="1:17" ht="15.75" customHeight="1" x14ac:dyDescent="0.2">
      <c r="A131" s="484">
        <f t="shared" si="5"/>
        <v>123</v>
      </c>
      <c r="B131" s="484" t="s">
        <v>155</v>
      </c>
      <c r="C131" s="516" t="s">
        <v>62</v>
      </c>
      <c r="D131" s="484" t="s">
        <v>63</v>
      </c>
      <c r="E131" s="486" t="s">
        <v>158</v>
      </c>
      <c r="F131" s="486" t="s">
        <v>289</v>
      </c>
      <c r="G131" s="510" t="s">
        <v>670</v>
      </c>
      <c r="H131" s="484">
        <v>15</v>
      </c>
      <c r="I131" s="484">
        <v>10</v>
      </c>
      <c r="J131" s="484">
        <v>15</v>
      </c>
      <c r="K131" s="482">
        <v>38355.85</v>
      </c>
      <c r="L131" s="482">
        <v>38355.85</v>
      </c>
      <c r="M131" s="482">
        <f t="shared" si="3"/>
        <v>0</v>
      </c>
      <c r="N131" s="484">
        <v>4</v>
      </c>
      <c r="O131" s="482">
        <v>28262.06</v>
      </c>
      <c r="P131" s="482">
        <v>28262.06</v>
      </c>
      <c r="Q131" s="482">
        <f t="shared" si="4"/>
        <v>0</v>
      </c>
    </row>
    <row r="132" spans="1:17" ht="15.75" customHeight="1" x14ac:dyDescent="0.2">
      <c r="A132" s="484">
        <f t="shared" si="5"/>
        <v>124</v>
      </c>
      <c r="B132" s="484" t="s">
        <v>290</v>
      </c>
      <c r="C132" s="516" t="s">
        <v>62</v>
      </c>
      <c r="D132" s="484"/>
      <c r="E132" s="486" t="s">
        <v>158</v>
      </c>
      <c r="F132" s="486" t="s">
        <v>292</v>
      </c>
      <c r="G132" s="510" t="s">
        <v>670</v>
      </c>
      <c r="H132" s="484">
        <v>40</v>
      </c>
      <c r="I132" s="484">
        <v>28</v>
      </c>
      <c r="J132" s="484">
        <v>36</v>
      </c>
      <c r="K132" s="482">
        <v>34384.86</v>
      </c>
      <c r="L132" s="482">
        <v>34384.86</v>
      </c>
      <c r="M132" s="482">
        <f t="shared" si="3"/>
        <v>0</v>
      </c>
      <c r="N132" s="484">
        <v>0</v>
      </c>
      <c r="O132" s="482">
        <v>0</v>
      </c>
      <c r="P132" s="482">
        <v>0</v>
      </c>
      <c r="Q132" s="482">
        <f t="shared" si="4"/>
        <v>0</v>
      </c>
    </row>
    <row r="133" spans="1:17" ht="15.75" customHeight="1" x14ac:dyDescent="0.2">
      <c r="A133" s="484">
        <f t="shared" si="5"/>
        <v>125</v>
      </c>
      <c r="B133" s="484" t="s">
        <v>495</v>
      </c>
      <c r="C133" s="516" t="s">
        <v>62</v>
      </c>
      <c r="D133" s="484"/>
      <c r="E133" s="486" t="s">
        <v>158</v>
      </c>
      <c r="F133" s="486" t="s">
        <v>496</v>
      </c>
      <c r="G133" s="510" t="s">
        <v>670</v>
      </c>
      <c r="H133" s="484">
        <v>31</v>
      </c>
      <c r="I133" s="484">
        <v>7</v>
      </c>
      <c r="J133" s="484">
        <v>7</v>
      </c>
      <c r="K133" s="482">
        <v>9234.7099999999991</v>
      </c>
      <c r="L133" s="482">
        <v>9234.7099999999991</v>
      </c>
      <c r="M133" s="482">
        <f t="shared" si="3"/>
        <v>0</v>
      </c>
      <c r="N133" s="484">
        <v>0</v>
      </c>
      <c r="O133" s="482">
        <v>0</v>
      </c>
      <c r="P133" s="482">
        <v>0</v>
      </c>
      <c r="Q133" s="482">
        <f t="shared" si="4"/>
        <v>0</v>
      </c>
    </row>
    <row r="134" spans="1:17" ht="15.75" customHeight="1" x14ac:dyDescent="0.2">
      <c r="A134" s="484">
        <f t="shared" si="5"/>
        <v>126</v>
      </c>
      <c r="B134" s="484" t="s">
        <v>134</v>
      </c>
      <c r="C134" s="516" t="s">
        <v>62</v>
      </c>
      <c r="D134" s="484" t="s">
        <v>63</v>
      </c>
      <c r="E134" s="486" t="s">
        <v>158</v>
      </c>
      <c r="F134" s="486" t="s">
        <v>293</v>
      </c>
      <c r="G134" s="510" t="s">
        <v>670</v>
      </c>
      <c r="H134" s="484">
        <v>8</v>
      </c>
      <c r="I134" s="484">
        <v>6</v>
      </c>
      <c r="J134" s="484">
        <v>7</v>
      </c>
      <c r="K134" s="482">
        <v>5018.5600000000004</v>
      </c>
      <c r="L134" s="482">
        <v>5018.5600000000004</v>
      </c>
      <c r="M134" s="482">
        <f t="shared" si="3"/>
        <v>0</v>
      </c>
      <c r="N134" s="484">
        <v>2</v>
      </c>
      <c r="O134" s="482">
        <f>10990.78+5462.2</f>
        <v>16452.98</v>
      </c>
      <c r="P134" s="482">
        <f>10990.78+5462.2</f>
        <v>16452.98</v>
      </c>
      <c r="Q134" s="482">
        <f t="shared" si="4"/>
        <v>0</v>
      </c>
    </row>
    <row r="135" spans="1:17" ht="15.75" customHeight="1" x14ac:dyDescent="0.2">
      <c r="A135" s="484">
        <f t="shared" si="5"/>
        <v>127</v>
      </c>
      <c r="B135" s="484" t="s">
        <v>127</v>
      </c>
      <c r="C135" s="516" t="s">
        <v>62</v>
      </c>
      <c r="D135" s="484" t="s">
        <v>63</v>
      </c>
      <c r="E135" s="486" t="s">
        <v>158</v>
      </c>
      <c r="F135" s="486" t="s">
        <v>294</v>
      </c>
      <c r="G135" s="510" t="s">
        <v>670</v>
      </c>
      <c r="H135" s="484">
        <v>9</v>
      </c>
      <c r="I135" s="484">
        <v>6</v>
      </c>
      <c r="J135" s="484">
        <v>7</v>
      </c>
      <c r="K135" s="482">
        <v>5794.74</v>
      </c>
      <c r="L135" s="482">
        <v>5794.74</v>
      </c>
      <c r="M135" s="482">
        <f t="shared" si="3"/>
        <v>0</v>
      </c>
      <c r="N135" s="484">
        <v>2</v>
      </c>
      <c r="O135" s="482">
        <v>3267.6</v>
      </c>
      <c r="P135" s="482">
        <v>3267.6</v>
      </c>
      <c r="Q135" s="482">
        <f t="shared" si="4"/>
        <v>0</v>
      </c>
    </row>
    <row r="136" spans="1:17" ht="15.75" customHeight="1" x14ac:dyDescent="0.2">
      <c r="A136" s="484">
        <f t="shared" si="5"/>
        <v>128</v>
      </c>
      <c r="B136" s="484" t="s">
        <v>55</v>
      </c>
      <c r="C136" s="516" t="s">
        <v>64</v>
      </c>
      <c r="D136" s="484" t="s">
        <v>66</v>
      </c>
      <c r="E136" s="486" t="s">
        <v>677</v>
      </c>
      <c r="F136" s="486" t="s">
        <v>295</v>
      </c>
      <c r="G136" s="510" t="s">
        <v>670</v>
      </c>
      <c r="H136" s="484">
        <v>8</v>
      </c>
      <c r="I136" s="484">
        <v>5</v>
      </c>
      <c r="J136" s="484">
        <v>5</v>
      </c>
      <c r="K136" s="482">
        <v>1989.43</v>
      </c>
      <c r="L136" s="482">
        <v>1989.43</v>
      </c>
      <c r="M136" s="482">
        <f t="shared" si="3"/>
        <v>0</v>
      </c>
      <c r="N136" s="484">
        <v>3</v>
      </c>
      <c r="O136" s="482">
        <v>17287.61</v>
      </c>
      <c r="P136" s="482">
        <v>17287.61</v>
      </c>
      <c r="Q136" s="482">
        <f t="shared" si="4"/>
        <v>0</v>
      </c>
    </row>
    <row r="137" spans="1:17" ht="15.75" customHeight="1" x14ac:dyDescent="0.2">
      <c r="A137" s="484">
        <f t="shared" si="5"/>
        <v>129</v>
      </c>
      <c r="B137" s="484" t="s">
        <v>135</v>
      </c>
      <c r="C137" s="516" t="s">
        <v>62</v>
      </c>
      <c r="D137" s="484" t="s">
        <v>63</v>
      </c>
      <c r="E137" s="486" t="s">
        <v>158</v>
      </c>
      <c r="F137" s="486" t="s">
        <v>296</v>
      </c>
      <c r="G137" s="510" t="s">
        <v>670</v>
      </c>
      <c r="H137" s="484">
        <v>7</v>
      </c>
      <c r="I137" s="484">
        <v>3</v>
      </c>
      <c r="J137" s="484">
        <v>3</v>
      </c>
      <c r="K137" s="482">
        <v>1786.07</v>
      </c>
      <c r="L137" s="482">
        <v>1786.07</v>
      </c>
      <c r="M137" s="482">
        <f t="shared" si="3"/>
        <v>0</v>
      </c>
      <c r="N137" s="484">
        <v>10</v>
      </c>
      <c r="O137" s="482">
        <f>18103.64-0.3</f>
        <v>18103.34</v>
      </c>
      <c r="P137" s="482">
        <f>18103.64-0.3</f>
        <v>18103.34</v>
      </c>
      <c r="Q137" s="482">
        <f t="shared" si="4"/>
        <v>0</v>
      </c>
    </row>
    <row r="138" spans="1:17" ht="15.75" customHeight="1" x14ac:dyDescent="0.2">
      <c r="A138" s="484">
        <f t="shared" si="5"/>
        <v>130</v>
      </c>
      <c r="B138" s="484" t="s">
        <v>128</v>
      </c>
      <c r="C138" s="516" t="s">
        <v>62</v>
      </c>
      <c r="D138" s="484" t="s">
        <v>63</v>
      </c>
      <c r="E138" s="486" t="s">
        <v>158</v>
      </c>
      <c r="F138" s="486" t="s">
        <v>297</v>
      </c>
      <c r="G138" s="510" t="s">
        <v>670</v>
      </c>
      <c r="H138" s="484">
        <v>2</v>
      </c>
      <c r="I138" s="484">
        <v>2</v>
      </c>
      <c r="J138" s="484">
        <v>2</v>
      </c>
      <c r="K138" s="482">
        <v>1303.8499999999999</v>
      </c>
      <c r="L138" s="482">
        <v>1303.8499999999999</v>
      </c>
      <c r="M138" s="482">
        <f t="shared" ref="M138:M168" si="6">K138-L138</f>
        <v>0</v>
      </c>
      <c r="N138" s="484">
        <v>1</v>
      </c>
      <c r="O138" s="482">
        <v>264.3</v>
      </c>
      <c r="P138" s="482">
        <v>264.3</v>
      </c>
      <c r="Q138" s="482">
        <f t="shared" ref="Q138:Q168" si="7">O138-P138</f>
        <v>0</v>
      </c>
    </row>
    <row r="139" spans="1:17" ht="15.75" customHeight="1" x14ac:dyDescent="0.2">
      <c r="A139" s="484">
        <f t="shared" ref="A139:A202" si="8">A138+1</f>
        <v>131</v>
      </c>
      <c r="B139" s="484" t="s">
        <v>508</v>
      </c>
      <c r="C139" s="516" t="s">
        <v>64</v>
      </c>
      <c r="D139" s="484" t="s">
        <v>551</v>
      </c>
      <c r="E139" s="486" t="s">
        <v>158</v>
      </c>
      <c r="F139" s="486" t="s">
        <v>552</v>
      </c>
      <c r="G139" s="510" t="s">
        <v>670</v>
      </c>
      <c r="H139" s="484">
        <v>31</v>
      </c>
      <c r="I139" s="484">
        <v>17</v>
      </c>
      <c r="J139" s="484">
        <v>18</v>
      </c>
      <c r="K139" s="482">
        <v>11219.42</v>
      </c>
      <c r="L139" s="482">
        <v>11219.42</v>
      </c>
      <c r="M139" s="482">
        <f t="shared" si="6"/>
        <v>0</v>
      </c>
      <c r="N139" s="484">
        <v>0</v>
      </c>
      <c r="O139" s="482">
        <v>0</v>
      </c>
      <c r="P139" s="482">
        <v>0</v>
      </c>
      <c r="Q139" s="482">
        <f t="shared" si="7"/>
        <v>0</v>
      </c>
    </row>
    <row r="140" spans="1:17" ht="15.75" customHeight="1" x14ac:dyDescent="0.2">
      <c r="A140" s="484">
        <f t="shared" si="8"/>
        <v>132</v>
      </c>
      <c r="B140" s="484" t="s">
        <v>497</v>
      </c>
      <c r="C140" s="516" t="s">
        <v>62</v>
      </c>
      <c r="D140" s="484"/>
      <c r="E140" s="486" t="s">
        <v>158</v>
      </c>
      <c r="F140" s="486" t="s">
        <v>498</v>
      </c>
      <c r="G140" s="510" t="s">
        <v>670</v>
      </c>
      <c r="H140" s="484">
        <v>63</v>
      </c>
      <c r="I140" s="484">
        <v>38</v>
      </c>
      <c r="J140" s="484">
        <v>40</v>
      </c>
      <c r="K140" s="482">
        <v>29545.75</v>
      </c>
      <c r="L140" s="482">
        <v>29545.75</v>
      </c>
      <c r="M140" s="482">
        <f t="shared" si="6"/>
        <v>0</v>
      </c>
      <c r="N140" s="484">
        <v>0</v>
      </c>
      <c r="O140" s="482">
        <v>0</v>
      </c>
      <c r="P140" s="482">
        <v>0</v>
      </c>
      <c r="Q140" s="482">
        <f t="shared" si="7"/>
        <v>0</v>
      </c>
    </row>
    <row r="141" spans="1:17" ht="15.75" customHeight="1" x14ac:dyDescent="0.2">
      <c r="A141" s="484">
        <f t="shared" si="8"/>
        <v>133</v>
      </c>
      <c r="B141" s="484" t="s">
        <v>646</v>
      </c>
      <c r="C141" s="516" t="s">
        <v>62</v>
      </c>
      <c r="D141" s="484" t="s">
        <v>63</v>
      </c>
      <c r="E141" s="486" t="s">
        <v>158</v>
      </c>
      <c r="F141" s="486" t="s">
        <v>647</v>
      </c>
      <c r="G141" s="510" t="s">
        <v>670</v>
      </c>
      <c r="H141" s="484">
        <v>4</v>
      </c>
      <c r="I141" s="484">
        <v>0</v>
      </c>
      <c r="J141" s="484">
        <v>0</v>
      </c>
      <c r="K141" s="482">
        <v>0</v>
      </c>
      <c r="L141" s="482">
        <v>0</v>
      </c>
      <c r="M141" s="482">
        <f t="shared" si="6"/>
        <v>0</v>
      </c>
      <c r="N141" s="484">
        <v>0</v>
      </c>
      <c r="O141" s="482">
        <v>0</v>
      </c>
      <c r="P141" s="482">
        <v>0</v>
      </c>
      <c r="Q141" s="482">
        <f t="shared" si="7"/>
        <v>0</v>
      </c>
    </row>
    <row r="142" spans="1:17" ht="15.75" customHeight="1" x14ac:dyDescent="0.2">
      <c r="A142" s="484">
        <f t="shared" si="8"/>
        <v>134</v>
      </c>
      <c r="B142" s="484" t="s">
        <v>56</v>
      </c>
      <c r="C142" s="516" t="s">
        <v>62</v>
      </c>
      <c r="D142" s="484" t="s">
        <v>63</v>
      </c>
      <c r="E142" s="486" t="s">
        <v>701</v>
      </c>
      <c r="F142" s="486" t="s">
        <v>298</v>
      </c>
      <c r="G142" s="510" t="s">
        <v>670</v>
      </c>
      <c r="H142" s="484">
        <v>98</v>
      </c>
      <c r="I142" s="484">
        <v>86</v>
      </c>
      <c r="J142" s="484">
        <v>128</v>
      </c>
      <c r="K142" s="482">
        <v>140627.04</v>
      </c>
      <c r="L142" s="482">
        <f>121877.98+2865.51</f>
        <v>124743.48999999999</v>
      </c>
      <c r="M142" s="482">
        <f t="shared" si="6"/>
        <v>15883.550000000017</v>
      </c>
      <c r="N142" s="484">
        <v>32</v>
      </c>
      <c r="O142" s="482">
        <v>97693.16</v>
      </c>
      <c r="P142" s="482">
        <v>97693.16</v>
      </c>
      <c r="Q142" s="482">
        <f t="shared" si="7"/>
        <v>0</v>
      </c>
    </row>
    <row r="143" spans="1:17" ht="15.75" customHeight="1" x14ac:dyDescent="0.2">
      <c r="A143" s="484">
        <f t="shared" si="8"/>
        <v>135</v>
      </c>
      <c r="B143" s="484" t="s">
        <v>638</v>
      </c>
      <c r="C143" s="516" t="s">
        <v>67</v>
      </c>
      <c r="D143" s="484" t="s">
        <v>639</v>
      </c>
      <c r="E143" s="486" t="s">
        <v>690</v>
      </c>
      <c r="F143" s="486" t="s">
        <v>641</v>
      </c>
      <c r="G143" s="510" t="s">
        <v>670</v>
      </c>
      <c r="H143" s="484">
        <v>7</v>
      </c>
      <c r="I143" s="484">
        <v>1</v>
      </c>
      <c r="J143" s="484">
        <v>1</v>
      </c>
      <c r="K143" s="482">
        <v>0</v>
      </c>
      <c r="L143" s="482">
        <v>0</v>
      </c>
      <c r="M143" s="482">
        <f t="shared" si="6"/>
        <v>0</v>
      </c>
      <c r="N143" s="484">
        <v>0</v>
      </c>
      <c r="O143" s="482">
        <v>0</v>
      </c>
      <c r="P143" s="482">
        <v>0</v>
      </c>
      <c r="Q143" s="482">
        <f t="shared" si="7"/>
        <v>0</v>
      </c>
    </row>
    <row r="144" spans="1:17" ht="15.75" customHeight="1" x14ac:dyDescent="0.2">
      <c r="A144" s="484">
        <f t="shared" si="8"/>
        <v>136</v>
      </c>
      <c r="B144" s="484" t="s">
        <v>299</v>
      </c>
      <c r="C144" s="516" t="s">
        <v>62</v>
      </c>
      <c r="D144" s="484"/>
      <c r="E144" s="486" t="s">
        <v>158</v>
      </c>
      <c r="F144" s="486" t="s">
        <v>300</v>
      </c>
      <c r="G144" s="510" t="s">
        <v>670</v>
      </c>
      <c r="H144" s="484">
        <v>23</v>
      </c>
      <c r="I144" s="484">
        <v>20</v>
      </c>
      <c r="J144" s="484">
        <v>24</v>
      </c>
      <c r="K144" s="482">
        <v>18541.13</v>
      </c>
      <c r="L144" s="482">
        <v>18541.13</v>
      </c>
      <c r="M144" s="482">
        <f t="shared" si="6"/>
        <v>0</v>
      </c>
      <c r="N144" s="484">
        <v>0</v>
      </c>
      <c r="O144" s="482">
        <v>0</v>
      </c>
      <c r="P144" s="482">
        <v>0</v>
      </c>
      <c r="Q144" s="482">
        <f t="shared" si="7"/>
        <v>0</v>
      </c>
    </row>
    <row r="145" spans="1:17" ht="15.75" customHeight="1" x14ac:dyDescent="0.2">
      <c r="A145" s="484">
        <f t="shared" si="8"/>
        <v>137</v>
      </c>
      <c r="B145" s="484" t="s">
        <v>156</v>
      </c>
      <c r="C145" s="516" t="s">
        <v>67</v>
      </c>
      <c r="D145" s="484" t="s">
        <v>499</v>
      </c>
      <c r="E145" s="486" t="s">
        <v>158</v>
      </c>
      <c r="F145" s="486" t="s">
        <v>301</v>
      </c>
      <c r="G145" s="510" t="s">
        <v>670</v>
      </c>
      <c r="H145" s="484">
        <v>40</v>
      </c>
      <c r="I145" s="484">
        <v>32</v>
      </c>
      <c r="J145" s="484">
        <v>38</v>
      </c>
      <c r="K145" s="482">
        <v>36129.29</v>
      </c>
      <c r="L145" s="482">
        <v>36129.29</v>
      </c>
      <c r="M145" s="482">
        <f t="shared" si="6"/>
        <v>0</v>
      </c>
      <c r="N145" s="484">
        <v>37</v>
      </c>
      <c r="O145" s="482">
        <v>66837.119999999995</v>
      </c>
      <c r="P145" s="482">
        <v>66837.119999999995</v>
      </c>
      <c r="Q145" s="482">
        <f t="shared" si="7"/>
        <v>0</v>
      </c>
    </row>
    <row r="146" spans="1:17" ht="15.75" customHeight="1" x14ac:dyDescent="0.2">
      <c r="A146" s="484">
        <f t="shared" si="8"/>
        <v>138</v>
      </c>
      <c r="B146" s="484" t="s">
        <v>302</v>
      </c>
      <c r="C146" s="516" t="s">
        <v>62</v>
      </c>
      <c r="D146" s="484"/>
      <c r="E146" s="486" t="s">
        <v>371</v>
      </c>
      <c r="F146" s="486" t="s">
        <v>303</v>
      </c>
      <c r="G146" s="510" t="s">
        <v>670</v>
      </c>
      <c r="H146" s="484">
        <v>17</v>
      </c>
      <c r="I146" s="484">
        <v>15</v>
      </c>
      <c r="J146" s="484">
        <v>18</v>
      </c>
      <c r="K146" s="482">
        <v>9697.18</v>
      </c>
      <c r="L146" s="482">
        <v>9697.18</v>
      </c>
      <c r="M146" s="482">
        <f t="shared" si="6"/>
        <v>0</v>
      </c>
      <c r="N146" s="484">
        <v>0</v>
      </c>
      <c r="O146" s="482">
        <v>0</v>
      </c>
      <c r="P146" s="482">
        <v>0</v>
      </c>
      <c r="Q146" s="482">
        <f t="shared" si="7"/>
        <v>0</v>
      </c>
    </row>
    <row r="147" spans="1:17" ht="15.75" customHeight="1" x14ac:dyDescent="0.2">
      <c r="A147" s="484">
        <f t="shared" si="8"/>
        <v>139</v>
      </c>
      <c r="B147" s="484" t="s">
        <v>140</v>
      </c>
      <c r="C147" s="516" t="s">
        <v>62</v>
      </c>
      <c r="D147" s="484" t="s">
        <v>63</v>
      </c>
      <c r="E147" s="486" t="s">
        <v>158</v>
      </c>
      <c r="F147" s="486" t="s">
        <v>304</v>
      </c>
      <c r="G147" s="510" t="s">
        <v>670</v>
      </c>
      <c r="H147" s="484">
        <v>66</v>
      </c>
      <c r="I147" s="484">
        <v>56</v>
      </c>
      <c r="J147" s="484">
        <v>60</v>
      </c>
      <c r="K147" s="482">
        <v>49113.38</v>
      </c>
      <c r="L147" s="482">
        <v>49113.38</v>
      </c>
      <c r="M147" s="482">
        <f t="shared" si="6"/>
        <v>0</v>
      </c>
      <c r="N147" s="484">
        <v>19</v>
      </c>
      <c r="O147" s="482">
        <v>43411.7</v>
      </c>
      <c r="P147" s="482">
        <v>43411.7</v>
      </c>
      <c r="Q147" s="482">
        <f t="shared" si="7"/>
        <v>0</v>
      </c>
    </row>
    <row r="148" spans="1:17" ht="15.75" customHeight="1" x14ac:dyDescent="0.2">
      <c r="A148" s="484">
        <f t="shared" si="8"/>
        <v>140</v>
      </c>
      <c r="B148" s="484" t="s">
        <v>305</v>
      </c>
      <c r="C148" s="516" t="s">
        <v>62</v>
      </c>
      <c r="D148" s="484"/>
      <c r="E148" s="486" t="s">
        <v>674</v>
      </c>
      <c r="F148" s="486" t="s">
        <v>513</v>
      </c>
      <c r="G148" s="510" t="s">
        <v>670</v>
      </c>
      <c r="H148" s="484">
        <v>15</v>
      </c>
      <c r="I148" s="484">
        <v>12</v>
      </c>
      <c r="J148" s="484">
        <v>13</v>
      </c>
      <c r="K148" s="482">
        <v>6542.9</v>
      </c>
      <c r="L148" s="482">
        <v>6542.9</v>
      </c>
      <c r="M148" s="482">
        <f t="shared" si="6"/>
        <v>0</v>
      </c>
      <c r="N148" s="484">
        <v>0</v>
      </c>
      <c r="O148" s="482">
        <v>0</v>
      </c>
      <c r="P148" s="482">
        <v>0</v>
      </c>
      <c r="Q148" s="482">
        <f t="shared" si="7"/>
        <v>0</v>
      </c>
    </row>
    <row r="149" spans="1:17" ht="15.75" customHeight="1" x14ac:dyDescent="0.2">
      <c r="A149" s="484">
        <f t="shared" si="8"/>
        <v>141</v>
      </c>
      <c r="B149" s="484" t="s">
        <v>702</v>
      </c>
      <c r="C149" s="516" t="s">
        <v>62</v>
      </c>
      <c r="D149" s="484"/>
      <c r="E149" s="486" t="s">
        <v>158</v>
      </c>
      <c r="F149" s="486" t="s">
        <v>733</v>
      </c>
      <c r="G149" s="510" t="s">
        <v>670</v>
      </c>
      <c r="H149" s="484">
        <v>2</v>
      </c>
      <c r="I149" s="484">
        <v>1</v>
      </c>
      <c r="J149" s="484">
        <v>1</v>
      </c>
      <c r="K149" s="482">
        <v>649.87</v>
      </c>
      <c r="L149" s="482">
        <v>649.87</v>
      </c>
      <c r="M149" s="482">
        <f t="shared" si="6"/>
        <v>0</v>
      </c>
      <c r="N149" s="484">
        <v>0</v>
      </c>
      <c r="O149" s="482">
        <v>0</v>
      </c>
      <c r="P149" s="482">
        <v>0</v>
      </c>
      <c r="Q149" s="482">
        <f t="shared" si="7"/>
        <v>0</v>
      </c>
    </row>
    <row r="150" spans="1:17" ht="15.75" customHeight="1" x14ac:dyDescent="0.2">
      <c r="A150" s="484">
        <f t="shared" si="8"/>
        <v>142</v>
      </c>
      <c r="B150" s="484" t="s">
        <v>471</v>
      </c>
      <c r="C150" s="516" t="s">
        <v>64</v>
      </c>
      <c r="D150" s="484" t="s">
        <v>65</v>
      </c>
      <c r="E150" s="486" t="s">
        <v>158</v>
      </c>
      <c r="F150" s="486" t="s">
        <v>472</v>
      </c>
      <c r="G150" s="510" t="s">
        <v>670</v>
      </c>
      <c r="H150" s="484">
        <v>0</v>
      </c>
      <c r="I150" s="484">
        <v>0</v>
      </c>
      <c r="J150" s="484">
        <v>0</v>
      </c>
      <c r="K150" s="482">
        <v>0</v>
      </c>
      <c r="L150" s="482">
        <v>0</v>
      </c>
      <c r="M150" s="482">
        <f t="shared" si="6"/>
        <v>0</v>
      </c>
      <c r="N150" s="484">
        <v>1</v>
      </c>
      <c r="O150" s="482">
        <v>0</v>
      </c>
      <c r="P150" s="482">
        <v>0</v>
      </c>
      <c r="Q150" s="482">
        <f t="shared" si="7"/>
        <v>0</v>
      </c>
    </row>
    <row r="151" spans="1:17" ht="15.75" customHeight="1" x14ac:dyDescent="0.2">
      <c r="A151" s="484">
        <f t="shared" si="8"/>
        <v>143</v>
      </c>
      <c r="B151" s="484" t="s">
        <v>57</v>
      </c>
      <c r="C151" s="516" t="s">
        <v>62</v>
      </c>
      <c r="D151" s="484" t="s">
        <v>63</v>
      </c>
      <c r="E151" s="486" t="s">
        <v>698</v>
      </c>
      <c r="F151" s="486" t="s">
        <v>306</v>
      </c>
      <c r="G151" s="510" t="s">
        <v>670</v>
      </c>
      <c r="H151" s="484">
        <v>38</v>
      </c>
      <c r="I151" s="484">
        <v>18</v>
      </c>
      <c r="J151" s="484">
        <v>21</v>
      </c>
      <c r="K151" s="482">
        <v>19342.23</v>
      </c>
      <c r="L151" s="482">
        <v>19342.23</v>
      </c>
      <c r="M151" s="482">
        <f t="shared" si="6"/>
        <v>0</v>
      </c>
      <c r="N151" s="484">
        <v>21</v>
      </c>
      <c r="O151" s="482">
        <v>109281.48</v>
      </c>
      <c r="P151" s="482">
        <f>92362.92+3000</f>
        <v>95362.92</v>
      </c>
      <c r="Q151" s="482">
        <f t="shared" si="7"/>
        <v>13918.559999999998</v>
      </c>
    </row>
    <row r="152" spans="1:17" ht="15.75" customHeight="1" x14ac:dyDescent="0.2">
      <c r="A152" s="484">
        <f t="shared" si="8"/>
        <v>144</v>
      </c>
      <c r="B152" s="484" t="s">
        <v>648</v>
      </c>
      <c r="C152" s="516" t="s">
        <v>62</v>
      </c>
      <c r="D152" s="484"/>
      <c r="E152" s="486" t="s">
        <v>158</v>
      </c>
      <c r="F152" s="486" t="s">
        <v>650</v>
      </c>
      <c r="G152" s="510" t="s">
        <v>670</v>
      </c>
      <c r="H152" s="484">
        <v>12</v>
      </c>
      <c r="I152" s="484">
        <v>8</v>
      </c>
      <c r="J152" s="484">
        <v>9</v>
      </c>
      <c r="K152" s="482">
        <v>4135.99</v>
      </c>
      <c r="L152" s="482">
        <v>1233.47</v>
      </c>
      <c r="M152" s="482">
        <f t="shared" si="6"/>
        <v>2902.5199999999995</v>
      </c>
      <c r="N152" s="484">
        <v>0</v>
      </c>
      <c r="O152" s="482">
        <v>0</v>
      </c>
      <c r="P152" s="482">
        <v>0</v>
      </c>
      <c r="Q152" s="482">
        <f t="shared" si="7"/>
        <v>0</v>
      </c>
    </row>
    <row r="153" spans="1:17" ht="15.75" customHeight="1" x14ac:dyDescent="0.2">
      <c r="A153" s="484">
        <f t="shared" si="8"/>
        <v>145</v>
      </c>
      <c r="B153" s="484" t="s">
        <v>473</v>
      </c>
      <c r="C153" s="516" t="s">
        <v>62</v>
      </c>
      <c r="D153" s="484"/>
      <c r="E153" s="486" t="s">
        <v>158</v>
      </c>
      <c r="F153" s="486" t="s">
        <v>500</v>
      </c>
      <c r="G153" s="510" t="s">
        <v>670</v>
      </c>
      <c r="H153" s="484">
        <v>17</v>
      </c>
      <c r="I153" s="484">
        <v>12</v>
      </c>
      <c r="J153" s="484">
        <v>14</v>
      </c>
      <c r="K153" s="482">
        <f>9948.68+1377.07</f>
        <v>11325.75</v>
      </c>
      <c r="L153" s="482">
        <f>9948.68+1377.07</f>
        <v>11325.75</v>
      </c>
      <c r="M153" s="482">
        <f t="shared" si="6"/>
        <v>0</v>
      </c>
      <c r="N153" s="484">
        <v>4</v>
      </c>
      <c r="O153" s="482">
        <v>20865.919999999998</v>
      </c>
      <c r="P153" s="482">
        <v>20865.919999999998</v>
      </c>
      <c r="Q153" s="482">
        <f t="shared" si="7"/>
        <v>0</v>
      </c>
    </row>
    <row r="154" spans="1:17" ht="15.75" customHeight="1" x14ac:dyDescent="0.2">
      <c r="A154" s="484">
        <f t="shared" si="8"/>
        <v>146</v>
      </c>
      <c r="B154" s="484" t="s">
        <v>129</v>
      </c>
      <c r="C154" s="516" t="s">
        <v>62</v>
      </c>
      <c r="D154" s="484" t="s">
        <v>63</v>
      </c>
      <c r="E154" s="486" t="s">
        <v>158</v>
      </c>
      <c r="F154" s="486" t="s">
        <v>307</v>
      </c>
      <c r="G154" s="510" t="s">
        <v>670</v>
      </c>
      <c r="H154" s="484">
        <v>0</v>
      </c>
      <c r="I154" s="484">
        <v>0</v>
      </c>
      <c r="J154" s="484">
        <v>0</v>
      </c>
      <c r="K154" s="482">
        <v>0</v>
      </c>
      <c r="L154" s="482">
        <v>0</v>
      </c>
      <c r="M154" s="482">
        <f t="shared" si="6"/>
        <v>0</v>
      </c>
      <c r="N154" s="484">
        <v>4</v>
      </c>
      <c r="O154" s="482">
        <f>2390.47+10607.41</f>
        <v>12997.88</v>
      </c>
      <c r="P154" s="482">
        <f>2390.47+10607.41</f>
        <v>12997.88</v>
      </c>
      <c r="Q154" s="482">
        <f t="shared" si="7"/>
        <v>0</v>
      </c>
    </row>
    <row r="155" spans="1:17" ht="15.75" customHeight="1" x14ac:dyDescent="0.2">
      <c r="A155" s="484">
        <f t="shared" si="8"/>
        <v>147</v>
      </c>
      <c r="B155" s="484" t="s">
        <v>58</v>
      </c>
      <c r="C155" s="516" t="s">
        <v>62</v>
      </c>
      <c r="D155" s="484" t="s">
        <v>63</v>
      </c>
      <c r="E155" s="486" t="s">
        <v>158</v>
      </c>
      <c r="F155" s="486" t="s">
        <v>308</v>
      </c>
      <c r="G155" s="510" t="s">
        <v>670</v>
      </c>
      <c r="H155" s="484">
        <v>236</v>
      </c>
      <c r="I155" s="484">
        <v>225</v>
      </c>
      <c r="J155" s="484">
        <v>256</v>
      </c>
      <c r="K155" s="482">
        <v>246573.61</v>
      </c>
      <c r="L155" s="482">
        <f>219265.57+611.21</f>
        <v>219876.78</v>
      </c>
      <c r="M155" s="482">
        <f t="shared" si="6"/>
        <v>26696.829999999987</v>
      </c>
      <c r="N155" s="484">
        <v>62</v>
      </c>
      <c r="O155" s="482">
        <v>217678.14</v>
      </c>
      <c r="P155" s="482">
        <v>217678.14</v>
      </c>
      <c r="Q155" s="482">
        <f t="shared" si="7"/>
        <v>0</v>
      </c>
    </row>
    <row r="156" spans="1:17" ht="15.75" customHeight="1" x14ac:dyDescent="0.2">
      <c r="A156" s="484">
        <f t="shared" si="8"/>
        <v>148</v>
      </c>
      <c r="B156" s="484" t="s">
        <v>59</v>
      </c>
      <c r="C156" s="516" t="s">
        <v>64</v>
      </c>
      <c r="D156" s="484" t="s">
        <v>66</v>
      </c>
      <c r="E156" s="486" t="s">
        <v>677</v>
      </c>
      <c r="F156" s="486" t="s">
        <v>309</v>
      </c>
      <c r="G156" s="510" t="s">
        <v>670</v>
      </c>
      <c r="H156" s="484">
        <v>42</v>
      </c>
      <c r="I156" s="484">
        <v>34</v>
      </c>
      <c r="J156" s="484">
        <v>53</v>
      </c>
      <c r="K156" s="482">
        <v>90310.61</v>
      </c>
      <c r="L156" s="482">
        <v>83144.350000000006</v>
      </c>
      <c r="M156" s="482">
        <f t="shared" si="6"/>
        <v>7166.2599999999948</v>
      </c>
      <c r="N156" s="484">
        <v>32</v>
      </c>
      <c r="O156" s="482">
        <v>128048.16</v>
      </c>
      <c r="P156" s="482">
        <f>108860.27+3000</f>
        <v>111860.27</v>
      </c>
      <c r="Q156" s="482">
        <f t="shared" si="7"/>
        <v>16187.89</v>
      </c>
    </row>
    <row r="157" spans="1:17" ht="15.75" customHeight="1" x14ac:dyDescent="0.2">
      <c r="A157" s="484">
        <f t="shared" si="8"/>
        <v>149</v>
      </c>
      <c r="B157" s="484" t="s">
        <v>130</v>
      </c>
      <c r="C157" s="516" t="s">
        <v>62</v>
      </c>
      <c r="D157" s="484" t="s">
        <v>63</v>
      </c>
      <c r="E157" s="486" t="s">
        <v>158</v>
      </c>
      <c r="F157" s="486" t="s">
        <v>553</v>
      </c>
      <c r="G157" s="510" t="s">
        <v>670</v>
      </c>
      <c r="H157" s="484">
        <v>7</v>
      </c>
      <c r="I157" s="484">
        <v>2</v>
      </c>
      <c r="J157" s="484">
        <v>2</v>
      </c>
      <c r="K157" s="482">
        <v>299.54000000000002</v>
      </c>
      <c r="L157" s="482">
        <v>299.54000000000002</v>
      </c>
      <c r="M157" s="482">
        <f t="shared" si="6"/>
        <v>0</v>
      </c>
      <c r="N157" s="484">
        <v>5</v>
      </c>
      <c r="O157" s="482">
        <f>14754.22+5264.54</f>
        <v>20018.759999999998</v>
      </c>
      <c r="P157" s="482">
        <f>14754.22+5264.54</f>
        <v>20018.759999999998</v>
      </c>
      <c r="Q157" s="482">
        <f t="shared" si="7"/>
        <v>0</v>
      </c>
    </row>
    <row r="158" spans="1:17" ht="15.75" customHeight="1" x14ac:dyDescent="0.2">
      <c r="A158" s="484">
        <f t="shared" si="8"/>
        <v>150</v>
      </c>
      <c r="B158" s="484" t="s">
        <v>97</v>
      </c>
      <c r="C158" s="516" t="s">
        <v>62</v>
      </c>
      <c r="D158" s="484" t="s">
        <v>63</v>
      </c>
      <c r="E158" s="486" t="s">
        <v>158</v>
      </c>
      <c r="F158" s="486" t="s">
        <v>310</v>
      </c>
      <c r="G158" s="510" t="s">
        <v>670</v>
      </c>
      <c r="H158" s="484">
        <v>7</v>
      </c>
      <c r="I158" s="484">
        <v>4</v>
      </c>
      <c r="J158" s="484">
        <v>4</v>
      </c>
      <c r="K158" s="482">
        <f>5524.96+2973.38</f>
        <v>8498.34</v>
      </c>
      <c r="L158" s="482">
        <f>5524.96+2973.38</f>
        <v>8498.34</v>
      </c>
      <c r="M158" s="482">
        <f t="shared" si="6"/>
        <v>0</v>
      </c>
      <c r="N158" s="484">
        <v>1</v>
      </c>
      <c r="O158" s="482">
        <v>808.76</v>
      </c>
      <c r="P158" s="482">
        <v>808.76</v>
      </c>
      <c r="Q158" s="482">
        <f t="shared" si="7"/>
        <v>0</v>
      </c>
    </row>
    <row r="159" spans="1:17" ht="15.75" customHeight="1" x14ac:dyDescent="0.2">
      <c r="A159" s="484">
        <f t="shared" si="8"/>
        <v>151</v>
      </c>
      <c r="B159" s="484" t="s">
        <v>667</v>
      </c>
      <c r="C159" s="516" t="s">
        <v>62</v>
      </c>
      <c r="D159" s="484"/>
      <c r="E159" s="486" t="s">
        <v>158</v>
      </c>
      <c r="F159" s="486" t="s">
        <v>668</v>
      </c>
      <c r="G159" s="510" t="s">
        <v>670</v>
      </c>
      <c r="H159" s="484">
        <v>5</v>
      </c>
      <c r="I159" s="484">
        <v>2</v>
      </c>
      <c r="J159" s="484">
        <v>2</v>
      </c>
      <c r="K159" s="482">
        <v>0</v>
      </c>
      <c r="L159" s="482">
        <v>0</v>
      </c>
      <c r="M159" s="482">
        <f t="shared" si="6"/>
        <v>0</v>
      </c>
      <c r="N159" s="484">
        <v>0</v>
      </c>
      <c r="O159" s="482">
        <v>0</v>
      </c>
      <c r="P159" s="482">
        <v>0</v>
      </c>
      <c r="Q159" s="482">
        <f t="shared" si="7"/>
        <v>0</v>
      </c>
    </row>
    <row r="160" spans="1:17" ht="15.75" customHeight="1" x14ac:dyDescent="0.2">
      <c r="A160" s="484">
        <f t="shared" si="8"/>
        <v>152</v>
      </c>
      <c r="B160" s="484" t="s">
        <v>514</v>
      </c>
      <c r="C160" s="516" t="s">
        <v>62</v>
      </c>
      <c r="D160" s="484"/>
      <c r="E160" s="486" t="s">
        <v>158</v>
      </c>
      <c r="F160" s="486" t="s">
        <v>515</v>
      </c>
      <c r="G160" s="510" t="s">
        <v>670</v>
      </c>
      <c r="H160" s="484">
        <v>24</v>
      </c>
      <c r="I160" s="484">
        <v>17</v>
      </c>
      <c r="J160" s="484">
        <v>24</v>
      </c>
      <c r="K160" s="482">
        <f>21122.21+4718.32</f>
        <v>25840.53</v>
      </c>
      <c r="L160" s="482">
        <f>21122.21+2235.34</f>
        <v>23357.55</v>
      </c>
      <c r="M160" s="482">
        <f t="shared" si="6"/>
        <v>2482.9799999999996</v>
      </c>
      <c r="N160" s="484">
        <v>0</v>
      </c>
      <c r="O160" s="482">
        <v>0</v>
      </c>
      <c r="P160" s="482">
        <v>0</v>
      </c>
      <c r="Q160" s="482">
        <f t="shared" si="7"/>
        <v>0</v>
      </c>
    </row>
    <row r="161" spans="1:17" ht="15.75" customHeight="1" x14ac:dyDescent="0.2">
      <c r="A161" s="484">
        <f t="shared" si="8"/>
        <v>153</v>
      </c>
      <c r="B161" s="484" t="s">
        <v>132</v>
      </c>
      <c r="C161" s="516" t="s">
        <v>62</v>
      </c>
      <c r="D161" s="484" t="s">
        <v>63</v>
      </c>
      <c r="E161" s="486" t="s">
        <v>158</v>
      </c>
      <c r="F161" s="486" t="s">
        <v>311</v>
      </c>
      <c r="G161" s="510" t="s">
        <v>670</v>
      </c>
      <c r="H161" s="484">
        <v>19</v>
      </c>
      <c r="I161" s="484">
        <v>7</v>
      </c>
      <c r="J161" s="484">
        <v>8</v>
      </c>
      <c r="K161" s="482">
        <v>7071.18</v>
      </c>
      <c r="L161" s="482">
        <v>7071.18</v>
      </c>
      <c r="M161" s="482">
        <f t="shared" si="6"/>
        <v>0</v>
      </c>
      <c r="N161" s="484">
        <v>11</v>
      </c>
      <c r="O161" s="482">
        <v>7200.72</v>
      </c>
      <c r="P161" s="482">
        <v>7200.72</v>
      </c>
      <c r="Q161" s="482">
        <f t="shared" si="7"/>
        <v>0</v>
      </c>
    </row>
    <row r="162" spans="1:17" ht="15.75" customHeight="1" x14ac:dyDescent="0.2">
      <c r="A162" s="484">
        <f t="shared" si="8"/>
        <v>154</v>
      </c>
      <c r="B162" s="484" t="s">
        <v>312</v>
      </c>
      <c r="C162" s="516" t="s">
        <v>62</v>
      </c>
      <c r="D162" s="484"/>
      <c r="E162" s="486" t="s">
        <v>158</v>
      </c>
      <c r="F162" s="486" t="s">
        <v>314</v>
      </c>
      <c r="G162" s="510" t="s">
        <v>670</v>
      </c>
      <c r="H162" s="484">
        <v>67</v>
      </c>
      <c r="I162" s="484">
        <v>1</v>
      </c>
      <c r="J162" s="484">
        <v>1</v>
      </c>
      <c r="K162" s="482">
        <v>0</v>
      </c>
      <c r="L162" s="482">
        <v>0</v>
      </c>
      <c r="M162" s="482">
        <f t="shared" si="6"/>
        <v>0</v>
      </c>
      <c r="N162" s="484">
        <v>0</v>
      </c>
      <c r="O162" s="482">
        <v>0</v>
      </c>
      <c r="P162" s="482">
        <v>0</v>
      </c>
      <c r="Q162" s="482">
        <f t="shared" si="7"/>
        <v>0</v>
      </c>
    </row>
    <row r="163" spans="1:17" ht="15.75" customHeight="1" x14ac:dyDescent="0.2">
      <c r="A163" s="484">
        <f t="shared" si="8"/>
        <v>155</v>
      </c>
      <c r="B163" s="484" t="s">
        <v>505</v>
      </c>
      <c r="C163" s="516" t="s">
        <v>62</v>
      </c>
      <c r="D163" s="484"/>
      <c r="E163" s="486" t="s">
        <v>703</v>
      </c>
      <c r="F163" s="486" t="s">
        <v>704</v>
      </c>
      <c r="G163" s="510" t="s">
        <v>670</v>
      </c>
      <c r="H163" s="484">
        <v>7</v>
      </c>
      <c r="I163" s="484">
        <v>0</v>
      </c>
      <c r="J163" s="484">
        <v>0</v>
      </c>
      <c r="K163" s="482">
        <v>0</v>
      </c>
      <c r="L163" s="482">
        <v>0</v>
      </c>
      <c r="M163" s="482">
        <f t="shared" si="6"/>
        <v>0</v>
      </c>
      <c r="N163" s="484">
        <v>0</v>
      </c>
      <c r="O163" s="482">
        <v>0</v>
      </c>
      <c r="P163" s="482">
        <v>0</v>
      </c>
      <c r="Q163" s="482">
        <f t="shared" si="7"/>
        <v>0</v>
      </c>
    </row>
    <row r="164" spans="1:17" ht="15.75" customHeight="1" x14ac:dyDescent="0.2">
      <c r="A164" s="484">
        <f t="shared" si="8"/>
        <v>156</v>
      </c>
      <c r="B164" s="484" t="s">
        <v>315</v>
      </c>
      <c r="C164" s="516" t="s">
        <v>62</v>
      </c>
      <c r="D164" s="484" t="s">
        <v>63</v>
      </c>
      <c r="E164" s="486" t="s">
        <v>158</v>
      </c>
      <c r="F164" s="486" t="s">
        <v>316</v>
      </c>
      <c r="G164" s="510" t="s">
        <v>670</v>
      </c>
      <c r="H164" s="484">
        <v>18</v>
      </c>
      <c r="I164" s="484">
        <v>10</v>
      </c>
      <c r="J164" s="484">
        <v>12</v>
      </c>
      <c r="K164" s="482">
        <v>11020.91</v>
      </c>
      <c r="L164" s="482">
        <v>11020.91</v>
      </c>
      <c r="M164" s="482">
        <f t="shared" si="6"/>
        <v>0</v>
      </c>
      <c r="N164" s="484">
        <v>4</v>
      </c>
      <c r="O164" s="482">
        <v>3889.02</v>
      </c>
      <c r="P164" s="482">
        <v>3889.02</v>
      </c>
      <c r="Q164" s="482">
        <f t="shared" si="7"/>
        <v>0</v>
      </c>
    </row>
    <row r="165" spans="1:17" ht="15.75" customHeight="1" x14ac:dyDescent="0.2">
      <c r="A165" s="484">
        <f t="shared" si="8"/>
        <v>157</v>
      </c>
      <c r="B165" s="484" t="s">
        <v>317</v>
      </c>
      <c r="C165" s="516" t="s">
        <v>62</v>
      </c>
      <c r="D165" s="484"/>
      <c r="E165" s="486" t="s">
        <v>158</v>
      </c>
      <c r="F165" s="486" t="s">
        <v>474</v>
      </c>
      <c r="G165" s="510" t="s">
        <v>670</v>
      </c>
      <c r="H165" s="484">
        <v>12</v>
      </c>
      <c r="I165" s="484">
        <v>7</v>
      </c>
      <c r="J165" s="484">
        <v>8</v>
      </c>
      <c r="K165" s="482">
        <v>4210.97</v>
      </c>
      <c r="L165" s="482">
        <v>4210.97</v>
      </c>
      <c r="M165" s="482">
        <f t="shared" si="6"/>
        <v>0</v>
      </c>
      <c r="N165" s="484">
        <v>0</v>
      </c>
      <c r="O165" s="482">
        <v>0</v>
      </c>
      <c r="P165" s="482">
        <v>0</v>
      </c>
      <c r="Q165" s="482">
        <f t="shared" si="7"/>
        <v>0</v>
      </c>
    </row>
    <row r="166" spans="1:17" ht="15.75" customHeight="1" x14ac:dyDescent="0.2">
      <c r="A166" s="484">
        <f t="shared" si="8"/>
        <v>158</v>
      </c>
      <c r="B166" s="484" t="s">
        <v>318</v>
      </c>
      <c r="C166" s="516" t="s">
        <v>62</v>
      </c>
      <c r="D166" s="484"/>
      <c r="E166" s="486" t="s">
        <v>158</v>
      </c>
      <c r="F166" s="486" t="s">
        <v>319</v>
      </c>
      <c r="G166" s="510" t="s">
        <v>670</v>
      </c>
      <c r="H166" s="484">
        <v>32</v>
      </c>
      <c r="I166" s="484">
        <v>19</v>
      </c>
      <c r="J166" s="484">
        <v>23</v>
      </c>
      <c r="K166" s="482">
        <v>24890.68</v>
      </c>
      <c r="L166" s="482">
        <v>24890.68</v>
      </c>
      <c r="M166" s="482">
        <f t="shared" si="6"/>
        <v>0</v>
      </c>
      <c r="N166" s="484">
        <v>0</v>
      </c>
      <c r="O166" s="482">
        <v>0</v>
      </c>
      <c r="P166" s="482">
        <v>0</v>
      </c>
      <c r="Q166" s="482">
        <f t="shared" si="7"/>
        <v>0</v>
      </c>
    </row>
    <row r="167" spans="1:17" ht="15.75" customHeight="1" x14ac:dyDescent="0.2">
      <c r="A167" s="484">
        <f t="shared" si="8"/>
        <v>159</v>
      </c>
      <c r="B167" s="484" t="s">
        <v>60</v>
      </c>
      <c r="C167" s="516" t="s">
        <v>67</v>
      </c>
      <c r="D167" s="484" t="s">
        <v>68</v>
      </c>
      <c r="E167" s="486" t="s">
        <v>158</v>
      </c>
      <c r="F167" s="486" t="s">
        <v>320</v>
      </c>
      <c r="G167" s="510" t="s">
        <v>670</v>
      </c>
      <c r="H167" s="484">
        <v>75</v>
      </c>
      <c r="I167" s="484">
        <v>60</v>
      </c>
      <c r="J167" s="484">
        <v>88</v>
      </c>
      <c r="K167" s="482">
        <v>159674.60999999999</v>
      </c>
      <c r="L167" s="482">
        <v>159674.60999999999</v>
      </c>
      <c r="M167" s="482">
        <f t="shared" si="6"/>
        <v>0</v>
      </c>
      <c r="N167" s="484">
        <v>44</v>
      </c>
      <c r="O167" s="482">
        <v>110859.9</v>
      </c>
      <c r="P167" s="482">
        <v>110859.9</v>
      </c>
      <c r="Q167" s="482">
        <f t="shared" si="7"/>
        <v>0</v>
      </c>
    </row>
    <row r="168" spans="1:17" ht="15.75" customHeight="1" x14ac:dyDescent="0.2">
      <c r="A168" s="484">
        <f t="shared" si="8"/>
        <v>160</v>
      </c>
      <c r="B168" s="484" t="s">
        <v>61</v>
      </c>
      <c r="C168" s="516" t="s">
        <v>67</v>
      </c>
      <c r="D168" s="484" t="s">
        <v>69</v>
      </c>
      <c r="E168" s="486" t="s">
        <v>158</v>
      </c>
      <c r="F168" s="486" t="s">
        <v>321</v>
      </c>
      <c r="G168" s="510" t="s">
        <v>670</v>
      </c>
      <c r="H168" s="484">
        <v>9</v>
      </c>
      <c r="I168" s="484">
        <v>5</v>
      </c>
      <c r="J168" s="484">
        <v>6</v>
      </c>
      <c r="K168" s="482">
        <v>12993.1</v>
      </c>
      <c r="L168" s="482">
        <v>12993.1</v>
      </c>
      <c r="M168" s="482">
        <f t="shared" si="6"/>
        <v>0</v>
      </c>
      <c r="N168" s="484">
        <v>7</v>
      </c>
      <c r="O168" s="482">
        <v>7602.26</v>
      </c>
      <c r="P168" s="482">
        <v>7602.26</v>
      </c>
      <c r="Q168" s="482">
        <f t="shared" si="7"/>
        <v>0</v>
      </c>
    </row>
    <row r="169" spans="1:17" ht="15.75" customHeight="1" x14ac:dyDescent="0.2">
      <c r="A169" s="484">
        <f t="shared" si="8"/>
        <v>161</v>
      </c>
      <c r="B169" s="532" t="s">
        <v>21</v>
      </c>
      <c r="C169" s="533" t="s">
        <v>62</v>
      </c>
      <c r="D169" s="534"/>
      <c r="E169" s="532" t="s">
        <v>674</v>
      </c>
      <c r="F169" s="532" t="s">
        <v>734</v>
      </c>
      <c r="G169" s="532" t="s">
        <v>735</v>
      </c>
      <c r="H169" s="588">
        <v>1</v>
      </c>
      <c r="I169" s="588">
        <v>0</v>
      </c>
      <c r="J169" s="588">
        <v>0</v>
      </c>
      <c r="K169" s="589">
        <v>0</v>
      </c>
      <c r="L169" s="589">
        <v>0</v>
      </c>
      <c r="M169" s="589">
        <v>0</v>
      </c>
      <c r="N169" s="588">
        <v>3</v>
      </c>
      <c r="O169" s="589">
        <v>18538.8</v>
      </c>
      <c r="P169" s="589">
        <v>18538.8</v>
      </c>
      <c r="Q169" s="589">
        <v>0</v>
      </c>
    </row>
    <row r="170" spans="1:17" ht="15.75" customHeight="1" x14ac:dyDescent="0.2">
      <c r="A170" s="484">
        <f t="shared" si="8"/>
        <v>162</v>
      </c>
      <c r="B170" s="532" t="s">
        <v>147</v>
      </c>
      <c r="C170" s="533" t="s">
        <v>62</v>
      </c>
      <c r="D170" s="534"/>
      <c r="E170" s="486" t="s">
        <v>158</v>
      </c>
      <c r="F170" s="532" t="s">
        <v>736</v>
      </c>
      <c r="G170" s="532" t="s">
        <v>706</v>
      </c>
      <c r="H170" s="588">
        <v>1</v>
      </c>
      <c r="I170" s="588">
        <v>1</v>
      </c>
      <c r="J170" s="588">
        <v>1</v>
      </c>
      <c r="K170" s="589">
        <v>1762</v>
      </c>
      <c r="L170" s="589">
        <v>1762</v>
      </c>
      <c r="M170" s="589">
        <v>0</v>
      </c>
      <c r="N170" s="588">
        <v>3</v>
      </c>
      <c r="O170" s="589">
        <v>12040</v>
      </c>
      <c r="P170" s="589">
        <v>12040</v>
      </c>
      <c r="Q170" s="589">
        <v>0</v>
      </c>
    </row>
    <row r="171" spans="1:17" ht="15.75" customHeight="1" x14ac:dyDescent="0.2">
      <c r="A171" s="484">
        <f t="shared" si="8"/>
        <v>163</v>
      </c>
      <c r="B171" s="532" t="s">
        <v>526</v>
      </c>
      <c r="C171" s="533" t="s">
        <v>62</v>
      </c>
      <c r="D171" s="534"/>
      <c r="E171" s="532" t="s">
        <v>760</v>
      </c>
      <c r="F171" s="532" t="s">
        <v>738</v>
      </c>
      <c r="G171" s="532" t="s">
        <v>706</v>
      </c>
      <c r="H171" s="588">
        <v>0</v>
      </c>
      <c r="I171" s="588">
        <v>0</v>
      </c>
      <c r="J171" s="588">
        <v>0</v>
      </c>
      <c r="K171" s="589">
        <v>0</v>
      </c>
      <c r="L171" s="589">
        <v>0</v>
      </c>
      <c r="M171" s="589">
        <v>0</v>
      </c>
      <c r="N171" s="588">
        <v>0</v>
      </c>
      <c r="O171" s="590">
        <v>0</v>
      </c>
      <c r="P171" s="589">
        <v>0</v>
      </c>
      <c r="Q171" s="589">
        <v>0</v>
      </c>
    </row>
    <row r="172" spans="1:17" ht="15.75" customHeight="1" x14ac:dyDescent="0.2">
      <c r="A172" s="484">
        <f t="shared" si="8"/>
        <v>164</v>
      </c>
      <c r="B172" s="532" t="s">
        <v>305</v>
      </c>
      <c r="C172" s="533" t="s">
        <v>62</v>
      </c>
      <c r="D172" s="534"/>
      <c r="E172" s="532" t="s">
        <v>674</v>
      </c>
      <c r="F172" s="532" t="s">
        <v>739</v>
      </c>
      <c r="G172" s="532" t="s">
        <v>706</v>
      </c>
      <c r="H172" s="588">
        <v>4</v>
      </c>
      <c r="I172" s="588">
        <v>4</v>
      </c>
      <c r="J172" s="588">
        <v>4</v>
      </c>
      <c r="K172" s="589">
        <v>10545.1</v>
      </c>
      <c r="L172" s="589">
        <v>10545.1</v>
      </c>
      <c r="M172" s="589">
        <v>0</v>
      </c>
      <c r="N172" s="588">
        <v>0</v>
      </c>
      <c r="O172" s="589">
        <v>0</v>
      </c>
      <c r="P172" s="589">
        <v>0</v>
      </c>
      <c r="Q172" s="589">
        <v>0</v>
      </c>
    </row>
    <row r="173" spans="1:17" ht="15.75" customHeight="1" x14ac:dyDescent="0.2">
      <c r="A173" s="484">
        <f t="shared" si="8"/>
        <v>165</v>
      </c>
      <c r="B173" s="532" t="s">
        <v>407</v>
      </c>
      <c r="C173" s="533" t="s">
        <v>62</v>
      </c>
      <c r="D173" s="534"/>
      <c r="E173" s="532" t="s">
        <v>674</v>
      </c>
      <c r="F173" s="532" t="s">
        <v>740</v>
      </c>
      <c r="G173" s="532" t="s">
        <v>706</v>
      </c>
      <c r="H173" s="588">
        <v>4</v>
      </c>
      <c r="I173" s="588">
        <v>1</v>
      </c>
      <c r="J173" s="588">
        <v>1</v>
      </c>
      <c r="K173" s="589">
        <v>3866.1</v>
      </c>
      <c r="L173" s="589">
        <v>3866.1</v>
      </c>
      <c r="M173" s="589">
        <v>0</v>
      </c>
      <c r="N173" s="588">
        <v>0</v>
      </c>
      <c r="O173" s="589">
        <v>0</v>
      </c>
      <c r="P173" s="589">
        <v>0</v>
      </c>
      <c r="Q173" s="589">
        <v>0</v>
      </c>
    </row>
    <row r="174" spans="1:17" ht="15.75" customHeight="1" x14ac:dyDescent="0.2">
      <c r="A174" s="484">
        <f t="shared" si="8"/>
        <v>166</v>
      </c>
      <c r="B174" s="532" t="s">
        <v>185</v>
      </c>
      <c r="C174" s="533" t="s">
        <v>62</v>
      </c>
      <c r="D174" s="534"/>
      <c r="E174" s="532" t="s">
        <v>674</v>
      </c>
      <c r="F174" s="532" t="s">
        <v>741</v>
      </c>
      <c r="G174" s="532" t="s">
        <v>706</v>
      </c>
      <c r="H174" s="588">
        <v>4</v>
      </c>
      <c r="I174" s="588">
        <v>4</v>
      </c>
      <c r="J174" s="588">
        <v>4</v>
      </c>
      <c r="K174" s="589">
        <v>14698.09</v>
      </c>
      <c r="L174" s="589">
        <v>14698.09</v>
      </c>
      <c r="M174" s="589">
        <v>0</v>
      </c>
      <c r="N174" s="588">
        <v>0</v>
      </c>
      <c r="O174" s="589">
        <v>0</v>
      </c>
      <c r="P174" s="589">
        <v>0</v>
      </c>
      <c r="Q174" s="589">
        <v>0</v>
      </c>
    </row>
    <row r="175" spans="1:17" ht="15.75" customHeight="1" x14ac:dyDescent="0.2">
      <c r="A175" s="484">
        <f t="shared" si="8"/>
        <v>167</v>
      </c>
      <c r="B175" s="532" t="s">
        <v>534</v>
      </c>
      <c r="C175" s="533" t="s">
        <v>62</v>
      </c>
      <c r="D175" s="534"/>
      <c r="E175" s="532" t="s">
        <v>674</v>
      </c>
      <c r="F175" s="532" t="s">
        <v>774</v>
      </c>
      <c r="G175" s="532" t="s">
        <v>706</v>
      </c>
      <c r="H175" s="588">
        <v>1</v>
      </c>
      <c r="I175" s="588">
        <v>0</v>
      </c>
      <c r="J175" s="588">
        <v>0</v>
      </c>
      <c r="K175" s="589">
        <v>0</v>
      </c>
      <c r="L175" s="589">
        <v>0</v>
      </c>
      <c r="M175" s="589">
        <v>0</v>
      </c>
      <c r="N175" s="588">
        <v>0</v>
      </c>
      <c r="O175" s="589">
        <v>0</v>
      </c>
      <c r="P175" s="589">
        <v>0</v>
      </c>
      <c r="Q175" s="589">
        <v>0</v>
      </c>
    </row>
    <row r="176" spans="1:17" ht="15.75" customHeight="1" x14ac:dyDescent="0.2">
      <c r="A176" s="484">
        <f t="shared" si="8"/>
        <v>168</v>
      </c>
      <c r="B176" s="532" t="s">
        <v>104</v>
      </c>
      <c r="C176" s="533" t="s">
        <v>62</v>
      </c>
      <c r="D176" s="534"/>
      <c r="E176" s="490" t="s">
        <v>730</v>
      </c>
      <c r="F176" s="532" t="s">
        <v>743</v>
      </c>
      <c r="G176" s="532" t="s">
        <v>706</v>
      </c>
      <c r="H176" s="588">
        <v>0</v>
      </c>
      <c r="I176" s="588">
        <v>0</v>
      </c>
      <c r="J176" s="588">
        <v>0</v>
      </c>
      <c r="K176" s="589">
        <v>0</v>
      </c>
      <c r="L176" s="589">
        <v>0</v>
      </c>
      <c r="M176" s="589">
        <v>0</v>
      </c>
      <c r="N176" s="588">
        <v>1</v>
      </c>
      <c r="O176" s="589">
        <v>3187.89</v>
      </c>
      <c r="P176" s="589">
        <v>3187.89</v>
      </c>
      <c r="Q176" s="589">
        <v>0</v>
      </c>
    </row>
    <row r="177" spans="1:17" ht="15.75" customHeight="1" x14ac:dyDescent="0.2">
      <c r="A177" s="484">
        <f t="shared" si="8"/>
        <v>169</v>
      </c>
      <c r="B177" s="532" t="s">
        <v>621</v>
      </c>
      <c r="C177" s="533" t="s">
        <v>62</v>
      </c>
      <c r="D177" s="534"/>
      <c r="E177" s="486" t="s">
        <v>158</v>
      </c>
      <c r="F177" s="532" t="s">
        <v>744</v>
      </c>
      <c r="G177" s="532" t="s">
        <v>706</v>
      </c>
      <c r="H177" s="588">
        <v>0</v>
      </c>
      <c r="I177" s="588">
        <v>0</v>
      </c>
      <c r="J177" s="588">
        <v>0</v>
      </c>
      <c r="K177" s="589">
        <v>0</v>
      </c>
      <c r="L177" s="589">
        <v>0</v>
      </c>
      <c r="M177" s="589">
        <v>0</v>
      </c>
      <c r="N177" s="588">
        <v>0</v>
      </c>
      <c r="O177" s="589">
        <v>0</v>
      </c>
      <c r="P177" s="589">
        <v>0</v>
      </c>
      <c r="Q177" s="589">
        <v>0</v>
      </c>
    </row>
    <row r="178" spans="1:17" ht="15.75" customHeight="1" x14ac:dyDescent="0.2">
      <c r="A178" s="484">
        <f t="shared" si="8"/>
        <v>170</v>
      </c>
      <c r="B178" s="484" t="s">
        <v>47</v>
      </c>
      <c r="C178" s="516" t="s">
        <v>62</v>
      </c>
      <c r="D178" s="484"/>
      <c r="E178" s="486" t="s">
        <v>761</v>
      </c>
      <c r="F178" s="486" t="s">
        <v>448</v>
      </c>
      <c r="G178" s="510" t="s">
        <v>142</v>
      </c>
      <c r="H178" s="484">
        <v>8</v>
      </c>
      <c r="I178" s="484">
        <v>2</v>
      </c>
      <c r="J178" s="484">
        <v>2</v>
      </c>
      <c r="K178" s="482">
        <v>2522.1</v>
      </c>
      <c r="L178" s="482">
        <v>2522.1</v>
      </c>
      <c r="M178" s="482">
        <v>0</v>
      </c>
      <c r="N178" s="484">
        <v>24</v>
      </c>
      <c r="O178" s="482">
        <v>43758.62</v>
      </c>
      <c r="P178" s="482">
        <v>43758.62</v>
      </c>
      <c r="Q178" s="482">
        <v>0</v>
      </c>
    </row>
    <row r="179" spans="1:17" ht="15.75" customHeight="1" x14ac:dyDescent="0.2">
      <c r="A179" s="484">
        <f t="shared" si="8"/>
        <v>171</v>
      </c>
      <c r="B179" s="484" t="s">
        <v>55</v>
      </c>
      <c r="C179" s="516" t="s">
        <v>62</v>
      </c>
      <c r="D179" s="484"/>
      <c r="E179" s="486" t="s">
        <v>762</v>
      </c>
      <c r="F179" s="486" t="s">
        <v>449</v>
      </c>
      <c r="G179" s="510" t="s">
        <v>142</v>
      </c>
      <c r="H179" s="484">
        <v>9</v>
      </c>
      <c r="I179" s="484">
        <v>4</v>
      </c>
      <c r="J179" s="484">
        <v>4</v>
      </c>
      <c r="K179" s="482">
        <v>4284.1000000000004</v>
      </c>
      <c r="L179" s="482">
        <v>4284.1000000000004</v>
      </c>
      <c r="M179" s="482">
        <v>0</v>
      </c>
      <c r="N179" s="484">
        <v>14</v>
      </c>
      <c r="O179" s="482">
        <v>29300.9</v>
      </c>
      <c r="P179" s="482">
        <v>29300.9</v>
      </c>
      <c r="Q179" s="482">
        <v>0</v>
      </c>
    </row>
    <row r="180" spans="1:17" ht="15.75" customHeight="1" x14ac:dyDescent="0.2">
      <c r="A180" s="484">
        <f t="shared" si="8"/>
        <v>172</v>
      </c>
      <c r="B180" s="484" t="s">
        <v>122</v>
      </c>
      <c r="C180" s="516" t="s">
        <v>62</v>
      </c>
      <c r="D180" s="484"/>
      <c r="E180" s="486" t="s">
        <v>763</v>
      </c>
      <c r="F180" s="486" t="s">
        <v>450</v>
      </c>
      <c r="G180" s="510" t="s">
        <v>142</v>
      </c>
      <c r="H180" s="484">
        <v>5</v>
      </c>
      <c r="I180" s="484">
        <v>2</v>
      </c>
      <c r="J180" s="484">
        <v>2</v>
      </c>
      <c r="K180" s="482">
        <v>2301.25</v>
      </c>
      <c r="L180" s="482">
        <v>2301.25</v>
      </c>
      <c r="M180" s="482">
        <v>0</v>
      </c>
      <c r="N180" s="484">
        <v>8</v>
      </c>
      <c r="O180" s="482">
        <v>16883.89</v>
      </c>
      <c r="P180" s="482">
        <v>14674.69</v>
      </c>
      <c r="Q180" s="482">
        <v>2209.1999999999998</v>
      </c>
    </row>
    <row r="181" spans="1:17" ht="15.75" customHeight="1" x14ac:dyDescent="0.2">
      <c r="A181" s="484">
        <f t="shared" si="8"/>
        <v>173</v>
      </c>
      <c r="B181" s="484" t="s">
        <v>144</v>
      </c>
      <c r="C181" s="516" t="s">
        <v>62</v>
      </c>
      <c r="D181" s="484"/>
      <c r="E181" s="486" t="s">
        <v>761</v>
      </c>
      <c r="F181" s="486" t="s">
        <v>451</v>
      </c>
      <c r="G181" s="510" t="s">
        <v>142</v>
      </c>
      <c r="H181" s="484">
        <v>8</v>
      </c>
      <c r="I181" s="484">
        <v>7</v>
      </c>
      <c r="J181" s="484">
        <v>7</v>
      </c>
      <c r="K181" s="482">
        <v>8121.62</v>
      </c>
      <c r="L181" s="482">
        <v>8121.62</v>
      </c>
      <c r="M181" s="482">
        <v>0</v>
      </c>
      <c r="N181" s="484">
        <v>3</v>
      </c>
      <c r="O181" s="482">
        <v>3595.1</v>
      </c>
      <c r="P181" s="482">
        <v>3595.1</v>
      </c>
      <c r="Q181" s="482">
        <v>0</v>
      </c>
    </row>
    <row r="182" spans="1:17" ht="15.75" customHeight="1" x14ac:dyDescent="0.2">
      <c r="A182" s="484">
        <f t="shared" si="8"/>
        <v>174</v>
      </c>
      <c r="B182" s="484" t="s">
        <v>46</v>
      </c>
      <c r="C182" s="516" t="s">
        <v>62</v>
      </c>
      <c r="D182" s="484"/>
      <c r="E182" s="486" t="s">
        <v>764</v>
      </c>
      <c r="F182" s="486" t="s">
        <v>453</v>
      </c>
      <c r="G182" s="510" t="s">
        <v>142</v>
      </c>
      <c r="H182" s="484">
        <v>0</v>
      </c>
      <c r="I182" s="484">
        <v>0</v>
      </c>
      <c r="J182" s="484">
        <v>0</v>
      </c>
      <c r="K182" s="482">
        <v>0</v>
      </c>
      <c r="L182" s="482">
        <v>0</v>
      </c>
      <c r="M182" s="482">
        <v>0</v>
      </c>
      <c r="N182" s="484">
        <v>0</v>
      </c>
      <c r="O182" s="482">
        <v>0</v>
      </c>
      <c r="P182" s="482">
        <v>0</v>
      </c>
      <c r="Q182" s="482">
        <v>0</v>
      </c>
    </row>
    <row r="183" spans="1:17" ht="15.75" customHeight="1" x14ac:dyDescent="0.2">
      <c r="A183" s="484">
        <f t="shared" si="8"/>
        <v>175</v>
      </c>
      <c r="B183" s="484" t="s">
        <v>133</v>
      </c>
      <c r="C183" s="516" t="s">
        <v>67</v>
      </c>
      <c r="D183" s="484" t="s">
        <v>397</v>
      </c>
      <c r="E183" s="486" t="s">
        <v>74</v>
      </c>
      <c r="F183" s="486" t="s">
        <v>593</v>
      </c>
      <c r="G183" s="510" t="s">
        <v>142</v>
      </c>
      <c r="H183" s="484">
        <v>0</v>
      </c>
      <c r="I183" s="484">
        <v>0</v>
      </c>
      <c r="J183" s="484">
        <v>0</v>
      </c>
      <c r="K183" s="482">
        <v>0</v>
      </c>
      <c r="L183" s="482">
        <v>0</v>
      </c>
      <c r="M183" s="482">
        <v>0</v>
      </c>
      <c r="N183" s="484">
        <v>0</v>
      </c>
      <c r="O183" s="482">
        <v>0</v>
      </c>
      <c r="P183" s="482">
        <v>0</v>
      </c>
      <c r="Q183" s="482">
        <v>0</v>
      </c>
    </row>
    <row r="184" spans="1:17" ht="15.75" customHeight="1" x14ac:dyDescent="0.2">
      <c r="A184" s="484">
        <f t="shared" si="8"/>
        <v>176</v>
      </c>
      <c r="B184" s="484" t="s">
        <v>176</v>
      </c>
      <c r="C184" s="516" t="s">
        <v>62</v>
      </c>
      <c r="D184" s="484"/>
      <c r="E184" s="486" t="s">
        <v>765</v>
      </c>
      <c r="F184" s="486" t="s">
        <v>455</v>
      </c>
      <c r="G184" s="510" t="s">
        <v>142</v>
      </c>
      <c r="H184" s="484">
        <v>12</v>
      </c>
      <c r="I184" s="484">
        <v>10</v>
      </c>
      <c r="J184" s="484">
        <v>10</v>
      </c>
      <c r="K184" s="482">
        <v>11360.06</v>
      </c>
      <c r="L184" s="482">
        <v>11360.06</v>
      </c>
      <c r="M184" s="482">
        <v>0</v>
      </c>
      <c r="N184" s="484">
        <v>0</v>
      </c>
      <c r="O184" s="482">
        <v>0</v>
      </c>
      <c r="P184" s="482">
        <v>0</v>
      </c>
      <c r="Q184" s="482">
        <v>0</v>
      </c>
    </row>
    <row r="185" spans="1:17" ht="15.75" customHeight="1" x14ac:dyDescent="0.2">
      <c r="A185" s="484">
        <f t="shared" si="8"/>
        <v>177</v>
      </c>
      <c r="B185" s="484" t="s">
        <v>235</v>
      </c>
      <c r="C185" s="516" t="s">
        <v>62</v>
      </c>
      <c r="D185" s="484"/>
      <c r="E185" s="486" t="s">
        <v>766</v>
      </c>
      <c r="F185" s="486" t="s">
        <v>457</v>
      </c>
      <c r="G185" s="510" t="s">
        <v>142</v>
      </c>
      <c r="H185" s="484">
        <v>4</v>
      </c>
      <c r="I185" s="484">
        <v>3</v>
      </c>
      <c r="J185" s="484">
        <v>3</v>
      </c>
      <c r="K185" s="482">
        <v>2269.65</v>
      </c>
      <c r="L185" s="482">
        <v>2269.65</v>
      </c>
      <c r="M185" s="482">
        <v>0</v>
      </c>
      <c r="N185" s="484">
        <v>0</v>
      </c>
      <c r="O185" s="482">
        <v>0</v>
      </c>
      <c r="P185" s="482">
        <v>0</v>
      </c>
      <c r="Q185" s="482">
        <v>0</v>
      </c>
    </row>
    <row r="186" spans="1:17" ht="15.75" customHeight="1" x14ac:dyDescent="0.2">
      <c r="A186" s="484">
        <f t="shared" si="8"/>
        <v>178</v>
      </c>
      <c r="B186" s="484" t="s">
        <v>251</v>
      </c>
      <c r="C186" s="516" t="s">
        <v>62</v>
      </c>
      <c r="D186" s="484"/>
      <c r="E186" s="486" t="s">
        <v>761</v>
      </c>
      <c r="F186" s="486" t="s">
        <v>458</v>
      </c>
      <c r="G186" s="510" t="s">
        <v>142</v>
      </c>
      <c r="H186" s="484">
        <v>6</v>
      </c>
      <c r="I186" s="484">
        <v>3</v>
      </c>
      <c r="J186" s="484">
        <v>3</v>
      </c>
      <c r="K186" s="482">
        <v>3434.7</v>
      </c>
      <c r="L186" s="482">
        <v>3434.7</v>
      </c>
      <c r="M186" s="482">
        <v>0</v>
      </c>
      <c r="N186" s="484">
        <v>0</v>
      </c>
      <c r="O186" s="482">
        <v>0</v>
      </c>
      <c r="P186" s="482">
        <v>0</v>
      </c>
      <c r="Q186" s="482">
        <v>0</v>
      </c>
    </row>
    <row r="187" spans="1:17" ht="15.75" customHeight="1" x14ac:dyDescent="0.2">
      <c r="A187" s="484">
        <f t="shared" si="8"/>
        <v>179</v>
      </c>
      <c r="B187" s="484" t="s">
        <v>30</v>
      </c>
      <c r="C187" s="516" t="s">
        <v>62</v>
      </c>
      <c r="D187" s="484"/>
      <c r="E187" s="486" t="s">
        <v>767</v>
      </c>
      <c r="F187" s="486" t="s">
        <v>460</v>
      </c>
      <c r="G187" s="510" t="s">
        <v>142</v>
      </c>
      <c r="H187" s="484">
        <v>1</v>
      </c>
      <c r="I187" s="484">
        <v>0</v>
      </c>
      <c r="J187" s="484">
        <v>0</v>
      </c>
      <c r="K187" s="482">
        <v>0</v>
      </c>
      <c r="L187" s="482">
        <v>0</v>
      </c>
      <c r="M187" s="482">
        <v>0</v>
      </c>
      <c r="N187" s="484">
        <v>0</v>
      </c>
      <c r="O187" s="482">
        <v>0</v>
      </c>
      <c r="P187" s="482">
        <v>0</v>
      </c>
      <c r="Q187" s="482">
        <v>0</v>
      </c>
    </row>
    <row r="188" spans="1:17" ht="15.75" customHeight="1" x14ac:dyDescent="0.2">
      <c r="A188" s="484">
        <f t="shared" si="8"/>
        <v>180</v>
      </c>
      <c r="B188" s="484" t="s">
        <v>35</v>
      </c>
      <c r="C188" s="516" t="s">
        <v>62</v>
      </c>
      <c r="D188" s="484"/>
      <c r="E188" s="486" t="s">
        <v>768</v>
      </c>
      <c r="F188" s="486" t="s">
        <v>462</v>
      </c>
      <c r="G188" s="510" t="s">
        <v>142</v>
      </c>
      <c r="H188" s="484">
        <v>1</v>
      </c>
      <c r="I188" s="484">
        <v>0</v>
      </c>
      <c r="J188" s="484">
        <v>0</v>
      </c>
      <c r="K188" s="482">
        <v>0</v>
      </c>
      <c r="L188" s="482">
        <v>0</v>
      </c>
      <c r="M188" s="482">
        <v>0</v>
      </c>
      <c r="N188" s="484">
        <v>0</v>
      </c>
      <c r="O188" s="482">
        <v>0</v>
      </c>
      <c r="P188" s="482">
        <v>0</v>
      </c>
      <c r="Q188" s="482">
        <v>0</v>
      </c>
    </row>
    <row r="189" spans="1:17" ht="15.75" customHeight="1" x14ac:dyDescent="0.2">
      <c r="A189" s="484">
        <f t="shared" si="8"/>
        <v>181</v>
      </c>
      <c r="B189" s="484" t="s">
        <v>769</v>
      </c>
      <c r="C189" s="516" t="s">
        <v>62</v>
      </c>
      <c r="D189" s="484"/>
      <c r="E189" s="486" t="s">
        <v>770</v>
      </c>
      <c r="F189" s="486" t="s">
        <v>771</v>
      </c>
      <c r="G189" s="510" t="s">
        <v>142</v>
      </c>
      <c r="H189" s="484">
        <v>1</v>
      </c>
      <c r="I189" s="484">
        <v>0</v>
      </c>
      <c r="J189" s="484">
        <v>0</v>
      </c>
      <c r="K189" s="482">
        <v>0</v>
      </c>
      <c r="L189" s="482">
        <v>0</v>
      </c>
      <c r="M189" s="482">
        <v>0</v>
      </c>
      <c r="N189" s="484">
        <v>0</v>
      </c>
      <c r="O189" s="482">
        <v>0</v>
      </c>
      <c r="P189" s="482">
        <v>0</v>
      </c>
      <c r="Q189" s="482">
        <v>0</v>
      </c>
    </row>
    <row r="190" spans="1:17" ht="15.75" customHeight="1" x14ac:dyDescent="0.2">
      <c r="A190" s="484">
        <f t="shared" si="8"/>
        <v>182</v>
      </c>
      <c r="B190" s="556" t="s">
        <v>134</v>
      </c>
      <c r="C190" s="557" t="s">
        <v>62</v>
      </c>
      <c r="D190" s="558"/>
      <c r="E190" s="486" t="s">
        <v>158</v>
      </c>
      <c r="F190" s="556" t="s">
        <v>408</v>
      </c>
      <c r="G190" s="556" t="s">
        <v>409</v>
      </c>
      <c r="H190" s="550">
        <v>28</v>
      </c>
      <c r="I190" s="550">
        <v>11</v>
      </c>
      <c r="J190" s="550">
        <v>11</v>
      </c>
      <c r="K190" s="551">
        <v>11668.56</v>
      </c>
      <c r="L190" s="551">
        <v>11668.56</v>
      </c>
      <c r="M190" s="482">
        <v>0</v>
      </c>
      <c r="N190" s="550">
        <v>10</v>
      </c>
      <c r="O190" s="551">
        <v>24976.5</v>
      </c>
      <c r="P190" s="551">
        <v>22030.9</v>
      </c>
      <c r="Q190" s="482">
        <v>2945.6</v>
      </c>
    </row>
    <row r="191" spans="1:17" ht="15.75" customHeight="1" x14ac:dyDescent="0.2">
      <c r="A191" s="484">
        <f t="shared" si="8"/>
        <v>183</v>
      </c>
      <c r="B191" s="556" t="s">
        <v>335</v>
      </c>
      <c r="C191" s="557" t="s">
        <v>62</v>
      </c>
      <c r="D191" s="558"/>
      <c r="E191" s="486" t="s">
        <v>158</v>
      </c>
      <c r="F191" s="556" t="s">
        <v>410</v>
      </c>
      <c r="G191" s="556" t="s">
        <v>409</v>
      </c>
      <c r="H191" s="550">
        <v>18</v>
      </c>
      <c r="I191" s="550">
        <v>4</v>
      </c>
      <c r="J191" s="550">
        <v>4</v>
      </c>
      <c r="K191" s="551">
        <v>10075.39</v>
      </c>
      <c r="L191" s="551">
        <v>7497.99</v>
      </c>
      <c r="M191" s="482">
        <v>2577.4</v>
      </c>
      <c r="N191" s="550">
        <v>13</v>
      </c>
      <c r="O191" s="551">
        <v>20140.7</v>
      </c>
      <c r="P191" s="551">
        <v>20140.7</v>
      </c>
      <c r="Q191" s="482">
        <v>0</v>
      </c>
    </row>
    <row r="192" spans="1:17" ht="15.75" customHeight="1" x14ac:dyDescent="0.2">
      <c r="A192" s="484">
        <f t="shared" si="8"/>
        <v>184</v>
      </c>
      <c r="B192" s="556" t="s">
        <v>46</v>
      </c>
      <c r="C192" s="557" t="s">
        <v>62</v>
      </c>
      <c r="D192" s="558"/>
      <c r="E192" s="486" t="s">
        <v>678</v>
      </c>
      <c r="F192" s="556" t="s">
        <v>411</v>
      </c>
      <c r="G192" s="556" t="s">
        <v>409</v>
      </c>
      <c r="H192" s="550">
        <v>40</v>
      </c>
      <c r="I192" s="550">
        <v>25</v>
      </c>
      <c r="J192" s="550">
        <v>25</v>
      </c>
      <c r="K192" s="551">
        <v>43817.5</v>
      </c>
      <c r="L192" s="551">
        <v>42701.98</v>
      </c>
      <c r="M192" s="482">
        <v>1115.52</v>
      </c>
      <c r="N192" s="550">
        <v>22</v>
      </c>
      <c r="O192" s="551">
        <v>36901.160000000003</v>
      </c>
      <c r="P192" s="551">
        <v>32130.52</v>
      </c>
      <c r="Q192" s="482">
        <v>4770.6400000000003</v>
      </c>
    </row>
    <row r="193" spans="1:17" ht="15.75" customHeight="1" x14ac:dyDescent="0.2">
      <c r="A193" s="484">
        <f t="shared" si="8"/>
        <v>185</v>
      </c>
      <c r="B193" s="556" t="s">
        <v>36</v>
      </c>
      <c r="C193" s="557" t="s">
        <v>62</v>
      </c>
      <c r="D193" s="558"/>
      <c r="E193" s="486" t="s">
        <v>158</v>
      </c>
      <c r="F193" s="556" t="s">
        <v>412</v>
      </c>
      <c r="G193" s="556" t="s">
        <v>409</v>
      </c>
      <c r="H193" s="550">
        <v>29</v>
      </c>
      <c r="I193" s="550">
        <v>20</v>
      </c>
      <c r="J193" s="550">
        <v>20</v>
      </c>
      <c r="K193" s="551">
        <v>36461.949999999997</v>
      </c>
      <c r="L193" s="551">
        <v>33884.550000000003</v>
      </c>
      <c r="M193" s="482">
        <v>2577.4</v>
      </c>
      <c r="N193" s="550">
        <v>25</v>
      </c>
      <c r="O193" s="551">
        <v>70762.62</v>
      </c>
      <c r="P193" s="551">
        <v>61373.52</v>
      </c>
      <c r="Q193" s="482">
        <v>9389.1</v>
      </c>
    </row>
    <row r="194" spans="1:17" ht="15.75" customHeight="1" x14ac:dyDescent="0.2">
      <c r="A194" s="484">
        <f t="shared" si="8"/>
        <v>186</v>
      </c>
      <c r="B194" s="556" t="s">
        <v>27</v>
      </c>
      <c r="C194" s="557" t="s">
        <v>62</v>
      </c>
      <c r="D194" s="558"/>
      <c r="E194" s="486" t="s">
        <v>158</v>
      </c>
      <c r="F194" s="556" t="s">
        <v>413</v>
      </c>
      <c r="G194" s="556" t="s">
        <v>409</v>
      </c>
      <c r="H194" s="550">
        <v>12</v>
      </c>
      <c r="I194" s="550">
        <v>9</v>
      </c>
      <c r="J194" s="550">
        <v>9</v>
      </c>
      <c r="K194" s="551">
        <v>15819.14</v>
      </c>
      <c r="L194" s="551">
        <v>11514.02</v>
      </c>
      <c r="M194" s="482">
        <v>4305.12</v>
      </c>
      <c r="N194" s="550">
        <v>10</v>
      </c>
      <c r="O194" s="551">
        <v>19563.2</v>
      </c>
      <c r="P194" s="551">
        <v>19563.2</v>
      </c>
      <c r="Q194" s="482">
        <v>0</v>
      </c>
    </row>
    <row r="195" spans="1:17" ht="15.75" customHeight="1" x14ac:dyDescent="0.2">
      <c r="A195" s="484">
        <f t="shared" si="8"/>
        <v>187</v>
      </c>
      <c r="B195" s="556" t="s">
        <v>28</v>
      </c>
      <c r="C195" s="557" t="s">
        <v>62</v>
      </c>
      <c r="D195" s="558"/>
      <c r="E195" s="486" t="s">
        <v>158</v>
      </c>
      <c r="F195" s="556" t="s">
        <v>414</v>
      </c>
      <c r="G195" s="556" t="s">
        <v>409</v>
      </c>
      <c r="H195" s="550">
        <v>31</v>
      </c>
      <c r="I195" s="550">
        <v>21</v>
      </c>
      <c r="J195" s="550">
        <v>21</v>
      </c>
      <c r="K195" s="551">
        <v>31030.02</v>
      </c>
      <c r="L195" s="551">
        <v>28728.77</v>
      </c>
      <c r="M195" s="482">
        <v>2301.25</v>
      </c>
      <c r="N195" s="550">
        <v>16</v>
      </c>
      <c r="O195" s="551">
        <v>26212.25</v>
      </c>
      <c r="P195" s="551">
        <v>18572.099999999999</v>
      </c>
      <c r="Q195" s="482">
        <v>7640.15</v>
      </c>
    </row>
    <row r="196" spans="1:17" ht="15.75" customHeight="1" x14ac:dyDescent="0.2">
      <c r="A196" s="484">
        <f t="shared" si="8"/>
        <v>188</v>
      </c>
      <c r="B196" s="532" t="s">
        <v>246</v>
      </c>
      <c r="C196" s="533" t="s">
        <v>62</v>
      </c>
      <c r="D196" s="534"/>
      <c r="E196" s="486" t="s">
        <v>158</v>
      </c>
      <c r="F196" s="532" t="s">
        <v>415</v>
      </c>
      <c r="G196" s="556" t="s">
        <v>409</v>
      </c>
      <c r="H196" s="550">
        <v>27</v>
      </c>
      <c r="I196" s="550">
        <v>7</v>
      </c>
      <c r="J196" s="550">
        <v>7</v>
      </c>
      <c r="K196" s="551">
        <v>7611.84</v>
      </c>
      <c r="L196" s="551">
        <v>6907.04</v>
      </c>
      <c r="M196" s="482">
        <v>704.8</v>
      </c>
      <c r="N196" s="550">
        <v>0</v>
      </c>
      <c r="O196" s="551">
        <v>0</v>
      </c>
      <c r="P196" s="551">
        <v>0</v>
      </c>
      <c r="Q196" s="482">
        <v>0</v>
      </c>
    </row>
    <row r="197" spans="1:17" ht="15.75" customHeight="1" x14ac:dyDescent="0.2">
      <c r="A197" s="484">
        <f t="shared" si="8"/>
        <v>189</v>
      </c>
      <c r="B197" s="556" t="s">
        <v>330</v>
      </c>
      <c r="C197" s="533" t="s">
        <v>62</v>
      </c>
      <c r="D197" s="534"/>
      <c r="E197" s="486" t="s">
        <v>158</v>
      </c>
      <c r="F197" s="532" t="s">
        <v>416</v>
      </c>
      <c r="G197" s="556" t="s">
        <v>409</v>
      </c>
      <c r="H197" s="550">
        <v>10</v>
      </c>
      <c r="I197" s="550">
        <v>2</v>
      </c>
      <c r="J197" s="550">
        <v>2</v>
      </c>
      <c r="K197" s="551">
        <v>4050.2</v>
      </c>
      <c r="L197" s="551">
        <v>1841</v>
      </c>
      <c r="M197" s="482">
        <v>2209.1999999999998</v>
      </c>
      <c r="N197" s="550">
        <v>0</v>
      </c>
      <c r="O197" s="551">
        <v>0</v>
      </c>
      <c r="P197" s="551">
        <v>0</v>
      </c>
      <c r="Q197" s="482">
        <v>0</v>
      </c>
    </row>
    <row r="198" spans="1:17" ht="15.75" customHeight="1" x14ac:dyDescent="0.2">
      <c r="A198" s="484">
        <f t="shared" si="8"/>
        <v>190</v>
      </c>
      <c r="B198" s="556" t="s">
        <v>402</v>
      </c>
      <c r="C198" s="533" t="s">
        <v>62</v>
      </c>
      <c r="D198" s="534"/>
      <c r="E198" s="486" t="s">
        <v>158</v>
      </c>
      <c r="F198" s="532" t="s">
        <v>417</v>
      </c>
      <c r="G198" s="556" t="s">
        <v>409</v>
      </c>
      <c r="H198" s="550">
        <v>22</v>
      </c>
      <c r="I198" s="550">
        <v>14</v>
      </c>
      <c r="J198" s="550">
        <v>14</v>
      </c>
      <c r="K198" s="551">
        <v>28917.64</v>
      </c>
      <c r="L198" s="551">
        <v>27702.58</v>
      </c>
      <c r="M198" s="482">
        <v>1215.06</v>
      </c>
      <c r="N198" s="550">
        <v>0</v>
      </c>
      <c r="O198" s="551">
        <v>0</v>
      </c>
      <c r="P198" s="551">
        <v>0</v>
      </c>
      <c r="Q198" s="482">
        <v>0</v>
      </c>
    </row>
    <row r="199" spans="1:17" ht="15.75" customHeight="1" x14ac:dyDescent="0.2">
      <c r="A199" s="484">
        <f t="shared" si="8"/>
        <v>191</v>
      </c>
      <c r="B199" s="556" t="s">
        <v>154</v>
      </c>
      <c r="C199" s="533" t="s">
        <v>62</v>
      </c>
      <c r="D199" s="534"/>
      <c r="E199" s="556" t="s">
        <v>158</v>
      </c>
      <c r="F199" s="532" t="s">
        <v>418</v>
      </c>
      <c r="G199" s="556" t="s">
        <v>409</v>
      </c>
      <c r="H199" s="550">
        <v>10</v>
      </c>
      <c r="I199" s="550">
        <v>3</v>
      </c>
      <c r="J199" s="550">
        <v>3</v>
      </c>
      <c r="K199" s="551">
        <v>4422.95</v>
      </c>
      <c r="L199" s="551">
        <v>925.05</v>
      </c>
      <c r="M199" s="482">
        <v>3497.9</v>
      </c>
      <c r="N199" s="550">
        <v>9</v>
      </c>
      <c r="O199" s="551">
        <v>14857.9</v>
      </c>
      <c r="P199" s="551">
        <v>13569.2</v>
      </c>
      <c r="Q199" s="482">
        <v>1288.7</v>
      </c>
    </row>
    <row r="200" spans="1:17" ht="15.75" customHeight="1" x14ac:dyDescent="0.2">
      <c r="A200" s="484">
        <f t="shared" si="8"/>
        <v>192</v>
      </c>
      <c r="B200" s="556" t="s">
        <v>153</v>
      </c>
      <c r="C200" s="533" t="s">
        <v>62</v>
      </c>
      <c r="D200" s="534"/>
      <c r="E200" s="486" t="s">
        <v>158</v>
      </c>
      <c r="F200" s="532" t="s">
        <v>419</v>
      </c>
      <c r="G200" s="556" t="s">
        <v>409</v>
      </c>
      <c r="H200" s="550">
        <v>4</v>
      </c>
      <c r="I200" s="550">
        <v>1</v>
      </c>
      <c r="J200" s="550">
        <v>1</v>
      </c>
      <c r="K200" s="551">
        <v>1635.8</v>
      </c>
      <c r="L200" s="551">
        <v>1635.8</v>
      </c>
      <c r="M200" s="482">
        <v>0</v>
      </c>
      <c r="N200" s="550">
        <v>18</v>
      </c>
      <c r="O200" s="551">
        <v>63052.81</v>
      </c>
      <c r="P200" s="551">
        <v>63052.81</v>
      </c>
      <c r="Q200" s="482">
        <v>0</v>
      </c>
    </row>
    <row r="201" spans="1:17" ht="15.75" customHeight="1" x14ac:dyDescent="0.2">
      <c r="A201" s="484">
        <f t="shared" si="8"/>
        <v>193</v>
      </c>
      <c r="B201" s="556" t="s">
        <v>89</v>
      </c>
      <c r="C201" s="533" t="s">
        <v>62</v>
      </c>
      <c r="D201" s="534"/>
      <c r="E201" s="486" t="s">
        <v>158</v>
      </c>
      <c r="F201" s="532" t="s">
        <v>420</v>
      </c>
      <c r="G201" s="556" t="s">
        <v>409</v>
      </c>
      <c r="H201" s="550">
        <v>14</v>
      </c>
      <c r="I201" s="550">
        <v>7</v>
      </c>
      <c r="J201" s="550">
        <v>7</v>
      </c>
      <c r="K201" s="551">
        <v>11093.25</v>
      </c>
      <c r="L201" s="551">
        <v>9804.5499999999993</v>
      </c>
      <c r="M201" s="482">
        <v>1288.7</v>
      </c>
      <c r="N201" s="550">
        <v>4</v>
      </c>
      <c r="O201" s="551">
        <v>12828.6</v>
      </c>
      <c r="P201" s="551">
        <v>12828.6</v>
      </c>
      <c r="Q201" s="482">
        <v>0</v>
      </c>
    </row>
    <row r="202" spans="1:17" ht="15.75" customHeight="1" x14ac:dyDescent="0.2">
      <c r="A202" s="484">
        <f t="shared" si="8"/>
        <v>194</v>
      </c>
      <c r="B202" s="556" t="s">
        <v>379</v>
      </c>
      <c r="C202" s="533" t="s">
        <v>62</v>
      </c>
      <c r="D202" s="534"/>
      <c r="E202" s="486" t="s">
        <v>158</v>
      </c>
      <c r="F202" s="532" t="s">
        <v>421</v>
      </c>
      <c r="G202" s="556" t="s">
        <v>409</v>
      </c>
      <c r="H202" s="550">
        <v>10</v>
      </c>
      <c r="I202" s="550">
        <v>6</v>
      </c>
      <c r="J202" s="550">
        <v>6</v>
      </c>
      <c r="K202" s="551">
        <v>7132.7</v>
      </c>
      <c r="L202" s="551">
        <v>6120.15</v>
      </c>
      <c r="M202" s="482">
        <v>1012.55</v>
      </c>
      <c r="N202" s="550">
        <v>0</v>
      </c>
      <c r="O202" s="551">
        <v>0</v>
      </c>
      <c r="P202" s="551">
        <v>0</v>
      </c>
      <c r="Q202" s="482">
        <v>0</v>
      </c>
    </row>
    <row r="203" spans="1:17" ht="15.75" customHeight="1" x14ac:dyDescent="0.2">
      <c r="A203" s="484">
        <f t="shared" ref="A203:A266" si="9">A202+1</f>
        <v>195</v>
      </c>
      <c r="B203" s="556" t="s">
        <v>264</v>
      </c>
      <c r="C203" s="533" t="s">
        <v>62</v>
      </c>
      <c r="D203" s="534"/>
      <c r="E203" s="486" t="s">
        <v>158</v>
      </c>
      <c r="F203" s="532" t="s">
        <v>422</v>
      </c>
      <c r="G203" s="556" t="s">
        <v>409</v>
      </c>
      <c r="H203" s="550">
        <v>3</v>
      </c>
      <c r="I203" s="550">
        <v>0</v>
      </c>
      <c r="J203" s="550">
        <v>0</v>
      </c>
      <c r="K203" s="551">
        <v>0</v>
      </c>
      <c r="L203" s="551">
        <v>0</v>
      </c>
      <c r="M203" s="482">
        <v>0</v>
      </c>
      <c r="N203" s="550">
        <v>0</v>
      </c>
      <c r="O203" s="551">
        <v>0</v>
      </c>
      <c r="P203" s="551">
        <v>0</v>
      </c>
      <c r="Q203" s="482">
        <v>0</v>
      </c>
    </row>
    <row r="204" spans="1:17" ht="15.75" customHeight="1" x14ac:dyDescent="0.2">
      <c r="A204" s="484">
        <f t="shared" si="9"/>
        <v>196</v>
      </c>
      <c r="B204" s="556" t="s">
        <v>475</v>
      </c>
      <c r="C204" s="533" t="s">
        <v>67</v>
      </c>
      <c r="D204" s="558" t="s">
        <v>123</v>
      </c>
      <c r="E204" s="556" t="s">
        <v>158</v>
      </c>
      <c r="F204" s="532" t="s">
        <v>423</v>
      </c>
      <c r="G204" s="556" t="s">
        <v>409</v>
      </c>
      <c r="H204" s="550">
        <v>3</v>
      </c>
      <c r="I204" s="550">
        <v>0</v>
      </c>
      <c r="J204" s="550">
        <v>0</v>
      </c>
      <c r="K204" s="551">
        <v>0</v>
      </c>
      <c r="L204" s="551">
        <v>0</v>
      </c>
      <c r="M204" s="482">
        <v>0</v>
      </c>
      <c r="N204" s="550">
        <v>0</v>
      </c>
      <c r="O204" s="551">
        <v>0</v>
      </c>
      <c r="P204" s="551">
        <v>0</v>
      </c>
      <c r="Q204" s="482">
        <v>0</v>
      </c>
    </row>
    <row r="205" spans="1:17" ht="15.75" customHeight="1" x14ac:dyDescent="0.2">
      <c r="A205" s="484">
        <f t="shared" si="9"/>
        <v>197</v>
      </c>
      <c r="B205" s="556" t="s">
        <v>137</v>
      </c>
      <c r="C205" s="533" t="s">
        <v>62</v>
      </c>
      <c r="D205" s="534"/>
      <c r="E205" s="556" t="s">
        <v>158</v>
      </c>
      <c r="F205" s="532" t="s">
        <v>424</v>
      </c>
      <c r="G205" s="556" t="s">
        <v>409</v>
      </c>
      <c r="H205" s="550">
        <v>6</v>
      </c>
      <c r="I205" s="550">
        <v>2</v>
      </c>
      <c r="J205" s="550">
        <v>2</v>
      </c>
      <c r="K205" s="551">
        <v>2243.8200000000002</v>
      </c>
      <c r="L205" s="551">
        <v>1691.52</v>
      </c>
      <c r="M205" s="482">
        <v>552.29999999999995</v>
      </c>
      <c r="N205" s="550">
        <v>1</v>
      </c>
      <c r="O205" s="551">
        <v>2393.3000000000002</v>
      </c>
      <c r="P205" s="551">
        <v>0</v>
      </c>
      <c r="Q205" s="482">
        <v>2393.3000000000002</v>
      </c>
    </row>
    <row r="206" spans="1:17" ht="15.75" customHeight="1" x14ac:dyDescent="0.2">
      <c r="A206" s="484">
        <f t="shared" si="9"/>
        <v>198</v>
      </c>
      <c r="B206" s="556" t="s">
        <v>173</v>
      </c>
      <c r="C206" s="533" t="s">
        <v>67</v>
      </c>
      <c r="D206" s="484" t="s">
        <v>478</v>
      </c>
      <c r="E206" s="486" t="s">
        <v>158</v>
      </c>
      <c r="F206" s="532" t="s">
        <v>426</v>
      </c>
      <c r="G206" s="556" t="s">
        <v>409</v>
      </c>
      <c r="H206" s="550">
        <v>14</v>
      </c>
      <c r="I206" s="550">
        <v>8</v>
      </c>
      <c r="J206" s="550">
        <v>8</v>
      </c>
      <c r="K206" s="551">
        <v>13701.62</v>
      </c>
      <c r="L206" s="551">
        <v>13701.62</v>
      </c>
      <c r="M206" s="482">
        <v>0</v>
      </c>
      <c r="N206" s="550">
        <v>0</v>
      </c>
      <c r="O206" s="551">
        <v>0</v>
      </c>
      <c r="P206" s="551">
        <v>0</v>
      </c>
      <c r="Q206" s="482">
        <v>0</v>
      </c>
    </row>
    <row r="207" spans="1:17" ht="15.75" customHeight="1" x14ac:dyDescent="0.2">
      <c r="A207" s="484">
        <f t="shared" si="9"/>
        <v>199</v>
      </c>
      <c r="B207" s="556" t="s">
        <v>135</v>
      </c>
      <c r="C207" s="533" t="s">
        <v>62</v>
      </c>
      <c r="D207" s="534"/>
      <c r="E207" s="486" t="s">
        <v>158</v>
      </c>
      <c r="F207" s="532" t="s">
        <v>427</v>
      </c>
      <c r="G207" s="556" t="s">
        <v>409</v>
      </c>
      <c r="H207" s="550">
        <v>7</v>
      </c>
      <c r="I207" s="550">
        <v>3</v>
      </c>
      <c r="J207" s="550">
        <v>3</v>
      </c>
      <c r="K207" s="551">
        <v>3524.92</v>
      </c>
      <c r="L207" s="551">
        <v>2396.3200000000002</v>
      </c>
      <c r="M207" s="482">
        <v>1128.5999999999999</v>
      </c>
      <c r="N207" s="550">
        <v>13</v>
      </c>
      <c r="O207" s="551">
        <v>29153.119999999999</v>
      </c>
      <c r="P207" s="551">
        <v>21917.97</v>
      </c>
      <c r="Q207" s="482">
        <v>7235.15</v>
      </c>
    </row>
    <row r="208" spans="1:17" ht="15.75" customHeight="1" x14ac:dyDescent="0.2">
      <c r="A208" s="484">
        <f t="shared" si="9"/>
        <v>200</v>
      </c>
      <c r="B208" s="556" t="s">
        <v>148</v>
      </c>
      <c r="C208" s="533" t="s">
        <v>62</v>
      </c>
      <c r="D208" s="534"/>
      <c r="E208" s="556" t="s">
        <v>719</v>
      </c>
      <c r="F208" s="532" t="s">
        <v>375</v>
      </c>
      <c r="G208" s="556" t="s">
        <v>409</v>
      </c>
      <c r="H208" s="550">
        <v>25</v>
      </c>
      <c r="I208" s="550">
        <v>20</v>
      </c>
      <c r="J208" s="550">
        <v>20</v>
      </c>
      <c r="K208" s="551">
        <v>58526.37</v>
      </c>
      <c r="L208" s="551">
        <v>49137.27</v>
      </c>
      <c r="M208" s="482">
        <v>9389.1</v>
      </c>
      <c r="N208" s="550">
        <v>30</v>
      </c>
      <c r="O208" s="551">
        <v>92970.89</v>
      </c>
      <c r="P208" s="551">
        <v>92970.89</v>
      </c>
      <c r="Q208" s="482">
        <v>0</v>
      </c>
    </row>
    <row r="209" spans="1:17" ht="15.75" customHeight="1" x14ac:dyDescent="0.2">
      <c r="A209" s="484">
        <f t="shared" si="9"/>
        <v>201</v>
      </c>
      <c r="B209" s="556" t="s">
        <v>147</v>
      </c>
      <c r="C209" s="533" t="s">
        <v>62</v>
      </c>
      <c r="D209" s="534"/>
      <c r="E209" s="486" t="s">
        <v>158</v>
      </c>
      <c r="F209" s="532" t="s">
        <v>331</v>
      </c>
      <c r="G209" s="556" t="s">
        <v>409</v>
      </c>
      <c r="H209" s="550">
        <v>10</v>
      </c>
      <c r="I209" s="550">
        <v>3</v>
      </c>
      <c r="J209" s="550">
        <v>3</v>
      </c>
      <c r="K209" s="551">
        <v>6204.1</v>
      </c>
      <c r="L209" s="551">
        <v>4915.3999999999996</v>
      </c>
      <c r="M209" s="482">
        <v>1288.7</v>
      </c>
      <c r="N209" s="550">
        <v>10</v>
      </c>
      <c r="O209" s="551">
        <v>22395.4</v>
      </c>
      <c r="P209" s="551">
        <v>22395.4</v>
      </c>
      <c r="Q209" s="482">
        <v>0</v>
      </c>
    </row>
    <row r="210" spans="1:17" ht="15.75" customHeight="1" x14ac:dyDescent="0.2">
      <c r="A210" s="484">
        <f t="shared" si="9"/>
        <v>202</v>
      </c>
      <c r="B210" s="556" t="s">
        <v>124</v>
      </c>
      <c r="C210" s="533" t="s">
        <v>62</v>
      </c>
      <c r="D210" s="534"/>
      <c r="E210" s="556" t="s">
        <v>720</v>
      </c>
      <c r="F210" s="532" t="s">
        <v>329</v>
      </c>
      <c r="G210" s="556" t="s">
        <v>409</v>
      </c>
      <c r="H210" s="550">
        <v>17</v>
      </c>
      <c r="I210" s="550">
        <v>11</v>
      </c>
      <c r="J210" s="550">
        <v>11</v>
      </c>
      <c r="K210" s="551">
        <v>14887.37</v>
      </c>
      <c r="L210" s="551">
        <v>14887.37</v>
      </c>
      <c r="M210" s="482">
        <v>0</v>
      </c>
      <c r="N210" s="550">
        <v>26</v>
      </c>
      <c r="O210" s="551">
        <v>35829.449999999997</v>
      </c>
      <c r="P210" s="551">
        <v>35829.449999999997</v>
      </c>
      <c r="Q210" s="482">
        <v>0</v>
      </c>
    </row>
    <row r="211" spans="1:17" ht="15.75" customHeight="1" x14ac:dyDescent="0.2">
      <c r="A211" s="484">
        <f t="shared" si="9"/>
        <v>203</v>
      </c>
      <c r="B211" s="556" t="s">
        <v>168</v>
      </c>
      <c r="C211" s="533" t="s">
        <v>62</v>
      </c>
      <c r="D211" s="534"/>
      <c r="E211" s="532" t="s">
        <v>371</v>
      </c>
      <c r="F211" s="532" t="s">
        <v>353</v>
      </c>
      <c r="G211" s="556" t="s">
        <v>409</v>
      </c>
      <c r="H211" s="550">
        <v>11</v>
      </c>
      <c r="I211" s="550">
        <v>1</v>
      </c>
      <c r="J211" s="550">
        <v>1</v>
      </c>
      <c r="K211" s="551">
        <v>1409.6</v>
      </c>
      <c r="L211" s="551">
        <v>1409.6</v>
      </c>
      <c r="M211" s="482">
        <v>0</v>
      </c>
      <c r="N211" s="550">
        <v>0</v>
      </c>
      <c r="O211" s="551">
        <v>0</v>
      </c>
      <c r="P211" s="551">
        <v>0</v>
      </c>
      <c r="Q211" s="482">
        <v>0</v>
      </c>
    </row>
    <row r="212" spans="1:17" ht="15.75" customHeight="1" x14ac:dyDescent="0.2">
      <c r="A212" s="484">
        <f t="shared" si="9"/>
        <v>204</v>
      </c>
      <c r="B212" s="556" t="s">
        <v>429</v>
      </c>
      <c r="C212" s="533" t="s">
        <v>62</v>
      </c>
      <c r="D212" s="534"/>
      <c r="E212" s="486" t="s">
        <v>158</v>
      </c>
      <c r="F212" s="532" t="s">
        <v>430</v>
      </c>
      <c r="G212" s="556" t="s">
        <v>409</v>
      </c>
      <c r="H212" s="550">
        <v>10</v>
      </c>
      <c r="I212" s="550">
        <v>3</v>
      </c>
      <c r="J212" s="550">
        <v>3</v>
      </c>
      <c r="K212" s="551">
        <v>5178.84</v>
      </c>
      <c r="L212" s="551">
        <v>5178.84</v>
      </c>
      <c r="M212" s="482">
        <v>0</v>
      </c>
      <c r="N212" s="550">
        <v>7</v>
      </c>
      <c r="O212" s="551">
        <v>6995.76</v>
      </c>
      <c r="P212" s="551">
        <v>6995.76</v>
      </c>
      <c r="Q212" s="482">
        <v>0</v>
      </c>
    </row>
    <row r="213" spans="1:17" ht="15.75" customHeight="1" x14ac:dyDescent="0.2">
      <c r="A213" s="484">
        <f t="shared" si="9"/>
        <v>205</v>
      </c>
      <c r="B213" s="556" t="s">
        <v>130</v>
      </c>
      <c r="C213" s="533" t="s">
        <v>62</v>
      </c>
      <c r="D213" s="534"/>
      <c r="E213" s="486" t="s">
        <v>158</v>
      </c>
      <c r="F213" s="532" t="s">
        <v>431</v>
      </c>
      <c r="G213" s="556" t="s">
        <v>409</v>
      </c>
      <c r="H213" s="550">
        <v>7</v>
      </c>
      <c r="I213" s="550">
        <v>4</v>
      </c>
      <c r="J213" s="550">
        <v>4</v>
      </c>
      <c r="K213" s="551">
        <v>5204.2</v>
      </c>
      <c r="L213" s="551">
        <v>5204.2</v>
      </c>
      <c r="M213" s="482">
        <v>0</v>
      </c>
      <c r="N213" s="550">
        <v>5</v>
      </c>
      <c r="O213" s="551">
        <v>10391.459999999999</v>
      </c>
      <c r="P213" s="551">
        <v>10391.459999999999</v>
      </c>
      <c r="Q213" s="482">
        <v>0</v>
      </c>
    </row>
    <row r="214" spans="1:17" ht="15.75" customHeight="1" x14ac:dyDescent="0.2">
      <c r="A214" s="484">
        <f t="shared" si="9"/>
        <v>206</v>
      </c>
      <c r="B214" s="556" t="s">
        <v>32</v>
      </c>
      <c r="C214" s="533" t="s">
        <v>62</v>
      </c>
      <c r="D214" s="534"/>
      <c r="E214" s="486" t="s">
        <v>158</v>
      </c>
      <c r="F214" s="532" t="s">
        <v>432</v>
      </c>
      <c r="G214" s="556" t="s">
        <v>409</v>
      </c>
      <c r="H214" s="550">
        <v>15</v>
      </c>
      <c r="I214" s="550">
        <v>10</v>
      </c>
      <c r="J214" s="550">
        <v>10</v>
      </c>
      <c r="K214" s="551">
        <v>16181.42</v>
      </c>
      <c r="L214" s="551">
        <v>12683.52</v>
      </c>
      <c r="M214" s="482">
        <v>3497.9</v>
      </c>
      <c r="N214" s="550">
        <v>9</v>
      </c>
      <c r="O214" s="551">
        <v>18778.12</v>
      </c>
      <c r="P214" s="551">
        <v>18778.12</v>
      </c>
      <c r="Q214" s="482">
        <v>0</v>
      </c>
    </row>
    <row r="215" spans="1:17" ht="15.75" customHeight="1" x14ac:dyDescent="0.2">
      <c r="A215" s="484">
        <f t="shared" si="9"/>
        <v>207</v>
      </c>
      <c r="B215" s="556" t="s">
        <v>343</v>
      </c>
      <c r="C215" s="533" t="s">
        <v>62</v>
      </c>
      <c r="D215" s="534"/>
      <c r="E215" s="486" t="s">
        <v>158</v>
      </c>
      <c r="F215" s="532" t="s">
        <v>433</v>
      </c>
      <c r="G215" s="556" t="s">
        <v>409</v>
      </c>
      <c r="H215" s="550">
        <v>16</v>
      </c>
      <c r="I215" s="550">
        <v>12</v>
      </c>
      <c r="J215" s="550">
        <v>12</v>
      </c>
      <c r="K215" s="551">
        <v>20615</v>
      </c>
      <c r="L215" s="551">
        <v>18037.599999999999</v>
      </c>
      <c r="M215" s="482">
        <v>2577.4</v>
      </c>
      <c r="N215" s="550">
        <v>0</v>
      </c>
      <c r="O215" s="551">
        <v>0</v>
      </c>
      <c r="P215" s="551">
        <v>0</v>
      </c>
      <c r="Q215" s="482">
        <v>0</v>
      </c>
    </row>
    <row r="216" spans="1:17" ht="15.75" customHeight="1" x14ac:dyDescent="0.2">
      <c r="A216" s="484">
        <f t="shared" si="9"/>
        <v>208</v>
      </c>
      <c r="B216" s="556" t="s">
        <v>290</v>
      </c>
      <c r="C216" s="533" t="s">
        <v>62</v>
      </c>
      <c r="D216" s="534"/>
      <c r="E216" s="532" t="s">
        <v>371</v>
      </c>
      <c r="F216" s="532" t="s">
        <v>434</v>
      </c>
      <c r="G216" s="556" t="s">
        <v>409</v>
      </c>
      <c r="H216" s="550">
        <v>6</v>
      </c>
      <c r="I216" s="550">
        <v>1</v>
      </c>
      <c r="J216" s="550">
        <v>1</v>
      </c>
      <c r="K216" s="551">
        <v>1585.8</v>
      </c>
      <c r="L216" s="551">
        <v>1585.8</v>
      </c>
      <c r="M216" s="482">
        <v>0</v>
      </c>
      <c r="N216" s="550">
        <v>0</v>
      </c>
      <c r="O216" s="551">
        <v>0</v>
      </c>
      <c r="P216" s="551">
        <v>0</v>
      </c>
      <c r="Q216" s="482">
        <v>0</v>
      </c>
    </row>
    <row r="217" spans="1:17" ht="15.75" customHeight="1" x14ac:dyDescent="0.2">
      <c r="A217" s="484">
        <f t="shared" si="9"/>
        <v>209</v>
      </c>
      <c r="B217" s="556" t="s">
        <v>315</v>
      </c>
      <c r="C217" s="533" t="s">
        <v>62</v>
      </c>
      <c r="D217" s="534"/>
      <c r="E217" s="486" t="s">
        <v>158</v>
      </c>
      <c r="F217" s="532" t="s">
        <v>435</v>
      </c>
      <c r="G217" s="556" t="s">
        <v>409</v>
      </c>
      <c r="H217" s="550">
        <v>20</v>
      </c>
      <c r="I217" s="550">
        <v>6</v>
      </c>
      <c r="J217" s="550">
        <v>6</v>
      </c>
      <c r="K217" s="551">
        <v>13025.5</v>
      </c>
      <c r="L217" s="551">
        <v>4741</v>
      </c>
      <c r="M217" s="482">
        <v>8284.5</v>
      </c>
      <c r="N217" s="550">
        <v>6</v>
      </c>
      <c r="O217" s="551">
        <v>14019.72</v>
      </c>
      <c r="P217" s="551">
        <v>7208.02</v>
      </c>
      <c r="Q217" s="482">
        <v>6811.7</v>
      </c>
    </row>
    <row r="218" spans="1:17" ht="15.75" customHeight="1" x14ac:dyDescent="0.2">
      <c r="A218" s="484">
        <f t="shared" si="9"/>
        <v>210</v>
      </c>
      <c r="B218" s="556" t="s">
        <v>216</v>
      </c>
      <c r="C218" s="533" t="s">
        <v>67</v>
      </c>
      <c r="D218" s="534" t="s">
        <v>436</v>
      </c>
      <c r="E218" s="486" t="s">
        <v>158</v>
      </c>
      <c r="F218" s="532" t="s">
        <v>437</v>
      </c>
      <c r="G218" s="556" t="s">
        <v>409</v>
      </c>
      <c r="H218" s="550">
        <v>20</v>
      </c>
      <c r="I218" s="550">
        <v>7</v>
      </c>
      <c r="J218" s="550">
        <v>7</v>
      </c>
      <c r="K218" s="551">
        <v>13299.66</v>
      </c>
      <c r="L218" s="551">
        <v>13299.66</v>
      </c>
      <c r="M218" s="482">
        <v>0</v>
      </c>
      <c r="N218" s="550">
        <v>0</v>
      </c>
      <c r="O218" s="551">
        <v>0</v>
      </c>
      <c r="P218" s="551">
        <v>0</v>
      </c>
      <c r="Q218" s="482">
        <v>0</v>
      </c>
    </row>
    <row r="219" spans="1:17" ht="15.75" customHeight="1" x14ac:dyDescent="0.2">
      <c r="A219" s="484">
        <f t="shared" si="9"/>
        <v>211</v>
      </c>
      <c r="B219" s="556" t="s">
        <v>438</v>
      </c>
      <c r="C219" s="533" t="s">
        <v>62</v>
      </c>
      <c r="D219" s="534"/>
      <c r="E219" s="486" t="s">
        <v>158</v>
      </c>
      <c r="F219" s="532" t="s">
        <v>439</v>
      </c>
      <c r="G219" s="556" t="s">
        <v>409</v>
      </c>
      <c r="H219" s="550">
        <v>9</v>
      </c>
      <c r="I219" s="550">
        <v>1</v>
      </c>
      <c r="J219" s="550">
        <v>1</v>
      </c>
      <c r="K219" s="551">
        <v>3497.9</v>
      </c>
      <c r="L219" s="551">
        <v>0</v>
      </c>
      <c r="M219" s="482">
        <v>3497.9</v>
      </c>
      <c r="N219" s="550">
        <v>0</v>
      </c>
      <c r="O219" s="551">
        <v>0</v>
      </c>
      <c r="P219" s="551">
        <v>0</v>
      </c>
      <c r="Q219" s="482">
        <v>0</v>
      </c>
    </row>
    <row r="220" spans="1:17" ht="15.75" customHeight="1" x14ac:dyDescent="0.2">
      <c r="A220" s="484">
        <f t="shared" si="9"/>
        <v>212</v>
      </c>
      <c r="B220" s="556" t="s">
        <v>440</v>
      </c>
      <c r="C220" s="533" t="s">
        <v>62</v>
      </c>
      <c r="D220" s="534"/>
      <c r="E220" s="486" t="s">
        <v>158</v>
      </c>
      <c r="F220" s="532" t="s">
        <v>441</v>
      </c>
      <c r="G220" s="556" t="s">
        <v>409</v>
      </c>
      <c r="H220" s="550">
        <v>7</v>
      </c>
      <c r="I220" s="550">
        <v>3</v>
      </c>
      <c r="J220" s="550">
        <v>3</v>
      </c>
      <c r="K220" s="551">
        <v>3171.6</v>
      </c>
      <c r="L220" s="551">
        <v>3171.6</v>
      </c>
      <c r="M220" s="482">
        <v>0</v>
      </c>
      <c r="N220" s="550">
        <v>0</v>
      </c>
      <c r="O220" s="551">
        <v>0</v>
      </c>
      <c r="P220" s="551">
        <v>0</v>
      </c>
      <c r="Q220" s="482">
        <v>0</v>
      </c>
    </row>
    <row r="221" spans="1:17" ht="15.75" customHeight="1" x14ac:dyDescent="0.2">
      <c r="A221" s="484">
        <f t="shared" si="9"/>
        <v>213</v>
      </c>
      <c r="B221" s="556" t="s">
        <v>222</v>
      </c>
      <c r="C221" s="533" t="s">
        <v>64</v>
      </c>
      <c r="D221" s="484" t="s">
        <v>486</v>
      </c>
      <c r="E221" s="486" t="s">
        <v>158</v>
      </c>
      <c r="F221" s="532" t="s">
        <v>443</v>
      </c>
      <c r="G221" s="556" t="s">
        <v>409</v>
      </c>
      <c r="H221" s="550">
        <v>1</v>
      </c>
      <c r="I221" s="550">
        <v>0</v>
      </c>
      <c r="J221" s="550">
        <v>0</v>
      </c>
      <c r="K221" s="551">
        <v>0</v>
      </c>
      <c r="L221" s="551">
        <v>0</v>
      </c>
      <c r="M221" s="482">
        <v>0</v>
      </c>
      <c r="N221" s="550">
        <v>0</v>
      </c>
      <c r="O221" s="551">
        <v>0</v>
      </c>
      <c r="P221" s="551">
        <v>0</v>
      </c>
      <c r="Q221" s="482">
        <v>0</v>
      </c>
    </row>
    <row r="222" spans="1:17" ht="15.75" customHeight="1" x14ac:dyDescent="0.2">
      <c r="A222" s="484">
        <f t="shared" si="9"/>
        <v>214</v>
      </c>
      <c r="B222" s="556" t="s">
        <v>444</v>
      </c>
      <c r="C222" s="533" t="s">
        <v>62</v>
      </c>
      <c r="D222" s="534"/>
      <c r="E222" s="486" t="s">
        <v>158</v>
      </c>
      <c r="F222" s="532" t="s">
        <v>445</v>
      </c>
      <c r="G222" s="556" t="s">
        <v>409</v>
      </c>
      <c r="H222" s="550">
        <v>5</v>
      </c>
      <c r="I222" s="550">
        <v>5</v>
      </c>
      <c r="J222" s="550">
        <v>5</v>
      </c>
      <c r="K222" s="551">
        <v>3802.9</v>
      </c>
      <c r="L222" s="551">
        <v>3802.9</v>
      </c>
      <c r="M222" s="482">
        <v>0</v>
      </c>
      <c r="N222" s="550">
        <v>0</v>
      </c>
      <c r="O222" s="551">
        <v>0</v>
      </c>
      <c r="P222" s="551">
        <v>0</v>
      </c>
      <c r="Q222" s="482">
        <v>0</v>
      </c>
    </row>
    <row r="223" spans="1:17" ht="15.75" customHeight="1" x14ac:dyDescent="0.2">
      <c r="A223" s="484">
        <f t="shared" si="9"/>
        <v>215</v>
      </c>
      <c r="B223" s="556" t="s">
        <v>129</v>
      </c>
      <c r="C223" s="533" t="s">
        <v>62</v>
      </c>
      <c r="D223" s="534"/>
      <c r="E223" s="486" t="s">
        <v>158</v>
      </c>
      <c r="F223" s="532" t="s">
        <v>446</v>
      </c>
      <c r="G223" s="556" t="s">
        <v>409</v>
      </c>
      <c r="H223" s="550">
        <v>12</v>
      </c>
      <c r="I223" s="550">
        <v>6</v>
      </c>
      <c r="J223" s="550">
        <v>6</v>
      </c>
      <c r="K223" s="551">
        <v>8100.41</v>
      </c>
      <c r="L223" s="551">
        <v>4624.25</v>
      </c>
      <c r="M223" s="482">
        <v>3476.16</v>
      </c>
      <c r="N223" s="550">
        <v>12</v>
      </c>
      <c r="O223" s="551">
        <v>25243.58</v>
      </c>
      <c r="P223" s="551">
        <v>25243.58</v>
      </c>
      <c r="Q223" s="482">
        <v>0</v>
      </c>
    </row>
    <row r="224" spans="1:17" ht="15.75" customHeight="1" x14ac:dyDescent="0.2">
      <c r="A224" s="484">
        <f t="shared" si="9"/>
        <v>216</v>
      </c>
      <c r="B224" s="532" t="s">
        <v>104</v>
      </c>
      <c r="C224" s="533" t="s">
        <v>62</v>
      </c>
      <c r="D224" s="534"/>
      <c r="E224" s="490" t="s">
        <v>730</v>
      </c>
      <c r="F224" s="532" t="s">
        <v>447</v>
      </c>
      <c r="G224" s="556" t="s">
        <v>409</v>
      </c>
      <c r="H224" s="550">
        <v>0</v>
      </c>
      <c r="I224" s="550">
        <v>0</v>
      </c>
      <c r="J224" s="550">
        <v>0</v>
      </c>
      <c r="K224" s="551">
        <v>0</v>
      </c>
      <c r="L224" s="551">
        <v>0</v>
      </c>
      <c r="M224" s="482">
        <v>0</v>
      </c>
      <c r="N224" s="550">
        <v>7</v>
      </c>
      <c r="O224" s="551">
        <v>5726.5</v>
      </c>
      <c r="P224" s="551">
        <v>5726.5</v>
      </c>
      <c r="Q224" s="482">
        <v>0</v>
      </c>
    </row>
    <row r="225" spans="1:17" ht="15.75" customHeight="1" x14ac:dyDescent="0.2">
      <c r="A225" s="484">
        <f t="shared" si="9"/>
        <v>217</v>
      </c>
      <c r="B225" s="532" t="s">
        <v>156</v>
      </c>
      <c r="C225" s="533" t="s">
        <v>67</v>
      </c>
      <c r="D225" s="534" t="s">
        <v>745</v>
      </c>
      <c r="E225" s="486" t="s">
        <v>158</v>
      </c>
      <c r="F225" s="532" t="s">
        <v>502</v>
      </c>
      <c r="G225" s="556" t="s">
        <v>409</v>
      </c>
      <c r="H225" s="550">
        <v>4</v>
      </c>
      <c r="I225" s="550">
        <v>0</v>
      </c>
      <c r="J225" s="550">
        <v>0</v>
      </c>
      <c r="K225" s="551">
        <v>0</v>
      </c>
      <c r="L225" s="551">
        <v>0</v>
      </c>
      <c r="M225" s="482">
        <v>0</v>
      </c>
      <c r="N225" s="550">
        <v>5</v>
      </c>
      <c r="O225" s="551">
        <v>8865.2999999999993</v>
      </c>
      <c r="P225" s="551">
        <v>8865.2999999999993</v>
      </c>
      <c r="Q225" s="482">
        <v>0</v>
      </c>
    </row>
    <row r="226" spans="1:17" ht="15.75" customHeight="1" x14ac:dyDescent="0.2">
      <c r="A226" s="484">
        <f t="shared" si="9"/>
        <v>218</v>
      </c>
      <c r="B226" s="532" t="s">
        <v>133</v>
      </c>
      <c r="C226" s="533" t="s">
        <v>67</v>
      </c>
      <c r="D226" s="484" t="s">
        <v>494</v>
      </c>
      <c r="E226" s="486" t="s">
        <v>158</v>
      </c>
      <c r="F226" s="532" t="s">
        <v>503</v>
      </c>
      <c r="G226" s="556" t="s">
        <v>409</v>
      </c>
      <c r="H226" s="550">
        <v>12</v>
      </c>
      <c r="I226" s="550">
        <v>5</v>
      </c>
      <c r="J226" s="550">
        <v>5</v>
      </c>
      <c r="K226" s="551">
        <v>13731.4</v>
      </c>
      <c r="L226" s="551">
        <v>13731.4</v>
      </c>
      <c r="M226" s="482">
        <v>0</v>
      </c>
      <c r="N226" s="550">
        <v>18</v>
      </c>
      <c r="O226" s="551">
        <v>45265.08</v>
      </c>
      <c r="P226" s="551">
        <v>42255.08</v>
      </c>
      <c r="Q226" s="482">
        <v>3010</v>
      </c>
    </row>
    <row r="227" spans="1:17" ht="15.75" customHeight="1" x14ac:dyDescent="0.2">
      <c r="A227" s="484">
        <f t="shared" si="9"/>
        <v>219</v>
      </c>
      <c r="B227" s="532" t="s">
        <v>114</v>
      </c>
      <c r="C227" s="533" t="s">
        <v>62</v>
      </c>
      <c r="D227" s="534"/>
      <c r="E227" s="486" t="s">
        <v>691</v>
      </c>
      <c r="F227" s="532" t="s">
        <v>504</v>
      </c>
      <c r="G227" s="556" t="s">
        <v>409</v>
      </c>
      <c r="H227" s="550">
        <v>4</v>
      </c>
      <c r="I227" s="550">
        <v>0</v>
      </c>
      <c r="J227" s="550">
        <v>0</v>
      </c>
      <c r="K227" s="551">
        <v>0</v>
      </c>
      <c r="L227" s="551">
        <v>0</v>
      </c>
      <c r="M227" s="482">
        <v>0</v>
      </c>
      <c r="N227" s="550">
        <v>4</v>
      </c>
      <c r="O227" s="551">
        <v>3524</v>
      </c>
      <c r="P227" s="551">
        <v>3524</v>
      </c>
      <c r="Q227" s="482">
        <v>0</v>
      </c>
    </row>
    <row r="228" spans="1:17" ht="15.75" customHeight="1" x14ac:dyDescent="0.2">
      <c r="A228" s="484">
        <f t="shared" si="9"/>
        <v>220</v>
      </c>
      <c r="B228" s="532" t="s">
        <v>505</v>
      </c>
      <c r="C228" s="533" t="s">
        <v>62</v>
      </c>
      <c r="D228" s="534"/>
      <c r="E228" s="486" t="s">
        <v>158</v>
      </c>
      <c r="F228" s="532" t="s">
        <v>506</v>
      </c>
      <c r="G228" s="556" t="s">
        <v>409</v>
      </c>
      <c r="H228" s="550">
        <v>5</v>
      </c>
      <c r="I228" s="550">
        <v>2</v>
      </c>
      <c r="J228" s="550">
        <v>2</v>
      </c>
      <c r="K228" s="551">
        <v>2025.1</v>
      </c>
      <c r="L228" s="551">
        <v>0</v>
      </c>
      <c r="M228" s="482">
        <v>2025.1</v>
      </c>
      <c r="N228" s="550">
        <v>0</v>
      </c>
      <c r="O228" s="551">
        <v>0</v>
      </c>
      <c r="P228" s="551">
        <v>0</v>
      </c>
      <c r="Q228" s="482">
        <v>0</v>
      </c>
    </row>
    <row r="229" spans="1:17" ht="15.75" customHeight="1" x14ac:dyDescent="0.2">
      <c r="A229" s="484">
        <f t="shared" si="9"/>
        <v>221</v>
      </c>
      <c r="B229" s="532" t="s">
        <v>473</v>
      </c>
      <c r="C229" s="533" t="s">
        <v>62</v>
      </c>
      <c r="D229" s="534"/>
      <c r="E229" s="486" t="s">
        <v>158</v>
      </c>
      <c r="F229" s="532" t="s">
        <v>558</v>
      </c>
      <c r="G229" s="556" t="s">
        <v>409</v>
      </c>
      <c r="H229" s="550">
        <v>4</v>
      </c>
      <c r="I229" s="550">
        <v>0</v>
      </c>
      <c r="J229" s="550">
        <v>0</v>
      </c>
      <c r="K229" s="551">
        <v>0</v>
      </c>
      <c r="L229" s="551">
        <v>0</v>
      </c>
      <c r="M229" s="482">
        <v>0</v>
      </c>
      <c r="N229" s="550">
        <v>0</v>
      </c>
      <c r="O229" s="551">
        <v>0</v>
      </c>
      <c r="P229" s="551">
        <v>0</v>
      </c>
      <c r="Q229" s="482">
        <v>0</v>
      </c>
    </row>
    <row r="230" spans="1:17" ht="15.75" customHeight="1" x14ac:dyDescent="0.2">
      <c r="A230" s="484">
        <f t="shared" si="9"/>
        <v>222</v>
      </c>
      <c r="B230" s="532" t="s">
        <v>376</v>
      </c>
      <c r="C230" s="533" t="s">
        <v>62</v>
      </c>
      <c r="D230" s="534"/>
      <c r="E230" s="486" t="s">
        <v>158</v>
      </c>
      <c r="F230" s="532" t="s">
        <v>559</v>
      </c>
      <c r="G230" s="556" t="s">
        <v>409</v>
      </c>
      <c r="H230" s="550">
        <v>3</v>
      </c>
      <c r="I230" s="550">
        <v>0</v>
      </c>
      <c r="J230" s="550">
        <v>0</v>
      </c>
      <c r="K230" s="551">
        <v>0</v>
      </c>
      <c r="L230" s="551">
        <v>0</v>
      </c>
      <c r="M230" s="482">
        <v>0</v>
      </c>
      <c r="N230" s="550">
        <v>0</v>
      </c>
      <c r="O230" s="551">
        <v>0</v>
      </c>
      <c r="P230" s="551">
        <v>0</v>
      </c>
      <c r="Q230" s="482">
        <v>0</v>
      </c>
    </row>
    <row r="231" spans="1:17" ht="15.75" customHeight="1" x14ac:dyDescent="0.2">
      <c r="A231" s="484">
        <f t="shared" si="9"/>
        <v>223</v>
      </c>
      <c r="B231" s="532" t="s">
        <v>119</v>
      </c>
      <c r="C231" s="533" t="s">
        <v>62</v>
      </c>
      <c r="D231" s="534"/>
      <c r="E231" s="486" t="s">
        <v>158</v>
      </c>
      <c r="F231" s="532" t="s">
        <v>560</v>
      </c>
      <c r="G231" s="556" t="s">
        <v>409</v>
      </c>
      <c r="H231" s="550">
        <v>10</v>
      </c>
      <c r="I231" s="550">
        <v>1</v>
      </c>
      <c r="J231" s="550">
        <v>1</v>
      </c>
      <c r="K231" s="551">
        <v>1691.52</v>
      </c>
      <c r="L231" s="551">
        <v>1691.52</v>
      </c>
      <c r="M231" s="482">
        <v>0</v>
      </c>
      <c r="N231" s="550">
        <v>14</v>
      </c>
      <c r="O231" s="551">
        <v>20900.5</v>
      </c>
      <c r="P231" s="551">
        <v>20900.5</v>
      </c>
      <c r="Q231" s="482">
        <v>0</v>
      </c>
    </row>
    <row r="232" spans="1:17" ht="15.75" customHeight="1" x14ac:dyDescent="0.2">
      <c r="A232" s="484">
        <f t="shared" si="9"/>
        <v>224</v>
      </c>
      <c r="B232" s="532" t="s">
        <v>47</v>
      </c>
      <c r="C232" s="533" t="s">
        <v>62</v>
      </c>
      <c r="D232" s="534"/>
      <c r="E232" s="486" t="s">
        <v>677</v>
      </c>
      <c r="F232" s="532" t="s">
        <v>589</v>
      </c>
      <c r="G232" s="556" t="s">
        <v>409</v>
      </c>
      <c r="H232" s="550">
        <v>0</v>
      </c>
      <c r="I232" s="550">
        <v>0</v>
      </c>
      <c r="J232" s="550">
        <v>0</v>
      </c>
      <c r="K232" s="551">
        <v>0</v>
      </c>
      <c r="L232" s="551">
        <v>0</v>
      </c>
      <c r="M232" s="482">
        <v>0</v>
      </c>
      <c r="N232" s="550">
        <v>1</v>
      </c>
      <c r="O232" s="551">
        <v>6554.64</v>
      </c>
      <c r="P232" s="551">
        <v>6554.64</v>
      </c>
      <c r="Q232" s="482">
        <v>0</v>
      </c>
    </row>
    <row r="233" spans="1:17" ht="15.75" customHeight="1" x14ac:dyDescent="0.2">
      <c r="A233" s="484">
        <f t="shared" si="9"/>
        <v>225</v>
      </c>
      <c r="B233" s="532" t="s">
        <v>37</v>
      </c>
      <c r="C233" s="533" t="s">
        <v>62</v>
      </c>
      <c r="D233" s="534"/>
      <c r="E233" s="486" t="s">
        <v>158</v>
      </c>
      <c r="F233" s="532" t="s">
        <v>590</v>
      </c>
      <c r="G233" s="556" t="s">
        <v>409</v>
      </c>
      <c r="H233" s="550">
        <v>6</v>
      </c>
      <c r="I233" s="550">
        <v>0</v>
      </c>
      <c r="J233" s="550">
        <v>0</v>
      </c>
      <c r="K233" s="551">
        <v>0</v>
      </c>
      <c r="L233" s="551">
        <v>0</v>
      </c>
      <c r="M233" s="482">
        <v>0</v>
      </c>
      <c r="N233" s="550">
        <v>0</v>
      </c>
      <c r="O233" s="551">
        <v>0</v>
      </c>
      <c r="P233" s="551">
        <v>0</v>
      </c>
      <c r="Q233" s="482">
        <v>0</v>
      </c>
    </row>
    <row r="234" spans="1:17" ht="15.75" customHeight="1" x14ac:dyDescent="0.2">
      <c r="A234" s="484">
        <f t="shared" si="9"/>
        <v>226</v>
      </c>
      <c r="B234" s="532" t="s">
        <v>97</v>
      </c>
      <c r="C234" s="533" t="s">
        <v>62</v>
      </c>
      <c r="D234" s="534"/>
      <c r="E234" s="486" t="s">
        <v>158</v>
      </c>
      <c r="F234" s="532" t="s">
        <v>591</v>
      </c>
      <c r="G234" s="556" t="s">
        <v>409</v>
      </c>
      <c r="H234" s="550">
        <v>4</v>
      </c>
      <c r="I234" s="550">
        <v>2</v>
      </c>
      <c r="J234" s="550">
        <v>2</v>
      </c>
      <c r="K234" s="551">
        <v>3626.7</v>
      </c>
      <c r="L234" s="551">
        <v>3626.7</v>
      </c>
      <c r="M234" s="482">
        <v>0</v>
      </c>
      <c r="N234" s="550">
        <v>3</v>
      </c>
      <c r="O234" s="551">
        <v>4570.8999999999996</v>
      </c>
      <c r="P234" s="551">
        <v>4570.8999999999996</v>
      </c>
      <c r="Q234" s="482">
        <v>0</v>
      </c>
    </row>
    <row r="235" spans="1:17" ht="15.75" customHeight="1" x14ac:dyDescent="0.2">
      <c r="A235" s="484">
        <f t="shared" si="9"/>
        <v>227</v>
      </c>
      <c r="B235" s="532" t="s">
        <v>613</v>
      </c>
      <c r="C235" s="533" t="s">
        <v>62</v>
      </c>
      <c r="D235" s="534"/>
      <c r="E235" s="486" t="s">
        <v>158</v>
      </c>
      <c r="F235" s="532" t="s">
        <v>614</v>
      </c>
      <c r="G235" s="556" t="s">
        <v>409</v>
      </c>
      <c r="H235" s="550">
        <v>7</v>
      </c>
      <c r="I235" s="550">
        <v>2</v>
      </c>
      <c r="J235" s="550">
        <v>2</v>
      </c>
      <c r="K235" s="551">
        <v>1585.8</v>
      </c>
      <c r="L235" s="551">
        <v>1585.8</v>
      </c>
      <c r="M235" s="482">
        <v>0</v>
      </c>
      <c r="N235" s="550">
        <v>3</v>
      </c>
      <c r="O235" s="551">
        <v>616.70000000000005</v>
      </c>
      <c r="P235" s="551">
        <v>616.70000000000005</v>
      </c>
      <c r="Q235" s="482">
        <v>0</v>
      </c>
    </row>
    <row r="236" spans="1:17" ht="15.75" customHeight="1" x14ac:dyDescent="0.2">
      <c r="A236" s="484">
        <f t="shared" si="9"/>
        <v>228</v>
      </c>
      <c r="B236" s="532" t="s">
        <v>615</v>
      </c>
      <c r="C236" s="533" t="s">
        <v>62</v>
      </c>
      <c r="D236" s="534"/>
      <c r="E236" s="486" t="s">
        <v>158</v>
      </c>
      <c r="F236" s="532" t="s">
        <v>616</v>
      </c>
      <c r="G236" s="556" t="s">
        <v>409</v>
      </c>
      <c r="H236" s="550">
        <v>6</v>
      </c>
      <c r="I236" s="550">
        <v>0</v>
      </c>
      <c r="J236" s="550">
        <v>0</v>
      </c>
      <c r="K236" s="551">
        <v>0</v>
      </c>
      <c r="L236" s="551">
        <v>0</v>
      </c>
      <c r="M236" s="482">
        <v>0</v>
      </c>
      <c r="N236" s="550">
        <v>0</v>
      </c>
      <c r="O236" s="551">
        <v>0</v>
      </c>
      <c r="P236" s="551">
        <v>0</v>
      </c>
      <c r="Q236" s="482">
        <v>0</v>
      </c>
    </row>
    <row r="237" spans="1:17" ht="15.75" customHeight="1" x14ac:dyDescent="0.2">
      <c r="A237" s="484">
        <f t="shared" si="9"/>
        <v>229</v>
      </c>
      <c r="B237" s="532" t="s">
        <v>357</v>
      </c>
      <c r="C237" s="516" t="s">
        <v>64</v>
      </c>
      <c r="D237" s="534" t="s">
        <v>585</v>
      </c>
      <c r="E237" s="486" t="s">
        <v>158</v>
      </c>
      <c r="F237" s="532" t="s">
        <v>618</v>
      </c>
      <c r="G237" s="556" t="s">
        <v>409</v>
      </c>
      <c r="H237" s="550">
        <v>7</v>
      </c>
      <c r="I237" s="550">
        <v>1</v>
      </c>
      <c r="J237" s="550">
        <v>1</v>
      </c>
      <c r="K237" s="551">
        <v>1057.2</v>
      </c>
      <c r="L237" s="551">
        <v>1057.2</v>
      </c>
      <c r="M237" s="482">
        <v>0</v>
      </c>
      <c r="N237" s="550">
        <v>3</v>
      </c>
      <c r="O237" s="551">
        <v>5236.2</v>
      </c>
      <c r="P237" s="551">
        <v>5236.2</v>
      </c>
      <c r="Q237" s="482">
        <v>0</v>
      </c>
    </row>
    <row r="238" spans="1:17" ht="15.75" customHeight="1" x14ac:dyDescent="0.2">
      <c r="A238" s="484">
        <f t="shared" si="9"/>
        <v>230</v>
      </c>
      <c r="B238" s="532" t="s">
        <v>621</v>
      </c>
      <c r="C238" s="533" t="s">
        <v>62</v>
      </c>
      <c r="D238" s="534"/>
      <c r="E238" s="486" t="s">
        <v>158</v>
      </c>
      <c r="F238" s="532" t="s">
        <v>625</v>
      </c>
      <c r="G238" s="556" t="s">
        <v>409</v>
      </c>
      <c r="H238" s="550">
        <v>13</v>
      </c>
      <c r="I238" s="550">
        <v>5</v>
      </c>
      <c r="J238" s="550">
        <v>5</v>
      </c>
      <c r="K238" s="551">
        <v>4878.6499999999996</v>
      </c>
      <c r="L238" s="551">
        <v>1564.85</v>
      </c>
      <c r="M238" s="482">
        <v>3313.8</v>
      </c>
      <c r="N238" s="550">
        <v>0</v>
      </c>
      <c r="O238" s="551">
        <v>0</v>
      </c>
      <c r="P238" s="551">
        <v>0</v>
      </c>
      <c r="Q238" s="482">
        <v>0</v>
      </c>
    </row>
    <row r="239" spans="1:17" ht="15.75" customHeight="1" x14ac:dyDescent="0.2">
      <c r="A239" s="484">
        <f t="shared" si="9"/>
        <v>231</v>
      </c>
      <c r="B239" s="484" t="s">
        <v>146</v>
      </c>
      <c r="C239" s="516" t="s">
        <v>62</v>
      </c>
      <c r="D239" s="484"/>
      <c r="E239" s="486" t="s">
        <v>74</v>
      </c>
      <c r="F239" s="486" t="s">
        <v>325</v>
      </c>
      <c r="G239" s="510" t="s">
        <v>326</v>
      </c>
      <c r="H239" s="484">
        <v>15</v>
      </c>
      <c r="I239" s="484">
        <v>7</v>
      </c>
      <c r="J239" s="484">
        <v>7</v>
      </c>
      <c r="K239" s="482">
        <v>8953.4</v>
      </c>
      <c r="L239" s="482">
        <v>8953.4</v>
      </c>
      <c r="M239" s="482">
        <v>0</v>
      </c>
      <c r="N239" s="484">
        <v>6</v>
      </c>
      <c r="O239" s="482">
        <v>5374.1</v>
      </c>
      <c r="P239" s="482">
        <v>5374.1</v>
      </c>
      <c r="Q239" s="482">
        <v>0</v>
      </c>
    </row>
    <row r="240" spans="1:17" ht="15.75" customHeight="1" x14ac:dyDescent="0.2">
      <c r="A240" s="484">
        <f t="shared" si="9"/>
        <v>232</v>
      </c>
      <c r="B240" s="484" t="s">
        <v>166</v>
      </c>
      <c r="C240" s="516" t="s">
        <v>62</v>
      </c>
      <c r="D240" s="484"/>
      <c r="E240" s="486" t="s">
        <v>158</v>
      </c>
      <c r="F240" s="486" t="s">
        <v>327</v>
      </c>
      <c r="G240" s="510" t="s">
        <v>326</v>
      </c>
      <c r="H240" s="484">
        <v>5</v>
      </c>
      <c r="I240" s="484">
        <v>4</v>
      </c>
      <c r="J240" s="484">
        <v>4</v>
      </c>
      <c r="K240" s="482">
        <v>7763.45</v>
      </c>
      <c r="L240" s="482">
        <v>5462.2</v>
      </c>
      <c r="M240" s="482">
        <v>2301.25</v>
      </c>
      <c r="N240" s="484">
        <v>0</v>
      </c>
      <c r="O240" s="482">
        <v>0</v>
      </c>
      <c r="P240" s="482">
        <v>0</v>
      </c>
      <c r="Q240" s="482">
        <v>0</v>
      </c>
    </row>
    <row r="241" spans="1:17" ht="15.75" customHeight="1" x14ac:dyDescent="0.2">
      <c r="A241" s="484">
        <f t="shared" si="9"/>
        <v>233</v>
      </c>
      <c r="B241" s="484" t="s">
        <v>173</v>
      </c>
      <c r="C241" s="516" t="s">
        <v>67</v>
      </c>
      <c r="D241" s="484" t="s">
        <v>328</v>
      </c>
      <c r="E241" s="486" t="s">
        <v>158</v>
      </c>
      <c r="F241" s="486" t="s">
        <v>329</v>
      </c>
      <c r="G241" s="510" t="s">
        <v>326</v>
      </c>
      <c r="H241" s="484">
        <v>9</v>
      </c>
      <c r="I241" s="484">
        <v>5</v>
      </c>
      <c r="J241" s="484">
        <v>5</v>
      </c>
      <c r="K241" s="482">
        <v>10645.26</v>
      </c>
      <c r="L241" s="482">
        <v>10645.26</v>
      </c>
      <c r="M241" s="482">
        <v>0</v>
      </c>
      <c r="N241" s="484">
        <v>0</v>
      </c>
      <c r="O241" s="482">
        <v>0</v>
      </c>
      <c r="P241" s="482">
        <v>0</v>
      </c>
      <c r="Q241" s="482">
        <v>0</v>
      </c>
    </row>
    <row r="242" spans="1:17" ht="15.75" customHeight="1" x14ac:dyDescent="0.2">
      <c r="A242" s="484">
        <f t="shared" si="9"/>
        <v>234</v>
      </c>
      <c r="B242" s="484" t="s">
        <v>330</v>
      </c>
      <c r="C242" s="516" t="s">
        <v>62</v>
      </c>
      <c r="D242" s="484"/>
      <c r="E242" s="486" t="s">
        <v>158</v>
      </c>
      <c r="F242" s="486" t="s">
        <v>331</v>
      </c>
      <c r="G242" s="510" t="s">
        <v>326</v>
      </c>
      <c r="H242" s="484">
        <v>16</v>
      </c>
      <c r="I242" s="484">
        <v>10</v>
      </c>
      <c r="J242" s="484">
        <v>10</v>
      </c>
      <c r="K242" s="482">
        <v>12533.9</v>
      </c>
      <c r="L242" s="482">
        <v>12533.9</v>
      </c>
      <c r="M242" s="482">
        <v>0</v>
      </c>
      <c r="N242" s="484">
        <v>0</v>
      </c>
      <c r="O242" s="482">
        <v>0</v>
      </c>
      <c r="P242" s="482">
        <v>0</v>
      </c>
      <c r="Q242" s="482">
        <v>0</v>
      </c>
    </row>
    <row r="243" spans="1:17" ht="15.75" customHeight="1" x14ac:dyDescent="0.2">
      <c r="A243" s="484">
        <f t="shared" si="9"/>
        <v>235</v>
      </c>
      <c r="B243" s="484" t="s">
        <v>147</v>
      </c>
      <c r="C243" s="516" t="s">
        <v>62</v>
      </c>
      <c r="D243" s="484"/>
      <c r="E243" s="486" t="s">
        <v>74</v>
      </c>
      <c r="F243" s="486" t="s">
        <v>332</v>
      </c>
      <c r="G243" s="510" t="s">
        <v>326</v>
      </c>
      <c r="H243" s="484">
        <v>15</v>
      </c>
      <c r="I243" s="484">
        <v>9</v>
      </c>
      <c r="J243" s="484">
        <v>9</v>
      </c>
      <c r="K243" s="482">
        <v>17473.349999999999</v>
      </c>
      <c r="L243" s="482">
        <v>13239.05</v>
      </c>
      <c r="M243" s="482">
        <v>4234.3</v>
      </c>
      <c r="N243" s="484">
        <v>5</v>
      </c>
      <c r="O243" s="482">
        <v>13962.4</v>
      </c>
      <c r="P243" s="482">
        <v>13962.4</v>
      </c>
      <c r="Q243" s="482">
        <v>0</v>
      </c>
    </row>
    <row r="244" spans="1:17" ht="15.75" customHeight="1" x14ac:dyDescent="0.2">
      <c r="A244" s="484">
        <f t="shared" si="9"/>
        <v>236</v>
      </c>
      <c r="B244" s="484" t="s">
        <v>554</v>
      </c>
      <c r="C244" s="516" t="s">
        <v>67</v>
      </c>
      <c r="D244" s="484" t="s">
        <v>555</v>
      </c>
      <c r="E244" s="486" t="s">
        <v>74</v>
      </c>
      <c r="F244" s="486" t="s">
        <v>556</v>
      </c>
      <c r="G244" s="510" t="s">
        <v>326</v>
      </c>
      <c r="H244" s="484">
        <v>2</v>
      </c>
      <c r="I244" s="484">
        <v>0</v>
      </c>
      <c r="J244" s="484">
        <v>0</v>
      </c>
      <c r="K244" s="482">
        <v>0</v>
      </c>
      <c r="L244" s="482">
        <v>0</v>
      </c>
      <c r="M244" s="482">
        <v>0</v>
      </c>
      <c r="N244" s="484">
        <v>0</v>
      </c>
      <c r="O244" s="482">
        <v>0</v>
      </c>
      <c r="P244" s="482">
        <v>0</v>
      </c>
      <c r="Q244" s="482">
        <v>0</v>
      </c>
    </row>
    <row r="245" spans="1:17" ht="15.75" customHeight="1" x14ac:dyDescent="0.2">
      <c r="A245" s="484">
        <f t="shared" si="9"/>
        <v>237</v>
      </c>
      <c r="B245" s="484" t="s">
        <v>88</v>
      </c>
      <c r="C245" s="516" t="s">
        <v>62</v>
      </c>
      <c r="D245" s="484"/>
      <c r="E245" s="486" t="s">
        <v>74</v>
      </c>
      <c r="F245" s="486" t="s">
        <v>333</v>
      </c>
      <c r="G245" s="510" t="s">
        <v>326</v>
      </c>
      <c r="H245" s="484">
        <v>2</v>
      </c>
      <c r="I245" s="484">
        <v>2</v>
      </c>
      <c r="J245" s="484">
        <v>2</v>
      </c>
      <c r="K245" s="482">
        <v>2290.6</v>
      </c>
      <c r="L245" s="482">
        <v>2290.6</v>
      </c>
      <c r="M245" s="482">
        <v>0</v>
      </c>
      <c r="N245" s="484">
        <v>1</v>
      </c>
      <c r="O245" s="482">
        <v>1145.3</v>
      </c>
      <c r="P245" s="482">
        <v>1145.3</v>
      </c>
      <c r="Q245" s="482">
        <v>0</v>
      </c>
    </row>
    <row r="246" spans="1:17" ht="15.75" customHeight="1" x14ac:dyDescent="0.2">
      <c r="A246" s="484">
        <f t="shared" si="9"/>
        <v>238</v>
      </c>
      <c r="B246" s="484" t="s">
        <v>182</v>
      </c>
      <c r="C246" s="516" t="s">
        <v>62</v>
      </c>
      <c r="D246" s="484"/>
      <c r="E246" s="486" t="s">
        <v>158</v>
      </c>
      <c r="F246" s="486" t="s">
        <v>334</v>
      </c>
      <c r="G246" s="510" t="s">
        <v>326</v>
      </c>
      <c r="H246" s="484">
        <v>5</v>
      </c>
      <c r="I246" s="484">
        <v>1</v>
      </c>
      <c r="J246" s="484">
        <v>1</v>
      </c>
      <c r="K246" s="482">
        <v>1233.4000000000001</v>
      </c>
      <c r="L246" s="482">
        <v>1233.4000000000001</v>
      </c>
      <c r="M246" s="482">
        <v>0</v>
      </c>
      <c r="N246" s="484">
        <v>0</v>
      </c>
      <c r="O246" s="482">
        <v>0</v>
      </c>
      <c r="P246" s="482">
        <v>0</v>
      </c>
      <c r="Q246" s="482">
        <v>0</v>
      </c>
    </row>
    <row r="247" spans="1:17" ht="15.75" customHeight="1" x14ac:dyDescent="0.2">
      <c r="A247" s="484">
        <f t="shared" si="9"/>
        <v>239</v>
      </c>
      <c r="B247" s="484" t="s">
        <v>335</v>
      </c>
      <c r="C247" s="516" t="s">
        <v>62</v>
      </c>
      <c r="D247" s="484"/>
      <c r="E247" s="486" t="s">
        <v>74</v>
      </c>
      <c r="F247" s="486" t="s">
        <v>336</v>
      </c>
      <c r="G247" s="510" t="s">
        <v>326</v>
      </c>
      <c r="H247" s="484">
        <v>15</v>
      </c>
      <c r="I247" s="484">
        <v>8</v>
      </c>
      <c r="J247" s="484">
        <v>8</v>
      </c>
      <c r="K247" s="482">
        <v>12008.05</v>
      </c>
      <c r="L247" s="482">
        <v>12008.05</v>
      </c>
      <c r="M247" s="482">
        <v>0</v>
      </c>
      <c r="N247" s="484">
        <v>9</v>
      </c>
      <c r="O247" s="482">
        <v>10605.75</v>
      </c>
      <c r="P247" s="482">
        <v>6739.65</v>
      </c>
      <c r="Q247" s="482">
        <v>3866.1</v>
      </c>
    </row>
    <row r="248" spans="1:17" ht="15.75" customHeight="1" x14ac:dyDescent="0.2">
      <c r="A248" s="484">
        <f t="shared" si="9"/>
        <v>240</v>
      </c>
      <c r="B248" s="484" t="s">
        <v>27</v>
      </c>
      <c r="C248" s="516" t="s">
        <v>62</v>
      </c>
      <c r="D248" s="484"/>
      <c r="E248" s="486" t="s">
        <v>158</v>
      </c>
      <c r="F248" s="486" t="s">
        <v>337</v>
      </c>
      <c r="G248" s="510" t="s">
        <v>326</v>
      </c>
      <c r="H248" s="484">
        <v>13</v>
      </c>
      <c r="I248" s="484">
        <v>12</v>
      </c>
      <c r="J248" s="484">
        <v>12</v>
      </c>
      <c r="K248" s="482">
        <v>12823.4</v>
      </c>
      <c r="L248" s="482">
        <v>12823.4</v>
      </c>
      <c r="M248" s="482">
        <v>0</v>
      </c>
      <c r="N248" s="484">
        <v>0</v>
      </c>
      <c r="O248" s="482">
        <v>0</v>
      </c>
      <c r="P248" s="482">
        <v>0</v>
      </c>
      <c r="Q248" s="482">
        <v>0</v>
      </c>
    </row>
    <row r="249" spans="1:17" ht="15.75" customHeight="1" x14ac:dyDescent="0.2">
      <c r="A249" s="484">
        <f t="shared" si="9"/>
        <v>241</v>
      </c>
      <c r="B249" s="484" t="s">
        <v>190</v>
      </c>
      <c r="C249" s="516" t="s">
        <v>62</v>
      </c>
      <c r="D249" s="484"/>
      <c r="E249" s="486" t="s">
        <v>675</v>
      </c>
      <c r="F249" s="486" t="s">
        <v>339</v>
      </c>
      <c r="G249" s="510" t="s">
        <v>326</v>
      </c>
      <c r="H249" s="484">
        <v>23</v>
      </c>
      <c r="I249" s="484">
        <v>11</v>
      </c>
      <c r="J249" s="484">
        <v>11</v>
      </c>
      <c r="K249" s="482">
        <v>20433.8</v>
      </c>
      <c r="L249" s="482">
        <v>20433.8</v>
      </c>
      <c r="M249" s="482">
        <v>0</v>
      </c>
      <c r="N249" s="484">
        <v>0</v>
      </c>
      <c r="O249" s="482">
        <v>0</v>
      </c>
      <c r="P249" s="482">
        <v>0</v>
      </c>
      <c r="Q249" s="482">
        <v>0</v>
      </c>
    </row>
    <row r="250" spans="1:17" ht="15.75" customHeight="1" x14ac:dyDescent="0.2">
      <c r="A250" s="484">
        <f t="shared" si="9"/>
        <v>242</v>
      </c>
      <c r="B250" s="484" t="s">
        <v>89</v>
      </c>
      <c r="C250" s="516" t="s">
        <v>62</v>
      </c>
      <c r="D250" s="484"/>
      <c r="E250" s="486" t="s">
        <v>74</v>
      </c>
      <c r="F250" s="486" t="s">
        <v>340</v>
      </c>
      <c r="G250" s="510" t="s">
        <v>326</v>
      </c>
      <c r="H250" s="484">
        <v>7</v>
      </c>
      <c r="I250" s="484">
        <v>6</v>
      </c>
      <c r="J250" s="484">
        <v>6</v>
      </c>
      <c r="K250" s="482">
        <v>8633.7999999999993</v>
      </c>
      <c r="L250" s="482">
        <v>8633.7999999999993</v>
      </c>
      <c r="M250" s="482">
        <v>0</v>
      </c>
      <c r="N250" s="484">
        <v>4</v>
      </c>
      <c r="O250" s="482">
        <v>9250.5</v>
      </c>
      <c r="P250" s="482">
        <v>9250.5</v>
      </c>
      <c r="Q250" s="482">
        <v>0</v>
      </c>
    </row>
    <row r="251" spans="1:17" ht="15.75" customHeight="1" x14ac:dyDescent="0.2">
      <c r="A251" s="484">
        <f t="shared" si="9"/>
        <v>243</v>
      </c>
      <c r="B251" s="484" t="s">
        <v>196</v>
      </c>
      <c r="C251" s="516" t="s">
        <v>62</v>
      </c>
      <c r="D251" s="484"/>
      <c r="E251" s="486" t="s">
        <v>683</v>
      </c>
      <c r="F251" s="486" t="s">
        <v>342</v>
      </c>
      <c r="G251" s="510" t="s">
        <v>326</v>
      </c>
      <c r="H251" s="484">
        <v>7</v>
      </c>
      <c r="I251" s="484">
        <v>5</v>
      </c>
      <c r="J251" s="484">
        <v>5</v>
      </c>
      <c r="K251" s="482">
        <v>4933.6000000000004</v>
      </c>
      <c r="L251" s="482">
        <v>4933.6000000000004</v>
      </c>
      <c r="M251" s="482">
        <v>0</v>
      </c>
      <c r="N251" s="484">
        <v>0</v>
      </c>
      <c r="O251" s="482">
        <v>0</v>
      </c>
      <c r="P251" s="482">
        <v>0</v>
      </c>
      <c r="Q251" s="482">
        <v>0</v>
      </c>
    </row>
    <row r="252" spans="1:17" ht="15.75" customHeight="1" x14ac:dyDescent="0.2">
      <c r="A252" s="484">
        <f t="shared" si="9"/>
        <v>244</v>
      </c>
      <c r="B252" s="484" t="s">
        <v>631</v>
      </c>
      <c r="C252" s="516" t="s">
        <v>62</v>
      </c>
      <c r="D252" s="484"/>
      <c r="E252" s="486" t="s">
        <v>74</v>
      </c>
      <c r="F252" s="486" t="s">
        <v>642</v>
      </c>
      <c r="G252" s="510" t="s">
        <v>326</v>
      </c>
      <c r="H252" s="484">
        <v>3</v>
      </c>
      <c r="I252" s="484">
        <v>0</v>
      </c>
      <c r="J252" s="484">
        <v>0</v>
      </c>
      <c r="K252" s="482">
        <v>0</v>
      </c>
      <c r="L252" s="482">
        <v>0</v>
      </c>
      <c r="M252" s="482">
        <v>0</v>
      </c>
      <c r="N252" s="484">
        <v>0</v>
      </c>
      <c r="O252" s="482">
        <v>0</v>
      </c>
      <c r="P252" s="482">
        <v>0</v>
      </c>
      <c r="Q252" s="482">
        <v>0</v>
      </c>
    </row>
    <row r="253" spans="1:17" ht="15.75" customHeight="1" x14ac:dyDescent="0.2">
      <c r="A253" s="484">
        <f t="shared" si="9"/>
        <v>245</v>
      </c>
      <c r="B253" s="484" t="s">
        <v>343</v>
      </c>
      <c r="C253" s="516" t="s">
        <v>62</v>
      </c>
      <c r="D253" s="484"/>
      <c r="E253" s="486" t="s">
        <v>74</v>
      </c>
      <c r="F253" s="486" t="s">
        <v>344</v>
      </c>
      <c r="G253" s="510" t="s">
        <v>326</v>
      </c>
      <c r="H253" s="484">
        <v>11</v>
      </c>
      <c r="I253" s="484">
        <v>3</v>
      </c>
      <c r="J253" s="484">
        <v>3</v>
      </c>
      <c r="K253" s="482">
        <v>3019.1</v>
      </c>
      <c r="L253" s="482">
        <v>2466.8000000000002</v>
      </c>
      <c r="M253" s="482">
        <v>552.29999999999995</v>
      </c>
      <c r="N253" s="484">
        <v>0</v>
      </c>
      <c r="O253" s="482">
        <v>0</v>
      </c>
      <c r="P253" s="482">
        <v>0</v>
      </c>
      <c r="Q253" s="482">
        <v>0</v>
      </c>
    </row>
    <row r="254" spans="1:17" ht="15.75" customHeight="1" x14ac:dyDescent="0.2">
      <c r="A254" s="484">
        <f t="shared" si="9"/>
        <v>246</v>
      </c>
      <c r="B254" s="484" t="s">
        <v>154</v>
      </c>
      <c r="C254" s="516" t="s">
        <v>62</v>
      </c>
      <c r="D254" s="484"/>
      <c r="E254" s="486" t="s">
        <v>74</v>
      </c>
      <c r="F254" s="486" t="s">
        <v>345</v>
      </c>
      <c r="G254" s="510" t="s">
        <v>326</v>
      </c>
      <c r="H254" s="484">
        <v>7</v>
      </c>
      <c r="I254" s="484">
        <v>7</v>
      </c>
      <c r="J254" s="484">
        <v>7</v>
      </c>
      <c r="K254" s="482">
        <v>9690.15</v>
      </c>
      <c r="L254" s="482">
        <v>9690.15</v>
      </c>
      <c r="M254" s="482">
        <v>0</v>
      </c>
      <c r="N254" s="484">
        <v>7</v>
      </c>
      <c r="O254" s="482">
        <v>9770</v>
      </c>
      <c r="P254" s="482">
        <v>9770</v>
      </c>
      <c r="Q254" s="482">
        <v>0</v>
      </c>
    </row>
    <row r="255" spans="1:17" ht="15.75" customHeight="1" x14ac:dyDescent="0.2">
      <c r="A255" s="484">
        <f t="shared" si="9"/>
        <v>247</v>
      </c>
      <c r="B255" s="484" t="s">
        <v>346</v>
      </c>
      <c r="C255" s="516" t="s">
        <v>62</v>
      </c>
      <c r="D255" s="484"/>
      <c r="E255" s="486" t="s">
        <v>158</v>
      </c>
      <c r="F255" s="486" t="s">
        <v>347</v>
      </c>
      <c r="G255" s="510" t="s">
        <v>326</v>
      </c>
      <c r="H255" s="484">
        <v>4</v>
      </c>
      <c r="I255" s="484">
        <v>0</v>
      </c>
      <c r="J255" s="484">
        <v>0</v>
      </c>
      <c r="K255" s="482">
        <v>0</v>
      </c>
      <c r="L255" s="482">
        <v>0</v>
      </c>
      <c r="M255" s="482">
        <v>0</v>
      </c>
      <c r="N255" s="484">
        <v>0</v>
      </c>
      <c r="O255" s="482">
        <v>0</v>
      </c>
      <c r="P255" s="482">
        <v>0</v>
      </c>
      <c r="Q255" s="482">
        <v>0</v>
      </c>
    </row>
    <row r="256" spans="1:17" ht="15.75" customHeight="1" x14ac:dyDescent="0.2">
      <c r="A256" s="484">
        <f t="shared" si="9"/>
        <v>248</v>
      </c>
      <c r="B256" s="484" t="s">
        <v>348</v>
      </c>
      <c r="C256" s="516" t="s">
        <v>62</v>
      </c>
      <c r="D256" s="484"/>
      <c r="E256" s="486" t="s">
        <v>158</v>
      </c>
      <c r="F256" s="486" t="s">
        <v>349</v>
      </c>
      <c r="G256" s="510" t="s">
        <v>326</v>
      </c>
      <c r="H256" s="484">
        <v>6</v>
      </c>
      <c r="I256" s="484">
        <v>0</v>
      </c>
      <c r="J256" s="484">
        <v>0</v>
      </c>
      <c r="K256" s="482">
        <v>0</v>
      </c>
      <c r="L256" s="482">
        <v>0</v>
      </c>
      <c r="M256" s="482">
        <v>0</v>
      </c>
      <c r="N256" s="484">
        <v>0</v>
      </c>
      <c r="O256" s="482">
        <v>0</v>
      </c>
      <c r="P256" s="482">
        <v>0</v>
      </c>
      <c r="Q256" s="482">
        <v>0</v>
      </c>
    </row>
    <row r="257" spans="1:17" ht="15.75" customHeight="1" x14ac:dyDescent="0.2">
      <c r="A257" s="484">
        <f t="shared" si="9"/>
        <v>249</v>
      </c>
      <c r="B257" s="484" t="s">
        <v>350</v>
      </c>
      <c r="C257" s="516" t="s">
        <v>62</v>
      </c>
      <c r="D257" s="484"/>
      <c r="E257" s="486" t="s">
        <v>74</v>
      </c>
      <c r="F257" s="486" t="s">
        <v>351</v>
      </c>
      <c r="G257" s="510" t="s">
        <v>326</v>
      </c>
      <c r="H257" s="484">
        <v>1</v>
      </c>
      <c r="I257" s="484">
        <v>1</v>
      </c>
      <c r="J257" s="484">
        <v>1</v>
      </c>
      <c r="K257" s="482">
        <v>528.6</v>
      </c>
      <c r="L257" s="482">
        <v>528.6</v>
      </c>
      <c r="M257" s="482">
        <v>0</v>
      </c>
      <c r="N257" s="484">
        <v>4</v>
      </c>
      <c r="O257" s="482">
        <v>5065.75</v>
      </c>
      <c r="P257" s="482">
        <v>5065.75</v>
      </c>
      <c r="Q257" s="482">
        <v>0</v>
      </c>
    </row>
    <row r="258" spans="1:17" ht="15.75" customHeight="1" x14ac:dyDescent="0.2">
      <c r="A258" s="484">
        <f t="shared" si="9"/>
        <v>250</v>
      </c>
      <c r="B258" s="484" t="s">
        <v>222</v>
      </c>
      <c r="C258" s="516" t="s">
        <v>64</v>
      </c>
      <c r="D258" s="484" t="s">
        <v>352</v>
      </c>
      <c r="E258" s="486" t="s">
        <v>158</v>
      </c>
      <c r="F258" s="486" t="s">
        <v>353</v>
      </c>
      <c r="G258" s="510" t="s">
        <v>326</v>
      </c>
      <c r="H258" s="484">
        <v>6</v>
      </c>
      <c r="I258" s="484">
        <v>2</v>
      </c>
      <c r="J258" s="484">
        <v>2</v>
      </c>
      <c r="K258" s="482">
        <v>3524</v>
      </c>
      <c r="L258" s="482">
        <v>3524</v>
      </c>
      <c r="M258" s="482">
        <v>0</v>
      </c>
      <c r="N258" s="484">
        <v>0</v>
      </c>
      <c r="O258" s="482">
        <v>0</v>
      </c>
      <c r="P258" s="482">
        <v>0</v>
      </c>
      <c r="Q258" s="482">
        <v>0</v>
      </c>
    </row>
    <row r="259" spans="1:17" ht="15.75" customHeight="1" x14ac:dyDescent="0.2">
      <c r="A259" s="484">
        <f t="shared" si="9"/>
        <v>251</v>
      </c>
      <c r="B259" s="484" t="s">
        <v>232</v>
      </c>
      <c r="C259" s="516" t="s">
        <v>62</v>
      </c>
      <c r="D259" s="484"/>
      <c r="E259" s="486" t="s">
        <v>74</v>
      </c>
      <c r="F259" s="486" t="s">
        <v>722</v>
      </c>
      <c r="G259" s="510" t="s">
        <v>326</v>
      </c>
      <c r="H259" s="484">
        <v>2</v>
      </c>
      <c r="I259" s="484">
        <v>0</v>
      </c>
      <c r="J259" s="484">
        <v>0</v>
      </c>
      <c r="K259" s="482">
        <v>0</v>
      </c>
      <c r="L259" s="482">
        <v>0</v>
      </c>
      <c r="M259" s="482">
        <v>0</v>
      </c>
      <c r="N259" s="484">
        <v>0</v>
      </c>
      <c r="O259" s="482">
        <v>0</v>
      </c>
      <c r="P259" s="482">
        <v>0</v>
      </c>
      <c r="Q259" s="482">
        <v>0</v>
      </c>
    </row>
    <row r="260" spans="1:17" ht="15.75" customHeight="1" x14ac:dyDescent="0.2">
      <c r="A260" s="484">
        <f t="shared" si="9"/>
        <v>252</v>
      </c>
      <c r="B260" s="484" t="s">
        <v>238</v>
      </c>
      <c r="C260" s="516" t="s">
        <v>62</v>
      </c>
      <c r="D260" s="484"/>
      <c r="E260" s="486" t="s">
        <v>158</v>
      </c>
      <c r="F260" s="486" t="s">
        <v>354</v>
      </c>
      <c r="G260" s="510" t="s">
        <v>326</v>
      </c>
      <c r="H260" s="484">
        <v>9</v>
      </c>
      <c r="I260" s="484">
        <v>6</v>
      </c>
      <c r="J260" s="484">
        <v>6</v>
      </c>
      <c r="K260" s="482">
        <v>8060.55</v>
      </c>
      <c r="L260" s="482">
        <v>8060.55</v>
      </c>
      <c r="M260" s="482">
        <v>0</v>
      </c>
      <c r="N260" s="484">
        <v>0</v>
      </c>
      <c r="O260" s="482">
        <v>0</v>
      </c>
      <c r="P260" s="482">
        <v>0</v>
      </c>
      <c r="Q260" s="482">
        <v>0</v>
      </c>
    </row>
    <row r="261" spans="1:17" ht="15.75" customHeight="1" x14ac:dyDescent="0.2">
      <c r="A261" s="484">
        <f t="shared" si="9"/>
        <v>253</v>
      </c>
      <c r="B261" s="484" t="s">
        <v>355</v>
      </c>
      <c r="C261" s="516" t="s">
        <v>62</v>
      </c>
      <c r="D261" s="484"/>
      <c r="E261" s="486" t="s">
        <v>158</v>
      </c>
      <c r="F261" s="486" t="s">
        <v>356</v>
      </c>
      <c r="G261" s="510" t="s">
        <v>326</v>
      </c>
      <c r="H261" s="484">
        <v>7</v>
      </c>
      <c r="I261" s="484">
        <v>3</v>
      </c>
      <c r="J261" s="484">
        <v>3</v>
      </c>
      <c r="K261" s="482">
        <v>3971.2</v>
      </c>
      <c r="L261" s="482">
        <v>3971.2</v>
      </c>
      <c r="M261" s="482">
        <v>0</v>
      </c>
      <c r="N261" s="484">
        <v>0</v>
      </c>
      <c r="O261" s="482">
        <v>0</v>
      </c>
      <c r="P261" s="482">
        <v>0</v>
      </c>
      <c r="Q261" s="482">
        <v>0</v>
      </c>
    </row>
    <row r="262" spans="1:17" ht="15.75" customHeight="1" x14ac:dyDescent="0.2">
      <c r="A262" s="484">
        <f t="shared" si="9"/>
        <v>254</v>
      </c>
      <c r="B262" s="484" t="s">
        <v>357</v>
      </c>
      <c r="C262" s="516" t="s">
        <v>64</v>
      </c>
      <c r="D262" s="534" t="s">
        <v>358</v>
      </c>
      <c r="E262" s="486" t="s">
        <v>158</v>
      </c>
      <c r="F262" s="486" t="s">
        <v>507</v>
      </c>
      <c r="G262" s="510" t="s">
        <v>326</v>
      </c>
      <c r="H262" s="484">
        <v>3</v>
      </c>
      <c r="I262" s="484">
        <v>2</v>
      </c>
      <c r="J262" s="484">
        <v>2</v>
      </c>
      <c r="K262" s="482">
        <v>3129.7</v>
      </c>
      <c r="L262" s="482">
        <v>3129.7</v>
      </c>
      <c r="M262" s="482">
        <v>0</v>
      </c>
      <c r="N262" s="484">
        <v>0</v>
      </c>
      <c r="O262" s="482">
        <v>0</v>
      </c>
      <c r="P262" s="482">
        <v>0</v>
      </c>
      <c r="Q262" s="482">
        <v>0</v>
      </c>
    </row>
    <row r="263" spans="1:17" ht="15.75" customHeight="1" x14ac:dyDescent="0.2">
      <c r="A263" s="484">
        <f t="shared" si="9"/>
        <v>255</v>
      </c>
      <c r="B263" s="484" t="s">
        <v>36</v>
      </c>
      <c r="C263" s="516" t="s">
        <v>62</v>
      </c>
      <c r="D263" s="484"/>
      <c r="E263" s="486" t="s">
        <v>74</v>
      </c>
      <c r="F263" s="486" t="s">
        <v>630</v>
      </c>
      <c r="G263" s="510" t="s">
        <v>326</v>
      </c>
      <c r="H263" s="484">
        <v>2</v>
      </c>
      <c r="I263" s="484">
        <v>1</v>
      </c>
      <c r="J263" s="484">
        <v>1</v>
      </c>
      <c r="K263" s="482">
        <v>552.29999999999995</v>
      </c>
      <c r="L263" s="482">
        <v>552.29999999999995</v>
      </c>
      <c r="M263" s="482">
        <v>0</v>
      </c>
      <c r="N263" s="484">
        <v>0</v>
      </c>
      <c r="O263" s="482">
        <v>0</v>
      </c>
      <c r="P263" s="482">
        <v>0</v>
      </c>
      <c r="Q263" s="482">
        <v>0</v>
      </c>
    </row>
    <row r="264" spans="1:17" ht="15.75" customHeight="1" x14ac:dyDescent="0.2">
      <c r="A264" s="484">
        <f t="shared" si="9"/>
        <v>256</v>
      </c>
      <c r="B264" s="484" t="s">
        <v>359</v>
      </c>
      <c r="C264" s="516" t="s">
        <v>62</v>
      </c>
      <c r="D264" s="484"/>
      <c r="E264" s="486" t="s">
        <v>158</v>
      </c>
      <c r="F264" s="486" t="s">
        <v>360</v>
      </c>
      <c r="G264" s="510" t="s">
        <v>326</v>
      </c>
      <c r="H264" s="484">
        <v>5</v>
      </c>
      <c r="I264" s="484">
        <v>5</v>
      </c>
      <c r="J264" s="484">
        <v>5</v>
      </c>
      <c r="K264" s="482">
        <v>4933.6000000000004</v>
      </c>
      <c r="L264" s="482">
        <v>4933.6000000000004</v>
      </c>
      <c r="M264" s="482">
        <v>0</v>
      </c>
      <c r="N264" s="484">
        <v>0</v>
      </c>
      <c r="O264" s="482">
        <v>0</v>
      </c>
      <c r="P264" s="482">
        <v>0</v>
      </c>
      <c r="Q264" s="482">
        <v>0</v>
      </c>
    </row>
    <row r="265" spans="1:17" ht="15.75" customHeight="1" x14ac:dyDescent="0.2">
      <c r="A265" s="484">
        <f t="shared" si="9"/>
        <v>257</v>
      </c>
      <c r="B265" s="484" t="s">
        <v>118</v>
      </c>
      <c r="C265" s="516" t="s">
        <v>62</v>
      </c>
      <c r="D265" s="484"/>
      <c r="E265" s="486" t="s">
        <v>675</v>
      </c>
      <c r="F265" s="486" t="s">
        <v>361</v>
      </c>
      <c r="G265" s="510" t="s">
        <v>326</v>
      </c>
      <c r="H265" s="484">
        <v>1</v>
      </c>
      <c r="I265" s="484">
        <v>1</v>
      </c>
      <c r="J265" s="484">
        <v>1</v>
      </c>
      <c r="K265" s="482">
        <v>1012.55</v>
      </c>
      <c r="L265" s="482">
        <v>1012.55</v>
      </c>
      <c r="M265" s="482">
        <v>0</v>
      </c>
      <c r="N265" s="484">
        <v>0</v>
      </c>
      <c r="O265" s="482">
        <v>0</v>
      </c>
      <c r="P265" s="482">
        <v>0</v>
      </c>
      <c r="Q265" s="482">
        <v>0</v>
      </c>
    </row>
    <row r="266" spans="1:17" ht="15.75" customHeight="1" x14ac:dyDescent="0.2">
      <c r="A266" s="484">
        <f t="shared" si="9"/>
        <v>258</v>
      </c>
      <c r="B266" s="484" t="s">
        <v>246</v>
      </c>
      <c r="C266" s="516" t="s">
        <v>62</v>
      </c>
      <c r="D266" s="484"/>
      <c r="E266" s="486" t="s">
        <v>158</v>
      </c>
      <c r="F266" s="486" t="s">
        <v>362</v>
      </c>
      <c r="G266" s="510" t="s">
        <v>326</v>
      </c>
      <c r="H266" s="484">
        <v>5</v>
      </c>
      <c r="I266" s="484">
        <v>3</v>
      </c>
      <c r="J266" s="484">
        <v>3</v>
      </c>
      <c r="K266" s="482">
        <v>2522.1</v>
      </c>
      <c r="L266" s="482">
        <v>2522.1</v>
      </c>
      <c r="M266" s="482">
        <v>0</v>
      </c>
      <c r="N266" s="484">
        <v>0</v>
      </c>
      <c r="O266" s="482">
        <v>0</v>
      </c>
      <c r="P266" s="482">
        <v>0</v>
      </c>
      <c r="Q266" s="482">
        <v>0</v>
      </c>
    </row>
    <row r="267" spans="1:17" ht="15.75" customHeight="1" x14ac:dyDescent="0.2">
      <c r="A267" s="484">
        <f t="shared" ref="A267:A301" si="10">A266+1</f>
        <v>259</v>
      </c>
      <c r="B267" s="484" t="s">
        <v>643</v>
      </c>
      <c r="C267" s="516" t="s">
        <v>62</v>
      </c>
      <c r="D267" s="484"/>
      <c r="E267" s="486" t="s">
        <v>74</v>
      </c>
      <c r="F267" s="486" t="s">
        <v>644</v>
      </c>
      <c r="G267" s="510" t="s">
        <v>326</v>
      </c>
      <c r="H267" s="484">
        <v>2</v>
      </c>
      <c r="I267" s="484">
        <v>0</v>
      </c>
      <c r="J267" s="484">
        <v>0</v>
      </c>
      <c r="K267" s="482">
        <v>0</v>
      </c>
      <c r="L267" s="482">
        <v>0</v>
      </c>
      <c r="M267" s="482">
        <v>0</v>
      </c>
      <c r="N267" s="484">
        <v>0</v>
      </c>
      <c r="O267" s="482">
        <v>0</v>
      </c>
      <c r="P267" s="482">
        <v>0</v>
      </c>
      <c r="Q267" s="482">
        <v>0</v>
      </c>
    </row>
    <row r="268" spans="1:17" ht="15.75" customHeight="1" x14ac:dyDescent="0.2">
      <c r="A268" s="484">
        <f t="shared" si="10"/>
        <v>260</v>
      </c>
      <c r="B268" s="484" t="s">
        <v>43</v>
      </c>
      <c r="C268" s="516" t="s">
        <v>62</v>
      </c>
      <c r="D268" s="484"/>
      <c r="E268" s="486" t="s">
        <v>74</v>
      </c>
      <c r="F268" s="486" t="s">
        <v>363</v>
      </c>
      <c r="G268" s="510" t="s">
        <v>326</v>
      </c>
      <c r="H268" s="484">
        <v>4</v>
      </c>
      <c r="I268" s="484">
        <v>1</v>
      </c>
      <c r="J268" s="484">
        <v>1</v>
      </c>
      <c r="K268" s="482">
        <v>660.75</v>
      </c>
      <c r="L268" s="482">
        <v>660.75</v>
      </c>
      <c r="M268" s="482">
        <v>0</v>
      </c>
      <c r="N268" s="484">
        <v>0</v>
      </c>
      <c r="O268" s="482">
        <v>0</v>
      </c>
      <c r="P268" s="482">
        <v>0</v>
      </c>
      <c r="Q268" s="482">
        <v>0</v>
      </c>
    </row>
    <row r="269" spans="1:17" ht="15.75" customHeight="1" x14ac:dyDescent="0.2">
      <c r="A269" s="484">
        <f t="shared" si="10"/>
        <v>261</v>
      </c>
      <c r="B269" s="484" t="s">
        <v>364</v>
      </c>
      <c r="C269" s="516" t="s">
        <v>62</v>
      </c>
      <c r="D269" s="484"/>
      <c r="E269" s="486" t="s">
        <v>74</v>
      </c>
      <c r="F269" s="486" t="s">
        <v>365</v>
      </c>
      <c r="G269" s="510" t="s">
        <v>326</v>
      </c>
      <c r="H269" s="484">
        <v>8</v>
      </c>
      <c r="I269" s="484">
        <v>3</v>
      </c>
      <c r="J269" s="484">
        <v>3</v>
      </c>
      <c r="K269" s="482">
        <v>7069.3</v>
      </c>
      <c r="L269" s="482">
        <v>7069.3</v>
      </c>
      <c r="M269" s="482">
        <v>0</v>
      </c>
      <c r="N269" s="484">
        <v>3</v>
      </c>
      <c r="O269" s="482">
        <v>9692.9599999999991</v>
      </c>
      <c r="P269" s="482">
        <v>9692.9599999999991</v>
      </c>
      <c r="Q269" s="482">
        <v>0</v>
      </c>
    </row>
    <row r="270" spans="1:17" ht="15.75" customHeight="1" x14ac:dyDescent="0.2">
      <c r="A270" s="484">
        <f t="shared" si="10"/>
        <v>262</v>
      </c>
      <c r="B270" s="484" t="s">
        <v>46</v>
      </c>
      <c r="C270" s="516" t="s">
        <v>62</v>
      </c>
      <c r="D270" s="484"/>
      <c r="E270" s="486" t="s">
        <v>678</v>
      </c>
      <c r="F270" s="486" t="s">
        <v>367</v>
      </c>
      <c r="G270" s="510" t="s">
        <v>326</v>
      </c>
      <c r="H270" s="484">
        <v>0</v>
      </c>
      <c r="I270" s="484">
        <v>0</v>
      </c>
      <c r="J270" s="484">
        <v>0</v>
      </c>
      <c r="K270" s="482">
        <v>0</v>
      </c>
      <c r="L270" s="482">
        <v>0</v>
      </c>
      <c r="M270" s="482">
        <v>0</v>
      </c>
      <c r="N270" s="484">
        <v>2</v>
      </c>
      <c r="O270" s="482">
        <v>4669.3</v>
      </c>
      <c r="P270" s="482">
        <v>4669.3</v>
      </c>
      <c r="Q270" s="482">
        <v>0</v>
      </c>
    </row>
    <row r="271" spans="1:17" ht="15.75" customHeight="1" x14ac:dyDescent="0.2">
      <c r="A271" s="484">
        <f t="shared" si="10"/>
        <v>263</v>
      </c>
      <c r="B271" s="484" t="s">
        <v>270</v>
      </c>
      <c r="C271" s="516" t="s">
        <v>62</v>
      </c>
      <c r="D271" s="484"/>
      <c r="E271" s="486" t="s">
        <v>74</v>
      </c>
      <c r="F271" s="486" t="s">
        <v>539</v>
      </c>
      <c r="G271" s="510" t="s">
        <v>326</v>
      </c>
      <c r="H271" s="484">
        <v>3</v>
      </c>
      <c r="I271" s="484">
        <v>1</v>
      </c>
      <c r="J271" s="484">
        <v>1</v>
      </c>
      <c r="K271" s="482">
        <v>1012.55</v>
      </c>
      <c r="L271" s="482">
        <v>1012.55</v>
      </c>
      <c r="M271" s="482">
        <v>0</v>
      </c>
      <c r="N271" s="484">
        <v>0</v>
      </c>
      <c r="O271" s="482">
        <v>0</v>
      </c>
      <c r="P271" s="482">
        <v>0</v>
      </c>
      <c r="Q271" s="482">
        <v>0</v>
      </c>
    </row>
    <row r="272" spans="1:17" ht="15.75" customHeight="1" x14ac:dyDescent="0.2">
      <c r="A272" s="484">
        <f t="shared" si="10"/>
        <v>264</v>
      </c>
      <c r="B272" s="484" t="s">
        <v>621</v>
      </c>
      <c r="C272" s="516" t="s">
        <v>62</v>
      </c>
      <c r="D272" s="484"/>
      <c r="E272" s="486" t="s">
        <v>74</v>
      </c>
      <c r="F272" s="486" t="s">
        <v>622</v>
      </c>
      <c r="G272" s="510" t="s">
        <v>326</v>
      </c>
      <c r="H272" s="484">
        <v>5</v>
      </c>
      <c r="I272" s="484">
        <v>1</v>
      </c>
      <c r="J272" s="484">
        <v>1</v>
      </c>
      <c r="K272" s="482">
        <v>1012.55</v>
      </c>
      <c r="L272" s="482">
        <v>1012.55</v>
      </c>
      <c r="M272" s="482">
        <v>0</v>
      </c>
      <c r="N272" s="484">
        <v>0</v>
      </c>
      <c r="O272" s="482">
        <v>0</v>
      </c>
      <c r="P272" s="482">
        <v>0</v>
      </c>
      <c r="Q272" s="482">
        <v>0</v>
      </c>
    </row>
    <row r="273" spans="1:17" ht="15.75" customHeight="1" x14ac:dyDescent="0.2">
      <c r="A273" s="484">
        <f t="shared" si="10"/>
        <v>265</v>
      </c>
      <c r="B273" s="484" t="s">
        <v>723</v>
      </c>
      <c r="C273" s="516" t="s">
        <v>62</v>
      </c>
      <c r="D273" s="484"/>
      <c r="E273" s="486" t="s">
        <v>74</v>
      </c>
      <c r="F273" s="486" t="s">
        <v>724</v>
      </c>
      <c r="G273" s="510" t="s">
        <v>326</v>
      </c>
      <c r="H273" s="484">
        <v>2</v>
      </c>
      <c r="I273" s="484">
        <v>0</v>
      </c>
      <c r="J273" s="484">
        <v>0</v>
      </c>
      <c r="K273" s="482">
        <v>0</v>
      </c>
      <c r="L273" s="482">
        <v>0</v>
      </c>
      <c r="M273" s="482">
        <v>0</v>
      </c>
      <c r="N273" s="484">
        <v>0</v>
      </c>
      <c r="O273" s="482">
        <v>0</v>
      </c>
      <c r="P273" s="482">
        <v>0</v>
      </c>
      <c r="Q273" s="482">
        <v>0</v>
      </c>
    </row>
    <row r="274" spans="1:17" ht="15.75" customHeight="1" x14ac:dyDescent="0.2">
      <c r="A274" s="484">
        <f t="shared" si="10"/>
        <v>266</v>
      </c>
      <c r="B274" s="484" t="s">
        <v>96</v>
      </c>
      <c r="C274" s="516" t="s">
        <v>62</v>
      </c>
      <c r="D274" s="484"/>
      <c r="E274" s="486" t="s">
        <v>772</v>
      </c>
      <c r="F274" s="486" t="s">
        <v>540</v>
      </c>
      <c r="G274" s="510" t="s">
        <v>326</v>
      </c>
      <c r="H274" s="484">
        <v>1</v>
      </c>
      <c r="I274" s="484">
        <v>0</v>
      </c>
      <c r="J274" s="484">
        <v>0</v>
      </c>
      <c r="K274" s="482">
        <v>0</v>
      </c>
      <c r="L274" s="482">
        <v>0</v>
      </c>
      <c r="M274" s="482">
        <v>0</v>
      </c>
      <c r="N274" s="484">
        <v>1</v>
      </c>
      <c r="O274" s="482">
        <v>0</v>
      </c>
      <c r="P274" s="482">
        <v>0</v>
      </c>
      <c r="Q274" s="482">
        <v>0</v>
      </c>
    </row>
    <row r="275" spans="1:17" ht="15.75" customHeight="1" x14ac:dyDescent="0.2">
      <c r="A275" s="484">
        <f t="shared" si="10"/>
        <v>267</v>
      </c>
      <c r="B275" s="484" t="s">
        <v>124</v>
      </c>
      <c r="C275" s="516" t="s">
        <v>62</v>
      </c>
      <c r="D275" s="484"/>
      <c r="E275" s="486" t="s">
        <v>773</v>
      </c>
      <c r="F275" s="486" t="s">
        <v>368</v>
      </c>
      <c r="G275" s="510" t="s">
        <v>326</v>
      </c>
      <c r="H275" s="484">
        <v>27</v>
      </c>
      <c r="I275" s="484">
        <v>19</v>
      </c>
      <c r="J275" s="484">
        <v>19</v>
      </c>
      <c r="K275" s="482">
        <v>23114.5</v>
      </c>
      <c r="L275" s="482">
        <v>17959.7</v>
      </c>
      <c r="M275" s="482">
        <v>5154.8</v>
      </c>
      <c r="N275" s="484">
        <v>8</v>
      </c>
      <c r="O275" s="482">
        <v>4753.3999999999996</v>
      </c>
      <c r="P275" s="482">
        <v>4753.3999999999996</v>
      </c>
      <c r="Q275" s="482">
        <v>0</v>
      </c>
    </row>
    <row r="276" spans="1:17" ht="15.75" customHeight="1" x14ac:dyDescent="0.2">
      <c r="A276" s="484">
        <f t="shared" si="10"/>
        <v>268</v>
      </c>
      <c r="B276" s="484" t="s">
        <v>51</v>
      </c>
      <c r="C276" s="516" t="s">
        <v>62</v>
      </c>
      <c r="D276" s="484"/>
      <c r="E276" s="486" t="s">
        <v>74</v>
      </c>
      <c r="F276" s="486" t="s">
        <v>369</v>
      </c>
      <c r="G276" s="510" t="s">
        <v>326</v>
      </c>
      <c r="H276" s="484">
        <v>0</v>
      </c>
      <c r="I276" s="484">
        <v>0</v>
      </c>
      <c r="J276" s="484">
        <v>0</v>
      </c>
      <c r="K276" s="482">
        <v>0</v>
      </c>
      <c r="L276" s="482">
        <v>0</v>
      </c>
      <c r="M276" s="482">
        <v>0</v>
      </c>
      <c r="N276" s="484">
        <v>1</v>
      </c>
      <c r="O276" s="482">
        <v>2290.6</v>
      </c>
      <c r="P276" s="482">
        <v>2290.6</v>
      </c>
      <c r="Q276" s="482">
        <v>0</v>
      </c>
    </row>
    <row r="277" spans="1:17" ht="15.75" customHeight="1" x14ac:dyDescent="0.2">
      <c r="A277" s="484">
        <f t="shared" si="10"/>
        <v>269</v>
      </c>
      <c r="B277" s="484" t="s">
        <v>286</v>
      </c>
      <c r="C277" s="516" t="s">
        <v>62</v>
      </c>
      <c r="D277" s="484"/>
      <c r="E277" s="486" t="s">
        <v>74</v>
      </c>
      <c r="F277" s="486" t="s">
        <v>476</v>
      </c>
      <c r="G277" s="510" t="s">
        <v>326</v>
      </c>
      <c r="H277" s="484">
        <v>8</v>
      </c>
      <c r="I277" s="484">
        <v>4</v>
      </c>
      <c r="J277" s="484">
        <v>4</v>
      </c>
      <c r="K277" s="482">
        <v>3195.3</v>
      </c>
      <c r="L277" s="482">
        <v>3195.3</v>
      </c>
      <c r="M277" s="482">
        <v>0</v>
      </c>
      <c r="N277" s="484">
        <v>0</v>
      </c>
      <c r="O277" s="482">
        <v>0</v>
      </c>
      <c r="P277" s="482">
        <v>0</v>
      </c>
      <c r="Q277" s="482">
        <v>0</v>
      </c>
    </row>
    <row r="278" spans="1:17" ht="15.75" customHeight="1" x14ac:dyDescent="0.2">
      <c r="A278" s="484">
        <f t="shared" si="10"/>
        <v>270</v>
      </c>
      <c r="B278" s="484" t="s">
        <v>290</v>
      </c>
      <c r="C278" s="516" t="s">
        <v>62</v>
      </c>
      <c r="D278" s="484"/>
      <c r="E278" s="486" t="s">
        <v>74</v>
      </c>
      <c r="F278" s="486" t="s">
        <v>372</v>
      </c>
      <c r="G278" s="510" t="s">
        <v>326</v>
      </c>
      <c r="H278" s="484">
        <v>9</v>
      </c>
      <c r="I278" s="484">
        <v>8</v>
      </c>
      <c r="J278" s="484">
        <v>8</v>
      </c>
      <c r="K278" s="482">
        <v>6532.8</v>
      </c>
      <c r="L278" s="482">
        <v>6532.8</v>
      </c>
      <c r="M278" s="482">
        <v>0</v>
      </c>
      <c r="N278" s="484">
        <v>0</v>
      </c>
      <c r="O278" s="482">
        <v>0</v>
      </c>
      <c r="P278" s="482">
        <v>0</v>
      </c>
      <c r="Q278" s="482">
        <v>0</v>
      </c>
    </row>
    <row r="279" spans="1:17" ht="15.75" customHeight="1" x14ac:dyDescent="0.2">
      <c r="A279" s="484">
        <f t="shared" si="10"/>
        <v>271</v>
      </c>
      <c r="B279" s="484" t="s">
        <v>134</v>
      </c>
      <c r="C279" s="516" t="s">
        <v>62</v>
      </c>
      <c r="D279" s="484"/>
      <c r="E279" s="486" t="s">
        <v>74</v>
      </c>
      <c r="F279" s="486" t="s">
        <v>373</v>
      </c>
      <c r="G279" s="510" t="s">
        <v>326</v>
      </c>
      <c r="H279" s="484">
        <v>3</v>
      </c>
      <c r="I279" s="484">
        <v>1</v>
      </c>
      <c r="J279" s="484">
        <v>1</v>
      </c>
      <c r="K279" s="482">
        <v>1938.2</v>
      </c>
      <c r="L279" s="482">
        <v>1938.2</v>
      </c>
      <c r="M279" s="482">
        <v>0</v>
      </c>
      <c r="N279" s="484">
        <v>3</v>
      </c>
      <c r="O279" s="482">
        <v>6693.2</v>
      </c>
      <c r="P279" s="482">
        <v>2643</v>
      </c>
      <c r="Q279" s="482">
        <v>4050.2</v>
      </c>
    </row>
    <row r="280" spans="1:17" ht="15.75" customHeight="1" x14ac:dyDescent="0.2">
      <c r="A280" s="484">
        <f t="shared" si="10"/>
        <v>272</v>
      </c>
      <c r="B280" s="484" t="s">
        <v>135</v>
      </c>
      <c r="C280" s="516" t="s">
        <v>62</v>
      </c>
      <c r="D280" s="484"/>
      <c r="E280" s="486" t="s">
        <v>74</v>
      </c>
      <c r="F280" s="486" t="s">
        <v>374</v>
      </c>
      <c r="G280" s="510" t="s">
        <v>326</v>
      </c>
      <c r="H280" s="484">
        <v>21</v>
      </c>
      <c r="I280" s="484">
        <v>7</v>
      </c>
      <c r="J280" s="484">
        <v>7</v>
      </c>
      <c r="K280" s="482">
        <v>13053.6</v>
      </c>
      <c r="L280" s="482">
        <v>9376.32</v>
      </c>
      <c r="M280" s="482">
        <v>3677.28</v>
      </c>
      <c r="N280" s="484">
        <v>94</v>
      </c>
      <c r="O280" s="482">
        <v>48904.95</v>
      </c>
      <c r="P280" s="482">
        <v>46103.199999999997</v>
      </c>
      <c r="Q280" s="482">
        <v>2801.75</v>
      </c>
    </row>
    <row r="281" spans="1:17" ht="15.75" customHeight="1" x14ac:dyDescent="0.2">
      <c r="A281" s="484">
        <f t="shared" si="10"/>
        <v>273</v>
      </c>
      <c r="B281" s="484" t="s">
        <v>508</v>
      </c>
      <c r="C281" s="516" t="s">
        <v>64</v>
      </c>
      <c r="D281" s="484" t="s">
        <v>509</v>
      </c>
      <c r="E281" s="486" t="s">
        <v>74</v>
      </c>
      <c r="F281" s="486" t="s">
        <v>510</v>
      </c>
      <c r="G281" s="510" t="s">
        <v>326</v>
      </c>
      <c r="H281" s="484">
        <v>3</v>
      </c>
      <c r="I281" s="484">
        <v>2</v>
      </c>
      <c r="J281" s="484">
        <v>2</v>
      </c>
      <c r="K281" s="482">
        <v>4418.3999999999996</v>
      </c>
      <c r="L281" s="482">
        <v>4418.3999999999996</v>
      </c>
      <c r="M281" s="482">
        <v>0</v>
      </c>
      <c r="N281" s="484">
        <v>0</v>
      </c>
      <c r="O281" s="482">
        <v>0</v>
      </c>
      <c r="P281" s="482">
        <v>0</v>
      </c>
      <c r="Q281" s="482">
        <v>0</v>
      </c>
    </row>
    <row r="282" spans="1:17" ht="15.75" customHeight="1" x14ac:dyDescent="0.2">
      <c r="A282" s="484">
        <f t="shared" si="10"/>
        <v>274</v>
      </c>
      <c r="B282" s="484" t="s">
        <v>299</v>
      </c>
      <c r="C282" s="516" t="s">
        <v>62</v>
      </c>
      <c r="D282" s="484"/>
      <c r="E282" s="486" t="s">
        <v>158</v>
      </c>
      <c r="F282" s="486" t="s">
        <v>375</v>
      </c>
      <c r="G282" s="510" t="s">
        <v>326</v>
      </c>
      <c r="H282" s="484">
        <v>3</v>
      </c>
      <c r="I282" s="484">
        <v>1</v>
      </c>
      <c r="J282" s="484">
        <v>1</v>
      </c>
      <c r="K282" s="482">
        <v>704.8</v>
      </c>
      <c r="L282" s="482">
        <v>704.8</v>
      </c>
      <c r="M282" s="482">
        <v>0</v>
      </c>
      <c r="N282" s="484">
        <v>0</v>
      </c>
      <c r="O282" s="482">
        <v>0</v>
      </c>
      <c r="P282" s="482">
        <v>0</v>
      </c>
      <c r="Q282" s="482">
        <v>0</v>
      </c>
    </row>
    <row r="283" spans="1:17" ht="15.75" customHeight="1" x14ac:dyDescent="0.2">
      <c r="A283" s="484">
        <f t="shared" si="10"/>
        <v>275</v>
      </c>
      <c r="B283" s="484" t="s">
        <v>302</v>
      </c>
      <c r="C283" s="516" t="s">
        <v>62</v>
      </c>
      <c r="D283" s="484"/>
      <c r="E283" s="486" t="s">
        <v>74</v>
      </c>
      <c r="F283" s="486" t="s">
        <v>725</v>
      </c>
      <c r="G283" s="510" t="s">
        <v>326</v>
      </c>
      <c r="H283" s="484">
        <v>1</v>
      </c>
      <c r="I283" s="484">
        <v>0</v>
      </c>
      <c r="J283" s="484">
        <v>0</v>
      </c>
      <c r="K283" s="482">
        <v>0</v>
      </c>
      <c r="L283" s="482">
        <v>0</v>
      </c>
      <c r="M283" s="482">
        <v>0</v>
      </c>
      <c r="N283" s="484">
        <v>0</v>
      </c>
      <c r="O283" s="482">
        <v>0</v>
      </c>
      <c r="P283" s="482">
        <v>0</v>
      </c>
      <c r="Q283" s="482">
        <v>0</v>
      </c>
    </row>
    <row r="284" spans="1:17" ht="15.75" customHeight="1" x14ac:dyDescent="0.2">
      <c r="A284" s="484">
        <f t="shared" si="10"/>
        <v>276</v>
      </c>
      <c r="B284" s="484" t="s">
        <v>702</v>
      </c>
      <c r="C284" s="516" t="s">
        <v>62</v>
      </c>
      <c r="D284" s="484"/>
      <c r="E284" s="486" t="s">
        <v>74</v>
      </c>
      <c r="F284" s="486" t="s">
        <v>726</v>
      </c>
      <c r="G284" s="510" t="s">
        <v>326</v>
      </c>
      <c r="H284" s="484">
        <v>1</v>
      </c>
      <c r="I284" s="484">
        <v>1</v>
      </c>
      <c r="J284" s="484">
        <v>1</v>
      </c>
      <c r="K284" s="482">
        <v>552.29999999999995</v>
      </c>
      <c r="L284" s="482">
        <v>0</v>
      </c>
      <c r="M284" s="482">
        <v>552.29999999999995</v>
      </c>
      <c r="N284" s="484">
        <v>0</v>
      </c>
      <c r="O284" s="482">
        <v>0</v>
      </c>
      <c r="P284" s="482">
        <v>0</v>
      </c>
      <c r="Q284" s="482">
        <v>0</v>
      </c>
    </row>
    <row r="285" spans="1:17" ht="15.75" customHeight="1" x14ac:dyDescent="0.2">
      <c r="A285" s="484">
        <f t="shared" si="10"/>
        <v>277</v>
      </c>
      <c r="B285" s="484" t="s">
        <v>376</v>
      </c>
      <c r="C285" s="516" t="s">
        <v>62</v>
      </c>
      <c r="D285" s="484"/>
      <c r="E285" s="486" t="s">
        <v>74</v>
      </c>
      <c r="F285" s="486" t="s">
        <v>377</v>
      </c>
      <c r="G285" s="510" t="s">
        <v>326</v>
      </c>
      <c r="H285" s="484">
        <v>10</v>
      </c>
      <c r="I285" s="484">
        <v>6</v>
      </c>
      <c r="J285" s="484">
        <v>6</v>
      </c>
      <c r="K285" s="482">
        <v>6722.05</v>
      </c>
      <c r="L285" s="482">
        <v>6722.05</v>
      </c>
      <c r="M285" s="482">
        <v>0</v>
      </c>
      <c r="N285" s="484">
        <v>0</v>
      </c>
      <c r="O285" s="482">
        <v>0</v>
      </c>
      <c r="P285" s="482">
        <v>0</v>
      </c>
      <c r="Q285" s="482">
        <v>0</v>
      </c>
    </row>
    <row r="286" spans="1:17" ht="15.75" customHeight="1" x14ac:dyDescent="0.2">
      <c r="A286" s="484">
        <f t="shared" si="10"/>
        <v>278</v>
      </c>
      <c r="B286" s="484" t="s">
        <v>129</v>
      </c>
      <c r="C286" s="516" t="s">
        <v>62</v>
      </c>
      <c r="D286" s="484"/>
      <c r="E286" s="486" t="s">
        <v>74</v>
      </c>
      <c r="F286" s="486" t="s">
        <v>378</v>
      </c>
      <c r="G286" s="510" t="s">
        <v>326</v>
      </c>
      <c r="H286" s="484">
        <v>55</v>
      </c>
      <c r="I286" s="484">
        <v>38</v>
      </c>
      <c r="J286" s="484">
        <v>38</v>
      </c>
      <c r="K286" s="482">
        <v>59999.05</v>
      </c>
      <c r="L286" s="482">
        <v>56334.05</v>
      </c>
      <c r="M286" s="482">
        <v>3665</v>
      </c>
      <c r="N286" s="484">
        <v>40</v>
      </c>
      <c r="O286" s="482">
        <v>75401.06</v>
      </c>
      <c r="P286" s="482">
        <v>75401.06</v>
      </c>
      <c r="Q286" s="482">
        <v>0</v>
      </c>
    </row>
    <row r="287" spans="1:17" ht="15.75" customHeight="1" x14ac:dyDescent="0.2">
      <c r="A287" s="484">
        <f t="shared" si="10"/>
        <v>279</v>
      </c>
      <c r="B287" s="484" t="s">
        <v>379</v>
      </c>
      <c r="C287" s="516" t="s">
        <v>62</v>
      </c>
      <c r="D287" s="484"/>
      <c r="E287" s="486" t="s">
        <v>158</v>
      </c>
      <c r="F287" s="486" t="s">
        <v>380</v>
      </c>
      <c r="G287" s="510" t="s">
        <v>326</v>
      </c>
      <c r="H287" s="484">
        <v>6</v>
      </c>
      <c r="I287" s="484">
        <v>4</v>
      </c>
      <c r="J287" s="484">
        <v>4</v>
      </c>
      <c r="K287" s="482">
        <v>4131.6499999999996</v>
      </c>
      <c r="L287" s="482">
        <v>1717.35</v>
      </c>
      <c r="M287" s="482">
        <v>2414.3000000000002</v>
      </c>
      <c r="N287" s="484">
        <v>0</v>
      </c>
      <c r="O287" s="482">
        <v>0</v>
      </c>
      <c r="P287" s="482">
        <v>0</v>
      </c>
      <c r="Q287" s="482">
        <v>0</v>
      </c>
    </row>
    <row r="288" spans="1:17" ht="15.75" customHeight="1" x14ac:dyDescent="0.2">
      <c r="A288" s="484">
        <f t="shared" si="10"/>
        <v>280</v>
      </c>
      <c r="B288" s="484" t="s">
        <v>130</v>
      </c>
      <c r="C288" s="516" t="s">
        <v>62</v>
      </c>
      <c r="D288" s="484"/>
      <c r="E288" s="486" t="s">
        <v>74</v>
      </c>
      <c r="F288" s="486" t="s">
        <v>557</v>
      </c>
      <c r="G288" s="510" t="s">
        <v>326</v>
      </c>
      <c r="H288" s="484">
        <v>2</v>
      </c>
      <c r="I288" s="484">
        <v>1</v>
      </c>
      <c r="J288" s="484">
        <v>1</v>
      </c>
      <c r="K288" s="482">
        <v>1104.5999999999999</v>
      </c>
      <c r="L288" s="482">
        <v>0</v>
      </c>
      <c r="M288" s="482">
        <v>1104.5999999999999</v>
      </c>
      <c r="N288" s="484">
        <v>3</v>
      </c>
      <c r="O288" s="482">
        <v>8302.7000000000007</v>
      </c>
      <c r="P288" s="482">
        <v>3700.2</v>
      </c>
      <c r="Q288" s="482">
        <v>4602.5</v>
      </c>
    </row>
    <row r="289" spans="1:17" ht="15.75" customHeight="1" x14ac:dyDescent="0.2">
      <c r="A289" s="484">
        <f t="shared" si="10"/>
        <v>281</v>
      </c>
      <c r="B289" s="484" t="s">
        <v>382</v>
      </c>
      <c r="C289" s="516" t="s">
        <v>62</v>
      </c>
      <c r="D289" s="484"/>
      <c r="E289" s="486" t="s">
        <v>703</v>
      </c>
      <c r="F289" s="486" t="s">
        <v>384</v>
      </c>
      <c r="G289" s="510" t="s">
        <v>326</v>
      </c>
      <c r="H289" s="484">
        <v>1</v>
      </c>
      <c r="I289" s="484">
        <v>1</v>
      </c>
      <c r="J289" s="484">
        <v>1</v>
      </c>
      <c r="K289" s="482">
        <v>704.8</v>
      </c>
      <c r="L289" s="482">
        <v>704.8</v>
      </c>
      <c r="M289" s="482">
        <v>0</v>
      </c>
      <c r="N289" s="484">
        <v>0</v>
      </c>
      <c r="O289" s="482">
        <v>0</v>
      </c>
      <c r="P289" s="482">
        <v>0</v>
      </c>
      <c r="Q289" s="482">
        <v>0</v>
      </c>
    </row>
    <row r="290" spans="1:17" ht="15.75" customHeight="1" x14ac:dyDescent="0.2">
      <c r="A290" s="484">
        <f t="shared" si="10"/>
        <v>282</v>
      </c>
      <c r="B290" s="484" t="s">
        <v>385</v>
      </c>
      <c r="C290" s="516" t="s">
        <v>62</v>
      </c>
      <c r="D290" s="484"/>
      <c r="E290" s="486" t="s">
        <v>675</v>
      </c>
      <c r="F290" s="486" t="s">
        <v>386</v>
      </c>
      <c r="G290" s="510" t="s">
        <v>326</v>
      </c>
      <c r="H290" s="484">
        <v>15</v>
      </c>
      <c r="I290" s="484">
        <v>7</v>
      </c>
      <c r="J290" s="484">
        <v>7</v>
      </c>
      <c r="K290" s="482">
        <v>4184.75</v>
      </c>
      <c r="L290" s="482">
        <v>4184.75</v>
      </c>
      <c r="M290" s="482">
        <v>0</v>
      </c>
      <c r="N290" s="484">
        <v>18</v>
      </c>
      <c r="O290" s="482">
        <v>9602.9</v>
      </c>
      <c r="P290" s="482">
        <v>9602.9</v>
      </c>
      <c r="Q290" s="482">
        <v>0</v>
      </c>
    </row>
    <row r="291" spans="1:17" ht="15.75" customHeight="1" x14ac:dyDescent="0.2">
      <c r="A291" s="484">
        <f t="shared" si="10"/>
        <v>283</v>
      </c>
      <c r="B291" s="591" t="s">
        <v>19</v>
      </c>
      <c r="C291" s="592" t="s">
        <v>62</v>
      </c>
      <c r="D291" s="289"/>
      <c r="E291" s="490" t="s">
        <v>671</v>
      </c>
      <c r="F291" s="593" t="s">
        <v>394</v>
      </c>
      <c r="G291" s="289" t="s">
        <v>395</v>
      </c>
      <c r="H291" s="289">
        <v>1</v>
      </c>
      <c r="I291" s="289">
        <v>0</v>
      </c>
      <c r="J291" s="491">
        <v>0</v>
      </c>
      <c r="K291" s="594">
        <v>0</v>
      </c>
      <c r="L291" s="594">
        <v>0</v>
      </c>
      <c r="M291" s="482">
        <v>0</v>
      </c>
      <c r="N291" s="371">
        <v>0</v>
      </c>
      <c r="O291" s="492">
        <v>0</v>
      </c>
      <c r="P291" s="492">
        <v>0</v>
      </c>
      <c r="Q291" s="482">
        <v>0</v>
      </c>
    </row>
    <row r="292" spans="1:17" ht="15.75" customHeight="1" x14ac:dyDescent="0.2">
      <c r="A292" s="484">
        <f t="shared" si="10"/>
        <v>284</v>
      </c>
      <c r="B292" s="591" t="s">
        <v>90</v>
      </c>
      <c r="C292" s="592" t="s">
        <v>62</v>
      </c>
      <c r="D292" s="591"/>
      <c r="E292" s="490" t="s">
        <v>689</v>
      </c>
      <c r="F292" s="593" t="s">
        <v>396</v>
      </c>
      <c r="G292" s="591" t="s">
        <v>395</v>
      </c>
      <c r="H292" s="591">
        <v>9</v>
      </c>
      <c r="I292" s="591">
        <v>9</v>
      </c>
      <c r="J292" s="591">
        <v>9</v>
      </c>
      <c r="K292" s="594">
        <v>11276.8</v>
      </c>
      <c r="L292" s="594">
        <v>11276.8</v>
      </c>
      <c r="M292" s="482">
        <v>0</v>
      </c>
      <c r="N292" s="591">
        <v>20</v>
      </c>
      <c r="O292" s="594">
        <v>28791.88</v>
      </c>
      <c r="P292" s="594">
        <v>28791.88</v>
      </c>
      <c r="Q292" s="482">
        <v>0</v>
      </c>
    </row>
    <row r="293" spans="1:17" ht="15.75" customHeight="1" x14ac:dyDescent="0.2">
      <c r="A293" s="484">
        <f t="shared" si="10"/>
        <v>285</v>
      </c>
      <c r="B293" s="289" t="s">
        <v>133</v>
      </c>
      <c r="C293" s="493" t="s">
        <v>67</v>
      </c>
      <c r="D293" s="484" t="s">
        <v>494</v>
      </c>
      <c r="E293" s="486" t="s">
        <v>158</v>
      </c>
      <c r="F293" s="593" t="s">
        <v>398</v>
      </c>
      <c r="G293" s="591" t="s">
        <v>395</v>
      </c>
      <c r="H293" s="591">
        <v>12</v>
      </c>
      <c r="I293" s="591">
        <v>5</v>
      </c>
      <c r="J293" s="591">
        <v>5</v>
      </c>
      <c r="K293" s="594">
        <v>7688.8</v>
      </c>
      <c r="L293" s="594">
        <v>7688.8</v>
      </c>
      <c r="M293" s="482">
        <v>0</v>
      </c>
      <c r="N293" s="591">
        <v>9</v>
      </c>
      <c r="O293" s="594">
        <v>12473.03</v>
      </c>
      <c r="P293" s="594">
        <v>12473.03</v>
      </c>
      <c r="Q293" s="482">
        <v>0</v>
      </c>
    </row>
    <row r="294" spans="1:17" ht="15.75" customHeight="1" x14ac:dyDescent="0.2">
      <c r="A294" s="484">
        <f t="shared" si="10"/>
        <v>286</v>
      </c>
      <c r="B294" s="591" t="s">
        <v>399</v>
      </c>
      <c r="C294" s="592" t="s">
        <v>62</v>
      </c>
      <c r="D294" s="591"/>
      <c r="E294" s="490" t="s">
        <v>694</v>
      </c>
      <c r="F294" s="593" t="s">
        <v>401</v>
      </c>
      <c r="G294" s="591" t="s">
        <v>395</v>
      </c>
      <c r="H294" s="591">
        <v>31</v>
      </c>
      <c r="I294" s="591">
        <v>10</v>
      </c>
      <c r="J294" s="591">
        <v>10</v>
      </c>
      <c r="K294" s="594">
        <v>11834.6</v>
      </c>
      <c r="L294" s="594">
        <v>11834.6</v>
      </c>
      <c r="M294" s="482">
        <v>0</v>
      </c>
      <c r="N294" s="591">
        <v>0</v>
      </c>
      <c r="O294" s="594">
        <v>0</v>
      </c>
      <c r="P294" s="594">
        <v>0</v>
      </c>
      <c r="Q294" s="482">
        <v>0</v>
      </c>
    </row>
    <row r="295" spans="1:17" ht="15.75" customHeight="1" x14ac:dyDescent="0.2">
      <c r="A295" s="484">
        <f t="shared" si="10"/>
        <v>287</v>
      </c>
      <c r="B295" s="591" t="s">
        <v>402</v>
      </c>
      <c r="C295" s="592" t="s">
        <v>62</v>
      </c>
      <c r="D295" s="591"/>
      <c r="E295" s="486" t="s">
        <v>158</v>
      </c>
      <c r="F295" s="593" t="s">
        <v>403</v>
      </c>
      <c r="G295" s="591" t="s">
        <v>395</v>
      </c>
      <c r="H295" s="591">
        <v>2</v>
      </c>
      <c r="I295" s="591">
        <v>2</v>
      </c>
      <c r="J295" s="591">
        <v>2</v>
      </c>
      <c r="K295" s="594">
        <v>3815.95</v>
      </c>
      <c r="L295" s="594">
        <v>3815.95</v>
      </c>
      <c r="M295" s="482">
        <v>0</v>
      </c>
      <c r="N295" s="591">
        <v>0</v>
      </c>
      <c r="O295" s="594">
        <v>0</v>
      </c>
      <c r="P295" s="594">
        <v>0</v>
      </c>
      <c r="Q295" s="482">
        <v>0</v>
      </c>
    </row>
    <row r="296" spans="1:17" ht="15.75" customHeight="1" x14ac:dyDescent="0.2">
      <c r="A296" s="484">
        <f t="shared" si="10"/>
        <v>288</v>
      </c>
      <c r="B296" s="591" t="s">
        <v>48</v>
      </c>
      <c r="C296" s="592" t="s">
        <v>62</v>
      </c>
      <c r="D296" s="591"/>
      <c r="E296" s="490" t="s">
        <v>671</v>
      </c>
      <c r="F296" s="593" t="s">
        <v>404</v>
      </c>
      <c r="G296" s="591" t="s">
        <v>395</v>
      </c>
      <c r="H296" s="591">
        <v>48</v>
      </c>
      <c r="I296" s="591">
        <v>12</v>
      </c>
      <c r="J296" s="591">
        <v>12</v>
      </c>
      <c r="K296" s="594">
        <v>18020.5</v>
      </c>
      <c r="L296" s="594">
        <v>16179.5</v>
      </c>
      <c r="M296" s="482">
        <v>1841</v>
      </c>
      <c r="N296" s="591">
        <v>22</v>
      </c>
      <c r="O296" s="594">
        <v>58443.62</v>
      </c>
      <c r="P296" s="594">
        <v>53288.82</v>
      </c>
      <c r="Q296" s="482">
        <v>5154.8</v>
      </c>
    </row>
    <row r="297" spans="1:17" ht="15.75" customHeight="1" x14ac:dyDescent="0.2">
      <c r="A297" s="484">
        <f t="shared" si="10"/>
        <v>289</v>
      </c>
      <c r="B297" s="591" t="s">
        <v>39</v>
      </c>
      <c r="C297" s="592" t="s">
        <v>62</v>
      </c>
      <c r="D297" s="591"/>
      <c r="E297" s="490" t="s">
        <v>694</v>
      </c>
      <c r="F297" s="593" t="s">
        <v>405</v>
      </c>
      <c r="G297" s="591" t="s">
        <v>395</v>
      </c>
      <c r="H297" s="591">
        <v>33</v>
      </c>
      <c r="I297" s="591">
        <v>3</v>
      </c>
      <c r="J297" s="591">
        <v>3</v>
      </c>
      <c r="K297" s="594">
        <v>3866.1</v>
      </c>
      <c r="L297" s="594">
        <v>3866.1</v>
      </c>
      <c r="M297" s="482">
        <v>0</v>
      </c>
      <c r="N297" s="591">
        <v>13</v>
      </c>
      <c r="O297" s="594">
        <v>23040.3</v>
      </c>
      <c r="P297" s="594">
        <v>23040.3</v>
      </c>
      <c r="Q297" s="482">
        <v>0</v>
      </c>
    </row>
    <row r="298" spans="1:17" ht="15.75" customHeight="1" x14ac:dyDescent="0.2">
      <c r="A298" s="484">
        <f t="shared" si="10"/>
        <v>290</v>
      </c>
      <c r="B298" s="591" t="s">
        <v>127</v>
      </c>
      <c r="C298" s="592" t="s">
        <v>62</v>
      </c>
      <c r="D298" s="591"/>
      <c r="E298" s="486" t="s">
        <v>158</v>
      </c>
      <c r="F298" s="593" t="s">
        <v>406</v>
      </c>
      <c r="G298" s="591" t="s">
        <v>395</v>
      </c>
      <c r="H298" s="591">
        <v>0</v>
      </c>
      <c r="I298" s="591">
        <v>0</v>
      </c>
      <c r="J298" s="591">
        <v>0</v>
      </c>
      <c r="K298" s="594">
        <v>0</v>
      </c>
      <c r="L298" s="594">
        <v>0</v>
      </c>
      <c r="M298" s="482">
        <v>0</v>
      </c>
      <c r="N298" s="591">
        <v>1</v>
      </c>
      <c r="O298" s="594">
        <v>264.3</v>
      </c>
      <c r="P298" s="594">
        <v>264.3</v>
      </c>
      <c r="Q298" s="482">
        <v>0</v>
      </c>
    </row>
    <row r="299" spans="1:17" ht="15.75" customHeight="1" x14ac:dyDescent="0.2">
      <c r="A299" s="484">
        <f t="shared" si="10"/>
        <v>291</v>
      </c>
      <c r="B299" s="591" t="s">
        <v>561</v>
      </c>
      <c r="C299" s="592" t="s">
        <v>62</v>
      </c>
      <c r="D299" s="591"/>
      <c r="E299" s="490" t="s">
        <v>671</v>
      </c>
      <c r="F299" s="593" t="s">
        <v>562</v>
      </c>
      <c r="G299" s="591" t="s">
        <v>395</v>
      </c>
      <c r="H299" s="591">
        <v>31</v>
      </c>
      <c r="I299" s="591">
        <v>0</v>
      </c>
      <c r="J299" s="591">
        <v>0</v>
      </c>
      <c r="K299" s="594">
        <v>0</v>
      </c>
      <c r="L299" s="594">
        <v>0</v>
      </c>
      <c r="M299" s="482">
        <v>0</v>
      </c>
      <c r="N299" s="591">
        <v>0</v>
      </c>
      <c r="O299" s="594">
        <v>0</v>
      </c>
      <c r="P299" s="594">
        <v>0</v>
      </c>
      <c r="Q299" s="482">
        <v>0</v>
      </c>
    </row>
    <row r="300" spans="1:17" ht="15.75" customHeight="1" x14ac:dyDescent="0.2">
      <c r="A300" s="484">
        <f t="shared" si="10"/>
        <v>292</v>
      </c>
      <c r="B300" s="591" t="s">
        <v>563</v>
      </c>
      <c r="C300" s="592" t="s">
        <v>62</v>
      </c>
      <c r="D300" s="591"/>
      <c r="E300" s="490" t="s">
        <v>671</v>
      </c>
      <c r="F300" s="593" t="s">
        <v>564</v>
      </c>
      <c r="G300" s="591" t="s">
        <v>395</v>
      </c>
      <c r="H300" s="591">
        <v>36</v>
      </c>
      <c r="I300" s="591">
        <v>0</v>
      </c>
      <c r="J300" s="591">
        <v>1</v>
      </c>
      <c r="K300" s="594">
        <v>2643</v>
      </c>
      <c r="L300" s="594">
        <v>2643</v>
      </c>
      <c r="M300" s="482">
        <v>0</v>
      </c>
      <c r="N300" s="591">
        <v>0</v>
      </c>
      <c r="O300" s="594">
        <v>0</v>
      </c>
      <c r="P300" s="594">
        <v>0</v>
      </c>
      <c r="Q300" s="482">
        <v>0</v>
      </c>
    </row>
    <row r="301" spans="1:17" ht="15.75" customHeight="1" x14ac:dyDescent="0.2">
      <c r="A301" s="484">
        <f t="shared" si="10"/>
        <v>293</v>
      </c>
      <c r="B301" s="591" t="s">
        <v>53</v>
      </c>
      <c r="C301" s="592" t="s">
        <v>62</v>
      </c>
      <c r="D301" s="591"/>
      <c r="E301" s="486" t="s">
        <v>158</v>
      </c>
      <c r="F301" s="593" t="s">
        <v>634</v>
      </c>
      <c r="G301" s="591" t="s">
        <v>395</v>
      </c>
      <c r="H301" s="591">
        <v>17</v>
      </c>
      <c r="I301" s="591">
        <v>1</v>
      </c>
      <c r="J301" s="591">
        <v>1</v>
      </c>
      <c r="K301" s="594">
        <v>920.5</v>
      </c>
      <c r="L301" s="594">
        <v>920.5</v>
      </c>
      <c r="M301" s="482">
        <v>0</v>
      </c>
      <c r="N301" s="371">
        <v>0</v>
      </c>
      <c r="O301" s="492">
        <v>0</v>
      </c>
      <c r="P301" s="492">
        <v>0</v>
      </c>
      <c r="Q301" s="482">
        <v>0</v>
      </c>
    </row>
  </sheetData>
  <autoFilter ref="A8:IV301"/>
  <pageMargins left="0.75" right="0.75" top="1" bottom="1" header="0.5" footer="0.5"/>
  <pageSetup paperSize="9" orientation="portrait" verticalDpi="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R301"/>
  <sheetViews>
    <sheetView topLeftCell="A292" workbookViewId="0">
      <selection activeCell="B313" sqref="B313"/>
    </sheetView>
  </sheetViews>
  <sheetFormatPr defaultRowHeight="12.75" x14ac:dyDescent="0.2"/>
  <cols>
    <col min="1" max="1" width="5" style="511" customWidth="1"/>
    <col min="2" max="2" width="43" style="511" customWidth="1"/>
    <col min="3" max="3" width="10.140625" style="511" customWidth="1"/>
    <col min="4" max="4" width="45" style="511" customWidth="1"/>
    <col min="5" max="5" width="34.5703125" style="511" customWidth="1"/>
    <col min="6" max="6" width="20.42578125" style="511" customWidth="1"/>
    <col min="7" max="7" width="36" style="511" customWidth="1"/>
    <col min="8" max="10" width="9.140625" style="511"/>
    <col min="11" max="12" width="9.5703125" style="511" customWidth="1"/>
    <col min="13" max="13" width="9.42578125" style="511" customWidth="1"/>
    <col min="14" max="14" width="9.140625" style="511"/>
    <col min="15" max="16" width="10.5703125" style="511" customWidth="1"/>
    <col min="17" max="17" width="9.42578125" style="511" customWidth="1"/>
    <col min="18" max="256" width="9.140625" style="511"/>
    <col min="257" max="257" width="5" style="511" customWidth="1"/>
    <col min="258" max="258" width="43" style="511" customWidth="1"/>
    <col min="259" max="259" width="10.140625" style="511" customWidth="1"/>
    <col min="260" max="260" width="45" style="511" customWidth="1"/>
    <col min="261" max="261" width="34.5703125" style="511" customWidth="1"/>
    <col min="262" max="262" width="20.42578125" style="511" customWidth="1"/>
    <col min="263" max="263" width="36" style="511" customWidth="1"/>
    <col min="264" max="266" width="9.140625" style="511"/>
    <col min="267" max="268" width="9.5703125" style="511" customWidth="1"/>
    <col min="269" max="269" width="9.42578125" style="511" customWidth="1"/>
    <col min="270" max="270" width="9.140625" style="511"/>
    <col min="271" max="272" width="10.5703125" style="511" customWidth="1"/>
    <col min="273" max="273" width="9.42578125" style="511" customWidth="1"/>
    <col min="274" max="512" width="9.140625" style="511"/>
    <col min="513" max="513" width="5" style="511" customWidth="1"/>
    <col min="514" max="514" width="43" style="511" customWidth="1"/>
    <col min="515" max="515" width="10.140625" style="511" customWidth="1"/>
    <col min="516" max="516" width="45" style="511" customWidth="1"/>
    <col min="517" max="517" width="34.5703125" style="511" customWidth="1"/>
    <col min="518" max="518" width="20.42578125" style="511" customWidth="1"/>
    <col min="519" max="519" width="36" style="511" customWidth="1"/>
    <col min="520" max="522" width="9.140625" style="511"/>
    <col min="523" max="524" width="9.5703125" style="511" customWidth="1"/>
    <col min="525" max="525" width="9.42578125" style="511" customWidth="1"/>
    <col min="526" max="526" width="9.140625" style="511"/>
    <col min="527" max="528" width="10.5703125" style="511" customWidth="1"/>
    <col min="529" max="529" width="9.42578125" style="511" customWidth="1"/>
    <col min="530" max="768" width="9.140625" style="511"/>
    <col min="769" max="769" width="5" style="511" customWidth="1"/>
    <col min="770" max="770" width="43" style="511" customWidth="1"/>
    <col min="771" max="771" width="10.140625" style="511" customWidth="1"/>
    <col min="772" max="772" width="45" style="511" customWidth="1"/>
    <col min="773" max="773" width="34.5703125" style="511" customWidth="1"/>
    <col min="774" max="774" width="20.42578125" style="511" customWidth="1"/>
    <col min="775" max="775" width="36" style="511" customWidth="1"/>
    <col min="776" max="778" width="9.140625" style="511"/>
    <col min="779" max="780" width="9.5703125" style="511" customWidth="1"/>
    <col min="781" max="781" width="9.42578125" style="511" customWidth="1"/>
    <col min="782" max="782" width="9.140625" style="511"/>
    <col min="783" max="784" width="10.5703125" style="511" customWidth="1"/>
    <col min="785" max="785" width="9.42578125" style="511" customWidth="1"/>
    <col min="786" max="1024" width="9.140625" style="511"/>
    <col min="1025" max="1025" width="5" style="511" customWidth="1"/>
    <col min="1026" max="1026" width="43" style="511" customWidth="1"/>
    <col min="1027" max="1027" width="10.140625" style="511" customWidth="1"/>
    <col min="1028" max="1028" width="45" style="511" customWidth="1"/>
    <col min="1029" max="1029" width="34.5703125" style="511" customWidth="1"/>
    <col min="1030" max="1030" width="20.42578125" style="511" customWidth="1"/>
    <col min="1031" max="1031" width="36" style="511" customWidth="1"/>
    <col min="1032" max="1034" width="9.140625" style="511"/>
    <col min="1035" max="1036" width="9.5703125" style="511" customWidth="1"/>
    <col min="1037" max="1037" width="9.42578125" style="511" customWidth="1"/>
    <col min="1038" max="1038" width="9.140625" style="511"/>
    <col min="1039" max="1040" width="10.5703125" style="511" customWidth="1"/>
    <col min="1041" max="1041" width="9.42578125" style="511" customWidth="1"/>
    <col min="1042" max="1280" width="9.140625" style="511"/>
    <col min="1281" max="1281" width="5" style="511" customWidth="1"/>
    <col min="1282" max="1282" width="43" style="511" customWidth="1"/>
    <col min="1283" max="1283" width="10.140625" style="511" customWidth="1"/>
    <col min="1284" max="1284" width="45" style="511" customWidth="1"/>
    <col min="1285" max="1285" width="34.5703125" style="511" customWidth="1"/>
    <col min="1286" max="1286" width="20.42578125" style="511" customWidth="1"/>
    <col min="1287" max="1287" width="36" style="511" customWidth="1"/>
    <col min="1288" max="1290" width="9.140625" style="511"/>
    <col min="1291" max="1292" width="9.5703125" style="511" customWidth="1"/>
    <col min="1293" max="1293" width="9.42578125" style="511" customWidth="1"/>
    <col min="1294" max="1294" width="9.140625" style="511"/>
    <col min="1295" max="1296" width="10.5703125" style="511" customWidth="1"/>
    <col min="1297" max="1297" width="9.42578125" style="511" customWidth="1"/>
    <col min="1298" max="1536" width="9.140625" style="511"/>
    <col min="1537" max="1537" width="5" style="511" customWidth="1"/>
    <col min="1538" max="1538" width="43" style="511" customWidth="1"/>
    <col min="1539" max="1539" width="10.140625" style="511" customWidth="1"/>
    <col min="1540" max="1540" width="45" style="511" customWidth="1"/>
    <col min="1541" max="1541" width="34.5703125" style="511" customWidth="1"/>
    <col min="1542" max="1542" width="20.42578125" style="511" customWidth="1"/>
    <col min="1543" max="1543" width="36" style="511" customWidth="1"/>
    <col min="1544" max="1546" width="9.140625" style="511"/>
    <col min="1547" max="1548" width="9.5703125" style="511" customWidth="1"/>
    <col min="1549" max="1549" width="9.42578125" style="511" customWidth="1"/>
    <col min="1550" max="1550" width="9.140625" style="511"/>
    <col min="1551" max="1552" width="10.5703125" style="511" customWidth="1"/>
    <col min="1553" max="1553" width="9.42578125" style="511" customWidth="1"/>
    <col min="1554" max="1792" width="9.140625" style="511"/>
    <col min="1793" max="1793" width="5" style="511" customWidth="1"/>
    <col min="1794" max="1794" width="43" style="511" customWidth="1"/>
    <col min="1795" max="1795" width="10.140625" style="511" customWidth="1"/>
    <col min="1796" max="1796" width="45" style="511" customWidth="1"/>
    <col min="1797" max="1797" width="34.5703125" style="511" customWidth="1"/>
    <col min="1798" max="1798" width="20.42578125" style="511" customWidth="1"/>
    <col min="1799" max="1799" width="36" style="511" customWidth="1"/>
    <col min="1800" max="1802" width="9.140625" style="511"/>
    <col min="1803" max="1804" width="9.5703125" style="511" customWidth="1"/>
    <col min="1805" max="1805" width="9.42578125" style="511" customWidth="1"/>
    <col min="1806" max="1806" width="9.140625" style="511"/>
    <col min="1807" max="1808" width="10.5703125" style="511" customWidth="1"/>
    <col min="1809" max="1809" width="9.42578125" style="511" customWidth="1"/>
    <col min="1810" max="2048" width="9.140625" style="511"/>
    <col min="2049" max="2049" width="5" style="511" customWidth="1"/>
    <col min="2050" max="2050" width="43" style="511" customWidth="1"/>
    <col min="2051" max="2051" width="10.140625" style="511" customWidth="1"/>
    <col min="2052" max="2052" width="45" style="511" customWidth="1"/>
    <col min="2053" max="2053" width="34.5703125" style="511" customWidth="1"/>
    <col min="2054" max="2054" width="20.42578125" style="511" customWidth="1"/>
    <col min="2055" max="2055" width="36" style="511" customWidth="1"/>
    <col min="2056" max="2058" width="9.140625" style="511"/>
    <col min="2059" max="2060" width="9.5703125" style="511" customWidth="1"/>
    <col min="2061" max="2061" width="9.42578125" style="511" customWidth="1"/>
    <col min="2062" max="2062" width="9.140625" style="511"/>
    <col min="2063" max="2064" width="10.5703125" style="511" customWidth="1"/>
    <col min="2065" max="2065" width="9.42578125" style="511" customWidth="1"/>
    <col min="2066" max="2304" width="9.140625" style="511"/>
    <col min="2305" max="2305" width="5" style="511" customWidth="1"/>
    <col min="2306" max="2306" width="43" style="511" customWidth="1"/>
    <col min="2307" max="2307" width="10.140625" style="511" customWidth="1"/>
    <col min="2308" max="2308" width="45" style="511" customWidth="1"/>
    <col min="2309" max="2309" width="34.5703125" style="511" customWidth="1"/>
    <col min="2310" max="2310" width="20.42578125" style="511" customWidth="1"/>
    <col min="2311" max="2311" width="36" style="511" customWidth="1"/>
    <col min="2312" max="2314" width="9.140625" style="511"/>
    <col min="2315" max="2316" width="9.5703125" style="511" customWidth="1"/>
    <col min="2317" max="2317" width="9.42578125" style="511" customWidth="1"/>
    <col min="2318" max="2318" width="9.140625" style="511"/>
    <col min="2319" max="2320" width="10.5703125" style="511" customWidth="1"/>
    <col min="2321" max="2321" width="9.42578125" style="511" customWidth="1"/>
    <col min="2322" max="2560" width="9.140625" style="511"/>
    <col min="2561" max="2561" width="5" style="511" customWidth="1"/>
    <col min="2562" max="2562" width="43" style="511" customWidth="1"/>
    <col min="2563" max="2563" width="10.140625" style="511" customWidth="1"/>
    <col min="2564" max="2564" width="45" style="511" customWidth="1"/>
    <col min="2565" max="2565" width="34.5703125" style="511" customWidth="1"/>
    <col min="2566" max="2566" width="20.42578125" style="511" customWidth="1"/>
    <col min="2567" max="2567" width="36" style="511" customWidth="1"/>
    <col min="2568" max="2570" width="9.140625" style="511"/>
    <col min="2571" max="2572" width="9.5703125" style="511" customWidth="1"/>
    <col min="2573" max="2573" width="9.42578125" style="511" customWidth="1"/>
    <col min="2574" max="2574" width="9.140625" style="511"/>
    <col min="2575" max="2576" width="10.5703125" style="511" customWidth="1"/>
    <col min="2577" max="2577" width="9.42578125" style="511" customWidth="1"/>
    <col min="2578" max="2816" width="9.140625" style="511"/>
    <col min="2817" max="2817" width="5" style="511" customWidth="1"/>
    <col min="2818" max="2818" width="43" style="511" customWidth="1"/>
    <col min="2819" max="2819" width="10.140625" style="511" customWidth="1"/>
    <col min="2820" max="2820" width="45" style="511" customWidth="1"/>
    <col min="2821" max="2821" width="34.5703125" style="511" customWidth="1"/>
    <col min="2822" max="2822" width="20.42578125" style="511" customWidth="1"/>
    <col min="2823" max="2823" width="36" style="511" customWidth="1"/>
    <col min="2824" max="2826" width="9.140625" style="511"/>
    <col min="2827" max="2828" width="9.5703125" style="511" customWidth="1"/>
    <col min="2829" max="2829" width="9.42578125" style="511" customWidth="1"/>
    <col min="2830" max="2830" width="9.140625" style="511"/>
    <col min="2831" max="2832" width="10.5703125" style="511" customWidth="1"/>
    <col min="2833" max="2833" width="9.42578125" style="511" customWidth="1"/>
    <col min="2834" max="3072" width="9.140625" style="511"/>
    <col min="3073" max="3073" width="5" style="511" customWidth="1"/>
    <col min="3074" max="3074" width="43" style="511" customWidth="1"/>
    <col min="3075" max="3075" width="10.140625" style="511" customWidth="1"/>
    <col min="3076" max="3076" width="45" style="511" customWidth="1"/>
    <col min="3077" max="3077" width="34.5703125" style="511" customWidth="1"/>
    <col min="3078" max="3078" width="20.42578125" style="511" customWidth="1"/>
    <col min="3079" max="3079" width="36" style="511" customWidth="1"/>
    <col min="3080" max="3082" width="9.140625" style="511"/>
    <col min="3083" max="3084" width="9.5703125" style="511" customWidth="1"/>
    <col min="3085" max="3085" width="9.42578125" style="511" customWidth="1"/>
    <col min="3086" max="3086" width="9.140625" style="511"/>
    <col min="3087" max="3088" width="10.5703125" style="511" customWidth="1"/>
    <col min="3089" max="3089" width="9.42578125" style="511" customWidth="1"/>
    <col min="3090" max="3328" width="9.140625" style="511"/>
    <col min="3329" max="3329" width="5" style="511" customWidth="1"/>
    <col min="3330" max="3330" width="43" style="511" customWidth="1"/>
    <col min="3331" max="3331" width="10.140625" style="511" customWidth="1"/>
    <col min="3332" max="3332" width="45" style="511" customWidth="1"/>
    <col min="3333" max="3333" width="34.5703125" style="511" customWidth="1"/>
    <col min="3334" max="3334" width="20.42578125" style="511" customWidth="1"/>
    <col min="3335" max="3335" width="36" style="511" customWidth="1"/>
    <col min="3336" max="3338" width="9.140625" style="511"/>
    <col min="3339" max="3340" width="9.5703125" style="511" customWidth="1"/>
    <col min="3341" max="3341" width="9.42578125" style="511" customWidth="1"/>
    <col min="3342" max="3342" width="9.140625" style="511"/>
    <col min="3343" max="3344" width="10.5703125" style="511" customWidth="1"/>
    <col min="3345" max="3345" width="9.42578125" style="511" customWidth="1"/>
    <col min="3346" max="3584" width="9.140625" style="511"/>
    <col min="3585" max="3585" width="5" style="511" customWidth="1"/>
    <col min="3586" max="3586" width="43" style="511" customWidth="1"/>
    <col min="3587" max="3587" width="10.140625" style="511" customWidth="1"/>
    <col min="3588" max="3588" width="45" style="511" customWidth="1"/>
    <col min="3589" max="3589" width="34.5703125" style="511" customWidth="1"/>
    <col min="3590" max="3590" width="20.42578125" style="511" customWidth="1"/>
    <col min="3591" max="3591" width="36" style="511" customWidth="1"/>
    <col min="3592" max="3594" width="9.140625" style="511"/>
    <col min="3595" max="3596" width="9.5703125" style="511" customWidth="1"/>
    <col min="3597" max="3597" width="9.42578125" style="511" customWidth="1"/>
    <col min="3598" max="3598" width="9.140625" style="511"/>
    <col min="3599" max="3600" width="10.5703125" style="511" customWidth="1"/>
    <col min="3601" max="3601" width="9.42578125" style="511" customWidth="1"/>
    <col min="3602" max="3840" width="9.140625" style="511"/>
    <col min="3841" max="3841" width="5" style="511" customWidth="1"/>
    <col min="3842" max="3842" width="43" style="511" customWidth="1"/>
    <col min="3843" max="3843" width="10.140625" style="511" customWidth="1"/>
    <col min="3844" max="3844" width="45" style="511" customWidth="1"/>
    <col min="3845" max="3845" width="34.5703125" style="511" customWidth="1"/>
    <col min="3846" max="3846" width="20.42578125" style="511" customWidth="1"/>
    <col min="3847" max="3847" width="36" style="511" customWidth="1"/>
    <col min="3848" max="3850" width="9.140625" style="511"/>
    <col min="3851" max="3852" width="9.5703125" style="511" customWidth="1"/>
    <col min="3853" max="3853" width="9.42578125" style="511" customWidth="1"/>
    <col min="3854" max="3854" width="9.140625" style="511"/>
    <col min="3855" max="3856" width="10.5703125" style="511" customWidth="1"/>
    <col min="3857" max="3857" width="9.42578125" style="511" customWidth="1"/>
    <col min="3858" max="4096" width="9.140625" style="511"/>
    <col min="4097" max="4097" width="5" style="511" customWidth="1"/>
    <col min="4098" max="4098" width="43" style="511" customWidth="1"/>
    <col min="4099" max="4099" width="10.140625" style="511" customWidth="1"/>
    <col min="4100" max="4100" width="45" style="511" customWidth="1"/>
    <col min="4101" max="4101" width="34.5703125" style="511" customWidth="1"/>
    <col min="4102" max="4102" width="20.42578125" style="511" customWidth="1"/>
    <col min="4103" max="4103" width="36" style="511" customWidth="1"/>
    <col min="4104" max="4106" width="9.140625" style="511"/>
    <col min="4107" max="4108" width="9.5703125" style="511" customWidth="1"/>
    <col min="4109" max="4109" width="9.42578125" style="511" customWidth="1"/>
    <col min="4110" max="4110" width="9.140625" style="511"/>
    <col min="4111" max="4112" width="10.5703125" style="511" customWidth="1"/>
    <col min="4113" max="4113" width="9.42578125" style="511" customWidth="1"/>
    <col min="4114" max="4352" width="9.140625" style="511"/>
    <col min="4353" max="4353" width="5" style="511" customWidth="1"/>
    <col min="4354" max="4354" width="43" style="511" customWidth="1"/>
    <col min="4355" max="4355" width="10.140625" style="511" customWidth="1"/>
    <col min="4356" max="4356" width="45" style="511" customWidth="1"/>
    <col min="4357" max="4357" width="34.5703125" style="511" customWidth="1"/>
    <col min="4358" max="4358" width="20.42578125" style="511" customWidth="1"/>
    <col min="4359" max="4359" width="36" style="511" customWidth="1"/>
    <col min="4360" max="4362" width="9.140625" style="511"/>
    <col min="4363" max="4364" width="9.5703125" style="511" customWidth="1"/>
    <col min="4365" max="4365" width="9.42578125" style="511" customWidth="1"/>
    <col min="4366" max="4366" width="9.140625" style="511"/>
    <col min="4367" max="4368" width="10.5703125" style="511" customWidth="1"/>
    <col min="4369" max="4369" width="9.42578125" style="511" customWidth="1"/>
    <col min="4370" max="4608" width="9.140625" style="511"/>
    <col min="4609" max="4609" width="5" style="511" customWidth="1"/>
    <col min="4610" max="4610" width="43" style="511" customWidth="1"/>
    <col min="4611" max="4611" width="10.140625" style="511" customWidth="1"/>
    <col min="4612" max="4612" width="45" style="511" customWidth="1"/>
    <col min="4613" max="4613" width="34.5703125" style="511" customWidth="1"/>
    <col min="4614" max="4614" width="20.42578125" style="511" customWidth="1"/>
    <col min="4615" max="4615" width="36" style="511" customWidth="1"/>
    <col min="4616" max="4618" width="9.140625" style="511"/>
    <col min="4619" max="4620" width="9.5703125" style="511" customWidth="1"/>
    <col min="4621" max="4621" width="9.42578125" style="511" customWidth="1"/>
    <col min="4622" max="4622" width="9.140625" style="511"/>
    <col min="4623" max="4624" width="10.5703125" style="511" customWidth="1"/>
    <col min="4625" max="4625" width="9.42578125" style="511" customWidth="1"/>
    <col min="4626" max="4864" width="9.140625" style="511"/>
    <col min="4865" max="4865" width="5" style="511" customWidth="1"/>
    <col min="4866" max="4866" width="43" style="511" customWidth="1"/>
    <col min="4867" max="4867" width="10.140625" style="511" customWidth="1"/>
    <col min="4868" max="4868" width="45" style="511" customWidth="1"/>
    <col min="4869" max="4869" width="34.5703125" style="511" customWidth="1"/>
    <col min="4870" max="4870" width="20.42578125" style="511" customWidth="1"/>
    <col min="4871" max="4871" width="36" style="511" customWidth="1"/>
    <col min="4872" max="4874" width="9.140625" style="511"/>
    <col min="4875" max="4876" width="9.5703125" style="511" customWidth="1"/>
    <col min="4877" max="4877" width="9.42578125" style="511" customWidth="1"/>
    <col min="4878" max="4878" width="9.140625" style="511"/>
    <col min="4879" max="4880" width="10.5703125" style="511" customWidth="1"/>
    <col min="4881" max="4881" width="9.42578125" style="511" customWidth="1"/>
    <col min="4882" max="5120" width="9.140625" style="511"/>
    <col min="5121" max="5121" width="5" style="511" customWidth="1"/>
    <col min="5122" max="5122" width="43" style="511" customWidth="1"/>
    <col min="5123" max="5123" width="10.140625" style="511" customWidth="1"/>
    <col min="5124" max="5124" width="45" style="511" customWidth="1"/>
    <col min="5125" max="5125" width="34.5703125" style="511" customWidth="1"/>
    <col min="5126" max="5126" width="20.42578125" style="511" customWidth="1"/>
    <col min="5127" max="5127" width="36" style="511" customWidth="1"/>
    <col min="5128" max="5130" width="9.140625" style="511"/>
    <col min="5131" max="5132" width="9.5703125" style="511" customWidth="1"/>
    <col min="5133" max="5133" width="9.42578125" style="511" customWidth="1"/>
    <col min="5134" max="5134" width="9.140625" style="511"/>
    <col min="5135" max="5136" width="10.5703125" style="511" customWidth="1"/>
    <col min="5137" max="5137" width="9.42578125" style="511" customWidth="1"/>
    <col min="5138" max="5376" width="9.140625" style="511"/>
    <col min="5377" max="5377" width="5" style="511" customWidth="1"/>
    <col min="5378" max="5378" width="43" style="511" customWidth="1"/>
    <col min="5379" max="5379" width="10.140625" style="511" customWidth="1"/>
    <col min="5380" max="5380" width="45" style="511" customWidth="1"/>
    <col min="5381" max="5381" width="34.5703125" style="511" customWidth="1"/>
    <col min="5382" max="5382" width="20.42578125" style="511" customWidth="1"/>
    <col min="5383" max="5383" width="36" style="511" customWidth="1"/>
    <col min="5384" max="5386" width="9.140625" style="511"/>
    <col min="5387" max="5388" width="9.5703125" style="511" customWidth="1"/>
    <col min="5389" max="5389" width="9.42578125" style="511" customWidth="1"/>
    <col min="5390" max="5390" width="9.140625" style="511"/>
    <col min="5391" max="5392" width="10.5703125" style="511" customWidth="1"/>
    <col min="5393" max="5393" width="9.42578125" style="511" customWidth="1"/>
    <col min="5394" max="5632" width="9.140625" style="511"/>
    <col min="5633" max="5633" width="5" style="511" customWidth="1"/>
    <col min="5634" max="5634" width="43" style="511" customWidth="1"/>
    <col min="5635" max="5635" width="10.140625" style="511" customWidth="1"/>
    <col min="5636" max="5636" width="45" style="511" customWidth="1"/>
    <col min="5637" max="5637" width="34.5703125" style="511" customWidth="1"/>
    <col min="5638" max="5638" width="20.42578125" style="511" customWidth="1"/>
    <col min="5639" max="5639" width="36" style="511" customWidth="1"/>
    <col min="5640" max="5642" width="9.140625" style="511"/>
    <col min="5643" max="5644" width="9.5703125" style="511" customWidth="1"/>
    <col min="5645" max="5645" width="9.42578125" style="511" customWidth="1"/>
    <col min="5646" max="5646" width="9.140625" style="511"/>
    <col min="5647" max="5648" width="10.5703125" style="511" customWidth="1"/>
    <col min="5649" max="5649" width="9.42578125" style="511" customWidth="1"/>
    <col min="5650" max="5888" width="9.140625" style="511"/>
    <col min="5889" max="5889" width="5" style="511" customWidth="1"/>
    <col min="5890" max="5890" width="43" style="511" customWidth="1"/>
    <col min="5891" max="5891" width="10.140625" style="511" customWidth="1"/>
    <col min="5892" max="5892" width="45" style="511" customWidth="1"/>
    <col min="5893" max="5893" width="34.5703125" style="511" customWidth="1"/>
    <col min="5894" max="5894" width="20.42578125" style="511" customWidth="1"/>
    <col min="5895" max="5895" width="36" style="511" customWidth="1"/>
    <col min="5896" max="5898" width="9.140625" style="511"/>
    <col min="5899" max="5900" width="9.5703125" style="511" customWidth="1"/>
    <col min="5901" max="5901" width="9.42578125" style="511" customWidth="1"/>
    <col min="5902" max="5902" width="9.140625" style="511"/>
    <col min="5903" max="5904" width="10.5703125" style="511" customWidth="1"/>
    <col min="5905" max="5905" width="9.42578125" style="511" customWidth="1"/>
    <col min="5906" max="6144" width="9.140625" style="511"/>
    <col min="6145" max="6145" width="5" style="511" customWidth="1"/>
    <col min="6146" max="6146" width="43" style="511" customWidth="1"/>
    <col min="6147" max="6147" width="10.140625" style="511" customWidth="1"/>
    <col min="6148" max="6148" width="45" style="511" customWidth="1"/>
    <col min="6149" max="6149" width="34.5703125" style="511" customWidth="1"/>
    <col min="6150" max="6150" width="20.42578125" style="511" customWidth="1"/>
    <col min="6151" max="6151" width="36" style="511" customWidth="1"/>
    <col min="6152" max="6154" width="9.140625" style="511"/>
    <col min="6155" max="6156" width="9.5703125" style="511" customWidth="1"/>
    <col min="6157" max="6157" width="9.42578125" style="511" customWidth="1"/>
    <col min="6158" max="6158" width="9.140625" style="511"/>
    <col min="6159" max="6160" width="10.5703125" style="511" customWidth="1"/>
    <col min="6161" max="6161" width="9.42578125" style="511" customWidth="1"/>
    <col min="6162" max="6400" width="9.140625" style="511"/>
    <col min="6401" max="6401" width="5" style="511" customWidth="1"/>
    <col min="6402" max="6402" width="43" style="511" customWidth="1"/>
    <col min="6403" max="6403" width="10.140625" style="511" customWidth="1"/>
    <col min="6404" max="6404" width="45" style="511" customWidth="1"/>
    <col min="6405" max="6405" width="34.5703125" style="511" customWidth="1"/>
    <col min="6406" max="6406" width="20.42578125" style="511" customWidth="1"/>
    <col min="6407" max="6407" width="36" style="511" customWidth="1"/>
    <col min="6408" max="6410" width="9.140625" style="511"/>
    <col min="6411" max="6412" width="9.5703125" style="511" customWidth="1"/>
    <col min="6413" max="6413" width="9.42578125" style="511" customWidth="1"/>
    <col min="6414" max="6414" width="9.140625" style="511"/>
    <col min="6415" max="6416" width="10.5703125" style="511" customWidth="1"/>
    <col min="6417" max="6417" width="9.42578125" style="511" customWidth="1"/>
    <col min="6418" max="6656" width="9.140625" style="511"/>
    <col min="6657" max="6657" width="5" style="511" customWidth="1"/>
    <col min="6658" max="6658" width="43" style="511" customWidth="1"/>
    <col min="6659" max="6659" width="10.140625" style="511" customWidth="1"/>
    <col min="6660" max="6660" width="45" style="511" customWidth="1"/>
    <col min="6661" max="6661" width="34.5703125" style="511" customWidth="1"/>
    <col min="6662" max="6662" width="20.42578125" style="511" customWidth="1"/>
    <col min="6663" max="6663" width="36" style="511" customWidth="1"/>
    <col min="6664" max="6666" width="9.140625" style="511"/>
    <col min="6667" max="6668" width="9.5703125" style="511" customWidth="1"/>
    <col min="6669" max="6669" width="9.42578125" style="511" customWidth="1"/>
    <col min="6670" max="6670" width="9.140625" style="511"/>
    <col min="6671" max="6672" width="10.5703125" style="511" customWidth="1"/>
    <col min="6673" max="6673" width="9.42578125" style="511" customWidth="1"/>
    <col min="6674" max="6912" width="9.140625" style="511"/>
    <col min="6913" max="6913" width="5" style="511" customWidth="1"/>
    <col min="6914" max="6914" width="43" style="511" customWidth="1"/>
    <col min="6915" max="6915" width="10.140625" style="511" customWidth="1"/>
    <col min="6916" max="6916" width="45" style="511" customWidth="1"/>
    <col min="6917" max="6917" width="34.5703125" style="511" customWidth="1"/>
    <col min="6918" max="6918" width="20.42578125" style="511" customWidth="1"/>
    <col min="6919" max="6919" width="36" style="511" customWidth="1"/>
    <col min="6920" max="6922" width="9.140625" style="511"/>
    <col min="6923" max="6924" width="9.5703125" style="511" customWidth="1"/>
    <col min="6925" max="6925" width="9.42578125" style="511" customWidth="1"/>
    <col min="6926" max="6926" width="9.140625" style="511"/>
    <col min="6927" max="6928" width="10.5703125" style="511" customWidth="1"/>
    <col min="6929" max="6929" width="9.42578125" style="511" customWidth="1"/>
    <col min="6930" max="7168" width="9.140625" style="511"/>
    <col min="7169" max="7169" width="5" style="511" customWidth="1"/>
    <col min="7170" max="7170" width="43" style="511" customWidth="1"/>
    <col min="7171" max="7171" width="10.140625" style="511" customWidth="1"/>
    <col min="7172" max="7172" width="45" style="511" customWidth="1"/>
    <col min="7173" max="7173" width="34.5703125" style="511" customWidth="1"/>
    <col min="7174" max="7174" width="20.42578125" style="511" customWidth="1"/>
    <col min="7175" max="7175" width="36" style="511" customWidth="1"/>
    <col min="7176" max="7178" width="9.140625" style="511"/>
    <col min="7179" max="7180" width="9.5703125" style="511" customWidth="1"/>
    <col min="7181" max="7181" width="9.42578125" style="511" customWidth="1"/>
    <col min="7182" max="7182" width="9.140625" style="511"/>
    <col min="7183" max="7184" width="10.5703125" style="511" customWidth="1"/>
    <col min="7185" max="7185" width="9.42578125" style="511" customWidth="1"/>
    <col min="7186" max="7424" width="9.140625" style="511"/>
    <col min="7425" max="7425" width="5" style="511" customWidth="1"/>
    <col min="7426" max="7426" width="43" style="511" customWidth="1"/>
    <col min="7427" max="7427" width="10.140625" style="511" customWidth="1"/>
    <col min="7428" max="7428" width="45" style="511" customWidth="1"/>
    <col min="7429" max="7429" width="34.5703125" style="511" customWidth="1"/>
    <col min="7430" max="7430" width="20.42578125" style="511" customWidth="1"/>
    <col min="7431" max="7431" width="36" style="511" customWidth="1"/>
    <col min="7432" max="7434" width="9.140625" style="511"/>
    <col min="7435" max="7436" width="9.5703125" style="511" customWidth="1"/>
    <col min="7437" max="7437" width="9.42578125" style="511" customWidth="1"/>
    <col min="7438" max="7438" width="9.140625" style="511"/>
    <col min="7439" max="7440" width="10.5703125" style="511" customWidth="1"/>
    <col min="7441" max="7441" width="9.42578125" style="511" customWidth="1"/>
    <col min="7442" max="7680" width="9.140625" style="511"/>
    <col min="7681" max="7681" width="5" style="511" customWidth="1"/>
    <col min="7682" max="7682" width="43" style="511" customWidth="1"/>
    <col min="7683" max="7683" width="10.140625" style="511" customWidth="1"/>
    <col min="7684" max="7684" width="45" style="511" customWidth="1"/>
    <col min="7685" max="7685" width="34.5703125" style="511" customWidth="1"/>
    <col min="7686" max="7686" width="20.42578125" style="511" customWidth="1"/>
    <col min="7687" max="7687" width="36" style="511" customWidth="1"/>
    <col min="7688" max="7690" width="9.140625" style="511"/>
    <col min="7691" max="7692" width="9.5703125" style="511" customWidth="1"/>
    <col min="7693" max="7693" width="9.42578125" style="511" customWidth="1"/>
    <col min="7694" max="7694" width="9.140625" style="511"/>
    <col min="7695" max="7696" width="10.5703125" style="511" customWidth="1"/>
    <col min="7697" max="7697" width="9.42578125" style="511" customWidth="1"/>
    <col min="7698" max="7936" width="9.140625" style="511"/>
    <col min="7937" max="7937" width="5" style="511" customWidth="1"/>
    <col min="7938" max="7938" width="43" style="511" customWidth="1"/>
    <col min="7939" max="7939" width="10.140625" style="511" customWidth="1"/>
    <col min="7940" max="7940" width="45" style="511" customWidth="1"/>
    <col min="7941" max="7941" width="34.5703125" style="511" customWidth="1"/>
    <col min="7942" max="7942" width="20.42578125" style="511" customWidth="1"/>
    <col min="7943" max="7943" width="36" style="511" customWidth="1"/>
    <col min="7944" max="7946" width="9.140625" style="511"/>
    <col min="7947" max="7948" width="9.5703125" style="511" customWidth="1"/>
    <col min="7949" max="7949" width="9.42578125" style="511" customWidth="1"/>
    <col min="7950" max="7950" width="9.140625" style="511"/>
    <col min="7951" max="7952" width="10.5703125" style="511" customWidth="1"/>
    <col min="7953" max="7953" width="9.42578125" style="511" customWidth="1"/>
    <col min="7954" max="8192" width="9.140625" style="511"/>
    <col min="8193" max="8193" width="5" style="511" customWidth="1"/>
    <col min="8194" max="8194" width="43" style="511" customWidth="1"/>
    <col min="8195" max="8195" width="10.140625" style="511" customWidth="1"/>
    <col min="8196" max="8196" width="45" style="511" customWidth="1"/>
    <col min="8197" max="8197" width="34.5703125" style="511" customWidth="1"/>
    <col min="8198" max="8198" width="20.42578125" style="511" customWidth="1"/>
    <col min="8199" max="8199" width="36" style="511" customWidth="1"/>
    <col min="8200" max="8202" width="9.140625" style="511"/>
    <col min="8203" max="8204" width="9.5703125" style="511" customWidth="1"/>
    <col min="8205" max="8205" width="9.42578125" style="511" customWidth="1"/>
    <col min="8206" max="8206" width="9.140625" style="511"/>
    <col min="8207" max="8208" width="10.5703125" style="511" customWidth="1"/>
    <col min="8209" max="8209" width="9.42578125" style="511" customWidth="1"/>
    <col min="8210" max="8448" width="9.140625" style="511"/>
    <col min="8449" max="8449" width="5" style="511" customWidth="1"/>
    <col min="8450" max="8450" width="43" style="511" customWidth="1"/>
    <col min="8451" max="8451" width="10.140625" style="511" customWidth="1"/>
    <col min="8452" max="8452" width="45" style="511" customWidth="1"/>
    <col min="8453" max="8453" width="34.5703125" style="511" customWidth="1"/>
    <col min="8454" max="8454" width="20.42578125" style="511" customWidth="1"/>
    <col min="8455" max="8455" width="36" style="511" customWidth="1"/>
    <col min="8456" max="8458" width="9.140625" style="511"/>
    <col min="8459" max="8460" width="9.5703125" style="511" customWidth="1"/>
    <col min="8461" max="8461" width="9.42578125" style="511" customWidth="1"/>
    <col min="8462" max="8462" width="9.140625" style="511"/>
    <col min="8463" max="8464" width="10.5703125" style="511" customWidth="1"/>
    <col min="8465" max="8465" width="9.42578125" style="511" customWidth="1"/>
    <col min="8466" max="8704" width="9.140625" style="511"/>
    <col min="8705" max="8705" width="5" style="511" customWidth="1"/>
    <col min="8706" max="8706" width="43" style="511" customWidth="1"/>
    <col min="8707" max="8707" width="10.140625" style="511" customWidth="1"/>
    <col min="8708" max="8708" width="45" style="511" customWidth="1"/>
    <col min="8709" max="8709" width="34.5703125" style="511" customWidth="1"/>
    <col min="8710" max="8710" width="20.42578125" style="511" customWidth="1"/>
    <col min="8711" max="8711" width="36" style="511" customWidth="1"/>
    <col min="8712" max="8714" width="9.140625" style="511"/>
    <col min="8715" max="8716" width="9.5703125" style="511" customWidth="1"/>
    <col min="8717" max="8717" width="9.42578125" style="511" customWidth="1"/>
    <col min="8718" max="8718" width="9.140625" style="511"/>
    <col min="8719" max="8720" width="10.5703125" style="511" customWidth="1"/>
    <col min="8721" max="8721" width="9.42578125" style="511" customWidth="1"/>
    <col min="8722" max="8960" width="9.140625" style="511"/>
    <col min="8961" max="8961" width="5" style="511" customWidth="1"/>
    <col min="8962" max="8962" width="43" style="511" customWidth="1"/>
    <col min="8963" max="8963" width="10.140625" style="511" customWidth="1"/>
    <col min="8964" max="8964" width="45" style="511" customWidth="1"/>
    <col min="8965" max="8965" width="34.5703125" style="511" customWidth="1"/>
    <col min="8966" max="8966" width="20.42578125" style="511" customWidth="1"/>
    <col min="8967" max="8967" width="36" style="511" customWidth="1"/>
    <col min="8968" max="8970" width="9.140625" style="511"/>
    <col min="8971" max="8972" width="9.5703125" style="511" customWidth="1"/>
    <col min="8973" max="8973" width="9.42578125" style="511" customWidth="1"/>
    <col min="8974" max="8974" width="9.140625" style="511"/>
    <col min="8975" max="8976" width="10.5703125" style="511" customWidth="1"/>
    <col min="8977" max="8977" width="9.42578125" style="511" customWidth="1"/>
    <col min="8978" max="9216" width="9.140625" style="511"/>
    <col min="9217" max="9217" width="5" style="511" customWidth="1"/>
    <col min="9218" max="9218" width="43" style="511" customWidth="1"/>
    <col min="9219" max="9219" width="10.140625" style="511" customWidth="1"/>
    <col min="9220" max="9220" width="45" style="511" customWidth="1"/>
    <col min="9221" max="9221" width="34.5703125" style="511" customWidth="1"/>
    <col min="9222" max="9222" width="20.42578125" style="511" customWidth="1"/>
    <col min="9223" max="9223" width="36" style="511" customWidth="1"/>
    <col min="9224" max="9226" width="9.140625" style="511"/>
    <col min="9227" max="9228" width="9.5703125" style="511" customWidth="1"/>
    <col min="9229" max="9229" width="9.42578125" style="511" customWidth="1"/>
    <col min="9230" max="9230" width="9.140625" style="511"/>
    <col min="9231" max="9232" width="10.5703125" style="511" customWidth="1"/>
    <col min="9233" max="9233" width="9.42578125" style="511" customWidth="1"/>
    <col min="9234" max="9472" width="9.140625" style="511"/>
    <col min="9473" max="9473" width="5" style="511" customWidth="1"/>
    <col min="9474" max="9474" width="43" style="511" customWidth="1"/>
    <col min="9475" max="9475" width="10.140625" style="511" customWidth="1"/>
    <col min="9476" max="9476" width="45" style="511" customWidth="1"/>
    <col min="9477" max="9477" width="34.5703125" style="511" customWidth="1"/>
    <col min="9478" max="9478" width="20.42578125" style="511" customWidth="1"/>
    <col min="9479" max="9479" width="36" style="511" customWidth="1"/>
    <col min="9480" max="9482" width="9.140625" style="511"/>
    <col min="9483" max="9484" width="9.5703125" style="511" customWidth="1"/>
    <col min="9485" max="9485" width="9.42578125" style="511" customWidth="1"/>
    <col min="9486" max="9486" width="9.140625" style="511"/>
    <col min="9487" max="9488" width="10.5703125" style="511" customWidth="1"/>
    <col min="9489" max="9489" width="9.42578125" style="511" customWidth="1"/>
    <col min="9490" max="9728" width="9.140625" style="511"/>
    <col min="9729" max="9729" width="5" style="511" customWidth="1"/>
    <col min="9730" max="9730" width="43" style="511" customWidth="1"/>
    <col min="9731" max="9731" width="10.140625" style="511" customWidth="1"/>
    <col min="9732" max="9732" width="45" style="511" customWidth="1"/>
    <col min="9733" max="9733" width="34.5703125" style="511" customWidth="1"/>
    <col min="9734" max="9734" width="20.42578125" style="511" customWidth="1"/>
    <col min="9735" max="9735" width="36" style="511" customWidth="1"/>
    <col min="9736" max="9738" width="9.140625" style="511"/>
    <col min="9739" max="9740" width="9.5703125" style="511" customWidth="1"/>
    <col min="9741" max="9741" width="9.42578125" style="511" customWidth="1"/>
    <col min="9742" max="9742" width="9.140625" style="511"/>
    <col min="9743" max="9744" width="10.5703125" style="511" customWidth="1"/>
    <col min="9745" max="9745" width="9.42578125" style="511" customWidth="1"/>
    <col min="9746" max="9984" width="9.140625" style="511"/>
    <col min="9985" max="9985" width="5" style="511" customWidth="1"/>
    <col min="9986" max="9986" width="43" style="511" customWidth="1"/>
    <col min="9987" max="9987" width="10.140625" style="511" customWidth="1"/>
    <col min="9988" max="9988" width="45" style="511" customWidth="1"/>
    <col min="9989" max="9989" width="34.5703125" style="511" customWidth="1"/>
    <col min="9990" max="9990" width="20.42578125" style="511" customWidth="1"/>
    <col min="9991" max="9991" width="36" style="511" customWidth="1"/>
    <col min="9992" max="9994" width="9.140625" style="511"/>
    <col min="9995" max="9996" width="9.5703125" style="511" customWidth="1"/>
    <col min="9997" max="9997" width="9.42578125" style="511" customWidth="1"/>
    <col min="9998" max="9998" width="9.140625" style="511"/>
    <col min="9999" max="10000" width="10.5703125" style="511" customWidth="1"/>
    <col min="10001" max="10001" width="9.42578125" style="511" customWidth="1"/>
    <col min="10002" max="10240" width="9.140625" style="511"/>
    <col min="10241" max="10241" width="5" style="511" customWidth="1"/>
    <col min="10242" max="10242" width="43" style="511" customWidth="1"/>
    <col min="10243" max="10243" width="10.140625" style="511" customWidth="1"/>
    <col min="10244" max="10244" width="45" style="511" customWidth="1"/>
    <col min="10245" max="10245" width="34.5703125" style="511" customWidth="1"/>
    <col min="10246" max="10246" width="20.42578125" style="511" customWidth="1"/>
    <col min="10247" max="10247" width="36" style="511" customWidth="1"/>
    <col min="10248" max="10250" width="9.140625" style="511"/>
    <col min="10251" max="10252" width="9.5703125" style="511" customWidth="1"/>
    <col min="10253" max="10253" width="9.42578125" style="511" customWidth="1"/>
    <col min="10254" max="10254" width="9.140625" style="511"/>
    <col min="10255" max="10256" width="10.5703125" style="511" customWidth="1"/>
    <col min="10257" max="10257" width="9.42578125" style="511" customWidth="1"/>
    <col min="10258" max="10496" width="9.140625" style="511"/>
    <col min="10497" max="10497" width="5" style="511" customWidth="1"/>
    <col min="10498" max="10498" width="43" style="511" customWidth="1"/>
    <col min="10499" max="10499" width="10.140625" style="511" customWidth="1"/>
    <col min="10500" max="10500" width="45" style="511" customWidth="1"/>
    <col min="10501" max="10501" width="34.5703125" style="511" customWidth="1"/>
    <col min="10502" max="10502" width="20.42578125" style="511" customWidth="1"/>
    <col min="10503" max="10503" width="36" style="511" customWidth="1"/>
    <col min="10504" max="10506" width="9.140625" style="511"/>
    <col min="10507" max="10508" width="9.5703125" style="511" customWidth="1"/>
    <col min="10509" max="10509" width="9.42578125" style="511" customWidth="1"/>
    <col min="10510" max="10510" width="9.140625" style="511"/>
    <col min="10511" max="10512" width="10.5703125" style="511" customWidth="1"/>
    <col min="10513" max="10513" width="9.42578125" style="511" customWidth="1"/>
    <col min="10514" max="10752" width="9.140625" style="511"/>
    <col min="10753" max="10753" width="5" style="511" customWidth="1"/>
    <col min="10754" max="10754" width="43" style="511" customWidth="1"/>
    <col min="10755" max="10755" width="10.140625" style="511" customWidth="1"/>
    <col min="10756" max="10756" width="45" style="511" customWidth="1"/>
    <col min="10757" max="10757" width="34.5703125" style="511" customWidth="1"/>
    <col min="10758" max="10758" width="20.42578125" style="511" customWidth="1"/>
    <col min="10759" max="10759" width="36" style="511" customWidth="1"/>
    <col min="10760" max="10762" width="9.140625" style="511"/>
    <col min="10763" max="10764" width="9.5703125" style="511" customWidth="1"/>
    <col min="10765" max="10765" width="9.42578125" style="511" customWidth="1"/>
    <col min="10766" max="10766" width="9.140625" style="511"/>
    <col min="10767" max="10768" width="10.5703125" style="511" customWidth="1"/>
    <col min="10769" max="10769" width="9.42578125" style="511" customWidth="1"/>
    <col min="10770" max="11008" width="9.140625" style="511"/>
    <col min="11009" max="11009" width="5" style="511" customWidth="1"/>
    <col min="11010" max="11010" width="43" style="511" customWidth="1"/>
    <col min="11011" max="11011" width="10.140625" style="511" customWidth="1"/>
    <col min="11012" max="11012" width="45" style="511" customWidth="1"/>
    <col min="11013" max="11013" width="34.5703125" style="511" customWidth="1"/>
    <col min="11014" max="11014" width="20.42578125" style="511" customWidth="1"/>
    <col min="11015" max="11015" width="36" style="511" customWidth="1"/>
    <col min="11016" max="11018" width="9.140625" style="511"/>
    <col min="11019" max="11020" width="9.5703125" style="511" customWidth="1"/>
    <col min="11021" max="11021" width="9.42578125" style="511" customWidth="1"/>
    <col min="11022" max="11022" width="9.140625" style="511"/>
    <col min="11023" max="11024" width="10.5703125" style="511" customWidth="1"/>
    <col min="11025" max="11025" width="9.42578125" style="511" customWidth="1"/>
    <col min="11026" max="11264" width="9.140625" style="511"/>
    <col min="11265" max="11265" width="5" style="511" customWidth="1"/>
    <col min="11266" max="11266" width="43" style="511" customWidth="1"/>
    <col min="11267" max="11267" width="10.140625" style="511" customWidth="1"/>
    <col min="11268" max="11268" width="45" style="511" customWidth="1"/>
    <col min="11269" max="11269" width="34.5703125" style="511" customWidth="1"/>
    <col min="11270" max="11270" width="20.42578125" style="511" customWidth="1"/>
    <col min="11271" max="11271" width="36" style="511" customWidth="1"/>
    <col min="11272" max="11274" width="9.140625" style="511"/>
    <col min="11275" max="11276" width="9.5703125" style="511" customWidth="1"/>
    <col min="11277" max="11277" width="9.42578125" style="511" customWidth="1"/>
    <col min="11278" max="11278" width="9.140625" style="511"/>
    <col min="11279" max="11280" width="10.5703125" style="511" customWidth="1"/>
    <col min="11281" max="11281" width="9.42578125" style="511" customWidth="1"/>
    <col min="11282" max="11520" width="9.140625" style="511"/>
    <col min="11521" max="11521" width="5" style="511" customWidth="1"/>
    <col min="11522" max="11522" width="43" style="511" customWidth="1"/>
    <col min="11523" max="11523" width="10.140625" style="511" customWidth="1"/>
    <col min="11524" max="11524" width="45" style="511" customWidth="1"/>
    <col min="11525" max="11525" width="34.5703125" style="511" customWidth="1"/>
    <col min="11526" max="11526" width="20.42578125" style="511" customWidth="1"/>
    <col min="11527" max="11527" width="36" style="511" customWidth="1"/>
    <col min="11528" max="11530" width="9.140625" style="511"/>
    <col min="11531" max="11532" width="9.5703125" style="511" customWidth="1"/>
    <col min="11533" max="11533" width="9.42578125" style="511" customWidth="1"/>
    <col min="11534" max="11534" width="9.140625" style="511"/>
    <col min="11535" max="11536" width="10.5703125" style="511" customWidth="1"/>
    <col min="11537" max="11537" width="9.42578125" style="511" customWidth="1"/>
    <col min="11538" max="11776" width="9.140625" style="511"/>
    <col min="11777" max="11777" width="5" style="511" customWidth="1"/>
    <col min="11778" max="11778" width="43" style="511" customWidth="1"/>
    <col min="11779" max="11779" width="10.140625" style="511" customWidth="1"/>
    <col min="11780" max="11780" width="45" style="511" customWidth="1"/>
    <col min="11781" max="11781" width="34.5703125" style="511" customWidth="1"/>
    <col min="11782" max="11782" width="20.42578125" style="511" customWidth="1"/>
    <col min="11783" max="11783" width="36" style="511" customWidth="1"/>
    <col min="11784" max="11786" width="9.140625" style="511"/>
    <col min="11787" max="11788" width="9.5703125" style="511" customWidth="1"/>
    <col min="11789" max="11789" width="9.42578125" style="511" customWidth="1"/>
    <col min="11790" max="11790" width="9.140625" style="511"/>
    <col min="11791" max="11792" width="10.5703125" style="511" customWidth="1"/>
    <col min="11793" max="11793" width="9.42578125" style="511" customWidth="1"/>
    <col min="11794" max="12032" width="9.140625" style="511"/>
    <col min="12033" max="12033" width="5" style="511" customWidth="1"/>
    <col min="12034" max="12034" width="43" style="511" customWidth="1"/>
    <col min="12035" max="12035" width="10.140625" style="511" customWidth="1"/>
    <col min="12036" max="12036" width="45" style="511" customWidth="1"/>
    <col min="12037" max="12037" width="34.5703125" style="511" customWidth="1"/>
    <col min="12038" max="12038" width="20.42578125" style="511" customWidth="1"/>
    <col min="12039" max="12039" width="36" style="511" customWidth="1"/>
    <col min="12040" max="12042" width="9.140625" style="511"/>
    <col min="12043" max="12044" width="9.5703125" style="511" customWidth="1"/>
    <col min="12045" max="12045" width="9.42578125" style="511" customWidth="1"/>
    <col min="12046" max="12046" width="9.140625" style="511"/>
    <col min="12047" max="12048" width="10.5703125" style="511" customWidth="1"/>
    <col min="12049" max="12049" width="9.42578125" style="511" customWidth="1"/>
    <col min="12050" max="12288" width="9.140625" style="511"/>
    <col min="12289" max="12289" width="5" style="511" customWidth="1"/>
    <col min="12290" max="12290" width="43" style="511" customWidth="1"/>
    <col min="12291" max="12291" width="10.140625" style="511" customWidth="1"/>
    <col min="12292" max="12292" width="45" style="511" customWidth="1"/>
    <col min="12293" max="12293" width="34.5703125" style="511" customWidth="1"/>
    <col min="12294" max="12294" width="20.42578125" style="511" customWidth="1"/>
    <col min="12295" max="12295" width="36" style="511" customWidth="1"/>
    <col min="12296" max="12298" width="9.140625" style="511"/>
    <col min="12299" max="12300" width="9.5703125" style="511" customWidth="1"/>
    <col min="12301" max="12301" width="9.42578125" style="511" customWidth="1"/>
    <col min="12302" max="12302" width="9.140625" style="511"/>
    <col min="12303" max="12304" width="10.5703125" style="511" customWidth="1"/>
    <col min="12305" max="12305" width="9.42578125" style="511" customWidth="1"/>
    <col min="12306" max="12544" width="9.140625" style="511"/>
    <col min="12545" max="12545" width="5" style="511" customWidth="1"/>
    <col min="12546" max="12546" width="43" style="511" customWidth="1"/>
    <col min="12547" max="12547" width="10.140625" style="511" customWidth="1"/>
    <col min="12548" max="12548" width="45" style="511" customWidth="1"/>
    <col min="12549" max="12549" width="34.5703125" style="511" customWidth="1"/>
    <col min="12550" max="12550" width="20.42578125" style="511" customWidth="1"/>
    <col min="12551" max="12551" width="36" style="511" customWidth="1"/>
    <col min="12552" max="12554" width="9.140625" style="511"/>
    <col min="12555" max="12556" width="9.5703125" style="511" customWidth="1"/>
    <col min="12557" max="12557" width="9.42578125" style="511" customWidth="1"/>
    <col min="12558" max="12558" width="9.140625" style="511"/>
    <col min="12559" max="12560" width="10.5703125" style="511" customWidth="1"/>
    <col min="12561" max="12561" width="9.42578125" style="511" customWidth="1"/>
    <col min="12562" max="12800" width="9.140625" style="511"/>
    <col min="12801" max="12801" width="5" style="511" customWidth="1"/>
    <col min="12802" max="12802" width="43" style="511" customWidth="1"/>
    <col min="12803" max="12803" width="10.140625" style="511" customWidth="1"/>
    <col min="12804" max="12804" width="45" style="511" customWidth="1"/>
    <col min="12805" max="12805" width="34.5703125" style="511" customWidth="1"/>
    <col min="12806" max="12806" width="20.42578125" style="511" customWidth="1"/>
    <col min="12807" max="12807" width="36" style="511" customWidth="1"/>
    <col min="12808" max="12810" width="9.140625" style="511"/>
    <col min="12811" max="12812" width="9.5703125" style="511" customWidth="1"/>
    <col min="12813" max="12813" width="9.42578125" style="511" customWidth="1"/>
    <col min="12814" max="12814" width="9.140625" style="511"/>
    <col min="12815" max="12816" width="10.5703125" style="511" customWidth="1"/>
    <col min="12817" max="12817" width="9.42578125" style="511" customWidth="1"/>
    <col min="12818" max="13056" width="9.140625" style="511"/>
    <col min="13057" max="13057" width="5" style="511" customWidth="1"/>
    <col min="13058" max="13058" width="43" style="511" customWidth="1"/>
    <col min="13059" max="13059" width="10.140625" style="511" customWidth="1"/>
    <col min="13060" max="13060" width="45" style="511" customWidth="1"/>
    <col min="13061" max="13061" width="34.5703125" style="511" customWidth="1"/>
    <col min="13062" max="13062" width="20.42578125" style="511" customWidth="1"/>
    <col min="13063" max="13063" width="36" style="511" customWidth="1"/>
    <col min="13064" max="13066" width="9.140625" style="511"/>
    <col min="13067" max="13068" width="9.5703125" style="511" customWidth="1"/>
    <col min="13069" max="13069" width="9.42578125" style="511" customWidth="1"/>
    <col min="13070" max="13070" width="9.140625" style="511"/>
    <col min="13071" max="13072" width="10.5703125" style="511" customWidth="1"/>
    <col min="13073" max="13073" width="9.42578125" style="511" customWidth="1"/>
    <col min="13074" max="13312" width="9.140625" style="511"/>
    <col min="13313" max="13313" width="5" style="511" customWidth="1"/>
    <col min="13314" max="13314" width="43" style="511" customWidth="1"/>
    <col min="13315" max="13315" width="10.140625" style="511" customWidth="1"/>
    <col min="13316" max="13316" width="45" style="511" customWidth="1"/>
    <col min="13317" max="13317" width="34.5703125" style="511" customWidth="1"/>
    <col min="13318" max="13318" width="20.42578125" style="511" customWidth="1"/>
    <col min="13319" max="13319" width="36" style="511" customWidth="1"/>
    <col min="13320" max="13322" width="9.140625" style="511"/>
    <col min="13323" max="13324" width="9.5703125" style="511" customWidth="1"/>
    <col min="13325" max="13325" width="9.42578125" style="511" customWidth="1"/>
    <col min="13326" max="13326" width="9.140625" style="511"/>
    <col min="13327" max="13328" width="10.5703125" style="511" customWidth="1"/>
    <col min="13329" max="13329" width="9.42578125" style="511" customWidth="1"/>
    <col min="13330" max="13568" width="9.140625" style="511"/>
    <col min="13569" max="13569" width="5" style="511" customWidth="1"/>
    <col min="13570" max="13570" width="43" style="511" customWidth="1"/>
    <col min="13571" max="13571" width="10.140625" style="511" customWidth="1"/>
    <col min="13572" max="13572" width="45" style="511" customWidth="1"/>
    <col min="13573" max="13573" width="34.5703125" style="511" customWidth="1"/>
    <col min="13574" max="13574" width="20.42578125" style="511" customWidth="1"/>
    <col min="13575" max="13575" width="36" style="511" customWidth="1"/>
    <col min="13576" max="13578" width="9.140625" style="511"/>
    <col min="13579" max="13580" width="9.5703125" style="511" customWidth="1"/>
    <col min="13581" max="13581" width="9.42578125" style="511" customWidth="1"/>
    <col min="13582" max="13582" width="9.140625" style="511"/>
    <col min="13583" max="13584" width="10.5703125" style="511" customWidth="1"/>
    <col min="13585" max="13585" width="9.42578125" style="511" customWidth="1"/>
    <col min="13586" max="13824" width="9.140625" style="511"/>
    <col min="13825" max="13825" width="5" style="511" customWidth="1"/>
    <col min="13826" max="13826" width="43" style="511" customWidth="1"/>
    <col min="13827" max="13827" width="10.140625" style="511" customWidth="1"/>
    <col min="13828" max="13828" width="45" style="511" customWidth="1"/>
    <col min="13829" max="13829" width="34.5703125" style="511" customWidth="1"/>
    <col min="13830" max="13830" width="20.42578125" style="511" customWidth="1"/>
    <col min="13831" max="13831" width="36" style="511" customWidth="1"/>
    <col min="13832" max="13834" width="9.140625" style="511"/>
    <col min="13835" max="13836" width="9.5703125" style="511" customWidth="1"/>
    <col min="13837" max="13837" width="9.42578125" style="511" customWidth="1"/>
    <col min="13838" max="13838" width="9.140625" style="511"/>
    <col min="13839" max="13840" width="10.5703125" style="511" customWidth="1"/>
    <col min="13841" max="13841" width="9.42578125" style="511" customWidth="1"/>
    <col min="13842" max="14080" width="9.140625" style="511"/>
    <col min="14081" max="14081" width="5" style="511" customWidth="1"/>
    <col min="14082" max="14082" width="43" style="511" customWidth="1"/>
    <col min="14083" max="14083" width="10.140625" style="511" customWidth="1"/>
    <col min="14084" max="14084" width="45" style="511" customWidth="1"/>
    <col min="14085" max="14085" width="34.5703125" style="511" customWidth="1"/>
    <col min="14086" max="14086" width="20.42578125" style="511" customWidth="1"/>
    <col min="14087" max="14087" width="36" style="511" customWidth="1"/>
    <col min="14088" max="14090" width="9.140625" style="511"/>
    <col min="14091" max="14092" width="9.5703125" style="511" customWidth="1"/>
    <col min="14093" max="14093" width="9.42578125" style="511" customWidth="1"/>
    <col min="14094" max="14094" width="9.140625" style="511"/>
    <col min="14095" max="14096" width="10.5703125" style="511" customWidth="1"/>
    <col min="14097" max="14097" width="9.42578125" style="511" customWidth="1"/>
    <col min="14098" max="14336" width="9.140625" style="511"/>
    <col min="14337" max="14337" width="5" style="511" customWidth="1"/>
    <col min="14338" max="14338" width="43" style="511" customWidth="1"/>
    <col min="14339" max="14339" width="10.140625" style="511" customWidth="1"/>
    <col min="14340" max="14340" width="45" style="511" customWidth="1"/>
    <col min="14341" max="14341" width="34.5703125" style="511" customWidth="1"/>
    <col min="14342" max="14342" width="20.42578125" style="511" customWidth="1"/>
    <col min="14343" max="14343" width="36" style="511" customWidth="1"/>
    <col min="14344" max="14346" width="9.140625" style="511"/>
    <col min="14347" max="14348" width="9.5703125" style="511" customWidth="1"/>
    <col min="14349" max="14349" width="9.42578125" style="511" customWidth="1"/>
    <col min="14350" max="14350" width="9.140625" style="511"/>
    <col min="14351" max="14352" width="10.5703125" style="511" customWidth="1"/>
    <col min="14353" max="14353" width="9.42578125" style="511" customWidth="1"/>
    <col min="14354" max="14592" width="9.140625" style="511"/>
    <col min="14593" max="14593" width="5" style="511" customWidth="1"/>
    <col min="14594" max="14594" width="43" style="511" customWidth="1"/>
    <col min="14595" max="14595" width="10.140625" style="511" customWidth="1"/>
    <col min="14596" max="14596" width="45" style="511" customWidth="1"/>
    <col min="14597" max="14597" width="34.5703125" style="511" customWidth="1"/>
    <col min="14598" max="14598" width="20.42578125" style="511" customWidth="1"/>
    <col min="14599" max="14599" width="36" style="511" customWidth="1"/>
    <col min="14600" max="14602" width="9.140625" style="511"/>
    <col min="14603" max="14604" width="9.5703125" style="511" customWidth="1"/>
    <col min="14605" max="14605" width="9.42578125" style="511" customWidth="1"/>
    <col min="14606" max="14606" width="9.140625" style="511"/>
    <col min="14607" max="14608" width="10.5703125" style="511" customWidth="1"/>
    <col min="14609" max="14609" width="9.42578125" style="511" customWidth="1"/>
    <col min="14610" max="14848" width="9.140625" style="511"/>
    <col min="14849" max="14849" width="5" style="511" customWidth="1"/>
    <col min="14850" max="14850" width="43" style="511" customWidth="1"/>
    <col min="14851" max="14851" width="10.140625" style="511" customWidth="1"/>
    <col min="14852" max="14852" width="45" style="511" customWidth="1"/>
    <col min="14853" max="14853" width="34.5703125" style="511" customWidth="1"/>
    <col min="14854" max="14854" width="20.42578125" style="511" customWidth="1"/>
    <col min="14855" max="14855" width="36" style="511" customWidth="1"/>
    <col min="14856" max="14858" width="9.140625" style="511"/>
    <col min="14859" max="14860" width="9.5703125" style="511" customWidth="1"/>
    <col min="14861" max="14861" width="9.42578125" style="511" customWidth="1"/>
    <col min="14862" max="14862" width="9.140625" style="511"/>
    <col min="14863" max="14864" width="10.5703125" style="511" customWidth="1"/>
    <col min="14865" max="14865" width="9.42578125" style="511" customWidth="1"/>
    <col min="14866" max="15104" width="9.140625" style="511"/>
    <col min="15105" max="15105" width="5" style="511" customWidth="1"/>
    <col min="15106" max="15106" width="43" style="511" customWidth="1"/>
    <col min="15107" max="15107" width="10.140625" style="511" customWidth="1"/>
    <col min="15108" max="15108" width="45" style="511" customWidth="1"/>
    <col min="15109" max="15109" width="34.5703125" style="511" customWidth="1"/>
    <col min="15110" max="15110" width="20.42578125" style="511" customWidth="1"/>
    <col min="15111" max="15111" width="36" style="511" customWidth="1"/>
    <col min="15112" max="15114" width="9.140625" style="511"/>
    <col min="15115" max="15116" width="9.5703125" style="511" customWidth="1"/>
    <col min="15117" max="15117" width="9.42578125" style="511" customWidth="1"/>
    <col min="15118" max="15118" width="9.140625" style="511"/>
    <col min="15119" max="15120" width="10.5703125" style="511" customWidth="1"/>
    <col min="15121" max="15121" width="9.42578125" style="511" customWidth="1"/>
    <col min="15122" max="15360" width="9.140625" style="511"/>
    <col min="15361" max="15361" width="5" style="511" customWidth="1"/>
    <col min="15362" max="15362" width="43" style="511" customWidth="1"/>
    <col min="15363" max="15363" width="10.140625" style="511" customWidth="1"/>
    <col min="15364" max="15364" width="45" style="511" customWidth="1"/>
    <col min="15365" max="15365" width="34.5703125" style="511" customWidth="1"/>
    <col min="15366" max="15366" width="20.42578125" style="511" customWidth="1"/>
    <col min="15367" max="15367" width="36" style="511" customWidth="1"/>
    <col min="15368" max="15370" width="9.140625" style="511"/>
    <col min="15371" max="15372" width="9.5703125" style="511" customWidth="1"/>
    <col min="15373" max="15373" width="9.42578125" style="511" customWidth="1"/>
    <col min="15374" max="15374" width="9.140625" style="511"/>
    <col min="15375" max="15376" width="10.5703125" style="511" customWidth="1"/>
    <col min="15377" max="15377" width="9.42578125" style="511" customWidth="1"/>
    <col min="15378" max="15616" width="9.140625" style="511"/>
    <col min="15617" max="15617" width="5" style="511" customWidth="1"/>
    <col min="15618" max="15618" width="43" style="511" customWidth="1"/>
    <col min="15619" max="15619" width="10.140625" style="511" customWidth="1"/>
    <col min="15620" max="15620" width="45" style="511" customWidth="1"/>
    <col min="15621" max="15621" width="34.5703125" style="511" customWidth="1"/>
    <col min="15622" max="15622" width="20.42578125" style="511" customWidth="1"/>
    <col min="15623" max="15623" width="36" style="511" customWidth="1"/>
    <col min="15624" max="15626" width="9.140625" style="511"/>
    <col min="15627" max="15628" width="9.5703125" style="511" customWidth="1"/>
    <col min="15629" max="15629" width="9.42578125" style="511" customWidth="1"/>
    <col min="15630" max="15630" width="9.140625" style="511"/>
    <col min="15631" max="15632" width="10.5703125" style="511" customWidth="1"/>
    <col min="15633" max="15633" width="9.42578125" style="511" customWidth="1"/>
    <col min="15634" max="15872" width="9.140625" style="511"/>
    <col min="15873" max="15873" width="5" style="511" customWidth="1"/>
    <col min="15874" max="15874" width="43" style="511" customWidth="1"/>
    <col min="15875" max="15875" width="10.140625" style="511" customWidth="1"/>
    <col min="15876" max="15876" width="45" style="511" customWidth="1"/>
    <col min="15877" max="15877" width="34.5703125" style="511" customWidth="1"/>
    <col min="15878" max="15878" width="20.42578125" style="511" customWidth="1"/>
    <col min="15879" max="15879" width="36" style="511" customWidth="1"/>
    <col min="15880" max="15882" width="9.140625" style="511"/>
    <col min="15883" max="15884" width="9.5703125" style="511" customWidth="1"/>
    <col min="15885" max="15885" width="9.42578125" style="511" customWidth="1"/>
    <col min="15886" max="15886" width="9.140625" style="511"/>
    <col min="15887" max="15888" width="10.5703125" style="511" customWidth="1"/>
    <col min="15889" max="15889" width="9.42578125" style="511" customWidth="1"/>
    <col min="15890" max="16128" width="9.140625" style="511"/>
    <col min="16129" max="16129" width="5" style="511" customWidth="1"/>
    <col min="16130" max="16130" width="43" style="511" customWidth="1"/>
    <col min="16131" max="16131" width="10.140625" style="511" customWidth="1"/>
    <col min="16132" max="16132" width="45" style="511" customWidth="1"/>
    <col min="16133" max="16133" width="34.5703125" style="511" customWidth="1"/>
    <col min="16134" max="16134" width="20.42578125" style="511" customWidth="1"/>
    <col min="16135" max="16135" width="36" style="511" customWidth="1"/>
    <col min="16136" max="16138" width="9.140625" style="511"/>
    <col min="16139" max="16140" width="9.5703125" style="511" customWidth="1"/>
    <col min="16141" max="16141" width="9.42578125" style="511" customWidth="1"/>
    <col min="16142" max="16142" width="9.140625" style="511"/>
    <col min="16143" max="16144" width="10.5703125" style="511" customWidth="1"/>
    <col min="16145" max="16145" width="9.42578125" style="511" customWidth="1"/>
    <col min="16146" max="16384" width="9.140625" style="511"/>
  </cols>
  <sheetData>
    <row r="1" spans="1:252" ht="127.5" x14ac:dyDescent="0.2">
      <c r="A1" s="494"/>
      <c r="B1" s="495"/>
      <c r="C1" s="495"/>
      <c r="D1" s="495"/>
      <c r="E1" s="495"/>
      <c r="F1" s="495"/>
      <c r="G1" s="495"/>
      <c r="H1" s="495"/>
      <c r="I1" s="495"/>
      <c r="J1" s="495"/>
      <c r="K1" s="496"/>
      <c r="L1" s="496"/>
      <c r="M1" s="496"/>
      <c r="N1" s="495"/>
      <c r="O1" s="523" t="s">
        <v>15</v>
      </c>
      <c r="P1" s="523"/>
      <c r="Q1" s="523"/>
      <c r="R1" s="522"/>
      <c r="S1" s="522"/>
      <c r="T1" s="522"/>
      <c r="U1" s="522"/>
      <c r="V1" s="522"/>
      <c r="W1" s="522"/>
      <c r="X1" s="522"/>
      <c r="Y1" s="522"/>
      <c r="Z1" s="522"/>
      <c r="AA1" s="522"/>
      <c r="AB1" s="522"/>
      <c r="AC1" s="522"/>
      <c r="AD1" s="522"/>
      <c r="AE1" s="522"/>
      <c r="AF1" s="522"/>
      <c r="AG1" s="522"/>
      <c r="AH1" s="522"/>
      <c r="AI1" s="522"/>
      <c r="AJ1" s="522"/>
      <c r="AK1" s="522"/>
      <c r="AL1" s="522"/>
      <c r="AM1" s="522"/>
      <c r="AN1" s="522"/>
      <c r="AO1" s="522"/>
      <c r="AP1" s="522"/>
      <c r="AQ1" s="522"/>
      <c r="AR1" s="522"/>
      <c r="AS1" s="522"/>
      <c r="AT1" s="522"/>
      <c r="AU1" s="522"/>
      <c r="AV1" s="522"/>
      <c r="AW1" s="522"/>
      <c r="AX1" s="522"/>
      <c r="AY1" s="522"/>
      <c r="AZ1" s="522"/>
      <c r="BA1" s="522"/>
      <c r="BB1" s="522"/>
      <c r="BC1" s="522"/>
      <c r="BD1" s="522"/>
      <c r="BE1" s="522"/>
      <c r="BF1" s="522"/>
      <c r="BG1" s="522"/>
      <c r="BH1" s="522"/>
      <c r="BI1" s="522"/>
      <c r="BJ1" s="522"/>
      <c r="BK1" s="522"/>
      <c r="BL1" s="522"/>
      <c r="BM1" s="522"/>
      <c r="BN1" s="522"/>
      <c r="BO1" s="522"/>
      <c r="BP1" s="522"/>
      <c r="BQ1" s="522"/>
      <c r="BR1" s="522"/>
      <c r="BS1" s="522"/>
      <c r="BT1" s="522"/>
      <c r="BU1" s="522"/>
      <c r="BV1" s="522"/>
      <c r="BW1" s="522"/>
      <c r="BX1" s="522"/>
      <c r="BY1" s="522"/>
      <c r="BZ1" s="522"/>
      <c r="CA1" s="522"/>
      <c r="CB1" s="522"/>
      <c r="CC1" s="522"/>
      <c r="CD1" s="522"/>
      <c r="CE1" s="522"/>
      <c r="CF1" s="522"/>
      <c r="CG1" s="522"/>
      <c r="CH1" s="522"/>
      <c r="CI1" s="522"/>
      <c r="CJ1" s="522"/>
      <c r="CK1" s="522"/>
      <c r="CL1" s="522"/>
      <c r="CM1" s="522"/>
      <c r="CN1" s="522"/>
      <c r="CO1" s="522"/>
      <c r="CP1" s="522"/>
      <c r="CQ1" s="522"/>
      <c r="CR1" s="522"/>
      <c r="CS1" s="522"/>
      <c r="CT1" s="522"/>
      <c r="CU1" s="522"/>
      <c r="CV1" s="522"/>
      <c r="CW1" s="522"/>
      <c r="CX1" s="522"/>
      <c r="CY1" s="522"/>
      <c r="CZ1" s="522"/>
      <c r="DA1" s="522"/>
      <c r="DB1" s="522"/>
      <c r="DC1" s="522"/>
      <c r="DD1" s="522"/>
      <c r="DE1" s="522"/>
      <c r="DF1" s="522"/>
      <c r="DG1" s="522"/>
      <c r="DH1" s="522"/>
      <c r="DI1" s="522"/>
      <c r="DJ1" s="522"/>
      <c r="DK1" s="522"/>
      <c r="DL1" s="522"/>
      <c r="DM1" s="522"/>
      <c r="DN1" s="522"/>
      <c r="DO1" s="522"/>
      <c r="DP1" s="522"/>
      <c r="DQ1" s="522"/>
      <c r="DR1" s="522"/>
      <c r="DS1" s="522"/>
      <c r="DT1" s="522"/>
      <c r="DU1" s="522"/>
      <c r="DV1" s="522"/>
      <c r="DW1" s="522"/>
      <c r="DX1" s="522"/>
      <c r="DY1" s="522"/>
      <c r="DZ1" s="522"/>
      <c r="EA1" s="522"/>
      <c r="EB1" s="522"/>
      <c r="EC1" s="522"/>
      <c r="ED1" s="522"/>
      <c r="EE1" s="522"/>
      <c r="EF1" s="522"/>
      <c r="EG1" s="522"/>
      <c r="EH1" s="522"/>
      <c r="EI1" s="522"/>
      <c r="EJ1" s="522"/>
      <c r="EK1" s="522"/>
      <c r="EL1" s="522"/>
      <c r="EM1" s="522"/>
      <c r="EN1" s="522"/>
      <c r="EO1" s="522"/>
      <c r="EP1" s="522"/>
      <c r="EQ1" s="522"/>
      <c r="ER1" s="522"/>
      <c r="ES1" s="522"/>
      <c r="ET1" s="522"/>
      <c r="EU1" s="522"/>
      <c r="EV1" s="522"/>
      <c r="EW1" s="522"/>
      <c r="EX1" s="522"/>
      <c r="EY1" s="522"/>
      <c r="EZ1" s="522"/>
      <c r="FA1" s="522"/>
      <c r="FB1" s="522"/>
      <c r="FC1" s="522"/>
      <c r="FD1" s="522"/>
      <c r="FE1" s="522"/>
      <c r="FF1" s="522"/>
      <c r="FG1" s="522"/>
      <c r="FH1" s="522"/>
      <c r="FI1" s="522"/>
      <c r="FJ1" s="522"/>
      <c r="FK1" s="522"/>
      <c r="FL1" s="522"/>
      <c r="FM1" s="522"/>
      <c r="FN1" s="522"/>
      <c r="FO1" s="522"/>
      <c r="FP1" s="522"/>
      <c r="FQ1" s="522"/>
      <c r="FR1" s="522"/>
      <c r="FS1" s="522"/>
      <c r="FT1" s="522"/>
      <c r="FU1" s="522"/>
      <c r="FV1" s="522"/>
      <c r="FW1" s="522"/>
      <c r="FX1" s="522"/>
      <c r="FY1" s="522"/>
      <c r="FZ1" s="522"/>
      <c r="GA1" s="522"/>
      <c r="GB1" s="522"/>
      <c r="GC1" s="522"/>
      <c r="GD1" s="522"/>
      <c r="GE1" s="522"/>
      <c r="GF1" s="522"/>
      <c r="GG1" s="522"/>
      <c r="GH1" s="522"/>
      <c r="GI1" s="522"/>
      <c r="GJ1" s="522"/>
      <c r="GK1" s="522"/>
      <c r="GL1" s="522"/>
      <c r="GM1" s="522"/>
      <c r="GN1" s="522"/>
      <c r="GO1" s="522"/>
      <c r="GP1" s="522"/>
      <c r="GQ1" s="522"/>
      <c r="GR1" s="522"/>
      <c r="GS1" s="522"/>
      <c r="GT1" s="522"/>
      <c r="GU1" s="522"/>
      <c r="GV1" s="522"/>
      <c r="GW1" s="522"/>
      <c r="GX1" s="522"/>
      <c r="GY1" s="522"/>
      <c r="GZ1" s="522"/>
      <c r="HA1" s="522"/>
      <c r="HB1" s="522"/>
      <c r="HC1" s="522"/>
      <c r="HD1" s="522"/>
      <c r="HE1" s="522"/>
      <c r="HF1" s="522"/>
      <c r="HG1" s="522"/>
      <c r="HH1" s="522"/>
      <c r="HI1" s="522"/>
      <c r="HJ1" s="522"/>
      <c r="HK1" s="522"/>
      <c r="HL1" s="522"/>
      <c r="HM1" s="522"/>
      <c r="HN1" s="522"/>
      <c r="HO1" s="522"/>
      <c r="HP1" s="522"/>
      <c r="HQ1" s="522"/>
      <c r="HR1" s="522"/>
      <c r="HS1" s="522"/>
      <c r="HT1" s="522"/>
      <c r="HU1" s="522"/>
      <c r="HV1" s="522"/>
      <c r="HW1" s="522"/>
      <c r="HX1" s="522"/>
      <c r="HY1" s="522"/>
      <c r="HZ1" s="522"/>
      <c r="IA1" s="522"/>
      <c r="IB1" s="522"/>
      <c r="IC1" s="522"/>
      <c r="ID1" s="522"/>
      <c r="IE1" s="522"/>
      <c r="IF1" s="522"/>
      <c r="IG1" s="522"/>
      <c r="IH1" s="522"/>
      <c r="II1" s="522"/>
      <c r="IJ1" s="522"/>
      <c r="IK1" s="522"/>
      <c r="IL1" s="522"/>
      <c r="IM1" s="522"/>
      <c r="IN1" s="522"/>
      <c r="IO1" s="522"/>
      <c r="IP1" s="522"/>
      <c r="IQ1" s="522"/>
      <c r="IR1" s="522"/>
    </row>
    <row r="2" spans="1:252" x14ac:dyDescent="0.2">
      <c r="A2" s="494"/>
      <c r="B2" s="495"/>
      <c r="C2" s="495"/>
      <c r="D2" s="495"/>
      <c r="E2" s="495"/>
      <c r="F2" s="495"/>
      <c r="G2" s="495"/>
      <c r="H2" s="495"/>
      <c r="I2" s="495"/>
      <c r="J2" s="495"/>
      <c r="K2" s="496"/>
      <c r="L2" s="496"/>
      <c r="M2" s="496"/>
      <c r="N2" s="495"/>
      <c r="O2" s="496"/>
      <c r="P2" s="496"/>
      <c r="Q2" s="496"/>
      <c r="R2" s="522"/>
      <c r="S2" s="522"/>
      <c r="T2" s="522"/>
      <c r="U2" s="522"/>
      <c r="V2" s="522"/>
      <c r="W2" s="522"/>
      <c r="X2" s="522"/>
      <c r="Y2" s="522"/>
      <c r="Z2" s="522"/>
      <c r="AA2" s="522"/>
      <c r="AB2" s="522"/>
      <c r="AC2" s="522"/>
      <c r="AD2" s="522"/>
      <c r="AE2" s="522"/>
      <c r="AF2" s="522"/>
      <c r="AG2" s="522"/>
      <c r="AH2" s="522"/>
      <c r="AI2" s="522"/>
      <c r="AJ2" s="522"/>
      <c r="AK2" s="522"/>
      <c r="AL2" s="522"/>
      <c r="AM2" s="522"/>
      <c r="AN2" s="522"/>
      <c r="AO2" s="522"/>
      <c r="AP2" s="522"/>
      <c r="AQ2" s="522"/>
      <c r="AR2" s="522"/>
      <c r="AS2" s="522"/>
      <c r="AT2" s="522"/>
      <c r="AU2" s="522"/>
      <c r="AV2" s="522"/>
      <c r="AW2" s="522"/>
      <c r="AX2" s="522"/>
      <c r="AY2" s="522"/>
      <c r="AZ2" s="522"/>
      <c r="BA2" s="522"/>
      <c r="BB2" s="522"/>
      <c r="BC2" s="522"/>
      <c r="BD2" s="522"/>
      <c r="BE2" s="522"/>
      <c r="BF2" s="522"/>
      <c r="BG2" s="522"/>
      <c r="BH2" s="522"/>
      <c r="BI2" s="522"/>
      <c r="BJ2" s="522"/>
      <c r="BK2" s="522"/>
      <c r="BL2" s="522"/>
      <c r="BM2" s="522"/>
      <c r="BN2" s="522"/>
      <c r="BO2" s="522"/>
      <c r="BP2" s="522"/>
      <c r="BQ2" s="522"/>
      <c r="BR2" s="522"/>
      <c r="BS2" s="522"/>
      <c r="BT2" s="522"/>
      <c r="BU2" s="522"/>
      <c r="BV2" s="522"/>
      <c r="BW2" s="522"/>
      <c r="BX2" s="522"/>
      <c r="BY2" s="522"/>
      <c r="BZ2" s="522"/>
      <c r="CA2" s="522"/>
      <c r="CB2" s="522"/>
      <c r="CC2" s="522"/>
      <c r="CD2" s="522"/>
      <c r="CE2" s="522"/>
      <c r="CF2" s="522"/>
      <c r="CG2" s="522"/>
      <c r="CH2" s="522"/>
      <c r="CI2" s="522"/>
      <c r="CJ2" s="522"/>
      <c r="CK2" s="522"/>
      <c r="CL2" s="522"/>
      <c r="CM2" s="522"/>
      <c r="CN2" s="522"/>
      <c r="CO2" s="522"/>
      <c r="CP2" s="522"/>
      <c r="CQ2" s="522"/>
      <c r="CR2" s="522"/>
      <c r="CS2" s="522"/>
      <c r="CT2" s="522"/>
      <c r="CU2" s="522"/>
      <c r="CV2" s="522"/>
      <c r="CW2" s="522"/>
      <c r="CX2" s="522"/>
      <c r="CY2" s="522"/>
      <c r="CZ2" s="522"/>
      <c r="DA2" s="522"/>
      <c r="DB2" s="522"/>
      <c r="DC2" s="522"/>
      <c r="DD2" s="522"/>
      <c r="DE2" s="522"/>
      <c r="DF2" s="522"/>
      <c r="DG2" s="522"/>
      <c r="DH2" s="522"/>
      <c r="DI2" s="522"/>
      <c r="DJ2" s="522"/>
      <c r="DK2" s="522"/>
      <c r="DL2" s="522"/>
      <c r="DM2" s="522"/>
      <c r="DN2" s="522"/>
      <c r="DO2" s="522"/>
      <c r="DP2" s="522"/>
      <c r="DQ2" s="522"/>
      <c r="DR2" s="522"/>
      <c r="DS2" s="522"/>
      <c r="DT2" s="522"/>
      <c r="DU2" s="522"/>
      <c r="DV2" s="522"/>
      <c r="DW2" s="522"/>
      <c r="DX2" s="522"/>
      <c r="DY2" s="522"/>
      <c r="DZ2" s="522"/>
      <c r="EA2" s="522"/>
      <c r="EB2" s="522"/>
      <c r="EC2" s="522"/>
      <c r="ED2" s="522"/>
      <c r="EE2" s="522"/>
      <c r="EF2" s="522"/>
      <c r="EG2" s="522"/>
      <c r="EH2" s="522"/>
      <c r="EI2" s="522"/>
      <c r="EJ2" s="522"/>
      <c r="EK2" s="522"/>
      <c r="EL2" s="522"/>
      <c r="EM2" s="522"/>
      <c r="EN2" s="522"/>
      <c r="EO2" s="522"/>
      <c r="EP2" s="522"/>
      <c r="EQ2" s="522"/>
      <c r="ER2" s="522"/>
      <c r="ES2" s="522"/>
      <c r="ET2" s="522"/>
      <c r="EU2" s="522"/>
      <c r="EV2" s="522"/>
      <c r="EW2" s="522"/>
      <c r="EX2" s="522"/>
      <c r="EY2" s="522"/>
      <c r="EZ2" s="522"/>
      <c r="FA2" s="522"/>
      <c r="FB2" s="522"/>
      <c r="FC2" s="522"/>
      <c r="FD2" s="522"/>
      <c r="FE2" s="522"/>
      <c r="FF2" s="522"/>
      <c r="FG2" s="522"/>
      <c r="FH2" s="522"/>
      <c r="FI2" s="522"/>
      <c r="FJ2" s="522"/>
      <c r="FK2" s="522"/>
      <c r="FL2" s="522"/>
      <c r="FM2" s="522"/>
      <c r="FN2" s="522"/>
      <c r="FO2" s="522"/>
      <c r="FP2" s="522"/>
      <c r="FQ2" s="522"/>
      <c r="FR2" s="522"/>
      <c r="FS2" s="522"/>
      <c r="FT2" s="522"/>
      <c r="FU2" s="522"/>
      <c r="FV2" s="522"/>
      <c r="FW2" s="522"/>
      <c r="FX2" s="522"/>
      <c r="FY2" s="522"/>
      <c r="FZ2" s="522"/>
      <c r="GA2" s="522"/>
      <c r="GB2" s="522"/>
      <c r="GC2" s="522"/>
      <c r="GD2" s="522"/>
      <c r="GE2" s="522"/>
      <c r="GF2" s="522"/>
      <c r="GG2" s="522"/>
      <c r="GH2" s="522"/>
      <c r="GI2" s="522"/>
      <c r="GJ2" s="522"/>
      <c r="GK2" s="522"/>
      <c r="GL2" s="522"/>
      <c r="GM2" s="522"/>
      <c r="GN2" s="522"/>
      <c r="GO2" s="522"/>
      <c r="GP2" s="522"/>
      <c r="GQ2" s="522"/>
      <c r="GR2" s="522"/>
      <c r="GS2" s="522"/>
      <c r="GT2" s="522"/>
      <c r="GU2" s="522"/>
      <c r="GV2" s="522"/>
      <c r="GW2" s="522"/>
      <c r="GX2" s="522"/>
      <c r="GY2" s="522"/>
      <c r="GZ2" s="522"/>
      <c r="HA2" s="522"/>
      <c r="HB2" s="522"/>
      <c r="HC2" s="522"/>
      <c r="HD2" s="522"/>
      <c r="HE2" s="522"/>
      <c r="HF2" s="522"/>
      <c r="HG2" s="522"/>
      <c r="HH2" s="522"/>
      <c r="HI2" s="522"/>
      <c r="HJ2" s="522"/>
      <c r="HK2" s="522"/>
      <c r="HL2" s="522"/>
      <c r="HM2" s="522"/>
      <c r="HN2" s="522"/>
      <c r="HO2" s="522"/>
      <c r="HP2" s="522"/>
      <c r="HQ2" s="522"/>
      <c r="HR2" s="522"/>
      <c r="HS2" s="522"/>
      <c r="HT2" s="522"/>
      <c r="HU2" s="522"/>
      <c r="HV2" s="522"/>
      <c r="HW2" s="522"/>
      <c r="HX2" s="522"/>
      <c r="HY2" s="522"/>
      <c r="HZ2" s="522"/>
      <c r="IA2" s="522"/>
      <c r="IB2" s="522"/>
      <c r="IC2" s="522"/>
      <c r="ID2" s="522"/>
      <c r="IE2" s="522"/>
      <c r="IF2" s="522"/>
      <c r="IG2" s="522"/>
      <c r="IH2" s="522"/>
      <c r="II2" s="522"/>
      <c r="IJ2" s="522"/>
      <c r="IK2" s="522"/>
      <c r="IL2" s="522"/>
      <c r="IM2" s="522"/>
      <c r="IN2" s="522"/>
      <c r="IO2" s="522"/>
      <c r="IP2" s="522"/>
      <c r="IQ2" s="522"/>
      <c r="IR2" s="522"/>
    </row>
    <row r="3" spans="1:252" ht="15" x14ac:dyDescent="0.2">
      <c r="A3" s="497" t="s">
        <v>669</v>
      </c>
      <c r="B3" s="497"/>
      <c r="C3" s="497"/>
      <c r="D3" s="497"/>
      <c r="E3" s="497"/>
      <c r="F3" s="497"/>
      <c r="G3" s="497"/>
      <c r="H3" s="497"/>
      <c r="I3" s="497"/>
      <c r="J3" s="497"/>
      <c r="K3" s="497"/>
      <c r="L3" s="497"/>
      <c r="M3" s="497"/>
      <c r="N3" s="497"/>
      <c r="O3" s="497"/>
      <c r="P3" s="497"/>
      <c r="Q3" s="497"/>
      <c r="R3" s="522"/>
      <c r="S3" s="522"/>
      <c r="T3" s="522"/>
      <c r="U3" s="522"/>
      <c r="V3" s="522"/>
      <c r="W3" s="522"/>
      <c r="X3" s="522"/>
      <c r="Y3" s="522"/>
      <c r="Z3" s="522"/>
      <c r="AA3" s="522"/>
      <c r="AB3" s="522"/>
      <c r="AC3" s="522"/>
      <c r="AD3" s="522"/>
      <c r="AE3" s="522"/>
      <c r="AF3" s="522"/>
      <c r="AG3" s="522"/>
      <c r="AH3" s="522"/>
      <c r="AI3" s="522"/>
      <c r="AJ3" s="522"/>
      <c r="AK3" s="522"/>
      <c r="AL3" s="522"/>
      <c r="AM3" s="522"/>
      <c r="AN3" s="522"/>
      <c r="AO3" s="522"/>
      <c r="AP3" s="522"/>
      <c r="AQ3" s="522"/>
      <c r="AR3" s="522"/>
      <c r="AS3" s="522"/>
      <c r="AT3" s="522"/>
      <c r="AU3" s="522"/>
      <c r="AV3" s="522"/>
      <c r="AW3" s="522"/>
      <c r="AX3" s="522"/>
      <c r="AY3" s="522"/>
      <c r="AZ3" s="522"/>
      <c r="BA3" s="522"/>
      <c r="BB3" s="522"/>
      <c r="BC3" s="522"/>
      <c r="BD3" s="522"/>
      <c r="BE3" s="522"/>
      <c r="BF3" s="522"/>
      <c r="BG3" s="522"/>
      <c r="BH3" s="522"/>
      <c r="BI3" s="522"/>
      <c r="BJ3" s="522"/>
      <c r="BK3" s="522"/>
      <c r="BL3" s="522"/>
      <c r="BM3" s="522"/>
      <c r="BN3" s="522"/>
      <c r="BO3" s="522"/>
      <c r="BP3" s="522"/>
      <c r="BQ3" s="522"/>
      <c r="BR3" s="522"/>
      <c r="BS3" s="522"/>
      <c r="BT3" s="522"/>
      <c r="BU3" s="522"/>
      <c r="BV3" s="522"/>
      <c r="BW3" s="522"/>
      <c r="BX3" s="522"/>
      <c r="BY3" s="522"/>
      <c r="BZ3" s="522"/>
      <c r="CA3" s="522"/>
      <c r="CB3" s="522"/>
      <c r="CC3" s="522"/>
      <c r="CD3" s="522"/>
      <c r="CE3" s="522"/>
      <c r="CF3" s="522"/>
      <c r="CG3" s="522"/>
      <c r="CH3" s="522"/>
      <c r="CI3" s="522"/>
      <c r="CJ3" s="522"/>
      <c r="CK3" s="522"/>
      <c r="CL3" s="522"/>
      <c r="CM3" s="522"/>
      <c r="CN3" s="522"/>
      <c r="CO3" s="522"/>
      <c r="CP3" s="522"/>
      <c r="CQ3" s="522"/>
      <c r="CR3" s="522"/>
      <c r="CS3" s="522"/>
      <c r="CT3" s="522"/>
      <c r="CU3" s="522"/>
      <c r="CV3" s="522"/>
      <c r="CW3" s="522"/>
      <c r="CX3" s="522"/>
      <c r="CY3" s="522"/>
      <c r="CZ3" s="522"/>
      <c r="DA3" s="522"/>
      <c r="DB3" s="522"/>
      <c r="DC3" s="522"/>
      <c r="DD3" s="522"/>
      <c r="DE3" s="522"/>
      <c r="DF3" s="522"/>
      <c r="DG3" s="522"/>
      <c r="DH3" s="522"/>
      <c r="DI3" s="522"/>
      <c r="DJ3" s="522"/>
      <c r="DK3" s="522"/>
      <c r="DL3" s="522"/>
      <c r="DM3" s="522"/>
      <c r="DN3" s="522"/>
      <c r="DO3" s="522"/>
      <c r="DP3" s="522"/>
      <c r="DQ3" s="522"/>
      <c r="DR3" s="522"/>
      <c r="DS3" s="522"/>
      <c r="DT3" s="522"/>
      <c r="DU3" s="522"/>
      <c r="DV3" s="522"/>
      <c r="DW3" s="522"/>
      <c r="DX3" s="522"/>
      <c r="DY3" s="522"/>
      <c r="DZ3" s="522"/>
      <c r="EA3" s="522"/>
      <c r="EB3" s="522"/>
      <c r="EC3" s="522"/>
      <c r="ED3" s="522"/>
      <c r="EE3" s="522"/>
      <c r="EF3" s="522"/>
      <c r="EG3" s="522"/>
      <c r="EH3" s="522"/>
      <c r="EI3" s="522"/>
      <c r="EJ3" s="522"/>
      <c r="EK3" s="522"/>
      <c r="EL3" s="522"/>
      <c r="EM3" s="522"/>
      <c r="EN3" s="522"/>
      <c r="EO3" s="522"/>
      <c r="EP3" s="522"/>
      <c r="EQ3" s="522"/>
      <c r="ER3" s="522"/>
      <c r="ES3" s="522"/>
      <c r="ET3" s="522"/>
      <c r="EU3" s="522"/>
      <c r="EV3" s="522"/>
      <c r="EW3" s="522"/>
      <c r="EX3" s="522"/>
      <c r="EY3" s="522"/>
      <c r="EZ3" s="522"/>
      <c r="FA3" s="522"/>
      <c r="FB3" s="522"/>
      <c r="FC3" s="522"/>
      <c r="FD3" s="522"/>
      <c r="FE3" s="522"/>
      <c r="FF3" s="522"/>
      <c r="FG3" s="522"/>
      <c r="FH3" s="522"/>
      <c r="FI3" s="522"/>
      <c r="FJ3" s="522"/>
      <c r="FK3" s="522"/>
      <c r="FL3" s="522"/>
      <c r="FM3" s="522"/>
      <c r="FN3" s="522"/>
      <c r="FO3" s="522"/>
      <c r="FP3" s="522"/>
      <c r="FQ3" s="522"/>
      <c r="FR3" s="522"/>
      <c r="FS3" s="522"/>
      <c r="FT3" s="522"/>
      <c r="FU3" s="522"/>
      <c r="FV3" s="522"/>
      <c r="FW3" s="522"/>
      <c r="FX3" s="522"/>
      <c r="FY3" s="522"/>
      <c r="FZ3" s="522"/>
      <c r="GA3" s="522"/>
      <c r="GB3" s="522"/>
      <c r="GC3" s="522"/>
      <c r="GD3" s="522"/>
      <c r="GE3" s="522"/>
      <c r="GF3" s="522"/>
      <c r="GG3" s="522"/>
      <c r="GH3" s="522"/>
      <c r="GI3" s="522"/>
      <c r="GJ3" s="522"/>
      <c r="GK3" s="522"/>
      <c r="GL3" s="522"/>
      <c r="GM3" s="522"/>
      <c r="GN3" s="522"/>
      <c r="GO3" s="522"/>
      <c r="GP3" s="522"/>
      <c r="GQ3" s="522"/>
      <c r="GR3" s="522"/>
      <c r="GS3" s="522"/>
      <c r="GT3" s="522"/>
      <c r="GU3" s="522"/>
      <c r="GV3" s="522"/>
      <c r="GW3" s="522"/>
      <c r="GX3" s="522"/>
      <c r="GY3" s="522"/>
      <c r="GZ3" s="522"/>
      <c r="HA3" s="522"/>
      <c r="HB3" s="522"/>
      <c r="HC3" s="522"/>
      <c r="HD3" s="522"/>
      <c r="HE3" s="522"/>
      <c r="HF3" s="522"/>
      <c r="HG3" s="522"/>
      <c r="HH3" s="522"/>
      <c r="HI3" s="522"/>
      <c r="HJ3" s="522"/>
      <c r="HK3" s="522"/>
      <c r="HL3" s="522"/>
      <c r="HM3" s="522"/>
      <c r="HN3" s="522"/>
      <c r="HO3" s="522"/>
      <c r="HP3" s="522"/>
      <c r="HQ3" s="522"/>
      <c r="HR3" s="522"/>
      <c r="HS3" s="522"/>
      <c r="HT3" s="522"/>
      <c r="HU3" s="522"/>
      <c r="HV3" s="522"/>
      <c r="HW3" s="522"/>
      <c r="HX3" s="522"/>
      <c r="HY3" s="522"/>
      <c r="HZ3" s="522"/>
      <c r="IA3" s="522"/>
      <c r="IB3" s="522"/>
      <c r="IC3" s="522"/>
      <c r="ID3" s="522"/>
      <c r="IE3" s="522"/>
      <c r="IF3" s="522"/>
      <c r="IG3" s="522"/>
      <c r="IH3" s="522"/>
      <c r="II3" s="522"/>
      <c r="IJ3" s="522"/>
      <c r="IK3" s="522"/>
      <c r="IL3" s="522"/>
      <c r="IM3" s="522"/>
      <c r="IN3" s="522"/>
      <c r="IO3" s="522"/>
      <c r="IP3" s="522"/>
      <c r="IQ3" s="522"/>
      <c r="IR3" s="522"/>
    </row>
    <row r="4" spans="1:252" ht="18.75" x14ac:dyDescent="0.2">
      <c r="A4" s="498" t="s">
        <v>16</v>
      </c>
      <c r="B4" s="498"/>
      <c r="C4" s="498"/>
      <c r="D4" s="498"/>
      <c r="E4" s="498"/>
      <c r="F4" s="498"/>
      <c r="G4" s="498"/>
      <c r="H4" s="498"/>
      <c r="I4" s="498"/>
      <c r="J4" s="498"/>
      <c r="K4" s="498"/>
      <c r="L4" s="498"/>
      <c r="M4" s="498"/>
      <c r="N4" s="498"/>
      <c r="O4" s="498"/>
      <c r="P4" s="498"/>
      <c r="Q4" s="498"/>
      <c r="R4" s="522"/>
      <c r="S4" s="522"/>
      <c r="T4" s="522"/>
      <c r="U4" s="522"/>
      <c r="V4" s="522"/>
      <c r="W4" s="522"/>
      <c r="X4" s="522"/>
      <c r="Y4" s="522"/>
      <c r="Z4" s="522"/>
      <c r="AA4" s="522"/>
      <c r="AB4" s="522"/>
      <c r="AC4" s="522"/>
      <c r="AD4" s="522"/>
      <c r="AE4" s="522"/>
      <c r="AF4" s="522"/>
      <c r="AG4" s="522"/>
      <c r="AH4" s="522"/>
      <c r="AI4" s="522"/>
      <c r="AJ4" s="522"/>
      <c r="AK4" s="522"/>
      <c r="AL4" s="522"/>
      <c r="AM4" s="522"/>
      <c r="AN4" s="522"/>
      <c r="AO4" s="522"/>
      <c r="AP4" s="522"/>
      <c r="AQ4" s="522"/>
      <c r="AR4" s="522"/>
      <c r="AS4" s="522"/>
      <c r="AT4" s="522"/>
      <c r="AU4" s="522"/>
      <c r="AV4" s="522"/>
      <c r="AW4" s="522"/>
      <c r="AX4" s="522"/>
      <c r="AY4" s="522"/>
      <c r="AZ4" s="522"/>
      <c r="BA4" s="522"/>
      <c r="BB4" s="522"/>
      <c r="BC4" s="522"/>
      <c r="BD4" s="522"/>
      <c r="BE4" s="522"/>
      <c r="BF4" s="522"/>
      <c r="BG4" s="522"/>
      <c r="BH4" s="522"/>
      <c r="BI4" s="522"/>
      <c r="BJ4" s="522"/>
      <c r="BK4" s="522"/>
      <c r="BL4" s="522"/>
      <c r="BM4" s="522"/>
      <c r="BN4" s="522"/>
      <c r="BO4" s="522"/>
      <c r="BP4" s="522"/>
      <c r="BQ4" s="522"/>
      <c r="BR4" s="522"/>
      <c r="BS4" s="522"/>
      <c r="BT4" s="522"/>
      <c r="BU4" s="522"/>
      <c r="BV4" s="522"/>
      <c r="BW4" s="522"/>
      <c r="BX4" s="522"/>
      <c r="BY4" s="522"/>
      <c r="BZ4" s="522"/>
      <c r="CA4" s="522"/>
      <c r="CB4" s="522"/>
      <c r="CC4" s="522"/>
      <c r="CD4" s="522"/>
      <c r="CE4" s="522"/>
      <c r="CF4" s="522"/>
      <c r="CG4" s="522"/>
      <c r="CH4" s="522"/>
      <c r="CI4" s="522"/>
      <c r="CJ4" s="522"/>
      <c r="CK4" s="522"/>
      <c r="CL4" s="522"/>
      <c r="CM4" s="522"/>
      <c r="CN4" s="522"/>
      <c r="CO4" s="522"/>
      <c r="CP4" s="522"/>
      <c r="CQ4" s="522"/>
      <c r="CR4" s="522"/>
      <c r="CS4" s="522"/>
      <c r="CT4" s="522"/>
      <c r="CU4" s="522"/>
      <c r="CV4" s="522"/>
      <c r="CW4" s="522"/>
      <c r="CX4" s="522"/>
      <c r="CY4" s="522"/>
      <c r="CZ4" s="522"/>
      <c r="DA4" s="522"/>
      <c r="DB4" s="522"/>
      <c r="DC4" s="522"/>
      <c r="DD4" s="522"/>
      <c r="DE4" s="522"/>
      <c r="DF4" s="522"/>
      <c r="DG4" s="522"/>
      <c r="DH4" s="522"/>
      <c r="DI4" s="522"/>
      <c r="DJ4" s="522"/>
      <c r="DK4" s="522"/>
      <c r="DL4" s="522"/>
      <c r="DM4" s="522"/>
      <c r="DN4" s="522"/>
      <c r="DO4" s="522"/>
      <c r="DP4" s="522"/>
      <c r="DQ4" s="522"/>
      <c r="DR4" s="522"/>
      <c r="DS4" s="522"/>
      <c r="DT4" s="522"/>
      <c r="DU4" s="522"/>
      <c r="DV4" s="522"/>
      <c r="DW4" s="522"/>
      <c r="DX4" s="522"/>
      <c r="DY4" s="522"/>
      <c r="DZ4" s="522"/>
      <c r="EA4" s="522"/>
      <c r="EB4" s="522"/>
      <c r="EC4" s="522"/>
      <c r="ED4" s="522"/>
      <c r="EE4" s="522"/>
      <c r="EF4" s="522"/>
      <c r="EG4" s="522"/>
      <c r="EH4" s="522"/>
      <c r="EI4" s="522"/>
      <c r="EJ4" s="522"/>
      <c r="EK4" s="522"/>
      <c r="EL4" s="522"/>
      <c r="EM4" s="522"/>
      <c r="EN4" s="522"/>
      <c r="EO4" s="522"/>
      <c r="EP4" s="522"/>
      <c r="EQ4" s="522"/>
      <c r="ER4" s="522"/>
      <c r="ES4" s="522"/>
      <c r="ET4" s="522"/>
      <c r="EU4" s="522"/>
      <c r="EV4" s="522"/>
      <c r="EW4" s="522"/>
      <c r="EX4" s="522"/>
      <c r="EY4" s="522"/>
      <c r="EZ4" s="522"/>
      <c r="FA4" s="522"/>
      <c r="FB4" s="522"/>
      <c r="FC4" s="522"/>
      <c r="FD4" s="522"/>
      <c r="FE4" s="522"/>
      <c r="FF4" s="522"/>
      <c r="FG4" s="522"/>
      <c r="FH4" s="522"/>
      <c r="FI4" s="522"/>
      <c r="FJ4" s="522"/>
      <c r="FK4" s="522"/>
      <c r="FL4" s="522"/>
      <c r="FM4" s="522"/>
      <c r="FN4" s="522"/>
      <c r="FO4" s="522"/>
      <c r="FP4" s="522"/>
      <c r="FQ4" s="522"/>
      <c r="FR4" s="522"/>
      <c r="FS4" s="522"/>
      <c r="FT4" s="522"/>
      <c r="FU4" s="522"/>
      <c r="FV4" s="522"/>
      <c r="FW4" s="522"/>
      <c r="FX4" s="522"/>
      <c r="FY4" s="522"/>
      <c r="FZ4" s="522"/>
      <c r="GA4" s="522"/>
      <c r="GB4" s="522"/>
      <c r="GC4" s="522"/>
      <c r="GD4" s="522"/>
      <c r="GE4" s="522"/>
      <c r="GF4" s="522"/>
      <c r="GG4" s="522"/>
      <c r="GH4" s="522"/>
      <c r="GI4" s="522"/>
      <c r="GJ4" s="522"/>
      <c r="GK4" s="522"/>
      <c r="GL4" s="522"/>
      <c r="GM4" s="522"/>
      <c r="GN4" s="522"/>
      <c r="GO4" s="522"/>
      <c r="GP4" s="522"/>
      <c r="GQ4" s="522"/>
      <c r="GR4" s="522"/>
      <c r="GS4" s="522"/>
      <c r="GT4" s="522"/>
      <c r="GU4" s="522"/>
      <c r="GV4" s="522"/>
      <c r="GW4" s="522"/>
      <c r="GX4" s="522"/>
      <c r="GY4" s="522"/>
      <c r="GZ4" s="522"/>
      <c r="HA4" s="522"/>
      <c r="HB4" s="522"/>
      <c r="HC4" s="522"/>
      <c r="HD4" s="522"/>
      <c r="HE4" s="522"/>
      <c r="HF4" s="522"/>
      <c r="HG4" s="522"/>
      <c r="HH4" s="522"/>
      <c r="HI4" s="522"/>
      <c r="HJ4" s="522"/>
      <c r="HK4" s="522"/>
      <c r="HL4" s="522"/>
      <c r="HM4" s="522"/>
      <c r="HN4" s="522"/>
      <c r="HO4" s="522"/>
      <c r="HP4" s="522"/>
      <c r="HQ4" s="522"/>
      <c r="HR4" s="522"/>
      <c r="HS4" s="522"/>
      <c r="HT4" s="522"/>
      <c r="HU4" s="522"/>
      <c r="HV4" s="522"/>
      <c r="HW4" s="522"/>
      <c r="HX4" s="522"/>
      <c r="HY4" s="522"/>
      <c r="HZ4" s="522"/>
      <c r="IA4" s="522"/>
      <c r="IB4" s="522"/>
      <c r="IC4" s="522"/>
      <c r="ID4" s="522"/>
      <c r="IE4" s="522"/>
      <c r="IF4" s="522"/>
      <c r="IG4" s="522"/>
      <c r="IH4" s="522"/>
      <c r="II4" s="522"/>
      <c r="IJ4" s="522"/>
      <c r="IK4" s="522"/>
      <c r="IL4" s="522"/>
      <c r="IM4" s="522"/>
      <c r="IN4" s="522"/>
      <c r="IO4" s="522"/>
      <c r="IP4" s="522"/>
      <c r="IQ4" s="522"/>
      <c r="IR4" s="522"/>
    </row>
    <row r="5" spans="1:252" x14ac:dyDescent="0.2">
      <c r="A5" s="499" t="s">
        <v>14</v>
      </c>
      <c r="B5" s="499"/>
      <c r="C5" s="499"/>
      <c r="D5" s="499"/>
      <c r="E5" s="499"/>
      <c r="F5" s="499"/>
      <c r="G5" s="499"/>
      <c r="H5" s="499"/>
      <c r="I5" s="499"/>
      <c r="J5" s="499"/>
      <c r="K5" s="499"/>
      <c r="L5" s="499"/>
      <c r="M5" s="499"/>
      <c r="N5" s="499"/>
      <c r="O5" s="499"/>
      <c r="P5" s="499"/>
      <c r="Q5" s="499"/>
      <c r="R5" s="522"/>
      <c r="S5" s="522"/>
      <c r="T5" s="522"/>
      <c r="U5" s="522"/>
      <c r="V5" s="522"/>
      <c r="W5" s="522"/>
      <c r="X5" s="522"/>
      <c r="Y5" s="522"/>
      <c r="Z5" s="522"/>
      <c r="AA5" s="522"/>
      <c r="AB5" s="522"/>
      <c r="AC5" s="522"/>
      <c r="AD5" s="522"/>
      <c r="AE5" s="522"/>
      <c r="AF5" s="522"/>
      <c r="AG5" s="522"/>
      <c r="AH5" s="522"/>
      <c r="AI5" s="522"/>
      <c r="AJ5" s="522"/>
      <c r="AK5" s="522"/>
      <c r="AL5" s="522"/>
      <c r="AM5" s="522"/>
      <c r="AN5" s="522"/>
      <c r="AO5" s="522"/>
      <c r="AP5" s="522"/>
      <c r="AQ5" s="522"/>
      <c r="AR5" s="522"/>
      <c r="AS5" s="522"/>
      <c r="AT5" s="522"/>
      <c r="AU5" s="522"/>
      <c r="AV5" s="522"/>
      <c r="AW5" s="522"/>
      <c r="AX5" s="522"/>
      <c r="AY5" s="522"/>
      <c r="AZ5" s="522"/>
      <c r="BA5" s="522"/>
      <c r="BB5" s="522"/>
      <c r="BC5" s="522"/>
      <c r="BD5" s="522"/>
      <c r="BE5" s="522"/>
      <c r="BF5" s="522"/>
      <c r="BG5" s="522"/>
      <c r="BH5" s="522"/>
      <c r="BI5" s="522"/>
      <c r="BJ5" s="522"/>
      <c r="BK5" s="522"/>
      <c r="BL5" s="522"/>
      <c r="BM5" s="522"/>
      <c r="BN5" s="522"/>
      <c r="BO5" s="522"/>
      <c r="BP5" s="522"/>
      <c r="BQ5" s="522"/>
      <c r="BR5" s="522"/>
      <c r="BS5" s="522"/>
      <c r="BT5" s="522"/>
      <c r="BU5" s="522"/>
      <c r="BV5" s="522"/>
      <c r="BW5" s="522"/>
      <c r="BX5" s="522"/>
      <c r="BY5" s="522"/>
      <c r="BZ5" s="522"/>
      <c r="CA5" s="522"/>
      <c r="CB5" s="522"/>
      <c r="CC5" s="522"/>
      <c r="CD5" s="522"/>
      <c r="CE5" s="522"/>
      <c r="CF5" s="522"/>
      <c r="CG5" s="522"/>
      <c r="CH5" s="522"/>
      <c r="CI5" s="522"/>
      <c r="CJ5" s="522"/>
      <c r="CK5" s="522"/>
      <c r="CL5" s="522"/>
      <c r="CM5" s="522"/>
      <c r="CN5" s="522"/>
      <c r="CO5" s="522"/>
      <c r="CP5" s="522"/>
      <c r="CQ5" s="522"/>
      <c r="CR5" s="522"/>
      <c r="CS5" s="522"/>
      <c r="CT5" s="522"/>
      <c r="CU5" s="522"/>
      <c r="CV5" s="522"/>
      <c r="CW5" s="522"/>
      <c r="CX5" s="522"/>
      <c r="CY5" s="522"/>
      <c r="CZ5" s="522"/>
      <c r="DA5" s="522"/>
      <c r="DB5" s="522"/>
      <c r="DC5" s="522"/>
      <c r="DD5" s="522"/>
      <c r="DE5" s="522"/>
      <c r="DF5" s="522"/>
      <c r="DG5" s="522"/>
      <c r="DH5" s="522"/>
      <c r="DI5" s="522"/>
      <c r="DJ5" s="522"/>
      <c r="DK5" s="522"/>
      <c r="DL5" s="522"/>
      <c r="DM5" s="522"/>
      <c r="DN5" s="522"/>
      <c r="DO5" s="522"/>
      <c r="DP5" s="522"/>
      <c r="DQ5" s="522"/>
      <c r="DR5" s="522"/>
      <c r="DS5" s="522"/>
      <c r="DT5" s="522"/>
      <c r="DU5" s="522"/>
      <c r="DV5" s="522"/>
      <c r="DW5" s="522"/>
      <c r="DX5" s="522"/>
      <c r="DY5" s="522"/>
      <c r="DZ5" s="522"/>
      <c r="EA5" s="522"/>
      <c r="EB5" s="522"/>
      <c r="EC5" s="522"/>
      <c r="ED5" s="522"/>
      <c r="EE5" s="522"/>
      <c r="EF5" s="522"/>
      <c r="EG5" s="522"/>
      <c r="EH5" s="522"/>
      <c r="EI5" s="522"/>
      <c r="EJ5" s="522"/>
      <c r="EK5" s="522"/>
      <c r="EL5" s="522"/>
      <c r="EM5" s="522"/>
      <c r="EN5" s="522"/>
      <c r="EO5" s="522"/>
      <c r="EP5" s="522"/>
      <c r="EQ5" s="522"/>
      <c r="ER5" s="522"/>
      <c r="ES5" s="522"/>
      <c r="ET5" s="522"/>
      <c r="EU5" s="522"/>
      <c r="EV5" s="522"/>
      <c r="EW5" s="522"/>
      <c r="EX5" s="522"/>
      <c r="EY5" s="522"/>
      <c r="EZ5" s="522"/>
      <c r="FA5" s="522"/>
      <c r="FB5" s="522"/>
      <c r="FC5" s="522"/>
      <c r="FD5" s="522"/>
      <c r="FE5" s="522"/>
      <c r="FF5" s="522"/>
      <c r="FG5" s="522"/>
      <c r="FH5" s="522"/>
      <c r="FI5" s="522"/>
      <c r="FJ5" s="522"/>
      <c r="FK5" s="522"/>
      <c r="FL5" s="522"/>
      <c r="FM5" s="522"/>
      <c r="FN5" s="522"/>
      <c r="FO5" s="522"/>
      <c r="FP5" s="522"/>
      <c r="FQ5" s="522"/>
      <c r="FR5" s="522"/>
      <c r="FS5" s="522"/>
      <c r="FT5" s="522"/>
      <c r="FU5" s="522"/>
      <c r="FV5" s="522"/>
      <c r="FW5" s="522"/>
      <c r="FX5" s="522"/>
      <c r="FY5" s="522"/>
      <c r="FZ5" s="522"/>
      <c r="GA5" s="522"/>
      <c r="GB5" s="522"/>
      <c r="GC5" s="522"/>
      <c r="GD5" s="522"/>
      <c r="GE5" s="522"/>
      <c r="GF5" s="522"/>
      <c r="GG5" s="522"/>
      <c r="GH5" s="522"/>
      <c r="GI5" s="522"/>
      <c r="GJ5" s="522"/>
      <c r="GK5" s="522"/>
      <c r="GL5" s="522"/>
      <c r="GM5" s="522"/>
      <c r="GN5" s="522"/>
      <c r="GO5" s="522"/>
      <c r="GP5" s="522"/>
      <c r="GQ5" s="522"/>
      <c r="GR5" s="522"/>
      <c r="GS5" s="522"/>
      <c r="GT5" s="522"/>
      <c r="GU5" s="522"/>
      <c r="GV5" s="522"/>
      <c r="GW5" s="522"/>
      <c r="GX5" s="522"/>
      <c r="GY5" s="522"/>
      <c r="GZ5" s="522"/>
      <c r="HA5" s="522"/>
      <c r="HB5" s="522"/>
      <c r="HC5" s="522"/>
      <c r="HD5" s="522"/>
      <c r="HE5" s="522"/>
      <c r="HF5" s="522"/>
      <c r="HG5" s="522"/>
      <c r="HH5" s="522"/>
      <c r="HI5" s="522"/>
      <c r="HJ5" s="522"/>
      <c r="HK5" s="522"/>
      <c r="HL5" s="522"/>
      <c r="HM5" s="522"/>
      <c r="HN5" s="522"/>
      <c r="HO5" s="522"/>
      <c r="HP5" s="522"/>
      <c r="HQ5" s="522"/>
      <c r="HR5" s="522"/>
      <c r="HS5" s="522"/>
      <c r="HT5" s="522"/>
      <c r="HU5" s="522"/>
      <c r="HV5" s="522"/>
      <c r="HW5" s="522"/>
      <c r="HX5" s="522"/>
      <c r="HY5" s="522"/>
      <c r="HZ5" s="522"/>
      <c r="IA5" s="522"/>
      <c r="IB5" s="522"/>
      <c r="IC5" s="522"/>
      <c r="ID5" s="522"/>
      <c r="IE5" s="522"/>
      <c r="IF5" s="522"/>
      <c r="IG5" s="522"/>
      <c r="IH5" s="522"/>
      <c r="II5" s="522"/>
      <c r="IJ5" s="522"/>
      <c r="IK5" s="522"/>
      <c r="IL5" s="522"/>
      <c r="IM5" s="522"/>
      <c r="IN5" s="522"/>
      <c r="IO5" s="522"/>
      <c r="IP5" s="522"/>
      <c r="IQ5" s="522"/>
      <c r="IR5" s="522"/>
    </row>
    <row r="6" spans="1:252" ht="21" x14ac:dyDescent="0.2">
      <c r="A6" s="500" t="s">
        <v>17</v>
      </c>
      <c r="B6" s="500"/>
      <c r="C6" s="500"/>
      <c r="D6" s="500"/>
      <c r="E6" s="500"/>
      <c r="F6" s="500"/>
      <c r="G6" s="500"/>
      <c r="H6" s="500"/>
      <c r="I6" s="500"/>
      <c r="J6" s="500"/>
      <c r="K6" s="500"/>
      <c r="L6" s="500"/>
      <c r="M6" s="500"/>
      <c r="N6" s="500"/>
      <c r="O6" s="500"/>
      <c r="P6" s="500"/>
      <c r="Q6" s="500"/>
      <c r="R6" s="522"/>
      <c r="S6" s="522"/>
      <c r="T6" s="522"/>
      <c r="U6" s="522"/>
      <c r="V6" s="522"/>
      <c r="W6" s="522"/>
      <c r="X6" s="522"/>
      <c r="Y6" s="522"/>
      <c r="Z6" s="522"/>
      <c r="AA6" s="522"/>
      <c r="AB6" s="522"/>
      <c r="AC6" s="522"/>
      <c r="AD6" s="522"/>
      <c r="AE6" s="522"/>
      <c r="AF6" s="522"/>
      <c r="AG6" s="522"/>
      <c r="AH6" s="522"/>
      <c r="AI6" s="522"/>
      <c r="AJ6" s="522"/>
      <c r="AK6" s="522"/>
      <c r="AL6" s="522"/>
      <c r="AM6" s="522"/>
      <c r="AN6" s="522"/>
      <c r="AO6" s="522"/>
      <c r="AP6" s="522"/>
      <c r="AQ6" s="522"/>
      <c r="AR6" s="522"/>
      <c r="AS6" s="522"/>
      <c r="AT6" s="522"/>
      <c r="AU6" s="522"/>
      <c r="AV6" s="522"/>
      <c r="AW6" s="522"/>
      <c r="AX6" s="522"/>
      <c r="AY6" s="522"/>
      <c r="AZ6" s="522"/>
      <c r="BA6" s="522"/>
      <c r="BB6" s="522"/>
      <c r="BC6" s="522"/>
      <c r="BD6" s="522"/>
      <c r="BE6" s="522"/>
      <c r="BF6" s="522"/>
      <c r="BG6" s="522"/>
      <c r="BH6" s="522"/>
      <c r="BI6" s="522"/>
      <c r="BJ6" s="522"/>
      <c r="BK6" s="522"/>
      <c r="BL6" s="522"/>
      <c r="BM6" s="522"/>
      <c r="BN6" s="522"/>
      <c r="BO6" s="522"/>
      <c r="BP6" s="522"/>
      <c r="BQ6" s="522"/>
      <c r="BR6" s="522"/>
      <c r="BS6" s="522"/>
      <c r="BT6" s="522"/>
      <c r="BU6" s="522"/>
      <c r="BV6" s="522"/>
      <c r="BW6" s="522"/>
      <c r="BX6" s="522"/>
      <c r="BY6" s="522"/>
      <c r="BZ6" s="522"/>
      <c r="CA6" s="522"/>
      <c r="CB6" s="522"/>
      <c r="CC6" s="522"/>
      <c r="CD6" s="522"/>
      <c r="CE6" s="522"/>
      <c r="CF6" s="522"/>
      <c r="CG6" s="522"/>
      <c r="CH6" s="522"/>
      <c r="CI6" s="522"/>
      <c r="CJ6" s="522"/>
      <c r="CK6" s="522"/>
      <c r="CL6" s="522"/>
      <c r="CM6" s="522"/>
      <c r="CN6" s="522"/>
      <c r="CO6" s="522"/>
      <c r="CP6" s="522"/>
      <c r="CQ6" s="522"/>
      <c r="CR6" s="522"/>
      <c r="CS6" s="522"/>
      <c r="CT6" s="522"/>
      <c r="CU6" s="522"/>
      <c r="CV6" s="522"/>
      <c r="CW6" s="522"/>
      <c r="CX6" s="522"/>
      <c r="CY6" s="522"/>
      <c r="CZ6" s="522"/>
      <c r="DA6" s="522"/>
      <c r="DB6" s="522"/>
      <c r="DC6" s="522"/>
      <c r="DD6" s="522"/>
      <c r="DE6" s="522"/>
      <c r="DF6" s="522"/>
      <c r="DG6" s="522"/>
      <c r="DH6" s="522"/>
      <c r="DI6" s="522"/>
      <c r="DJ6" s="522"/>
      <c r="DK6" s="522"/>
      <c r="DL6" s="522"/>
      <c r="DM6" s="522"/>
      <c r="DN6" s="522"/>
      <c r="DO6" s="522"/>
      <c r="DP6" s="522"/>
      <c r="DQ6" s="522"/>
      <c r="DR6" s="522"/>
      <c r="DS6" s="522"/>
      <c r="DT6" s="522"/>
      <c r="DU6" s="522"/>
      <c r="DV6" s="522"/>
      <c r="DW6" s="522"/>
      <c r="DX6" s="522"/>
      <c r="DY6" s="522"/>
      <c r="DZ6" s="522"/>
      <c r="EA6" s="522"/>
      <c r="EB6" s="522"/>
      <c r="EC6" s="522"/>
      <c r="ED6" s="522"/>
      <c r="EE6" s="522"/>
      <c r="EF6" s="522"/>
      <c r="EG6" s="522"/>
      <c r="EH6" s="522"/>
      <c r="EI6" s="522"/>
      <c r="EJ6" s="522"/>
      <c r="EK6" s="522"/>
      <c r="EL6" s="522"/>
      <c r="EM6" s="522"/>
      <c r="EN6" s="522"/>
      <c r="EO6" s="522"/>
      <c r="EP6" s="522"/>
      <c r="EQ6" s="522"/>
      <c r="ER6" s="522"/>
      <c r="ES6" s="522"/>
      <c r="ET6" s="522"/>
      <c r="EU6" s="522"/>
      <c r="EV6" s="522"/>
      <c r="EW6" s="522"/>
      <c r="EX6" s="522"/>
      <c r="EY6" s="522"/>
      <c r="EZ6" s="522"/>
      <c r="FA6" s="522"/>
      <c r="FB6" s="522"/>
      <c r="FC6" s="522"/>
      <c r="FD6" s="522"/>
      <c r="FE6" s="522"/>
      <c r="FF6" s="522"/>
      <c r="FG6" s="522"/>
      <c r="FH6" s="522"/>
      <c r="FI6" s="522"/>
      <c r="FJ6" s="522"/>
      <c r="FK6" s="522"/>
      <c r="FL6" s="522"/>
      <c r="FM6" s="522"/>
      <c r="FN6" s="522"/>
      <c r="FO6" s="522"/>
      <c r="FP6" s="522"/>
      <c r="FQ6" s="522"/>
      <c r="FR6" s="522"/>
      <c r="FS6" s="522"/>
      <c r="FT6" s="522"/>
      <c r="FU6" s="522"/>
      <c r="FV6" s="522"/>
      <c r="FW6" s="522"/>
      <c r="FX6" s="522"/>
      <c r="FY6" s="522"/>
      <c r="FZ6" s="522"/>
      <c r="GA6" s="522"/>
      <c r="GB6" s="522"/>
      <c r="GC6" s="522"/>
      <c r="GD6" s="522"/>
      <c r="GE6" s="522"/>
      <c r="GF6" s="522"/>
      <c r="GG6" s="522"/>
      <c r="GH6" s="522"/>
      <c r="GI6" s="522"/>
      <c r="GJ6" s="522"/>
      <c r="GK6" s="522"/>
      <c r="GL6" s="522"/>
      <c r="GM6" s="522"/>
      <c r="GN6" s="522"/>
      <c r="GO6" s="522"/>
      <c r="GP6" s="522"/>
      <c r="GQ6" s="522"/>
      <c r="GR6" s="522"/>
      <c r="GS6" s="522"/>
      <c r="GT6" s="522"/>
      <c r="GU6" s="522"/>
      <c r="GV6" s="522"/>
      <c r="GW6" s="522"/>
      <c r="GX6" s="522"/>
      <c r="GY6" s="522"/>
      <c r="GZ6" s="522"/>
      <c r="HA6" s="522"/>
      <c r="HB6" s="522"/>
      <c r="HC6" s="522"/>
      <c r="HD6" s="522"/>
      <c r="HE6" s="522"/>
      <c r="HF6" s="522"/>
      <c r="HG6" s="522"/>
      <c r="HH6" s="522"/>
      <c r="HI6" s="522"/>
      <c r="HJ6" s="522"/>
      <c r="HK6" s="522"/>
      <c r="HL6" s="522"/>
      <c r="HM6" s="522"/>
      <c r="HN6" s="522"/>
      <c r="HO6" s="522"/>
      <c r="HP6" s="522"/>
      <c r="HQ6" s="522"/>
      <c r="HR6" s="522"/>
      <c r="HS6" s="522"/>
      <c r="HT6" s="522"/>
      <c r="HU6" s="522"/>
      <c r="HV6" s="522"/>
      <c r="HW6" s="522"/>
      <c r="HX6" s="522"/>
      <c r="HY6" s="522"/>
      <c r="HZ6" s="522"/>
      <c r="IA6" s="522"/>
      <c r="IB6" s="522"/>
      <c r="IC6" s="522"/>
      <c r="ID6" s="522"/>
      <c r="IE6" s="522"/>
      <c r="IF6" s="522"/>
      <c r="IG6" s="522"/>
      <c r="IH6" s="522"/>
      <c r="II6" s="522"/>
      <c r="IJ6" s="522"/>
      <c r="IK6" s="522"/>
      <c r="IL6" s="522"/>
      <c r="IM6" s="522"/>
      <c r="IN6" s="522"/>
      <c r="IO6" s="522"/>
      <c r="IP6" s="522"/>
      <c r="IQ6" s="522"/>
      <c r="IR6" s="522"/>
    </row>
    <row r="7" spans="1:252" ht="51" x14ac:dyDescent="0.2">
      <c r="A7" s="501" t="s">
        <v>0</v>
      </c>
      <c r="B7" s="502" t="s">
        <v>10</v>
      </c>
      <c r="C7" s="503"/>
      <c r="D7" s="503"/>
      <c r="E7" s="503"/>
      <c r="F7" s="503"/>
      <c r="G7" s="504"/>
      <c r="H7" s="502" t="s">
        <v>322</v>
      </c>
      <c r="I7" s="503"/>
      <c r="J7" s="503"/>
      <c r="K7" s="503"/>
      <c r="L7" s="503"/>
      <c r="M7" s="503"/>
      <c r="N7" s="502" t="s">
        <v>324</v>
      </c>
      <c r="O7" s="503"/>
      <c r="P7" s="503"/>
      <c r="Q7" s="504"/>
      <c r="R7" s="522"/>
      <c r="S7" s="522"/>
      <c r="T7" s="522"/>
      <c r="U7" s="522"/>
      <c r="V7" s="522"/>
      <c r="W7" s="522"/>
      <c r="X7" s="522"/>
      <c r="Y7" s="522"/>
      <c r="Z7" s="522"/>
      <c r="AA7" s="522"/>
      <c r="AB7" s="522"/>
      <c r="AC7" s="522"/>
      <c r="AD7" s="522"/>
      <c r="AE7" s="522"/>
      <c r="AF7" s="522"/>
      <c r="AG7" s="522"/>
      <c r="AH7" s="522"/>
      <c r="AI7" s="522"/>
      <c r="AJ7" s="522"/>
      <c r="AK7" s="522"/>
      <c r="AL7" s="522"/>
      <c r="AM7" s="522"/>
      <c r="AN7" s="522"/>
      <c r="AO7" s="522"/>
      <c r="AP7" s="522"/>
      <c r="AQ7" s="522"/>
      <c r="AR7" s="522"/>
      <c r="AS7" s="522"/>
      <c r="AT7" s="522"/>
      <c r="AU7" s="522"/>
      <c r="AV7" s="522"/>
      <c r="AW7" s="522"/>
      <c r="AX7" s="522"/>
      <c r="AY7" s="522"/>
      <c r="AZ7" s="522"/>
      <c r="BA7" s="522"/>
      <c r="BB7" s="522"/>
      <c r="BC7" s="522"/>
      <c r="BD7" s="522"/>
      <c r="BE7" s="522"/>
      <c r="BF7" s="522"/>
      <c r="BG7" s="522"/>
      <c r="BH7" s="522"/>
      <c r="BI7" s="522"/>
      <c r="BJ7" s="522"/>
      <c r="BK7" s="522"/>
      <c r="BL7" s="522"/>
      <c r="BM7" s="522"/>
      <c r="BN7" s="522"/>
      <c r="BO7" s="522"/>
      <c r="BP7" s="522"/>
      <c r="BQ7" s="522"/>
      <c r="BR7" s="522"/>
      <c r="BS7" s="522"/>
      <c r="BT7" s="522"/>
      <c r="BU7" s="522"/>
      <c r="BV7" s="522"/>
      <c r="BW7" s="522"/>
      <c r="BX7" s="522"/>
      <c r="BY7" s="522"/>
      <c r="BZ7" s="522"/>
      <c r="CA7" s="522"/>
      <c r="CB7" s="522"/>
      <c r="CC7" s="522"/>
      <c r="CD7" s="522"/>
      <c r="CE7" s="522"/>
      <c r="CF7" s="522"/>
      <c r="CG7" s="522"/>
      <c r="CH7" s="522"/>
      <c r="CI7" s="522"/>
      <c r="CJ7" s="522"/>
      <c r="CK7" s="522"/>
      <c r="CL7" s="522"/>
      <c r="CM7" s="522"/>
      <c r="CN7" s="522"/>
      <c r="CO7" s="522"/>
      <c r="CP7" s="522"/>
      <c r="CQ7" s="522"/>
      <c r="CR7" s="522"/>
      <c r="CS7" s="522"/>
      <c r="CT7" s="522"/>
      <c r="CU7" s="522"/>
      <c r="CV7" s="522"/>
      <c r="CW7" s="522"/>
      <c r="CX7" s="522"/>
      <c r="CY7" s="522"/>
      <c r="CZ7" s="522"/>
      <c r="DA7" s="522"/>
      <c r="DB7" s="522"/>
      <c r="DC7" s="522"/>
      <c r="DD7" s="522"/>
      <c r="DE7" s="522"/>
      <c r="DF7" s="522"/>
      <c r="DG7" s="522"/>
      <c r="DH7" s="522"/>
      <c r="DI7" s="522"/>
      <c r="DJ7" s="522"/>
      <c r="DK7" s="522"/>
      <c r="DL7" s="522"/>
      <c r="DM7" s="522"/>
      <c r="DN7" s="522"/>
      <c r="DO7" s="522"/>
      <c r="DP7" s="522"/>
      <c r="DQ7" s="522"/>
      <c r="DR7" s="522"/>
      <c r="DS7" s="522"/>
      <c r="DT7" s="522"/>
      <c r="DU7" s="522"/>
      <c r="DV7" s="522"/>
      <c r="DW7" s="522"/>
      <c r="DX7" s="522"/>
      <c r="DY7" s="522"/>
      <c r="DZ7" s="522"/>
      <c r="EA7" s="522"/>
      <c r="EB7" s="522"/>
      <c r="EC7" s="522"/>
      <c r="ED7" s="522"/>
      <c r="EE7" s="522"/>
      <c r="EF7" s="522"/>
      <c r="EG7" s="522"/>
      <c r="EH7" s="522"/>
      <c r="EI7" s="522"/>
      <c r="EJ7" s="522"/>
      <c r="EK7" s="522"/>
      <c r="EL7" s="522"/>
      <c r="EM7" s="522"/>
      <c r="EN7" s="522"/>
      <c r="EO7" s="522"/>
      <c r="EP7" s="522"/>
      <c r="EQ7" s="522"/>
      <c r="ER7" s="522"/>
      <c r="ES7" s="522"/>
      <c r="ET7" s="522"/>
      <c r="EU7" s="522"/>
      <c r="EV7" s="522"/>
      <c r="EW7" s="522"/>
      <c r="EX7" s="522"/>
      <c r="EY7" s="522"/>
      <c r="EZ7" s="522"/>
      <c r="FA7" s="522"/>
      <c r="FB7" s="522"/>
      <c r="FC7" s="522"/>
      <c r="FD7" s="522"/>
      <c r="FE7" s="522"/>
      <c r="FF7" s="522"/>
      <c r="FG7" s="522"/>
      <c r="FH7" s="522"/>
      <c r="FI7" s="522"/>
      <c r="FJ7" s="522"/>
      <c r="FK7" s="522"/>
      <c r="FL7" s="522"/>
      <c r="FM7" s="522"/>
      <c r="FN7" s="522"/>
      <c r="FO7" s="522"/>
      <c r="FP7" s="522"/>
      <c r="FQ7" s="522"/>
      <c r="FR7" s="522"/>
      <c r="FS7" s="522"/>
      <c r="FT7" s="522"/>
      <c r="FU7" s="522"/>
      <c r="FV7" s="522"/>
      <c r="FW7" s="522"/>
      <c r="FX7" s="522"/>
      <c r="FY7" s="522"/>
      <c r="FZ7" s="522"/>
      <c r="GA7" s="522"/>
      <c r="GB7" s="522"/>
      <c r="GC7" s="522"/>
      <c r="GD7" s="522"/>
      <c r="GE7" s="522"/>
      <c r="GF7" s="522"/>
      <c r="GG7" s="522"/>
      <c r="GH7" s="522"/>
      <c r="GI7" s="522"/>
      <c r="GJ7" s="522"/>
      <c r="GK7" s="522"/>
      <c r="GL7" s="522"/>
      <c r="GM7" s="522"/>
      <c r="GN7" s="522"/>
      <c r="GO7" s="522"/>
      <c r="GP7" s="522"/>
      <c r="GQ7" s="522"/>
      <c r="GR7" s="522"/>
      <c r="GS7" s="522"/>
      <c r="GT7" s="522"/>
      <c r="GU7" s="522"/>
      <c r="GV7" s="522"/>
      <c r="GW7" s="522"/>
      <c r="GX7" s="522"/>
      <c r="GY7" s="522"/>
      <c r="GZ7" s="522"/>
      <c r="HA7" s="522"/>
      <c r="HB7" s="522"/>
      <c r="HC7" s="522"/>
      <c r="HD7" s="522"/>
      <c r="HE7" s="522"/>
      <c r="HF7" s="522"/>
      <c r="HG7" s="522"/>
      <c r="HH7" s="522"/>
      <c r="HI7" s="522"/>
      <c r="HJ7" s="522"/>
      <c r="HK7" s="522"/>
      <c r="HL7" s="522"/>
      <c r="HM7" s="522"/>
      <c r="HN7" s="522"/>
      <c r="HO7" s="522"/>
      <c r="HP7" s="522"/>
      <c r="HQ7" s="522"/>
      <c r="HR7" s="522"/>
      <c r="HS7" s="522"/>
      <c r="HT7" s="522"/>
      <c r="HU7" s="522"/>
      <c r="HV7" s="522"/>
      <c r="HW7" s="522"/>
      <c r="HX7" s="522"/>
      <c r="HY7" s="522"/>
      <c r="HZ7" s="522"/>
      <c r="IA7" s="522"/>
      <c r="IB7" s="522"/>
      <c r="IC7" s="522"/>
      <c r="ID7" s="522"/>
      <c r="IE7" s="522"/>
      <c r="IF7" s="522"/>
      <c r="IG7" s="522"/>
      <c r="IH7" s="522"/>
      <c r="II7" s="522"/>
      <c r="IJ7" s="522"/>
      <c r="IK7" s="522"/>
      <c r="IL7" s="522"/>
      <c r="IM7" s="522"/>
      <c r="IN7" s="522"/>
      <c r="IO7" s="522"/>
      <c r="IP7" s="522"/>
      <c r="IQ7" s="522"/>
      <c r="IR7" s="522"/>
    </row>
    <row r="8" spans="1:252" ht="204" x14ac:dyDescent="0.2">
      <c r="A8" s="505"/>
      <c r="B8" s="506" t="s">
        <v>4</v>
      </c>
      <c r="C8" s="506" t="s">
        <v>1</v>
      </c>
      <c r="D8" s="506" t="s">
        <v>3</v>
      </c>
      <c r="E8" s="506" t="s">
        <v>2</v>
      </c>
      <c r="F8" s="506" t="s">
        <v>6</v>
      </c>
      <c r="G8" s="506" t="s">
        <v>5</v>
      </c>
      <c r="H8" s="506" t="s">
        <v>7</v>
      </c>
      <c r="I8" s="507" t="s">
        <v>8</v>
      </c>
      <c r="J8" s="507" t="s">
        <v>9</v>
      </c>
      <c r="K8" s="508" t="s">
        <v>11</v>
      </c>
      <c r="L8" s="508" t="s">
        <v>12</v>
      </c>
      <c r="M8" s="508" t="s">
        <v>13</v>
      </c>
      <c r="N8" s="507" t="s">
        <v>9</v>
      </c>
      <c r="O8" s="508" t="s">
        <v>11</v>
      </c>
      <c r="P8" s="508" t="s">
        <v>12</v>
      </c>
      <c r="Q8" s="509" t="s">
        <v>13</v>
      </c>
      <c r="R8" s="522"/>
      <c r="S8" s="522"/>
      <c r="T8" s="522"/>
      <c r="U8" s="522"/>
      <c r="V8" s="522"/>
      <c r="W8" s="522"/>
      <c r="X8" s="522"/>
      <c r="Y8" s="522"/>
      <c r="Z8" s="522"/>
      <c r="AA8" s="522"/>
      <c r="AB8" s="522"/>
      <c r="AC8" s="522"/>
      <c r="AD8" s="522"/>
      <c r="AE8" s="522"/>
      <c r="AF8" s="522"/>
      <c r="AG8" s="522"/>
      <c r="AH8" s="522"/>
      <c r="AI8" s="522"/>
      <c r="AJ8" s="522"/>
      <c r="AK8" s="522"/>
      <c r="AL8" s="522"/>
      <c r="AM8" s="522"/>
      <c r="AN8" s="522"/>
      <c r="AO8" s="522"/>
      <c r="AP8" s="522"/>
      <c r="AQ8" s="522"/>
      <c r="AR8" s="522"/>
      <c r="AS8" s="522"/>
      <c r="AT8" s="522"/>
      <c r="AU8" s="522"/>
      <c r="AV8" s="522"/>
      <c r="AW8" s="522"/>
      <c r="AX8" s="522"/>
      <c r="AY8" s="522"/>
      <c r="AZ8" s="522"/>
      <c r="BA8" s="522"/>
      <c r="BB8" s="522"/>
      <c r="BC8" s="522"/>
      <c r="BD8" s="522"/>
      <c r="BE8" s="522"/>
      <c r="BF8" s="522"/>
      <c r="BG8" s="522"/>
      <c r="BH8" s="522"/>
      <c r="BI8" s="522"/>
      <c r="BJ8" s="522"/>
      <c r="BK8" s="522"/>
      <c r="BL8" s="522"/>
      <c r="BM8" s="522"/>
      <c r="BN8" s="522"/>
      <c r="BO8" s="522"/>
      <c r="BP8" s="522"/>
      <c r="BQ8" s="522"/>
      <c r="BR8" s="522"/>
      <c r="BS8" s="522"/>
      <c r="BT8" s="522"/>
      <c r="BU8" s="522"/>
      <c r="BV8" s="522"/>
      <c r="BW8" s="522"/>
      <c r="BX8" s="522"/>
      <c r="BY8" s="522"/>
      <c r="BZ8" s="522"/>
      <c r="CA8" s="522"/>
      <c r="CB8" s="522"/>
      <c r="CC8" s="522"/>
      <c r="CD8" s="522"/>
      <c r="CE8" s="522"/>
      <c r="CF8" s="522"/>
      <c r="CG8" s="522"/>
      <c r="CH8" s="522"/>
      <c r="CI8" s="522"/>
      <c r="CJ8" s="522"/>
      <c r="CK8" s="522"/>
      <c r="CL8" s="522"/>
      <c r="CM8" s="522"/>
      <c r="CN8" s="522"/>
      <c r="CO8" s="522"/>
      <c r="CP8" s="522"/>
      <c r="CQ8" s="522"/>
      <c r="CR8" s="522"/>
      <c r="CS8" s="522"/>
      <c r="CT8" s="522"/>
      <c r="CU8" s="522"/>
      <c r="CV8" s="522"/>
      <c r="CW8" s="522"/>
      <c r="CX8" s="522"/>
      <c r="CY8" s="522"/>
      <c r="CZ8" s="522"/>
      <c r="DA8" s="522"/>
      <c r="DB8" s="522"/>
      <c r="DC8" s="522"/>
      <c r="DD8" s="522"/>
      <c r="DE8" s="522"/>
      <c r="DF8" s="522"/>
      <c r="DG8" s="522"/>
      <c r="DH8" s="522"/>
      <c r="DI8" s="522"/>
      <c r="DJ8" s="522"/>
      <c r="DK8" s="522"/>
      <c r="DL8" s="522"/>
      <c r="DM8" s="522"/>
      <c r="DN8" s="522"/>
      <c r="DO8" s="522"/>
      <c r="DP8" s="522"/>
      <c r="DQ8" s="522"/>
      <c r="DR8" s="522"/>
      <c r="DS8" s="522"/>
      <c r="DT8" s="522"/>
      <c r="DU8" s="522"/>
      <c r="DV8" s="522"/>
      <c r="DW8" s="522"/>
      <c r="DX8" s="522"/>
      <c r="DY8" s="522"/>
      <c r="DZ8" s="522"/>
      <c r="EA8" s="522"/>
      <c r="EB8" s="522"/>
      <c r="EC8" s="522"/>
      <c r="ED8" s="522"/>
      <c r="EE8" s="522"/>
      <c r="EF8" s="522"/>
      <c r="EG8" s="522"/>
      <c r="EH8" s="522"/>
      <c r="EI8" s="522"/>
      <c r="EJ8" s="522"/>
      <c r="EK8" s="522"/>
      <c r="EL8" s="522"/>
      <c r="EM8" s="522"/>
      <c r="EN8" s="522"/>
      <c r="EO8" s="522"/>
      <c r="EP8" s="522"/>
      <c r="EQ8" s="522"/>
      <c r="ER8" s="522"/>
      <c r="ES8" s="522"/>
      <c r="ET8" s="522"/>
      <c r="EU8" s="522"/>
      <c r="EV8" s="522"/>
      <c r="EW8" s="522"/>
      <c r="EX8" s="522"/>
      <c r="EY8" s="522"/>
      <c r="EZ8" s="522"/>
      <c r="FA8" s="522"/>
      <c r="FB8" s="522"/>
      <c r="FC8" s="522"/>
      <c r="FD8" s="522"/>
      <c r="FE8" s="522"/>
      <c r="FF8" s="522"/>
      <c r="FG8" s="522"/>
      <c r="FH8" s="522"/>
      <c r="FI8" s="522"/>
      <c r="FJ8" s="522"/>
      <c r="FK8" s="522"/>
      <c r="FL8" s="522"/>
      <c r="FM8" s="522"/>
      <c r="FN8" s="522"/>
      <c r="FO8" s="522"/>
      <c r="FP8" s="522"/>
      <c r="FQ8" s="522"/>
      <c r="FR8" s="522"/>
      <c r="FS8" s="522"/>
      <c r="FT8" s="522"/>
      <c r="FU8" s="522"/>
      <c r="FV8" s="522"/>
      <c r="FW8" s="522"/>
      <c r="FX8" s="522"/>
      <c r="FY8" s="522"/>
      <c r="FZ8" s="522"/>
      <c r="GA8" s="522"/>
      <c r="GB8" s="522"/>
      <c r="GC8" s="522"/>
      <c r="GD8" s="522"/>
      <c r="GE8" s="522"/>
      <c r="GF8" s="522"/>
      <c r="GG8" s="522"/>
      <c r="GH8" s="522"/>
      <c r="GI8" s="522"/>
      <c r="GJ8" s="522"/>
      <c r="GK8" s="522"/>
      <c r="GL8" s="522"/>
      <c r="GM8" s="522"/>
      <c r="GN8" s="522"/>
      <c r="GO8" s="522"/>
      <c r="GP8" s="522"/>
      <c r="GQ8" s="522"/>
      <c r="GR8" s="522"/>
      <c r="GS8" s="522"/>
      <c r="GT8" s="522"/>
      <c r="GU8" s="522"/>
      <c r="GV8" s="522"/>
      <c r="GW8" s="522"/>
      <c r="GX8" s="522"/>
      <c r="GY8" s="522"/>
      <c r="GZ8" s="522"/>
      <c r="HA8" s="522"/>
      <c r="HB8" s="522"/>
      <c r="HC8" s="522"/>
      <c r="HD8" s="522"/>
      <c r="HE8" s="522"/>
      <c r="HF8" s="522"/>
      <c r="HG8" s="522"/>
      <c r="HH8" s="522"/>
      <c r="HI8" s="522"/>
      <c r="HJ8" s="522"/>
      <c r="HK8" s="522"/>
      <c r="HL8" s="522"/>
      <c r="HM8" s="522"/>
      <c r="HN8" s="522"/>
      <c r="HO8" s="522"/>
      <c r="HP8" s="522"/>
      <c r="HQ8" s="522"/>
      <c r="HR8" s="522"/>
      <c r="HS8" s="522"/>
      <c r="HT8" s="522"/>
      <c r="HU8" s="522"/>
      <c r="HV8" s="522"/>
      <c r="HW8" s="522"/>
      <c r="HX8" s="522"/>
      <c r="HY8" s="522"/>
      <c r="HZ8" s="522"/>
      <c r="IA8" s="522"/>
      <c r="IB8" s="522"/>
      <c r="IC8" s="522"/>
      <c r="ID8" s="522"/>
      <c r="IE8" s="522"/>
      <c r="IF8" s="522"/>
      <c r="IG8" s="522"/>
      <c r="IH8" s="522"/>
      <c r="II8" s="522"/>
      <c r="IJ8" s="522"/>
      <c r="IK8" s="522"/>
      <c r="IL8" s="522"/>
      <c r="IM8" s="522"/>
      <c r="IN8" s="522"/>
      <c r="IO8" s="522"/>
      <c r="IP8" s="522"/>
      <c r="IQ8" s="522"/>
      <c r="IR8" s="522"/>
    </row>
    <row r="9" spans="1:252" s="459" customFormat="1" ht="15.75" customHeight="1" x14ac:dyDescent="0.2">
      <c r="A9" s="484">
        <v>1</v>
      </c>
      <c r="B9" s="484" t="s">
        <v>159</v>
      </c>
      <c r="C9" s="516" t="s">
        <v>62</v>
      </c>
      <c r="D9" s="484" t="s">
        <v>63</v>
      </c>
      <c r="E9" s="486" t="s">
        <v>158</v>
      </c>
      <c r="F9" s="486" t="s">
        <v>160</v>
      </c>
      <c r="G9" s="510" t="s">
        <v>670</v>
      </c>
      <c r="H9" s="484">
        <v>3</v>
      </c>
      <c r="I9" s="484">
        <v>3</v>
      </c>
      <c r="J9" s="484">
        <v>3</v>
      </c>
      <c r="K9" s="482">
        <v>1493.3</v>
      </c>
      <c r="L9" s="482">
        <v>1493.3</v>
      </c>
      <c r="M9" s="482">
        <f>K9-L9</f>
        <v>0</v>
      </c>
      <c r="N9" s="484">
        <v>8</v>
      </c>
      <c r="O9" s="482">
        <v>26421.62</v>
      </c>
      <c r="P9" s="482">
        <v>26421.62</v>
      </c>
      <c r="Q9" s="482">
        <f>O9-P9</f>
        <v>0</v>
      </c>
    </row>
    <row r="10" spans="1:252" s="459" customFormat="1" ht="15.75" customHeight="1" x14ac:dyDescent="0.2">
      <c r="A10" s="484">
        <f>A9+1</f>
        <v>2</v>
      </c>
      <c r="B10" s="484" t="s">
        <v>581</v>
      </c>
      <c r="C10" s="516" t="s">
        <v>62</v>
      </c>
      <c r="D10" s="484" t="s">
        <v>63</v>
      </c>
      <c r="E10" s="486" t="s">
        <v>158</v>
      </c>
      <c r="F10" s="486" t="s">
        <v>582</v>
      </c>
      <c r="G10" s="510" t="s">
        <v>670</v>
      </c>
      <c r="H10" s="484">
        <v>0</v>
      </c>
      <c r="I10" s="484">
        <v>0</v>
      </c>
      <c r="J10" s="484">
        <v>0</v>
      </c>
      <c r="K10" s="482">
        <v>0</v>
      </c>
      <c r="L10" s="482">
        <v>0</v>
      </c>
      <c r="M10" s="482">
        <f t="shared" ref="M10:M73" si="0">K10-L10</f>
        <v>0</v>
      </c>
      <c r="N10" s="484">
        <v>2</v>
      </c>
      <c r="O10" s="482">
        <v>0</v>
      </c>
      <c r="P10" s="482">
        <v>0</v>
      </c>
      <c r="Q10" s="482">
        <f t="shared" ref="Q10:Q73" si="1">O10-P10</f>
        <v>0</v>
      </c>
    </row>
    <row r="11" spans="1:252" s="459" customFormat="1" ht="15.75" customHeight="1" x14ac:dyDescent="0.2">
      <c r="A11" s="484">
        <f t="shared" ref="A11:A74" si="2">A10+1</f>
        <v>3</v>
      </c>
      <c r="B11" s="484" t="s">
        <v>95</v>
      </c>
      <c r="C11" s="516" t="s">
        <v>62</v>
      </c>
      <c r="D11" s="484" t="s">
        <v>63</v>
      </c>
      <c r="E11" s="486" t="s">
        <v>158</v>
      </c>
      <c r="F11" s="486" t="s">
        <v>161</v>
      </c>
      <c r="G11" s="510" t="s">
        <v>670</v>
      </c>
      <c r="H11" s="484">
        <v>54</v>
      </c>
      <c r="I11" s="484">
        <v>44</v>
      </c>
      <c r="J11" s="484">
        <v>58</v>
      </c>
      <c r="K11" s="482">
        <v>77731.58</v>
      </c>
      <c r="L11" s="482">
        <f>70400.34+3873.83</f>
        <v>74274.17</v>
      </c>
      <c r="M11" s="482">
        <f t="shared" si="0"/>
        <v>3457.4100000000035</v>
      </c>
      <c r="N11" s="484">
        <v>30</v>
      </c>
      <c r="O11" s="482">
        <v>98356.77</v>
      </c>
      <c r="P11" s="482">
        <v>90695.42</v>
      </c>
      <c r="Q11" s="482">
        <f t="shared" si="1"/>
        <v>7661.3500000000058</v>
      </c>
    </row>
    <row r="12" spans="1:252" s="459" customFormat="1" ht="15.75" customHeight="1" x14ac:dyDescent="0.2">
      <c r="A12" s="484">
        <f t="shared" si="2"/>
        <v>4</v>
      </c>
      <c r="B12" s="484" t="s">
        <v>684</v>
      </c>
      <c r="C12" s="516" t="s">
        <v>62</v>
      </c>
      <c r="D12" s="484"/>
      <c r="E12" s="486" t="s">
        <v>158</v>
      </c>
      <c r="F12" s="486" t="s">
        <v>685</v>
      </c>
      <c r="G12" s="510" t="s">
        <v>670</v>
      </c>
      <c r="H12" s="484">
        <v>8</v>
      </c>
      <c r="I12" s="484">
        <v>3</v>
      </c>
      <c r="J12" s="484">
        <v>3</v>
      </c>
      <c r="K12" s="482">
        <v>0</v>
      </c>
      <c r="L12" s="482">
        <v>0</v>
      </c>
      <c r="M12" s="482">
        <f t="shared" si="0"/>
        <v>0</v>
      </c>
      <c r="N12" s="484">
        <v>0</v>
      </c>
      <c r="O12" s="482">
        <v>0</v>
      </c>
      <c r="P12" s="482">
        <v>0</v>
      </c>
      <c r="Q12" s="482">
        <f t="shared" si="1"/>
        <v>0</v>
      </c>
    </row>
    <row r="13" spans="1:252" s="459" customFormat="1" ht="15.75" customHeight="1" x14ac:dyDescent="0.2">
      <c r="A13" s="484">
        <f t="shared" si="2"/>
        <v>5</v>
      </c>
      <c r="B13" s="484" t="s">
        <v>541</v>
      </c>
      <c r="C13" s="516" t="s">
        <v>62</v>
      </c>
      <c r="D13" s="484"/>
      <c r="E13" s="486" t="s">
        <v>677</v>
      </c>
      <c r="F13" s="486" t="s">
        <v>542</v>
      </c>
      <c r="G13" s="510" t="s">
        <v>670</v>
      </c>
      <c r="H13" s="484">
        <v>29</v>
      </c>
      <c r="I13" s="484">
        <v>22</v>
      </c>
      <c r="J13" s="484">
        <v>30</v>
      </c>
      <c r="K13" s="482">
        <v>16190.58</v>
      </c>
      <c r="L13" s="482">
        <v>16190.58</v>
      </c>
      <c r="M13" s="482">
        <f t="shared" si="0"/>
        <v>0</v>
      </c>
      <c r="N13" s="484">
        <v>0</v>
      </c>
      <c r="O13" s="482">
        <v>0</v>
      </c>
      <c r="P13" s="482">
        <v>0</v>
      </c>
      <c r="Q13" s="482">
        <f t="shared" si="1"/>
        <v>0</v>
      </c>
    </row>
    <row r="14" spans="1:252" s="459" customFormat="1" ht="15.75" customHeight="1" x14ac:dyDescent="0.2">
      <c r="A14" s="484">
        <f t="shared" si="2"/>
        <v>6</v>
      </c>
      <c r="B14" s="484" t="s">
        <v>628</v>
      </c>
      <c r="C14" s="516" t="s">
        <v>62</v>
      </c>
      <c r="D14" s="484"/>
      <c r="E14" s="486" t="s">
        <v>158</v>
      </c>
      <c r="F14" s="486" t="s">
        <v>653</v>
      </c>
      <c r="G14" s="510" t="s">
        <v>670</v>
      </c>
      <c r="H14" s="484">
        <v>9</v>
      </c>
      <c r="I14" s="484">
        <v>6</v>
      </c>
      <c r="J14" s="484">
        <v>6</v>
      </c>
      <c r="K14" s="482">
        <v>0</v>
      </c>
      <c r="L14" s="482">
        <v>0</v>
      </c>
      <c r="M14" s="482">
        <f t="shared" si="0"/>
        <v>0</v>
      </c>
      <c r="N14" s="484">
        <v>0</v>
      </c>
      <c r="O14" s="482">
        <v>0</v>
      </c>
      <c r="P14" s="482">
        <v>0</v>
      </c>
      <c r="Q14" s="482">
        <f t="shared" si="1"/>
        <v>0</v>
      </c>
    </row>
    <row r="15" spans="1:252" s="459" customFormat="1" ht="15.75" customHeight="1" x14ac:dyDescent="0.2">
      <c r="A15" s="484">
        <f t="shared" si="2"/>
        <v>7</v>
      </c>
      <c r="B15" s="484" t="s">
        <v>18</v>
      </c>
      <c r="C15" s="516" t="s">
        <v>62</v>
      </c>
      <c r="D15" s="484" t="s">
        <v>63</v>
      </c>
      <c r="E15" s="486" t="s">
        <v>158</v>
      </c>
      <c r="F15" s="486" t="s">
        <v>565</v>
      </c>
      <c r="G15" s="510" t="s">
        <v>670</v>
      </c>
      <c r="H15" s="484">
        <v>5</v>
      </c>
      <c r="I15" s="484">
        <v>1</v>
      </c>
      <c r="J15" s="484">
        <v>1</v>
      </c>
      <c r="K15" s="482">
        <v>3936.79</v>
      </c>
      <c r="L15" s="482">
        <v>3936.79</v>
      </c>
      <c r="M15" s="482">
        <f t="shared" si="0"/>
        <v>0</v>
      </c>
      <c r="N15" s="484">
        <v>2</v>
      </c>
      <c r="O15" s="482">
        <v>3205.88</v>
      </c>
      <c r="P15" s="482">
        <v>3205.88</v>
      </c>
      <c r="Q15" s="482">
        <f t="shared" si="1"/>
        <v>0</v>
      </c>
    </row>
    <row r="16" spans="1:252" s="459" customFormat="1" ht="15.75" customHeight="1" x14ac:dyDescent="0.2">
      <c r="A16" s="484">
        <f t="shared" si="2"/>
        <v>8</v>
      </c>
      <c r="B16" s="484" t="s">
        <v>19</v>
      </c>
      <c r="C16" s="516" t="s">
        <v>62</v>
      </c>
      <c r="D16" s="484" t="s">
        <v>63</v>
      </c>
      <c r="E16" s="486" t="s">
        <v>671</v>
      </c>
      <c r="F16" s="486" t="s">
        <v>162</v>
      </c>
      <c r="G16" s="510" t="s">
        <v>670</v>
      </c>
      <c r="H16" s="484">
        <v>116</v>
      </c>
      <c r="I16" s="484">
        <v>104</v>
      </c>
      <c r="J16" s="484">
        <v>137</v>
      </c>
      <c r="K16" s="482">
        <v>121382.82</v>
      </c>
      <c r="L16" s="482">
        <v>98370.9</v>
      </c>
      <c r="M16" s="482">
        <f t="shared" si="0"/>
        <v>23011.920000000013</v>
      </c>
      <c r="N16" s="484">
        <v>27</v>
      </c>
      <c r="O16" s="482">
        <v>87506.880000000005</v>
      </c>
      <c r="P16" s="482">
        <v>85049.71</v>
      </c>
      <c r="Q16" s="482">
        <f t="shared" si="1"/>
        <v>2457.1699999999983</v>
      </c>
    </row>
    <row r="17" spans="1:17" s="459" customFormat="1" ht="15.75" customHeight="1" x14ac:dyDescent="0.2">
      <c r="A17" s="484">
        <f t="shared" si="2"/>
        <v>9</v>
      </c>
      <c r="B17" s="484" t="s">
        <v>672</v>
      </c>
      <c r="C17" s="516" t="s">
        <v>62</v>
      </c>
      <c r="D17" s="484"/>
      <c r="E17" s="486" t="s">
        <v>158</v>
      </c>
      <c r="F17" s="486" t="s">
        <v>673</v>
      </c>
      <c r="G17" s="510" t="s">
        <v>670</v>
      </c>
      <c r="H17" s="484">
        <v>0</v>
      </c>
      <c r="I17" s="484">
        <v>0</v>
      </c>
      <c r="J17" s="484">
        <v>0</v>
      </c>
      <c r="K17" s="482">
        <v>0</v>
      </c>
      <c r="L17" s="482">
        <v>0</v>
      </c>
      <c r="M17" s="482">
        <f t="shared" si="0"/>
        <v>0</v>
      </c>
      <c r="N17" s="484">
        <v>1</v>
      </c>
      <c r="O17" s="482">
        <v>5462.2</v>
      </c>
      <c r="P17" s="482">
        <v>5462.2</v>
      </c>
      <c r="Q17" s="482">
        <f t="shared" si="1"/>
        <v>0</v>
      </c>
    </row>
    <row r="18" spans="1:17" s="459" customFormat="1" ht="15.75" customHeight="1" x14ac:dyDescent="0.2">
      <c r="A18" s="484">
        <f t="shared" si="2"/>
        <v>10</v>
      </c>
      <c r="B18" s="484" t="s">
        <v>20</v>
      </c>
      <c r="C18" s="516" t="s">
        <v>62</v>
      </c>
      <c r="D18" s="484" t="s">
        <v>63</v>
      </c>
      <c r="E18" s="486" t="s">
        <v>158</v>
      </c>
      <c r="F18" s="486" t="s">
        <v>163</v>
      </c>
      <c r="G18" s="510" t="s">
        <v>670</v>
      </c>
      <c r="H18" s="484">
        <v>0</v>
      </c>
      <c r="I18" s="484">
        <v>0</v>
      </c>
      <c r="J18" s="484">
        <v>0</v>
      </c>
      <c r="K18" s="482">
        <v>0</v>
      </c>
      <c r="L18" s="482">
        <v>0</v>
      </c>
      <c r="M18" s="482">
        <f t="shared" si="0"/>
        <v>0</v>
      </c>
      <c r="N18" s="484">
        <v>1</v>
      </c>
      <c r="O18" s="482">
        <v>6138.73</v>
      </c>
      <c r="P18" s="482">
        <v>6138.73</v>
      </c>
      <c r="Q18" s="482">
        <f t="shared" si="1"/>
        <v>0</v>
      </c>
    </row>
    <row r="19" spans="1:17" s="459" customFormat="1" ht="15.75" customHeight="1" x14ac:dyDescent="0.2">
      <c r="A19" s="484">
        <f t="shared" si="2"/>
        <v>11</v>
      </c>
      <c r="B19" s="484" t="s">
        <v>100</v>
      </c>
      <c r="C19" s="516" t="s">
        <v>62</v>
      </c>
      <c r="D19" s="484" t="s">
        <v>63</v>
      </c>
      <c r="E19" s="486" t="s">
        <v>675</v>
      </c>
      <c r="F19" s="486" t="s">
        <v>164</v>
      </c>
      <c r="G19" s="510" t="s">
        <v>670</v>
      </c>
      <c r="H19" s="484">
        <v>17</v>
      </c>
      <c r="I19" s="484">
        <v>14</v>
      </c>
      <c r="J19" s="484">
        <v>18</v>
      </c>
      <c r="K19" s="482">
        <f>28244.77-6.51</f>
        <v>28238.260000000002</v>
      </c>
      <c r="L19" s="482">
        <f>28244.77-6.51</f>
        <v>28238.260000000002</v>
      </c>
      <c r="M19" s="482">
        <f t="shared" si="0"/>
        <v>0</v>
      </c>
      <c r="N19" s="484">
        <v>13</v>
      </c>
      <c r="O19" s="482">
        <v>40299.47</v>
      </c>
      <c r="P19" s="482">
        <v>40299.47</v>
      </c>
      <c r="Q19" s="482">
        <f t="shared" si="1"/>
        <v>0</v>
      </c>
    </row>
    <row r="20" spans="1:17" s="459" customFormat="1" ht="15.75" customHeight="1" x14ac:dyDescent="0.2">
      <c r="A20" s="484">
        <f t="shared" si="2"/>
        <v>12</v>
      </c>
      <c r="B20" s="484" t="s">
        <v>86</v>
      </c>
      <c r="C20" s="516" t="s">
        <v>62</v>
      </c>
      <c r="D20" s="484" t="s">
        <v>63</v>
      </c>
      <c r="E20" s="486" t="s">
        <v>158</v>
      </c>
      <c r="F20" s="486" t="s">
        <v>165</v>
      </c>
      <c r="G20" s="510" t="s">
        <v>670</v>
      </c>
      <c r="H20" s="484">
        <v>51</v>
      </c>
      <c r="I20" s="484">
        <v>31</v>
      </c>
      <c r="J20" s="484">
        <v>33</v>
      </c>
      <c r="K20" s="482">
        <v>26897.93</v>
      </c>
      <c r="L20" s="482">
        <v>26897.93</v>
      </c>
      <c r="M20" s="482">
        <f t="shared" si="0"/>
        <v>0</v>
      </c>
      <c r="N20" s="484">
        <v>20</v>
      </c>
      <c r="O20" s="482">
        <f>58106.78+607.89</f>
        <v>58714.67</v>
      </c>
      <c r="P20" s="482">
        <f>58106.78+607.89</f>
        <v>58714.67</v>
      </c>
      <c r="Q20" s="482">
        <f t="shared" si="1"/>
        <v>0</v>
      </c>
    </row>
    <row r="21" spans="1:17" s="459" customFormat="1" ht="15.75" customHeight="1" x14ac:dyDescent="0.2">
      <c r="A21" s="484">
        <f t="shared" si="2"/>
        <v>13</v>
      </c>
      <c r="B21" s="484" t="s">
        <v>166</v>
      </c>
      <c r="C21" s="516" t="s">
        <v>62</v>
      </c>
      <c r="D21" s="484"/>
      <c r="E21" s="486" t="s">
        <v>158</v>
      </c>
      <c r="F21" s="486" t="s">
        <v>167</v>
      </c>
      <c r="G21" s="510" t="s">
        <v>670</v>
      </c>
      <c r="H21" s="484">
        <v>19</v>
      </c>
      <c r="I21" s="484">
        <v>16</v>
      </c>
      <c r="J21" s="484">
        <v>17</v>
      </c>
      <c r="K21" s="482">
        <v>12377.17</v>
      </c>
      <c r="L21" s="482">
        <v>12377.17</v>
      </c>
      <c r="M21" s="482">
        <f t="shared" si="0"/>
        <v>0</v>
      </c>
      <c r="N21" s="484">
        <v>0</v>
      </c>
      <c r="O21" s="482">
        <v>0</v>
      </c>
      <c r="P21" s="482">
        <v>0</v>
      </c>
      <c r="Q21" s="482">
        <f t="shared" si="1"/>
        <v>0</v>
      </c>
    </row>
    <row r="22" spans="1:17" s="459" customFormat="1" ht="15.75" customHeight="1" x14ac:dyDescent="0.2">
      <c r="A22" s="484">
        <f t="shared" si="2"/>
        <v>14</v>
      </c>
      <c r="B22" s="484" t="s">
        <v>168</v>
      </c>
      <c r="C22" s="516" t="s">
        <v>62</v>
      </c>
      <c r="D22" s="484"/>
      <c r="E22" s="486" t="s">
        <v>371</v>
      </c>
      <c r="F22" s="486" t="s">
        <v>169</v>
      </c>
      <c r="G22" s="510" t="s">
        <v>670</v>
      </c>
      <c r="H22" s="484">
        <v>44</v>
      </c>
      <c r="I22" s="484">
        <v>38</v>
      </c>
      <c r="J22" s="484">
        <v>45</v>
      </c>
      <c r="K22" s="482">
        <f>34087.32+1761.84</f>
        <v>35849.159999999996</v>
      </c>
      <c r="L22" s="482">
        <f>34087.32+1761.84</f>
        <v>35849.159999999996</v>
      </c>
      <c r="M22" s="482">
        <f t="shared" si="0"/>
        <v>0</v>
      </c>
      <c r="N22" s="484">
        <v>0</v>
      </c>
      <c r="O22" s="482">
        <v>0</v>
      </c>
      <c r="P22" s="482">
        <v>0</v>
      </c>
      <c r="Q22" s="482">
        <f t="shared" si="1"/>
        <v>0</v>
      </c>
    </row>
    <row r="23" spans="1:17" s="459" customFormat="1" ht="15.75" customHeight="1" x14ac:dyDescent="0.2">
      <c r="A23" s="484">
        <f t="shared" si="2"/>
        <v>15</v>
      </c>
      <c r="B23" s="484" t="s">
        <v>21</v>
      </c>
      <c r="C23" s="516" t="s">
        <v>62</v>
      </c>
      <c r="D23" s="484" t="s">
        <v>63</v>
      </c>
      <c r="E23" s="486" t="s">
        <v>674</v>
      </c>
      <c r="F23" s="486" t="s">
        <v>170</v>
      </c>
      <c r="G23" s="510" t="s">
        <v>670</v>
      </c>
      <c r="H23" s="484">
        <v>54</v>
      </c>
      <c r="I23" s="484">
        <v>46</v>
      </c>
      <c r="J23" s="484">
        <v>55</v>
      </c>
      <c r="K23" s="482">
        <f>62209.16+1570</f>
        <v>63779.16</v>
      </c>
      <c r="L23" s="482">
        <f>62209.16+1570</f>
        <v>63779.16</v>
      </c>
      <c r="M23" s="482">
        <f t="shared" si="0"/>
        <v>0</v>
      </c>
      <c r="N23" s="484">
        <v>41</v>
      </c>
      <c r="O23" s="482">
        <v>148889.4</v>
      </c>
      <c r="P23" s="482">
        <v>148889.4</v>
      </c>
      <c r="Q23" s="482">
        <f t="shared" si="1"/>
        <v>0</v>
      </c>
    </row>
    <row r="24" spans="1:17" s="459" customFormat="1" ht="15.75" customHeight="1" x14ac:dyDescent="0.2">
      <c r="A24" s="484">
        <f t="shared" si="2"/>
        <v>16</v>
      </c>
      <c r="B24" s="484" t="s">
        <v>22</v>
      </c>
      <c r="C24" s="516" t="s">
        <v>62</v>
      </c>
      <c r="D24" s="484" t="s">
        <v>63</v>
      </c>
      <c r="E24" s="486" t="s">
        <v>158</v>
      </c>
      <c r="F24" s="486" t="s">
        <v>171</v>
      </c>
      <c r="G24" s="510" t="s">
        <v>670</v>
      </c>
      <c r="H24" s="484">
        <v>43</v>
      </c>
      <c r="I24" s="484">
        <v>35</v>
      </c>
      <c r="J24" s="484">
        <v>48</v>
      </c>
      <c r="K24" s="482">
        <f>51085.36+2014.97</f>
        <v>53100.33</v>
      </c>
      <c r="L24" s="482">
        <f>51085.36+2014.97</f>
        <v>53100.33</v>
      </c>
      <c r="M24" s="482">
        <f t="shared" si="0"/>
        <v>0</v>
      </c>
      <c r="N24" s="484">
        <v>44</v>
      </c>
      <c r="O24" s="482">
        <v>101080.14</v>
      </c>
      <c r="P24" s="482">
        <v>101080.14</v>
      </c>
      <c r="Q24" s="482">
        <f t="shared" si="1"/>
        <v>0</v>
      </c>
    </row>
    <row r="25" spans="1:17" s="459" customFormat="1" ht="15.75" customHeight="1" x14ac:dyDescent="0.2">
      <c r="A25" s="484">
        <f t="shared" si="2"/>
        <v>17</v>
      </c>
      <c r="B25" s="484" t="s">
        <v>23</v>
      </c>
      <c r="C25" s="516" t="s">
        <v>62</v>
      </c>
      <c r="D25" s="484" t="s">
        <v>63</v>
      </c>
      <c r="E25" s="486" t="s">
        <v>158</v>
      </c>
      <c r="F25" s="486" t="s">
        <v>136</v>
      </c>
      <c r="G25" s="510" t="s">
        <v>670</v>
      </c>
      <c r="H25" s="484">
        <v>2</v>
      </c>
      <c r="I25" s="484">
        <v>0</v>
      </c>
      <c r="J25" s="484">
        <v>0</v>
      </c>
      <c r="K25" s="482">
        <v>0</v>
      </c>
      <c r="L25" s="482">
        <v>0</v>
      </c>
      <c r="M25" s="482">
        <f t="shared" si="0"/>
        <v>0</v>
      </c>
      <c r="N25" s="484">
        <v>0</v>
      </c>
      <c r="O25" s="482">
        <v>0</v>
      </c>
      <c r="P25" s="482">
        <v>0</v>
      </c>
      <c r="Q25" s="482">
        <f t="shared" si="1"/>
        <v>0</v>
      </c>
    </row>
    <row r="26" spans="1:17" s="459" customFormat="1" ht="15.75" customHeight="1" x14ac:dyDescent="0.2">
      <c r="A26" s="484">
        <f t="shared" si="2"/>
        <v>18</v>
      </c>
      <c r="B26" s="484" t="s">
        <v>24</v>
      </c>
      <c r="C26" s="516" t="s">
        <v>62</v>
      </c>
      <c r="D26" s="484" t="s">
        <v>63</v>
      </c>
      <c r="E26" s="486" t="s">
        <v>158</v>
      </c>
      <c r="F26" s="486" t="s">
        <v>172</v>
      </c>
      <c r="G26" s="510" t="s">
        <v>670</v>
      </c>
      <c r="H26" s="484">
        <v>59</v>
      </c>
      <c r="I26" s="484">
        <v>50</v>
      </c>
      <c r="J26" s="484">
        <v>64</v>
      </c>
      <c r="K26" s="482">
        <v>43142.82</v>
      </c>
      <c r="L26" s="482">
        <v>43142.82</v>
      </c>
      <c r="M26" s="482">
        <f t="shared" si="0"/>
        <v>0</v>
      </c>
      <c r="N26" s="484">
        <v>34</v>
      </c>
      <c r="O26" s="482">
        <v>91426.1</v>
      </c>
      <c r="P26" s="482">
        <v>91426.1</v>
      </c>
      <c r="Q26" s="482">
        <f t="shared" si="1"/>
        <v>0</v>
      </c>
    </row>
    <row r="27" spans="1:17" s="459" customFormat="1" ht="15.75" customHeight="1" x14ac:dyDescent="0.2">
      <c r="A27" s="484">
        <f t="shared" si="2"/>
        <v>19</v>
      </c>
      <c r="B27" s="484" t="s">
        <v>102</v>
      </c>
      <c r="C27" s="516" t="s">
        <v>67</v>
      </c>
      <c r="D27" s="484" t="s">
        <v>516</v>
      </c>
      <c r="E27" s="486" t="s">
        <v>158</v>
      </c>
      <c r="F27" s="486" t="s">
        <v>477</v>
      </c>
      <c r="G27" s="510" t="s">
        <v>670</v>
      </c>
      <c r="H27" s="484">
        <v>4</v>
      </c>
      <c r="I27" s="484">
        <v>1</v>
      </c>
      <c r="J27" s="484">
        <v>1</v>
      </c>
      <c r="K27" s="482">
        <v>528.6</v>
      </c>
      <c r="L27" s="482">
        <v>528.6</v>
      </c>
      <c r="M27" s="482">
        <f t="shared" si="0"/>
        <v>0</v>
      </c>
      <c r="N27" s="484">
        <v>4</v>
      </c>
      <c r="O27" s="482">
        <v>9770.18</v>
      </c>
      <c r="P27" s="482">
        <v>9770.18</v>
      </c>
      <c r="Q27" s="482">
        <f t="shared" si="1"/>
        <v>0</v>
      </c>
    </row>
    <row r="28" spans="1:17" s="459" customFormat="1" ht="15.75" customHeight="1" x14ac:dyDescent="0.2">
      <c r="A28" s="484">
        <f t="shared" si="2"/>
        <v>20</v>
      </c>
      <c r="B28" s="484" t="s">
        <v>173</v>
      </c>
      <c r="C28" s="516" t="s">
        <v>67</v>
      </c>
      <c r="D28" s="484" t="s">
        <v>478</v>
      </c>
      <c r="E28" s="486" t="s">
        <v>158</v>
      </c>
      <c r="F28" s="486" t="s">
        <v>175</v>
      </c>
      <c r="G28" s="510" t="s">
        <v>670</v>
      </c>
      <c r="H28" s="484">
        <v>32</v>
      </c>
      <c r="I28" s="484">
        <v>24</v>
      </c>
      <c r="J28" s="484">
        <v>28</v>
      </c>
      <c r="K28" s="482">
        <v>19933.77</v>
      </c>
      <c r="L28" s="482">
        <v>14928.42</v>
      </c>
      <c r="M28" s="482">
        <f t="shared" si="0"/>
        <v>5005.3500000000004</v>
      </c>
      <c r="N28" s="484">
        <v>0</v>
      </c>
      <c r="O28" s="482">
        <v>0</v>
      </c>
      <c r="P28" s="482">
        <v>0</v>
      </c>
      <c r="Q28" s="482">
        <f t="shared" si="1"/>
        <v>0</v>
      </c>
    </row>
    <row r="29" spans="1:17" s="459" customFormat="1" ht="15.75" customHeight="1" x14ac:dyDescent="0.2">
      <c r="A29" s="484">
        <f t="shared" si="2"/>
        <v>21</v>
      </c>
      <c r="B29" s="484" t="s">
        <v>25</v>
      </c>
      <c r="C29" s="516" t="s">
        <v>62</v>
      </c>
      <c r="D29" s="484" t="s">
        <v>63</v>
      </c>
      <c r="E29" s="486" t="s">
        <v>676</v>
      </c>
      <c r="F29" s="486" t="s">
        <v>584</v>
      </c>
      <c r="G29" s="510" t="s">
        <v>670</v>
      </c>
      <c r="H29" s="484">
        <v>62</v>
      </c>
      <c r="I29" s="484">
        <v>0</v>
      </c>
      <c r="J29" s="484">
        <v>0</v>
      </c>
      <c r="K29" s="482">
        <v>0</v>
      </c>
      <c r="L29" s="482">
        <v>0</v>
      </c>
      <c r="M29" s="482">
        <f t="shared" si="0"/>
        <v>0</v>
      </c>
      <c r="N29" s="484">
        <v>0</v>
      </c>
      <c r="O29" s="482">
        <v>0</v>
      </c>
      <c r="P29" s="482">
        <v>0</v>
      </c>
      <c r="Q29" s="482">
        <f t="shared" si="1"/>
        <v>0</v>
      </c>
    </row>
    <row r="30" spans="1:17" s="459" customFormat="1" ht="15.75" customHeight="1" x14ac:dyDescent="0.2">
      <c r="A30" s="484">
        <f t="shared" si="2"/>
        <v>22</v>
      </c>
      <c r="B30" s="484" t="s">
        <v>600</v>
      </c>
      <c r="C30" s="516" t="s">
        <v>62</v>
      </c>
      <c r="D30" s="484" t="s">
        <v>63</v>
      </c>
      <c r="E30" s="486" t="s">
        <v>158</v>
      </c>
      <c r="F30" s="486" t="s">
        <v>103</v>
      </c>
      <c r="G30" s="510" t="s">
        <v>670</v>
      </c>
      <c r="H30" s="484">
        <v>0</v>
      </c>
      <c r="I30" s="484">
        <v>0</v>
      </c>
      <c r="J30" s="484">
        <v>0</v>
      </c>
      <c r="K30" s="482">
        <v>0</v>
      </c>
      <c r="L30" s="482">
        <v>0</v>
      </c>
      <c r="M30" s="482">
        <f t="shared" si="0"/>
        <v>0</v>
      </c>
      <c r="N30" s="484">
        <v>15</v>
      </c>
      <c r="O30" s="482">
        <v>62481.86</v>
      </c>
      <c r="P30" s="482">
        <v>62481.86</v>
      </c>
      <c r="Q30" s="482">
        <f t="shared" si="1"/>
        <v>0</v>
      </c>
    </row>
    <row r="31" spans="1:17" s="459" customFormat="1" ht="15.75" customHeight="1" x14ac:dyDescent="0.2">
      <c r="A31" s="484">
        <f t="shared" si="2"/>
        <v>23</v>
      </c>
      <c r="B31" s="484" t="s">
        <v>479</v>
      </c>
      <c r="C31" s="516" t="s">
        <v>67</v>
      </c>
      <c r="D31" s="484" t="s">
        <v>480</v>
      </c>
      <c r="E31" s="486" t="s">
        <v>158</v>
      </c>
      <c r="F31" s="486" t="s">
        <v>481</v>
      </c>
      <c r="G31" s="510" t="s">
        <v>670</v>
      </c>
      <c r="H31" s="484">
        <v>14</v>
      </c>
      <c r="I31" s="484">
        <v>7</v>
      </c>
      <c r="J31" s="484">
        <v>7</v>
      </c>
      <c r="K31" s="482">
        <v>3449.4</v>
      </c>
      <c r="L31" s="482">
        <v>3449.4</v>
      </c>
      <c r="M31" s="482">
        <f t="shared" si="0"/>
        <v>0</v>
      </c>
      <c r="N31" s="484">
        <v>0</v>
      </c>
      <c r="O31" s="482">
        <v>0</v>
      </c>
      <c r="P31" s="482">
        <v>0</v>
      </c>
      <c r="Q31" s="482">
        <f t="shared" si="1"/>
        <v>0</v>
      </c>
    </row>
    <row r="32" spans="1:17" s="459" customFormat="1" ht="15.75" customHeight="1" x14ac:dyDescent="0.2">
      <c r="A32" s="484">
        <f t="shared" si="2"/>
        <v>24</v>
      </c>
      <c r="B32" s="484" t="s">
        <v>176</v>
      </c>
      <c r="C32" s="516" t="s">
        <v>62</v>
      </c>
      <c r="D32" s="484"/>
      <c r="E32" s="486" t="s">
        <v>677</v>
      </c>
      <c r="F32" s="486" t="s">
        <v>178</v>
      </c>
      <c r="G32" s="510" t="s">
        <v>670</v>
      </c>
      <c r="H32" s="484">
        <v>20</v>
      </c>
      <c r="I32" s="484">
        <v>15</v>
      </c>
      <c r="J32" s="484">
        <v>16</v>
      </c>
      <c r="K32" s="482">
        <v>14354.65</v>
      </c>
      <c r="L32" s="482">
        <f>7259.44+2025.1</f>
        <v>9284.5399999999991</v>
      </c>
      <c r="M32" s="482">
        <f t="shared" si="0"/>
        <v>5070.1100000000006</v>
      </c>
      <c r="N32" s="484">
        <v>0</v>
      </c>
      <c r="O32" s="482">
        <v>0</v>
      </c>
      <c r="P32" s="482">
        <v>0</v>
      </c>
      <c r="Q32" s="482">
        <f t="shared" si="1"/>
        <v>0</v>
      </c>
    </row>
    <row r="33" spans="1:17" s="459" customFormat="1" ht="15.75" customHeight="1" x14ac:dyDescent="0.2">
      <c r="A33" s="484">
        <f t="shared" si="2"/>
        <v>25</v>
      </c>
      <c r="B33" s="484" t="s">
        <v>152</v>
      </c>
      <c r="C33" s="516" t="s">
        <v>62</v>
      </c>
      <c r="D33" s="484" t="s">
        <v>63</v>
      </c>
      <c r="E33" s="486" t="s">
        <v>158</v>
      </c>
      <c r="F33" s="486" t="s">
        <v>179</v>
      </c>
      <c r="G33" s="510" t="s">
        <v>670</v>
      </c>
      <c r="H33" s="484">
        <v>31</v>
      </c>
      <c r="I33" s="484">
        <v>16</v>
      </c>
      <c r="J33" s="484">
        <v>18</v>
      </c>
      <c r="K33" s="482">
        <v>38119.06</v>
      </c>
      <c r="L33" s="482">
        <v>38119.06</v>
      </c>
      <c r="M33" s="482">
        <f t="shared" si="0"/>
        <v>0</v>
      </c>
      <c r="N33" s="484">
        <v>16</v>
      </c>
      <c r="O33" s="482">
        <v>10875.99</v>
      </c>
      <c r="P33" s="482">
        <v>10875.99</v>
      </c>
      <c r="Q33" s="482">
        <f t="shared" si="1"/>
        <v>0</v>
      </c>
    </row>
    <row r="34" spans="1:17" s="459" customFormat="1" ht="15.75" customHeight="1" x14ac:dyDescent="0.2">
      <c r="A34" s="484">
        <f t="shared" si="2"/>
        <v>26</v>
      </c>
      <c r="B34" s="484" t="s">
        <v>88</v>
      </c>
      <c r="C34" s="516" t="s">
        <v>62</v>
      </c>
      <c r="D34" s="484" t="s">
        <v>63</v>
      </c>
      <c r="E34" s="486" t="s">
        <v>158</v>
      </c>
      <c r="F34" s="486" t="s">
        <v>180</v>
      </c>
      <c r="G34" s="510" t="s">
        <v>670</v>
      </c>
      <c r="H34" s="484">
        <v>9</v>
      </c>
      <c r="I34" s="484">
        <v>5</v>
      </c>
      <c r="J34" s="484">
        <v>5</v>
      </c>
      <c r="K34" s="482">
        <v>7768.25</v>
      </c>
      <c r="L34" s="482">
        <f>2706.43+1215.06</f>
        <v>3921.49</v>
      </c>
      <c r="M34" s="482">
        <f t="shared" si="0"/>
        <v>3846.76</v>
      </c>
      <c r="N34" s="484">
        <v>2</v>
      </c>
      <c r="O34" s="482">
        <v>22884.99</v>
      </c>
      <c r="P34" s="482">
        <v>22884.99</v>
      </c>
      <c r="Q34" s="482">
        <f t="shared" si="1"/>
        <v>0</v>
      </c>
    </row>
    <row r="35" spans="1:17" s="459" customFormat="1" ht="15.75" customHeight="1" x14ac:dyDescent="0.2">
      <c r="A35" s="484">
        <f t="shared" si="2"/>
        <v>27</v>
      </c>
      <c r="B35" s="484" t="s">
        <v>26</v>
      </c>
      <c r="C35" s="516" t="s">
        <v>62</v>
      </c>
      <c r="D35" s="484" t="s">
        <v>63</v>
      </c>
      <c r="E35" s="486" t="s">
        <v>158</v>
      </c>
      <c r="F35" s="486" t="s">
        <v>181</v>
      </c>
      <c r="G35" s="510" t="s">
        <v>670</v>
      </c>
      <c r="H35" s="484">
        <v>30</v>
      </c>
      <c r="I35" s="484">
        <v>24</v>
      </c>
      <c r="J35" s="484">
        <v>34</v>
      </c>
      <c r="K35" s="482">
        <v>65045.440000000002</v>
      </c>
      <c r="L35" s="482">
        <v>65045.440000000002</v>
      </c>
      <c r="M35" s="482">
        <f t="shared" si="0"/>
        <v>0</v>
      </c>
      <c r="N35" s="484">
        <v>16</v>
      </c>
      <c r="O35" s="482">
        <v>27881.98</v>
      </c>
      <c r="P35" s="482">
        <v>27881.98</v>
      </c>
      <c r="Q35" s="482">
        <f t="shared" si="1"/>
        <v>0</v>
      </c>
    </row>
    <row r="36" spans="1:17" s="459" customFormat="1" ht="15.75" customHeight="1" x14ac:dyDescent="0.2">
      <c r="A36" s="484">
        <f t="shared" si="2"/>
        <v>28</v>
      </c>
      <c r="B36" s="484" t="s">
        <v>182</v>
      </c>
      <c r="C36" s="516" t="s">
        <v>62</v>
      </c>
      <c r="D36" s="484"/>
      <c r="E36" s="486" t="s">
        <v>158</v>
      </c>
      <c r="F36" s="486" t="s">
        <v>183</v>
      </c>
      <c r="G36" s="510" t="s">
        <v>670</v>
      </c>
      <c r="H36" s="484">
        <v>41</v>
      </c>
      <c r="I36" s="484">
        <v>23</v>
      </c>
      <c r="J36" s="484">
        <v>28</v>
      </c>
      <c r="K36" s="482">
        <v>23283.040000000001</v>
      </c>
      <c r="L36" s="482">
        <v>23283.040000000001</v>
      </c>
      <c r="M36" s="482">
        <f t="shared" si="0"/>
        <v>0</v>
      </c>
      <c r="N36" s="484">
        <v>0</v>
      </c>
      <c r="O36" s="482">
        <v>0</v>
      </c>
      <c r="P36" s="482">
        <v>0</v>
      </c>
      <c r="Q36" s="482">
        <f t="shared" si="1"/>
        <v>0</v>
      </c>
    </row>
    <row r="37" spans="1:17" s="459" customFormat="1" ht="15.75" customHeight="1" x14ac:dyDescent="0.2">
      <c r="A37" s="484">
        <f t="shared" si="2"/>
        <v>29</v>
      </c>
      <c r="B37" s="484" t="s">
        <v>601</v>
      </c>
      <c r="C37" s="516" t="s">
        <v>62</v>
      </c>
      <c r="D37" s="484" t="s">
        <v>63</v>
      </c>
      <c r="E37" s="486" t="s">
        <v>678</v>
      </c>
      <c r="F37" s="486" t="s">
        <v>602</v>
      </c>
      <c r="G37" s="510" t="s">
        <v>670</v>
      </c>
      <c r="H37" s="484">
        <v>4</v>
      </c>
      <c r="I37" s="484">
        <v>0</v>
      </c>
      <c r="J37" s="484">
        <v>0</v>
      </c>
      <c r="K37" s="482">
        <v>0</v>
      </c>
      <c r="L37" s="482">
        <v>0</v>
      </c>
      <c r="M37" s="482">
        <f t="shared" si="0"/>
        <v>0</v>
      </c>
      <c r="N37" s="484">
        <v>0</v>
      </c>
      <c r="O37" s="482">
        <v>0</v>
      </c>
      <c r="P37" s="482">
        <v>0</v>
      </c>
      <c r="Q37" s="482">
        <f t="shared" si="1"/>
        <v>0</v>
      </c>
    </row>
    <row r="38" spans="1:17" s="459" customFormat="1" ht="15.75" customHeight="1" x14ac:dyDescent="0.2">
      <c r="A38" s="484">
        <f t="shared" si="2"/>
        <v>30</v>
      </c>
      <c r="B38" s="484" t="s">
        <v>137</v>
      </c>
      <c r="C38" s="516" t="s">
        <v>62</v>
      </c>
      <c r="D38" s="484" t="s">
        <v>63</v>
      </c>
      <c r="E38" s="486" t="s">
        <v>158</v>
      </c>
      <c r="F38" s="486" t="s">
        <v>184</v>
      </c>
      <c r="G38" s="510" t="s">
        <v>670</v>
      </c>
      <c r="H38" s="484">
        <v>11</v>
      </c>
      <c r="I38" s="484">
        <v>6</v>
      </c>
      <c r="J38" s="484">
        <v>6</v>
      </c>
      <c r="K38" s="482">
        <v>8691.83</v>
      </c>
      <c r="L38" s="482">
        <v>8691.83</v>
      </c>
      <c r="M38" s="482">
        <f t="shared" si="0"/>
        <v>0</v>
      </c>
      <c r="N38" s="484">
        <v>5</v>
      </c>
      <c r="O38" s="482">
        <v>9148.83</v>
      </c>
      <c r="P38" s="482">
        <v>9148.83</v>
      </c>
      <c r="Q38" s="482">
        <f t="shared" si="1"/>
        <v>0</v>
      </c>
    </row>
    <row r="39" spans="1:17" s="459" customFormat="1" ht="15.75" customHeight="1" x14ac:dyDescent="0.2">
      <c r="A39" s="484">
        <f t="shared" si="2"/>
        <v>31</v>
      </c>
      <c r="B39" s="484" t="s">
        <v>185</v>
      </c>
      <c r="C39" s="516" t="s">
        <v>62</v>
      </c>
      <c r="D39" s="484"/>
      <c r="E39" s="486" t="s">
        <v>674</v>
      </c>
      <c r="F39" s="486" t="s">
        <v>463</v>
      </c>
      <c r="G39" s="510" t="s">
        <v>670</v>
      </c>
      <c r="H39" s="484">
        <v>15</v>
      </c>
      <c r="I39" s="484">
        <v>10</v>
      </c>
      <c r="J39" s="484">
        <v>12</v>
      </c>
      <c r="K39" s="482">
        <f>3098.57-352.4</f>
        <v>2746.17</v>
      </c>
      <c r="L39" s="482">
        <v>2746.17</v>
      </c>
      <c r="M39" s="482">
        <f t="shared" si="0"/>
        <v>0</v>
      </c>
      <c r="N39" s="484">
        <v>0</v>
      </c>
      <c r="O39" s="482">
        <v>0</v>
      </c>
      <c r="P39" s="482">
        <v>0</v>
      </c>
      <c r="Q39" s="482">
        <f t="shared" si="1"/>
        <v>0</v>
      </c>
    </row>
    <row r="40" spans="1:17" s="459" customFormat="1" ht="15.75" customHeight="1" x14ac:dyDescent="0.2">
      <c r="A40" s="484">
        <f t="shared" si="2"/>
        <v>32</v>
      </c>
      <c r="B40" s="484" t="s">
        <v>27</v>
      </c>
      <c r="C40" s="516" t="s">
        <v>62</v>
      </c>
      <c r="D40" s="484" t="s">
        <v>63</v>
      </c>
      <c r="E40" s="486" t="s">
        <v>158</v>
      </c>
      <c r="F40" s="486" t="s">
        <v>187</v>
      </c>
      <c r="G40" s="510" t="s">
        <v>670</v>
      </c>
      <c r="H40" s="484">
        <v>19</v>
      </c>
      <c r="I40" s="484">
        <v>13</v>
      </c>
      <c r="J40" s="484">
        <v>14</v>
      </c>
      <c r="K40" s="482">
        <v>11368.12</v>
      </c>
      <c r="L40" s="482">
        <v>11368.12</v>
      </c>
      <c r="M40" s="482">
        <f t="shared" si="0"/>
        <v>0</v>
      </c>
      <c r="N40" s="484">
        <v>7</v>
      </c>
      <c r="O40" s="482">
        <v>35186.089999999997</v>
      </c>
      <c r="P40" s="482">
        <v>35186.089999999997</v>
      </c>
      <c r="Q40" s="482">
        <f t="shared" si="1"/>
        <v>0</v>
      </c>
    </row>
    <row r="41" spans="1:17" s="459" customFormat="1" ht="15.75" customHeight="1" x14ac:dyDescent="0.2">
      <c r="A41" s="484">
        <f t="shared" si="2"/>
        <v>33</v>
      </c>
      <c r="B41" s="484" t="s">
        <v>654</v>
      </c>
      <c r="C41" s="516" t="s">
        <v>62</v>
      </c>
      <c r="D41" s="484"/>
      <c r="E41" s="486" t="s">
        <v>681</v>
      </c>
      <c r="F41" s="486" t="s">
        <v>656</v>
      </c>
      <c r="G41" s="510" t="s">
        <v>670</v>
      </c>
      <c r="H41" s="484">
        <v>6</v>
      </c>
      <c r="I41" s="484">
        <v>0</v>
      </c>
      <c r="J41" s="484">
        <v>0</v>
      </c>
      <c r="K41" s="482">
        <v>0</v>
      </c>
      <c r="L41" s="482">
        <v>0</v>
      </c>
      <c r="M41" s="482">
        <f t="shared" si="0"/>
        <v>0</v>
      </c>
      <c r="N41" s="484">
        <v>0</v>
      </c>
      <c r="O41" s="482">
        <v>0</v>
      </c>
      <c r="P41" s="482">
        <v>0</v>
      </c>
      <c r="Q41" s="482">
        <f t="shared" si="1"/>
        <v>0</v>
      </c>
    </row>
    <row r="42" spans="1:17" s="459" customFormat="1" ht="15.75" customHeight="1" x14ac:dyDescent="0.2">
      <c r="A42" s="484">
        <f t="shared" si="2"/>
        <v>34</v>
      </c>
      <c r="B42" s="484" t="s">
        <v>482</v>
      </c>
      <c r="C42" s="516" t="s">
        <v>64</v>
      </c>
      <c r="D42" s="484" t="s">
        <v>483</v>
      </c>
      <c r="E42" s="486" t="s">
        <v>158</v>
      </c>
      <c r="F42" s="486" t="s">
        <v>484</v>
      </c>
      <c r="G42" s="510" t="s">
        <v>670</v>
      </c>
      <c r="H42" s="484">
        <v>11</v>
      </c>
      <c r="I42" s="484">
        <v>0</v>
      </c>
      <c r="J42" s="484">
        <v>0</v>
      </c>
      <c r="K42" s="482">
        <v>0</v>
      </c>
      <c r="L42" s="482">
        <v>0</v>
      </c>
      <c r="M42" s="482">
        <f t="shared" si="0"/>
        <v>0</v>
      </c>
      <c r="N42" s="484">
        <v>0</v>
      </c>
      <c r="O42" s="482">
        <v>0</v>
      </c>
      <c r="P42" s="482">
        <v>0</v>
      </c>
      <c r="Q42" s="482">
        <f t="shared" si="1"/>
        <v>0</v>
      </c>
    </row>
    <row r="43" spans="1:17" s="459" customFormat="1" ht="15.75" customHeight="1" x14ac:dyDescent="0.2">
      <c r="A43" s="484">
        <f t="shared" si="2"/>
        <v>35</v>
      </c>
      <c r="B43" s="484" t="s">
        <v>104</v>
      </c>
      <c r="C43" s="516" t="s">
        <v>62</v>
      </c>
      <c r="D43" s="484" t="s">
        <v>63</v>
      </c>
      <c r="E43" s="490" t="s">
        <v>730</v>
      </c>
      <c r="F43" s="486" t="s">
        <v>188</v>
      </c>
      <c r="G43" s="510" t="s">
        <v>670</v>
      </c>
      <c r="H43" s="484">
        <v>9</v>
      </c>
      <c r="I43" s="484">
        <v>7</v>
      </c>
      <c r="J43" s="484">
        <v>9</v>
      </c>
      <c r="K43" s="482">
        <v>19587.169999999998</v>
      </c>
      <c r="L43" s="482">
        <v>19587.169999999998</v>
      </c>
      <c r="M43" s="482">
        <f t="shared" si="0"/>
        <v>0</v>
      </c>
      <c r="N43" s="484">
        <v>26</v>
      </c>
      <c r="O43" s="482">
        <f>49255.29+5920.32</f>
        <v>55175.61</v>
      </c>
      <c r="P43" s="482">
        <f>49255.29+5920.32</f>
        <v>55175.61</v>
      </c>
      <c r="Q43" s="482">
        <f t="shared" si="1"/>
        <v>0</v>
      </c>
    </row>
    <row r="44" spans="1:17" s="459" customFormat="1" ht="15.75" customHeight="1" x14ac:dyDescent="0.2">
      <c r="A44" s="484">
        <f t="shared" si="2"/>
        <v>36</v>
      </c>
      <c r="B44" s="484" t="s">
        <v>517</v>
      </c>
      <c r="C44" s="516" t="s">
        <v>62</v>
      </c>
      <c r="D44" s="484"/>
      <c r="E44" s="486" t="s">
        <v>158</v>
      </c>
      <c r="F44" s="486" t="s">
        <v>567</v>
      </c>
      <c r="G44" s="510" t="s">
        <v>670</v>
      </c>
      <c r="H44" s="484">
        <v>22</v>
      </c>
      <c r="I44" s="484">
        <v>15</v>
      </c>
      <c r="J44" s="484">
        <v>16</v>
      </c>
      <c r="K44" s="482">
        <v>8593.74</v>
      </c>
      <c r="L44" s="482">
        <v>8593.74</v>
      </c>
      <c r="M44" s="482">
        <f t="shared" si="0"/>
        <v>0</v>
      </c>
      <c r="N44" s="484">
        <v>0</v>
      </c>
      <c r="O44" s="482">
        <v>0</v>
      </c>
      <c r="P44" s="482">
        <v>0</v>
      </c>
      <c r="Q44" s="482">
        <f t="shared" si="1"/>
        <v>0</v>
      </c>
    </row>
    <row r="45" spans="1:17" s="459" customFormat="1" ht="15.75" customHeight="1" x14ac:dyDescent="0.2">
      <c r="A45" s="484">
        <f t="shared" si="2"/>
        <v>37</v>
      </c>
      <c r="B45" s="484" t="s">
        <v>28</v>
      </c>
      <c r="C45" s="516" t="s">
        <v>62</v>
      </c>
      <c r="D45" s="484" t="s">
        <v>63</v>
      </c>
      <c r="E45" s="486" t="s">
        <v>158</v>
      </c>
      <c r="F45" s="486" t="s">
        <v>189</v>
      </c>
      <c r="G45" s="510" t="s">
        <v>670</v>
      </c>
      <c r="H45" s="484">
        <v>14</v>
      </c>
      <c r="I45" s="484">
        <v>10</v>
      </c>
      <c r="J45" s="484">
        <v>11</v>
      </c>
      <c r="K45" s="482">
        <v>13276.34</v>
      </c>
      <c r="L45" s="482">
        <f>10155.84+3120.5</f>
        <v>13276.34</v>
      </c>
      <c r="M45" s="482">
        <f t="shared" si="0"/>
        <v>0</v>
      </c>
      <c r="N45" s="484">
        <v>8</v>
      </c>
      <c r="O45" s="482">
        <v>18393.25</v>
      </c>
      <c r="P45" s="482">
        <v>18393.25</v>
      </c>
      <c r="Q45" s="482">
        <f t="shared" si="1"/>
        <v>0</v>
      </c>
    </row>
    <row r="46" spans="1:17" s="459" customFormat="1" ht="15.75" customHeight="1" x14ac:dyDescent="0.2">
      <c r="A46" s="484">
        <f t="shared" si="2"/>
        <v>38</v>
      </c>
      <c r="B46" s="484" t="s">
        <v>190</v>
      </c>
      <c r="C46" s="516" t="s">
        <v>62</v>
      </c>
      <c r="D46" s="484"/>
      <c r="E46" s="486" t="s">
        <v>675</v>
      </c>
      <c r="F46" s="486" t="s">
        <v>191</v>
      </c>
      <c r="G46" s="510" t="s">
        <v>670</v>
      </c>
      <c r="H46" s="484">
        <v>20</v>
      </c>
      <c r="I46" s="484">
        <v>17</v>
      </c>
      <c r="J46" s="484">
        <v>17</v>
      </c>
      <c r="K46" s="482">
        <v>15430.42</v>
      </c>
      <c r="L46" s="482">
        <f>13185.23+2245.19</f>
        <v>15430.42</v>
      </c>
      <c r="M46" s="482">
        <f t="shared" si="0"/>
        <v>0</v>
      </c>
      <c r="N46" s="484">
        <v>0</v>
      </c>
      <c r="O46" s="482">
        <v>0</v>
      </c>
      <c r="P46" s="482">
        <v>0</v>
      </c>
      <c r="Q46" s="482">
        <f t="shared" si="1"/>
        <v>0</v>
      </c>
    </row>
    <row r="47" spans="1:17" s="459" customFormat="1" ht="15.75" customHeight="1" x14ac:dyDescent="0.2">
      <c r="A47" s="484">
        <f t="shared" si="2"/>
        <v>39</v>
      </c>
      <c r="B47" s="484" t="s">
        <v>192</v>
      </c>
      <c r="C47" s="516" t="s">
        <v>64</v>
      </c>
      <c r="D47" s="484" t="s">
        <v>731</v>
      </c>
      <c r="E47" s="486" t="s">
        <v>158</v>
      </c>
      <c r="F47" s="486" t="s">
        <v>194</v>
      </c>
      <c r="G47" s="510" t="s">
        <v>670</v>
      </c>
      <c r="H47" s="484">
        <v>1</v>
      </c>
      <c r="I47" s="484">
        <v>0</v>
      </c>
      <c r="J47" s="484">
        <v>0</v>
      </c>
      <c r="K47" s="482">
        <v>0</v>
      </c>
      <c r="L47" s="482">
        <v>0</v>
      </c>
      <c r="M47" s="482">
        <f t="shared" si="0"/>
        <v>0</v>
      </c>
      <c r="N47" s="484">
        <v>0</v>
      </c>
      <c r="O47" s="482">
        <v>0</v>
      </c>
      <c r="P47" s="482">
        <v>0</v>
      </c>
      <c r="Q47" s="482">
        <f t="shared" si="1"/>
        <v>0</v>
      </c>
    </row>
    <row r="48" spans="1:17" s="459" customFormat="1" ht="15.75" customHeight="1" x14ac:dyDescent="0.2">
      <c r="A48" s="484">
        <f t="shared" si="2"/>
        <v>40</v>
      </c>
      <c r="B48" s="484" t="s">
        <v>89</v>
      </c>
      <c r="C48" s="516" t="s">
        <v>62</v>
      </c>
      <c r="D48" s="484" t="s">
        <v>63</v>
      </c>
      <c r="E48" s="486" t="s">
        <v>158</v>
      </c>
      <c r="F48" s="486" t="s">
        <v>195</v>
      </c>
      <c r="G48" s="510" t="s">
        <v>670</v>
      </c>
      <c r="H48" s="484">
        <v>39</v>
      </c>
      <c r="I48" s="484">
        <v>36</v>
      </c>
      <c r="J48" s="484">
        <v>38</v>
      </c>
      <c r="K48" s="482">
        <v>34420.629999999997</v>
      </c>
      <c r="L48" s="482">
        <v>34420.629999999997</v>
      </c>
      <c r="M48" s="482">
        <f t="shared" si="0"/>
        <v>0</v>
      </c>
      <c r="N48" s="484">
        <v>7</v>
      </c>
      <c r="O48" s="482">
        <v>39298.120000000003</v>
      </c>
      <c r="P48" s="482">
        <v>39298.120000000003</v>
      </c>
      <c r="Q48" s="482">
        <f t="shared" si="1"/>
        <v>0</v>
      </c>
    </row>
    <row r="49" spans="1:17" s="459" customFormat="1" ht="15.75" customHeight="1" x14ac:dyDescent="0.2">
      <c r="A49" s="484">
        <f t="shared" si="2"/>
        <v>41</v>
      </c>
      <c r="B49" s="484" t="s">
        <v>196</v>
      </c>
      <c r="C49" s="516" t="s">
        <v>62</v>
      </c>
      <c r="D49" s="484"/>
      <c r="E49" s="486" t="s">
        <v>683</v>
      </c>
      <c r="F49" s="486" t="s">
        <v>198</v>
      </c>
      <c r="G49" s="510" t="s">
        <v>670</v>
      </c>
      <c r="H49" s="484">
        <v>27</v>
      </c>
      <c r="I49" s="484">
        <v>18</v>
      </c>
      <c r="J49" s="484">
        <v>19</v>
      </c>
      <c r="K49" s="482">
        <v>29345.31</v>
      </c>
      <c r="L49" s="482">
        <f>18951.14+1654.69</f>
        <v>20605.829999999998</v>
      </c>
      <c r="M49" s="482">
        <f t="shared" si="0"/>
        <v>8739.4800000000032</v>
      </c>
      <c r="N49" s="484">
        <v>0</v>
      </c>
      <c r="O49" s="482">
        <v>0</v>
      </c>
      <c r="P49" s="482">
        <v>0</v>
      </c>
      <c r="Q49" s="482">
        <f t="shared" si="1"/>
        <v>0</v>
      </c>
    </row>
    <row r="50" spans="1:17" s="459" customFormat="1" ht="15.75" customHeight="1" x14ac:dyDescent="0.2">
      <c r="A50" s="484">
        <f t="shared" si="2"/>
        <v>42</v>
      </c>
      <c r="B50" s="484" t="s">
        <v>106</v>
      </c>
      <c r="C50" s="516" t="s">
        <v>62</v>
      </c>
      <c r="D50" s="484" t="s">
        <v>63</v>
      </c>
      <c r="E50" s="486" t="s">
        <v>158</v>
      </c>
      <c r="F50" s="486" t="s">
        <v>199</v>
      </c>
      <c r="G50" s="510" t="s">
        <v>670</v>
      </c>
      <c r="H50" s="484">
        <v>53</v>
      </c>
      <c r="I50" s="484">
        <v>46</v>
      </c>
      <c r="J50" s="484">
        <v>65</v>
      </c>
      <c r="K50" s="482">
        <v>84398.3</v>
      </c>
      <c r="L50" s="482">
        <v>84398.3</v>
      </c>
      <c r="M50" s="482">
        <f t="shared" si="0"/>
        <v>0</v>
      </c>
      <c r="N50" s="484">
        <v>27</v>
      </c>
      <c r="O50" s="482">
        <f>150774.94+1610.89</f>
        <v>152385.83000000002</v>
      </c>
      <c r="P50" s="482">
        <f>150774.94+1610.89</f>
        <v>152385.83000000002</v>
      </c>
      <c r="Q50" s="482">
        <f t="shared" si="1"/>
        <v>0</v>
      </c>
    </row>
    <row r="51" spans="1:17" s="459" customFormat="1" ht="15.75" customHeight="1" x14ac:dyDescent="0.2">
      <c r="A51" s="484">
        <f t="shared" si="2"/>
        <v>43</v>
      </c>
      <c r="B51" s="484" t="s">
        <v>107</v>
      </c>
      <c r="C51" s="516" t="s">
        <v>62</v>
      </c>
      <c r="D51" s="484" t="s">
        <v>63</v>
      </c>
      <c r="E51" s="486" t="s">
        <v>158</v>
      </c>
      <c r="F51" s="486" t="s">
        <v>138</v>
      </c>
      <c r="G51" s="510" t="s">
        <v>670</v>
      </c>
      <c r="H51" s="484">
        <v>10</v>
      </c>
      <c r="I51" s="484">
        <v>0</v>
      </c>
      <c r="J51" s="484">
        <v>0</v>
      </c>
      <c r="K51" s="482">
        <v>0</v>
      </c>
      <c r="L51" s="482">
        <v>0</v>
      </c>
      <c r="M51" s="482">
        <f t="shared" si="0"/>
        <v>0</v>
      </c>
      <c r="N51" s="484">
        <v>0</v>
      </c>
      <c r="O51" s="482">
        <v>0</v>
      </c>
      <c r="P51" s="482">
        <v>0</v>
      </c>
      <c r="Q51" s="482">
        <f t="shared" si="1"/>
        <v>0</v>
      </c>
    </row>
    <row r="52" spans="1:17" s="459" customFormat="1" ht="15.75" customHeight="1" x14ac:dyDescent="0.2">
      <c r="A52" s="484">
        <f t="shared" si="2"/>
        <v>44</v>
      </c>
      <c r="B52" s="484" t="s">
        <v>29</v>
      </c>
      <c r="C52" s="516" t="s">
        <v>62</v>
      </c>
      <c r="D52" s="484" t="s">
        <v>63</v>
      </c>
      <c r="E52" s="486" t="s">
        <v>158</v>
      </c>
      <c r="F52" s="486" t="s">
        <v>200</v>
      </c>
      <c r="G52" s="510" t="s">
        <v>670</v>
      </c>
      <c r="H52" s="484">
        <v>29</v>
      </c>
      <c r="I52" s="484">
        <v>25</v>
      </c>
      <c r="J52" s="484">
        <v>39</v>
      </c>
      <c r="K52" s="482">
        <f>38488.66+2052.19</f>
        <v>40540.850000000006</v>
      </c>
      <c r="L52" s="482">
        <f>38488.66+2052.19</f>
        <v>40540.850000000006</v>
      </c>
      <c r="M52" s="482">
        <f t="shared" si="0"/>
        <v>0</v>
      </c>
      <c r="N52" s="484">
        <v>21</v>
      </c>
      <c r="O52" s="482">
        <v>29336.76</v>
      </c>
      <c r="P52" s="482">
        <v>29336.76</v>
      </c>
      <c r="Q52" s="482">
        <f t="shared" si="1"/>
        <v>0</v>
      </c>
    </row>
    <row r="53" spans="1:17" s="459" customFormat="1" ht="15.75" customHeight="1" x14ac:dyDescent="0.2">
      <c r="A53" s="484">
        <f t="shared" si="2"/>
        <v>45</v>
      </c>
      <c r="B53" s="484" t="s">
        <v>201</v>
      </c>
      <c r="C53" s="516" t="s">
        <v>67</v>
      </c>
      <c r="D53" s="484" t="s">
        <v>485</v>
      </c>
      <c r="E53" s="486" t="s">
        <v>158</v>
      </c>
      <c r="F53" s="486" t="s">
        <v>202</v>
      </c>
      <c r="G53" s="510" t="s">
        <v>670</v>
      </c>
      <c r="H53" s="484">
        <v>31</v>
      </c>
      <c r="I53" s="484">
        <v>24</v>
      </c>
      <c r="J53" s="484">
        <v>25</v>
      </c>
      <c r="K53" s="482">
        <v>42330.61</v>
      </c>
      <c r="L53" s="482">
        <v>42330.61</v>
      </c>
      <c r="M53" s="482">
        <f t="shared" si="0"/>
        <v>0</v>
      </c>
      <c r="N53" s="484">
        <v>1</v>
      </c>
      <c r="O53" s="482">
        <v>1717.95</v>
      </c>
      <c r="P53" s="482">
        <v>1717.95</v>
      </c>
      <c r="Q53" s="482">
        <f t="shared" si="1"/>
        <v>0</v>
      </c>
    </row>
    <row r="54" spans="1:17" s="459" customFormat="1" ht="15.75" customHeight="1" x14ac:dyDescent="0.2">
      <c r="A54" s="484">
        <f t="shared" si="2"/>
        <v>46</v>
      </c>
      <c r="B54" s="484" t="s">
        <v>30</v>
      </c>
      <c r="C54" s="516" t="s">
        <v>62</v>
      </c>
      <c r="D54" s="484" t="s">
        <v>63</v>
      </c>
      <c r="E54" s="486" t="s">
        <v>686</v>
      </c>
      <c r="F54" s="486" t="s">
        <v>204</v>
      </c>
      <c r="G54" s="510" t="s">
        <v>670</v>
      </c>
      <c r="H54" s="484">
        <v>26</v>
      </c>
      <c r="I54" s="484">
        <v>19</v>
      </c>
      <c r="J54" s="484">
        <v>27</v>
      </c>
      <c r="K54" s="482">
        <f>75123.31-11884.74</f>
        <v>63238.57</v>
      </c>
      <c r="L54" s="482">
        <f>75123.31-11884.74</f>
        <v>63238.57</v>
      </c>
      <c r="M54" s="482">
        <f t="shared" si="0"/>
        <v>0</v>
      </c>
      <c r="N54" s="484">
        <v>20</v>
      </c>
      <c r="O54" s="482">
        <v>87105.46</v>
      </c>
      <c r="P54" s="482">
        <v>87105.46</v>
      </c>
      <c r="Q54" s="482">
        <f t="shared" si="1"/>
        <v>0</v>
      </c>
    </row>
    <row r="55" spans="1:17" s="459" customFormat="1" ht="15.75" customHeight="1" x14ac:dyDescent="0.2">
      <c r="A55" s="484">
        <f t="shared" si="2"/>
        <v>47</v>
      </c>
      <c r="B55" s="484" t="s">
        <v>90</v>
      </c>
      <c r="C55" s="516" t="s">
        <v>62</v>
      </c>
      <c r="D55" s="484" t="s">
        <v>63</v>
      </c>
      <c r="E55" s="486" t="s">
        <v>689</v>
      </c>
      <c r="F55" s="486" t="s">
        <v>464</v>
      </c>
      <c r="G55" s="510" t="s">
        <v>670</v>
      </c>
      <c r="H55" s="484">
        <v>27</v>
      </c>
      <c r="I55" s="484">
        <v>18</v>
      </c>
      <c r="J55" s="484">
        <v>25</v>
      </c>
      <c r="K55" s="482">
        <v>36149.81</v>
      </c>
      <c r="L55" s="482">
        <v>36149.81</v>
      </c>
      <c r="M55" s="482">
        <f t="shared" si="0"/>
        <v>0</v>
      </c>
      <c r="N55" s="484">
        <v>18</v>
      </c>
      <c r="O55" s="482">
        <v>23475.1</v>
      </c>
      <c r="P55" s="482">
        <v>23475.1</v>
      </c>
      <c r="Q55" s="482">
        <f t="shared" si="1"/>
        <v>0</v>
      </c>
    </row>
    <row r="56" spans="1:17" s="459" customFormat="1" ht="15.75" customHeight="1" x14ac:dyDescent="0.2">
      <c r="A56" s="484">
        <f t="shared" si="2"/>
        <v>48</v>
      </c>
      <c r="B56" s="484" t="s">
        <v>31</v>
      </c>
      <c r="C56" s="516" t="s">
        <v>62</v>
      </c>
      <c r="D56" s="484" t="s">
        <v>63</v>
      </c>
      <c r="E56" s="486" t="s">
        <v>158</v>
      </c>
      <c r="F56" s="486" t="s">
        <v>206</v>
      </c>
      <c r="G56" s="510" t="s">
        <v>670</v>
      </c>
      <c r="H56" s="484">
        <v>60</v>
      </c>
      <c r="I56" s="484">
        <v>54</v>
      </c>
      <c r="J56" s="484">
        <v>64</v>
      </c>
      <c r="K56" s="482">
        <f>109795.51+2396.98</f>
        <v>112192.48999999999</v>
      </c>
      <c r="L56" s="482">
        <f>104800.98+4994.53</f>
        <v>109795.51</v>
      </c>
      <c r="M56" s="482">
        <f t="shared" si="0"/>
        <v>2396.9799999999959</v>
      </c>
      <c r="N56" s="484">
        <v>22</v>
      </c>
      <c r="O56" s="482">
        <v>88399.12</v>
      </c>
      <c r="P56" s="482">
        <v>88399.12</v>
      </c>
      <c r="Q56" s="482">
        <f t="shared" si="1"/>
        <v>0</v>
      </c>
    </row>
    <row r="57" spans="1:17" s="459" customFormat="1" ht="15.75" customHeight="1" x14ac:dyDescent="0.2">
      <c r="A57" s="484">
        <f t="shared" si="2"/>
        <v>49</v>
      </c>
      <c r="B57" s="484" t="s">
        <v>631</v>
      </c>
      <c r="C57" s="516" t="s">
        <v>62</v>
      </c>
      <c r="D57" s="484"/>
      <c r="E57" s="486" t="s">
        <v>687</v>
      </c>
      <c r="F57" s="486" t="s">
        <v>732</v>
      </c>
      <c r="G57" s="510" t="s">
        <v>670</v>
      </c>
      <c r="H57" s="484">
        <v>11</v>
      </c>
      <c r="I57" s="484">
        <v>5</v>
      </c>
      <c r="J57" s="484">
        <v>5</v>
      </c>
      <c r="K57" s="482">
        <v>589.12</v>
      </c>
      <c r="L57" s="482">
        <v>589.12</v>
      </c>
      <c r="M57" s="482">
        <f t="shared" si="0"/>
        <v>0</v>
      </c>
      <c r="N57" s="484">
        <v>0</v>
      </c>
      <c r="O57" s="482">
        <v>0</v>
      </c>
      <c r="P57" s="482">
        <v>0</v>
      </c>
      <c r="Q57" s="482">
        <f t="shared" si="1"/>
        <v>0</v>
      </c>
    </row>
    <row r="58" spans="1:17" s="459" customFormat="1" ht="15.75" customHeight="1" x14ac:dyDescent="0.2">
      <c r="A58" s="484">
        <f t="shared" si="2"/>
        <v>50</v>
      </c>
      <c r="B58" s="484" t="s">
        <v>605</v>
      </c>
      <c r="C58" s="516" t="s">
        <v>62</v>
      </c>
      <c r="D58" s="484" t="s">
        <v>63</v>
      </c>
      <c r="E58" s="486" t="s">
        <v>158</v>
      </c>
      <c r="F58" s="486" t="s">
        <v>619</v>
      </c>
      <c r="G58" s="510" t="s">
        <v>670</v>
      </c>
      <c r="H58" s="484">
        <v>4</v>
      </c>
      <c r="I58" s="484">
        <v>0</v>
      </c>
      <c r="J58" s="484">
        <v>0</v>
      </c>
      <c r="K58" s="482">
        <v>0</v>
      </c>
      <c r="L58" s="482">
        <v>0</v>
      </c>
      <c r="M58" s="482">
        <f t="shared" si="0"/>
        <v>0</v>
      </c>
      <c r="N58" s="484">
        <v>1</v>
      </c>
      <c r="O58" s="482">
        <v>1200.69</v>
      </c>
      <c r="P58" s="482">
        <v>1200.69</v>
      </c>
      <c r="Q58" s="482">
        <f t="shared" si="1"/>
        <v>0</v>
      </c>
    </row>
    <row r="59" spans="1:17" s="459" customFormat="1" ht="15.75" customHeight="1" x14ac:dyDescent="0.2">
      <c r="A59" s="484">
        <f t="shared" si="2"/>
        <v>51</v>
      </c>
      <c r="B59" s="484" t="s">
        <v>32</v>
      </c>
      <c r="C59" s="516" t="s">
        <v>62</v>
      </c>
      <c r="D59" s="484" t="s">
        <v>63</v>
      </c>
      <c r="E59" s="486" t="s">
        <v>158</v>
      </c>
      <c r="F59" s="486" t="s">
        <v>207</v>
      </c>
      <c r="G59" s="510" t="s">
        <v>670</v>
      </c>
      <c r="H59" s="484">
        <v>53</v>
      </c>
      <c r="I59" s="484">
        <v>45</v>
      </c>
      <c r="J59" s="484">
        <v>49</v>
      </c>
      <c r="K59" s="482">
        <v>34934.46</v>
      </c>
      <c r="L59" s="482">
        <v>34934.46</v>
      </c>
      <c r="M59" s="482">
        <f t="shared" si="0"/>
        <v>0</v>
      </c>
      <c r="N59" s="484">
        <v>37</v>
      </c>
      <c r="O59" s="482">
        <v>99653.31</v>
      </c>
      <c r="P59" s="482">
        <v>99653.31</v>
      </c>
      <c r="Q59" s="482">
        <f t="shared" si="1"/>
        <v>0</v>
      </c>
    </row>
    <row r="60" spans="1:17" s="459" customFormat="1" ht="15.75" customHeight="1" x14ac:dyDescent="0.2">
      <c r="A60" s="484">
        <f t="shared" si="2"/>
        <v>52</v>
      </c>
      <c r="B60" s="484" t="s">
        <v>91</v>
      </c>
      <c r="C60" s="516" t="s">
        <v>62</v>
      </c>
      <c r="D60" s="484" t="s">
        <v>63</v>
      </c>
      <c r="E60" s="486" t="s">
        <v>158</v>
      </c>
      <c r="F60" s="486" t="s">
        <v>208</v>
      </c>
      <c r="G60" s="510" t="s">
        <v>670</v>
      </c>
      <c r="H60" s="484">
        <v>19</v>
      </c>
      <c r="I60" s="484">
        <v>12</v>
      </c>
      <c r="J60" s="484">
        <v>12</v>
      </c>
      <c r="K60" s="482">
        <v>7911.39</v>
      </c>
      <c r="L60" s="482">
        <v>7911.39</v>
      </c>
      <c r="M60" s="482">
        <f t="shared" si="0"/>
        <v>0</v>
      </c>
      <c r="N60" s="484">
        <v>2</v>
      </c>
      <c r="O60" s="482">
        <v>17381.23</v>
      </c>
      <c r="P60" s="482">
        <v>17381.23</v>
      </c>
      <c r="Q60" s="482">
        <f t="shared" si="1"/>
        <v>0</v>
      </c>
    </row>
    <row r="61" spans="1:17" s="459" customFormat="1" ht="15.75" customHeight="1" x14ac:dyDescent="0.2">
      <c r="A61" s="484">
        <f t="shared" si="2"/>
        <v>53</v>
      </c>
      <c r="B61" s="484" t="s">
        <v>33</v>
      </c>
      <c r="C61" s="516" t="s">
        <v>62</v>
      </c>
      <c r="D61" s="484" t="s">
        <v>63</v>
      </c>
      <c r="E61" s="486" t="s">
        <v>158</v>
      </c>
      <c r="F61" s="486" t="s">
        <v>209</v>
      </c>
      <c r="G61" s="510" t="s">
        <v>670</v>
      </c>
      <c r="H61" s="484">
        <v>42</v>
      </c>
      <c r="I61" s="484">
        <v>32</v>
      </c>
      <c r="J61" s="484">
        <v>46</v>
      </c>
      <c r="K61" s="482">
        <v>71294.710000000006</v>
      </c>
      <c r="L61" s="482">
        <v>71294.710000000006</v>
      </c>
      <c r="M61" s="482">
        <f t="shared" si="0"/>
        <v>0</v>
      </c>
      <c r="N61" s="484">
        <v>42</v>
      </c>
      <c r="O61" s="482">
        <f>103361.98+16311.09</f>
        <v>119673.06999999999</v>
      </c>
      <c r="P61" s="482">
        <f>103361.98+16311.09</f>
        <v>119673.06999999999</v>
      </c>
      <c r="Q61" s="482">
        <f t="shared" si="1"/>
        <v>0</v>
      </c>
    </row>
    <row r="62" spans="1:17" s="459" customFormat="1" ht="15.75" customHeight="1" x14ac:dyDescent="0.2">
      <c r="A62" s="484">
        <f t="shared" si="2"/>
        <v>54</v>
      </c>
      <c r="B62" s="484" t="s">
        <v>153</v>
      </c>
      <c r="C62" s="516" t="s">
        <v>62</v>
      </c>
      <c r="D62" s="484" t="s">
        <v>63</v>
      </c>
      <c r="E62" s="486" t="s">
        <v>158</v>
      </c>
      <c r="F62" s="486" t="s">
        <v>210</v>
      </c>
      <c r="G62" s="510" t="s">
        <v>670</v>
      </c>
      <c r="H62" s="484">
        <v>0</v>
      </c>
      <c r="I62" s="484">
        <v>0</v>
      </c>
      <c r="J62" s="484">
        <v>0</v>
      </c>
      <c r="K62" s="482">
        <v>0</v>
      </c>
      <c r="L62" s="482">
        <v>0</v>
      </c>
      <c r="M62" s="482">
        <f t="shared" si="0"/>
        <v>0</v>
      </c>
      <c r="N62" s="484">
        <v>4</v>
      </c>
      <c r="O62" s="482">
        <f>17789.33+18202.46</f>
        <v>35991.79</v>
      </c>
      <c r="P62" s="482">
        <f>17789.33+18202.46</f>
        <v>35991.79</v>
      </c>
      <c r="Q62" s="482">
        <f t="shared" si="1"/>
        <v>0</v>
      </c>
    </row>
    <row r="63" spans="1:17" s="459" customFormat="1" ht="15.75" customHeight="1" x14ac:dyDescent="0.2">
      <c r="A63" s="484">
        <f t="shared" si="2"/>
        <v>55</v>
      </c>
      <c r="B63" s="484" t="s">
        <v>34</v>
      </c>
      <c r="C63" s="516" t="s">
        <v>62</v>
      </c>
      <c r="D63" s="484" t="s">
        <v>63</v>
      </c>
      <c r="E63" s="486" t="s">
        <v>158</v>
      </c>
      <c r="F63" s="486" t="s">
        <v>211</v>
      </c>
      <c r="G63" s="510" t="s">
        <v>670</v>
      </c>
      <c r="H63" s="484">
        <v>23</v>
      </c>
      <c r="I63" s="484">
        <v>13</v>
      </c>
      <c r="J63" s="484">
        <v>15</v>
      </c>
      <c r="K63" s="482">
        <v>7566.68</v>
      </c>
      <c r="L63" s="482">
        <v>7566.68</v>
      </c>
      <c r="M63" s="482">
        <f t="shared" si="0"/>
        <v>0</v>
      </c>
      <c r="N63" s="484">
        <v>26</v>
      </c>
      <c r="O63" s="482">
        <v>106055.76</v>
      </c>
      <c r="P63" s="482">
        <v>106055.76</v>
      </c>
      <c r="Q63" s="482">
        <f t="shared" si="1"/>
        <v>0</v>
      </c>
    </row>
    <row r="64" spans="1:17" s="459" customFormat="1" ht="15.75" customHeight="1" x14ac:dyDescent="0.2">
      <c r="A64" s="484">
        <f t="shared" si="2"/>
        <v>56</v>
      </c>
      <c r="B64" s="484" t="s">
        <v>154</v>
      </c>
      <c r="C64" s="516" t="s">
        <v>62</v>
      </c>
      <c r="D64" s="484" t="s">
        <v>63</v>
      </c>
      <c r="E64" s="486" t="s">
        <v>158</v>
      </c>
      <c r="F64" s="486" t="s">
        <v>212</v>
      </c>
      <c r="G64" s="510" t="s">
        <v>670</v>
      </c>
      <c r="H64" s="484">
        <v>6</v>
      </c>
      <c r="I64" s="484">
        <v>2</v>
      </c>
      <c r="J64" s="484">
        <v>2</v>
      </c>
      <c r="K64" s="482">
        <f>2172.77+3171.6</f>
        <v>5344.37</v>
      </c>
      <c r="L64" s="482">
        <f>2172.77+3171.6</f>
        <v>5344.37</v>
      </c>
      <c r="M64" s="482">
        <f t="shared" si="0"/>
        <v>0</v>
      </c>
      <c r="N64" s="484">
        <v>2</v>
      </c>
      <c r="O64" s="482">
        <v>6845.37</v>
      </c>
      <c r="P64" s="482">
        <v>6845.37</v>
      </c>
      <c r="Q64" s="482">
        <f t="shared" si="1"/>
        <v>0</v>
      </c>
    </row>
    <row r="65" spans="1:17" s="459" customFormat="1" ht="15.75" customHeight="1" x14ac:dyDescent="0.2">
      <c r="A65" s="484">
        <f t="shared" si="2"/>
        <v>57</v>
      </c>
      <c r="B65" s="484" t="s">
        <v>109</v>
      </c>
      <c r="C65" s="516" t="s">
        <v>62</v>
      </c>
      <c r="D65" s="484" t="s">
        <v>63</v>
      </c>
      <c r="E65" s="486" t="s">
        <v>158</v>
      </c>
      <c r="F65" s="486" t="s">
        <v>213</v>
      </c>
      <c r="G65" s="510" t="s">
        <v>670</v>
      </c>
      <c r="H65" s="484">
        <v>0</v>
      </c>
      <c r="I65" s="484">
        <v>0</v>
      </c>
      <c r="J65" s="484">
        <v>0</v>
      </c>
      <c r="K65" s="482">
        <v>0</v>
      </c>
      <c r="L65" s="482">
        <v>0</v>
      </c>
      <c r="M65" s="482">
        <f t="shared" si="0"/>
        <v>0</v>
      </c>
      <c r="N65" s="484">
        <v>2</v>
      </c>
      <c r="O65" s="482">
        <v>3812.68</v>
      </c>
      <c r="P65" s="482">
        <v>3812.68</v>
      </c>
      <c r="Q65" s="482">
        <f t="shared" si="1"/>
        <v>0</v>
      </c>
    </row>
    <row r="66" spans="1:17" s="459" customFormat="1" ht="15.75" customHeight="1" x14ac:dyDescent="0.2">
      <c r="A66" s="484">
        <f t="shared" si="2"/>
        <v>58</v>
      </c>
      <c r="B66" s="484" t="s">
        <v>110</v>
      </c>
      <c r="C66" s="516" t="s">
        <v>62</v>
      </c>
      <c r="D66" s="484" t="s">
        <v>63</v>
      </c>
      <c r="E66" s="486" t="s">
        <v>158</v>
      </c>
      <c r="F66" s="486" t="s">
        <v>214</v>
      </c>
      <c r="G66" s="510" t="s">
        <v>670</v>
      </c>
      <c r="H66" s="484">
        <v>0</v>
      </c>
      <c r="I66" s="484">
        <v>0</v>
      </c>
      <c r="J66" s="484">
        <v>0</v>
      </c>
      <c r="K66" s="482">
        <v>0</v>
      </c>
      <c r="L66" s="482">
        <v>0</v>
      </c>
      <c r="M66" s="482">
        <f t="shared" si="0"/>
        <v>0</v>
      </c>
      <c r="N66" s="484">
        <v>1</v>
      </c>
      <c r="O66" s="482">
        <v>12489.14</v>
      </c>
      <c r="P66" s="482">
        <v>12489.14</v>
      </c>
      <c r="Q66" s="482">
        <f t="shared" si="1"/>
        <v>0</v>
      </c>
    </row>
    <row r="67" spans="1:17" s="459" customFormat="1" ht="15.75" customHeight="1" x14ac:dyDescent="0.2">
      <c r="A67" s="484">
        <f t="shared" si="2"/>
        <v>59</v>
      </c>
      <c r="B67" s="484" t="s">
        <v>111</v>
      </c>
      <c r="C67" s="516" t="s">
        <v>67</v>
      </c>
      <c r="D67" s="484" t="s">
        <v>569</v>
      </c>
      <c r="E67" s="486" t="s">
        <v>63</v>
      </c>
      <c r="F67" s="486" t="s">
        <v>139</v>
      </c>
      <c r="G67" s="510" t="s">
        <v>670</v>
      </c>
      <c r="H67" s="484">
        <v>1</v>
      </c>
      <c r="I67" s="484">
        <v>0</v>
      </c>
      <c r="J67" s="484">
        <v>0</v>
      </c>
      <c r="K67" s="482">
        <v>0</v>
      </c>
      <c r="L67" s="482">
        <v>0</v>
      </c>
      <c r="M67" s="482">
        <f t="shared" si="0"/>
        <v>0</v>
      </c>
      <c r="N67" s="484">
        <v>0</v>
      </c>
      <c r="O67" s="482">
        <v>0</v>
      </c>
      <c r="P67" s="482">
        <v>0</v>
      </c>
      <c r="Q67" s="482">
        <f t="shared" si="1"/>
        <v>0</v>
      </c>
    </row>
    <row r="68" spans="1:17" s="459" customFormat="1" ht="15.75" customHeight="1" x14ac:dyDescent="0.2">
      <c r="A68" s="484">
        <f t="shared" si="2"/>
        <v>60</v>
      </c>
      <c r="B68" s="484" t="s">
        <v>92</v>
      </c>
      <c r="C68" s="516" t="s">
        <v>62</v>
      </c>
      <c r="D68" s="484" t="s">
        <v>63</v>
      </c>
      <c r="E68" s="486" t="s">
        <v>158</v>
      </c>
      <c r="F68" s="486" t="s">
        <v>215</v>
      </c>
      <c r="G68" s="510" t="s">
        <v>670</v>
      </c>
      <c r="H68" s="484">
        <v>40</v>
      </c>
      <c r="I68" s="484">
        <v>33</v>
      </c>
      <c r="J68" s="484">
        <v>42</v>
      </c>
      <c r="K68" s="482">
        <v>55173.48</v>
      </c>
      <c r="L68" s="482">
        <v>55173.48</v>
      </c>
      <c r="M68" s="482">
        <f t="shared" si="0"/>
        <v>0</v>
      </c>
      <c r="N68" s="484">
        <v>13</v>
      </c>
      <c r="O68" s="482">
        <v>47264.21</v>
      </c>
      <c r="P68" s="482">
        <v>47264.21</v>
      </c>
      <c r="Q68" s="482">
        <f t="shared" si="1"/>
        <v>0</v>
      </c>
    </row>
    <row r="69" spans="1:17" s="459" customFormat="1" ht="15.75" customHeight="1" x14ac:dyDescent="0.2">
      <c r="A69" s="484">
        <f t="shared" si="2"/>
        <v>61</v>
      </c>
      <c r="B69" s="484" t="s">
        <v>216</v>
      </c>
      <c r="C69" s="516" t="s">
        <v>67</v>
      </c>
      <c r="D69" s="484" t="s">
        <v>436</v>
      </c>
      <c r="E69" s="486" t="s">
        <v>158</v>
      </c>
      <c r="F69" s="486" t="s">
        <v>218</v>
      </c>
      <c r="G69" s="510" t="s">
        <v>670</v>
      </c>
      <c r="H69" s="484">
        <v>15</v>
      </c>
      <c r="I69" s="484">
        <v>11</v>
      </c>
      <c r="J69" s="484">
        <v>11</v>
      </c>
      <c r="K69" s="482">
        <v>8808.74</v>
      </c>
      <c r="L69" s="482">
        <v>8808.74</v>
      </c>
      <c r="M69" s="482">
        <f t="shared" si="0"/>
        <v>0</v>
      </c>
      <c r="N69" s="484">
        <v>0</v>
      </c>
      <c r="O69" s="482">
        <v>0</v>
      </c>
      <c r="P69" s="482">
        <v>0</v>
      </c>
      <c r="Q69" s="482">
        <f t="shared" si="1"/>
        <v>0</v>
      </c>
    </row>
    <row r="70" spans="1:17" s="459" customFormat="1" ht="15.75" customHeight="1" x14ac:dyDescent="0.2">
      <c r="A70" s="484">
        <f t="shared" si="2"/>
        <v>62</v>
      </c>
      <c r="B70" s="484" t="s">
        <v>35</v>
      </c>
      <c r="C70" s="516" t="s">
        <v>62</v>
      </c>
      <c r="D70" s="484" t="s">
        <v>63</v>
      </c>
      <c r="E70" s="486" t="s">
        <v>690</v>
      </c>
      <c r="F70" s="486" t="s">
        <v>220</v>
      </c>
      <c r="G70" s="510" t="s">
        <v>670</v>
      </c>
      <c r="H70" s="484">
        <v>57</v>
      </c>
      <c r="I70" s="484">
        <v>55</v>
      </c>
      <c r="J70" s="484">
        <v>62</v>
      </c>
      <c r="K70" s="482">
        <f>82511.28+3166.34</f>
        <v>85677.62</v>
      </c>
      <c r="L70" s="482">
        <f>82511.28+3166.34</f>
        <v>85677.62</v>
      </c>
      <c r="M70" s="482">
        <f t="shared" si="0"/>
        <v>0</v>
      </c>
      <c r="N70" s="484">
        <v>34</v>
      </c>
      <c r="O70" s="482">
        <v>85576.88</v>
      </c>
      <c r="P70" s="482">
        <v>85576.88</v>
      </c>
      <c r="Q70" s="482">
        <f t="shared" si="1"/>
        <v>0</v>
      </c>
    </row>
    <row r="71" spans="1:17" s="459" customFormat="1" ht="15.75" customHeight="1" x14ac:dyDescent="0.2">
      <c r="A71" s="484">
        <f t="shared" si="2"/>
        <v>63</v>
      </c>
      <c r="B71" s="484" t="s">
        <v>114</v>
      </c>
      <c r="C71" s="516" t="s">
        <v>62</v>
      </c>
      <c r="D71" s="484" t="s">
        <v>63</v>
      </c>
      <c r="E71" s="486" t="s">
        <v>691</v>
      </c>
      <c r="F71" s="486" t="s">
        <v>221</v>
      </c>
      <c r="G71" s="510" t="s">
        <v>670</v>
      </c>
      <c r="H71" s="484">
        <v>16</v>
      </c>
      <c r="I71" s="484">
        <v>11</v>
      </c>
      <c r="J71" s="484">
        <v>11</v>
      </c>
      <c r="K71" s="482">
        <v>10059.370000000001</v>
      </c>
      <c r="L71" s="482">
        <v>3176.06</v>
      </c>
      <c r="M71" s="482">
        <f t="shared" si="0"/>
        <v>6883.3100000000013</v>
      </c>
      <c r="N71" s="484">
        <v>1</v>
      </c>
      <c r="O71" s="482">
        <v>12547.55</v>
      </c>
      <c r="P71" s="482">
        <f>1108.48+2023.07</f>
        <v>3131.55</v>
      </c>
      <c r="Q71" s="482">
        <f t="shared" si="1"/>
        <v>9416</v>
      </c>
    </row>
    <row r="72" spans="1:17" s="459" customFormat="1" ht="15.75" customHeight="1" x14ac:dyDescent="0.2">
      <c r="A72" s="484">
        <f t="shared" si="2"/>
        <v>64</v>
      </c>
      <c r="B72" s="484" t="s">
        <v>222</v>
      </c>
      <c r="C72" s="516" t="s">
        <v>64</v>
      </c>
      <c r="D72" s="484" t="s">
        <v>486</v>
      </c>
      <c r="E72" s="486" t="s">
        <v>158</v>
      </c>
      <c r="F72" s="486" t="s">
        <v>224</v>
      </c>
      <c r="G72" s="510" t="s">
        <v>670</v>
      </c>
      <c r="H72" s="484">
        <v>22</v>
      </c>
      <c r="I72" s="484">
        <v>18</v>
      </c>
      <c r="J72" s="484">
        <v>22</v>
      </c>
      <c r="K72" s="482">
        <v>31179.34</v>
      </c>
      <c r="L72" s="482">
        <v>31179.34</v>
      </c>
      <c r="M72" s="482">
        <f t="shared" si="0"/>
        <v>0</v>
      </c>
      <c r="N72" s="484">
        <v>0</v>
      </c>
      <c r="O72" s="482">
        <v>0</v>
      </c>
      <c r="P72" s="482">
        <v>0</v>
      </c>
      <c r="Q72" s="482">
        <f t="shared" si="1"/>
        <v>0</v>
      </c>
    </row>
    <row r="73" spans="1:17" s="459" customFormat="1" ht="15.75" customHeight="1" x14ac:dyDescent="0.2">
      <c r="A73" s="484">
        <f t="shared" si="2"/>
        <v>65</v>
      </c>
      <c r="B73" s="484" t="s">
        <v>93</v>
      </c>
      <c r="C73" s="516" t="s">
        <v>62</v>
      </c>
      <c r="D73" s="484" t="s">
        <v>63</v>
      </c>
      <c r="E73" s="486" t="s">
        <v>158</v>
      </c>
      <c r="F73" s="486" t="s">
        <v>225</v>
      </c>
      <c r="G73" s="510" t="s">
        <v>670</v>
      </c>
      <c r="H73" s="484">
        <v>14</v>
      </c>
      <c r="I73" s="484">
        <v>6</v>
      </c>
      <c r="J73" s="484">
        <v>7</v>
      </c>
      <c r="K73" s="482">
        <v>11798.3</v>
      </c>
      <c r="L73" s="482">
        <v>11798.3</v>
      </c>
      <c r="M73" s="482">
        <f t="shared" si="0"/>
        <v>0</v>
      </c>
      <c r="N73" s="484">
        <v>7</v>
      </c>
      <c r="O73" s="482">
        <v>10672.71</v>
      </c>
      <c r="P73" s="482">
        <v>10672.71</v>
      </c>
      <c r="Q73" s="482">
        <f t="shared" si="1"/>
        <v>0</v>
      </c>
    </row>
    <row r="74" spans="1:17" s="459" customFormat="1" ht="15.75" customHeight="1" x14ac:dyDescent="0.2">
      <c r="A74" s="484">
        <f t="shared" si="2"/>
        <v>66</v>
      </c>
      <c r="B74" s="484" t="s">
        <v>226</v>
      </c>
      <c r="C74" s="516" t="s">
        <v>62</v>
      </c>
      <c r="D74" s="484"/>
      <c r="E74" s="486" t="s">
        <v>158</v>
      </c>
      <c r="F74" s="486" t="s">
        <v>227</v>
      </c>
      <c r="G74" s="510" t="s">
        <v>670</v>
      </c>
      <c r="H74" s="484">
        <v>41</v>
      </c>
      <c r="I74" s="484">
        <v>17</v>
      </c>
      <c r="J74" s="484">
        <v>20</v>
      </c>
      <c r="K74" s="482">
        <v>59599.24</v>
      </c>
      <c r="L74" s="482">
        <f>59599.24-4173.36</f>
        <v>55425.88</v>
      </c>
      <c r="M74" s="482">
        <f t="shared" ref="M74:M137" si="3">K74-L74</f>
        <v>4173.3600000000006</v>
      </c>
      <c r="N74" s="484">
        <v>0</v>
      </c>
      <c r="O74" s="482">
        <v>0</v>
      </c>
      <c r="P74" s="482">
        <v>0</v>
      </c>
      <c r="Q74" s="482">
        <f t="shared" ref="Q74:Q137" si="4">O74-P74</f>
        <v>0</v>
      </c>
    </row>
    <row r="75" spans="1:17" s="459" customFormat="1" ht="15.75" customHeight="1" x14ac:dyDescent="0.2">
      <c r="A75" s="484">
        <f t="shared" ref="A75:A138" si="5">A74+1</f>
        <v>67</v>
      </c>
      <c r="B75" s="484" t="s">
        <v>228</v>
      </c>
      <c r="C75" s="516" t="s">
        <v>62</v>
      </c>
      <c r="D75" s="484"/>
      <c r="E75" s="486" t="s">
        <v>692</v>
      </c>
      <c r="F75" s="486" t="s">
        <v>230</v>
      </c>
      <c r="G75" s="510" t="s">
        <v>670</v>
      </c>
      <c r="H75" s="484">
        <v>44</v>
      </c>
      <c r="I75" s="484">
        <v>23</v>
      </c>
      <c r="J75" s="484">
        <v>29</v>
      </c>
      <c r="K75" s="482">
        <v>34002.400000000001</v>
      </c>
      <c r="L75" s="482">
        <v>34002.400000000001</v>
      </c>
      <c r="M75" s="482">
        <f t="shared" si="3"/>
        <v>0</v>
      </c>
      <c r="N75" s="484">
        <v>0</v>
      </c>
      <c r="O75" s="482">
        <v>0</v>
      </c>
      <c r="P75" s="482">
        <v>0</v>
      </c>
      <c r="Q75" s="482">
        <f t="shared" si="4"/>
        <v>0</v>
      </c>
    </row>
    <row r="76" spans="1:17" s="459" customFormat="1" ht="15.75" customHeight="1" x14ac:dyDescent="0.2">
      <c r="A76" s="484">
        <f t="shared" si="5"/>
        <v>68</v>
      </c>
      <c r="B76" s="484" t="s">
        <v>116</v>
      </c>
      <c r="C76" s="516" t="s">
        <v>62</v>
      </c>
      <c r="D76" s="484" t="s">
        <v>63</v>
      </c>
      <c r="E76" s="486" t="s">
        <v>158</v>
      </c>
      <c r="F76" s="486" t="s">
        <v>231</v>
      </c>
      <c r="G76" s="510" t="s">
        <v>670</v>
      </c>
      <c r="H76" s="484">
        <v>38</v>
      </c>
      <c r="I76" s="484">
        <v>30</v>
      </c>
      <c r="J76" s="484">
        <v>36</v>
      </c>
      <c r="K76" s="482">
        <v>42164.54</v>
      </c>
      <c r="L76" s="482">
        <v>42164.54</v>
      </c>
      <c r="M76" s="482">
        <f t="shared" si="3"/>
        <v>0</v>
      </c>
      <c r="N76" s="484">
        <v>3</v>
      </c>
      <c r="O76" s="482">
        <v>5058.49</v>
      </c>
      <c r="P76" s="482">
        <v>5058.49</v>
      </c>
      <c r="Q76" s="482">
        <f t="shared" si="4"/>
        <v>0</v>
      </c>
    </row>
    <row r="77" spans="1:17" s="459" customFormat="1" ht="15.75" customHeight="1" x14ac:dyDescent="0.2">
      <c r="A77" s="484">
        <f t="shared" si="5"/>
        <v>69</v>
      </c>
      <c r="B77" s="484" t="s">
        <v>232</v>
      </c>
      <c r="C77" s="516" t="s">
        <v>62</v>
      </c>
      <c r="D77" s="484"/>
      <c r="E77" s="486" t="s">
        <v>158</v>
      </c>
      <c r="F77" s="486" t="s">
        <v>233</v>
      </c>
      <c r="G77" s="510" t="s">
        <v>670</v>
      </c>
      <c r="H77" s="484">
        <v>18</v>
      </c>
      <c r="I77" s="484">
        <v>14</v>
      </c>
      <c r="J77" s="484">
        <v>15</v>
      </c>
      <c r="K77" s="482">
        <v>9716.0300000000007</v>
      </c>
      <c r="L77" s="482">
        <v>9716.0300000000007</v>
      </c>
      <c r="M77" s="482">
        <f t="shared" si="3"/>
        <v>0</v>
      </c>
      <c r="N77" s="484">
        <v>0</v>
      </c>
      <c r="O77" s="482">
        <v>0</v>
      </c>
      <c r="P77" s="482">
        <v>0</v>
      </c>
      <c r="Q77" s="482">
        <f t="shared" si="4"/>
        <v>0</v>
      </c>
    </row>
    <row r="78" spans="1:17" s="459" customFormat="1" ht="15.75" customHeight="1" x14ac:dyDescent="0.2">
      <c r="A78" s="484">
        <f t="shared" si="5"/>
        <v>70</v>
      </c>
      <c r="B78" s="484" t="s">
        <v>487</v>
      </c>
      <c r="C78" s="516" t="s">
        <v>62</v>
      </c>
      <c r="D78" s="484"/>
      <c r="E78" s="486" t="s">
        <v>158</v>
      </c>
      <c r="F78" s="486" t="s">
        <v>488</v>
      </c>
      <c r="G78" s="510" t="s">
        <v>670</v>
      </c>
      <c r="H78" s="484">
        <v>9</v>
      </c>
      <c r="I78" s="484">
        <v>3</v>
      </c>
      <c r="J78" s="484">
        <v>3</v>
      </c>
      <c r="K78" s="482">
        <v>1999.87</v>
      </c>
      <c r="L78" s="482">
        <v>1999.87</v>
      </c>
      <c r="M78" s="482">
        <f t="shared" si="3"/>
        <v>0</v>
      </c>
      <c r="N78" s="484">
        <v>0</v>
      </c>
      <c r="O78" s="482">
        <v>0</v>
      </c>
      <c r="P78" s="482">
        <v>0</v>
      </c>
      <c r="Q78" s="482">
        <f t="shared" si="4"/>
        <v>0</v>
      </c>
    </row>
    <row r="79" spans="1:17" s="459" customFormat="1" ht="15.75" customHeight="1" x14ac:dyDescent="0.2">
      <c r="A79" s="484">
        <f t="shared" si="5"/>
        <v>71</v>
      </c>
      <c r="B79" s="484" t="s">
        <v>357</v>
      </c>
      <c r="C79" s="516" t="s">
        <v>64</v>
      </c>
      <c r="D79" s="484" t="s">
        <v>585</v>
      </c>
      <c r="E79" s="486" t="s">
        <v>158</v>
      </c>
      <c r="F79" s="486" t="s">
        <v>573</v>
      </c>
      <c r="G79" s="510" t="s">
        <v>670</v>
      </c>
      <c r="H79" s="484">
        <v>6</v>
      </c>
      <c r="I79" s="484">
        <v>0</v>
      </c>
      <c r="J79" s="484">
        <v>0</v>
      </c>
      <c r="K79" s="482">
        <v>0</v>
      </c>
      <c r="L79" s="482">
        <v>0</v>
      </c>
      <c r="M79" s="482">
        <f t="shared" si="3"/>
        <v>0</v>
      </c>
      <c r="N79" s="484">
        <v>1</v>
      </c>
      <c r="O79" s="482">
        <v>6753.85</v>
      </c>
      <c r="P79" s="482">
        <v>6753.85</v>
      </c>
      <c r="Q79" s="482">
        <f t="shared" si="4"/>
        <v>0</v>
      </c>
    </row>
    <row r="80" spans="1:17" s="459" customFormat="1" ht="15.75" customHeight="1" x14ac:dyDescent="0.2">
      <c r="A80" s="484">
        <f t="shared" si="5"/>
        <v>72</v>
      </c>
      <c r="B80" s="484" t="s">
        <v>36</v>
      </c>
      <c r="C80" s="516" t="s">
        <v>62</v>
      </c>
      <c r="D80" s="484" t="s">
        <v>63</v>
      </c>
      <c r="E80" s="486" t="s">
        <v>158</v>
      </c>
      <c r="F80" s="486" t="s">
        <v>465</v>
      </c>
      <c r="G80" s="510" t="s">
        <v>670</v>
      </c>
      <c r="H80" s="484">
        <v>8</v>
      </c>
      <c r="I80" s="484">
        <v>3</v>
      </c>
      <c r="J80" s="484">
        <v>3</v>
      </c>
      <c r="K80" s="482">
        <f>352.4+616.7</f>
        <v>969.1</v>
      </c>
      <c r="L80" s="482">
        <f>352.4+616.7</f>
        <v>969.1</v>
      </c>
      <c r="M80" s="482">
        <f t="shared" si="3"/>
        <v>0</v>
      </c>
      <c r="N80" s="484">
        <v>6</v>
      </c>
      <c r="O80" s="482">
        <v>17817.939999999999</v>
      </c>
      <c r="P80" s="482">
        <v>17817.939999999999</v>
      </c>
      <c r="Q80" s="482">
        <f t="shared" si="4"/>
        <v>0</v>
      </c>
    </row>
    <row r="81" spans="1:17" s="459" customFormat="1" ht="15.75" customHeight="1" x14ac:dyDescent="0.2">
      <c r="A81" s="484">
        <f t="shared" si="5"/>
        <v>73</v>
      </c>
      <c r="B81" s="484" t="s">
        <v>658</v>
      </c>
      <c r="C81" s="516" t="s">
        <v>62</v>
      </c>
      <c r="D81" s="484"/>
      <c r="E81" s="486" t="s">
        <v>158</v>
      </c>
      <c r="F81" s="486" t="s">
        <v>659</v>
      </c>
      <c r="G81" s="510" t="s">
        <v>670</v>
      </c>
      <c r="H81" s="484">
        <v>13</v>
      </c>
      <c r="I81" s="484">
        <v>0</v>
      </c>
      <c r="J81" s="484">
        <v>0</v>
      </c>
      <c r="K81" s="482">
        <v>0</v>
      </c>
      <c r="L81" s="482">
        <v>0</v>
      </c>
      <c r="M81" s="482">
        <f t="shared" si="3"/>
        <v>0</v>
      </c>
      <c r="N81" s="484">
        <v>0</v>
      </c>
      <c r="O81" s="482">
        <v>0</v>
      </c>
      <c r="P81" s="482">
        <v>0</v>
      </c>
      <c r="Q81" s="482">
        <f t="shared" si="4"/>
        <v>0</v>
      </c>
    </row>
    <row r="82" spans="1:17" s="459" customFormat="1" ht="15.75" customHeight="1" x14ac:dyDescent="0.2">
      <c r="A82" s="484">
        <f t="shared" si="5"/>
        <v>74</v>
      </c>
      <c r="B82" s="484" t="s">
        <v>37</v>
      </c>
      <c r="C82" s="516" t="s">
        <v>62</v>
      </c>
      <c r="D82" s="484" t="s">
        <v>63</v>
      </c>
      <c r="E82" s="486" t="s">
        <v>158</v>
      </c>
      <c r="F82" s="486" t="s">
        <v>234</v>
      </c>
      <c r="G82" s="510" t="s">
        <v>670</v>
      </c>
      <c r="H82" s="484">
        <v>17</v>
      </c>
      <c r="I82" s="484">
        <v>9</v>
      </c>
      <c r="J82" s="484">
        <v>9</v>
      </c>
      <c r="K82" s="482">
        <v>11914.75</v>
      </c>
      <c r="L82" s="482">
        <v>11914.75</v>
      </c>
      <c r="M82" s="482">
        <f t="shared" si="3"/>
        <v>0</v>
      </c>
      <c r="N82" s="484">
        <v>3</v>
      </c>
      <c r="O82" s="482">
        <v>19390.900000000001</v>
      </c>
      <c r="P82" s="482">
        <v>19390.900000000001</v>
      </c>
      <c r="Q82" s="482">
        <f t="shared" si="4"/>
        <v>0</v>
      </c>
    </row>
    <row r="83" spans="1:17" s="459" customFormat="1" ht="15.75" customHeight="1" x14ac:dyDescent="0.2">
      <c r="A83" s="484">
        <f t="shared" si="5"/>
        <v>75</v>
      </c>
      <c r="B83" s="484" t="s">
        <v>235</v>
      </c>
      <c r="C83" s="516" t="s">
        <v>62</v>
      </c>
      <c r="D83" s="484"/>
      <c r="E83" s="486" t="s">
        <v>693</v>
      </c>
      <c r="F83" s="486" t="s">
        <v>237</v>
      </c>
      <c r="G83" s="510" t="s">
        <v>670</v>
      </c>
      <c r="H83" s="484">
        <v>14</v>
      </c>
      <c r="I83" s="484">
        <v>8</v>
      </c>
      <c r="J83" s="484">
        <v>11</v>
      </c>
      <c r="K83" s="482">
        <v>23840.49</v>
      </c>
      <c r="L83" s="482">
        <f>21167.35+1336.57</f>
        <v>22503.919999999998</v>
      </c>
      <c r="M83" s="482">
        <f t="shared" si="3"/>
        <v>1336.5700000000033</v>
      </c>
      <c r="N83" s="484">
        <v>0</v>
      </c>
      <c r="O83" s="482">
        <v>0</v>
      </c>
      <c r="P83" s="482">
        <v>0</v>
      </c>
      <c r="Q83" s="482">
        <f t="shared" si="4"/>
        <v>0</v>
      </c>
    </row>
    <row r="84" spans="1:17" s="459" customFormat="1" ht="15.75" customHeight="1" x14ac:dyDescent="0.2">
      <c r="A84" s="484">
        <f t="shared" si="5"/>
        <v>76</v>
      </c>
      <c r="B84" s="484" t="s">
        <v>238</v>
      </c>
      <c r="C84" s="516" t="s">
        <v>62</v>
      </c>
      <c r="D84" s="484"/>
      <c r="E84" s="486" t="s">
        <v>158</v>
      </c>
      <c r="F84" s="486" t="s">
        <v>240</v>
      </c>
      <c r="G84" s="510" t="s">
        <v>670</v>
      </c>
      <c r="H84" s="484">
        <v>15</v>
      </c>
      <c r="I84" s="484">
        <v>9</v>
      </c>
      <c r="J84" s="484">
        <v>10</v>
      </c>
      <c r="K84" s="482">
        <v>9410.77</v>
      </c>
      <c r="L84" s="482">
        <v>9410.77</v>
      </c>
      <c r="M84" s="482">
        <f t="shared" si="3"/>
        <v>0</v>
      </c>
      <c r="N84" s="484">
        <v>0</v>
      </c>
      <c r="O84" s="482">
        <v>0</v>
      </c>
      <c r="P84" s="482">
        <v>0</v>
      </c>
      <c r="Q84" s="482">
        <f t="shared" si="4"/>
        <v>0</v>
      </c>
    </row>
    <row r="85" spans="1:17" s="459" customFormat="1" ht="15.75" customHeight="1" x14ac:dyDescent="0.2">
      <c r="A85" s="484">
        <f t="shared" si="5"/>
        <v>77</v>
      </c>
      <c r="B85" s="484" t="s">
        <v>587</v>
      </c>
      <c r="C85" s="516" t="s">
        <v>62</v>
      </c>
      <c r="D85" s="484" t="s">
        <v>63</v>
      </c>
      <c r="E85" s="486" t="s">
        <v>158</v>
      </c>
      <c r="F85" s="486" t="s">
        <v>609</v>
      </c>
      <c r="G85" s="510" t="s">
        <v>670</v>
      </c>
      <c r="H85" s="484">
        <v>0</v>
      </c>
      <c r="I85" s="484">
        <v>0</v>
      </c>
      <c r="J85" s="484">
        <v>0</v>
      </c>
      <c r="K85" s="482">
        <v>0</v>
      </c>
      <c r="L85" s="482">
        <v>0</v>
      </c>
      <c r="M85" s="482">
        <f t="shared" si="3"/>
        <v>0</v>
      </c>
      <c r="N85" s="484">
        <v>1</v>
      </c>
      <c r="O85" s="482">
        <v>3658.79</v>
      </c>
      <c r="P85" s="482">
        <v>3658.79</v>
      </c>
      <c r="Q85" s="482">
        <f t="shared" si="4"/>
        <v>0</v>
      </c>
    </row>
    <row r="86" spans="1:17" s="459" customFormat="1" ht="15.75" customHeight="1" x14ac:dyDescent="0.2">
      <c r="A86" s="484">
        <f t="shared" si="5"/>
        <v>78</v>
      </c>
      <c r="B86" s="484" t="s">
        <v>241</v>
      </c>
      <c r="C86" s="516" t="s">
        <v>62</v>
      </c>
      <c r="D86" s="484"/>
      <c r="E86" s="486" t="s">
        <v>158</v>
      </c>
      <c r="F86" s="486" t="s">
        <v>243</v>
      </c>
      <c r="G86" s="510" t="s">
        <v>670</v>
      </c>
      <c r="H86" s="484">
        <v>9</v>
      </c>
      <c r="I86" s="484">
        <v>9</v>
      </c>
      <c r="J86" s="484">
        <v>13</v>
      </c>
      <c r="K86" s="482">
        <v>26884.58</v>
      </c>
      <c r="L86" s="482">
        <v>26884.58</v>
      </c>
      <c r="M86" s="482">
        <f t="shared" si="3"/>
        <v>0</v>
      </c>
      <c r="N86" s="484">
        <v>0</v>
      </c>
      <c r="O86" s="482">
        <v>0</v>
      </c>
      <c r="P86" s="482">
        <v>0</v>
      </c>
      <c r="Q86" s="482">
        <f t="shared" si="4"/>
        <v>0</v>
      </c>
    </row>
    <row r="87" spans="1:17" s="459" customFormat="1" ht="15.75" customHeight="1" x14ac:dyDescent="0.2">
      <c r="A87" s="484">
        <f t="shared" si="5"/>
        <v>79</v>
      </c>
      <c r="B87" s="484" t="s">
        <v>38</v>
      </c>
      <c r="C87" s="516" t="s">
        <v>62</v>
      </c>
      <c r="D87" s="484" t="s">
        <v>63</v>
      </c>
      <c r="E87" s="486" t="s">
        <v>698</v>
      </c>
      <c r="F87" s="486" t="s">
        <v>245</v>
      </c>
      <c r="G87" s="510" t="s">
        <v>670</v>
      </c>
      <c r="H87" s="484">
        <v>110</v>
      </c>
      <c r="I87" s="484">
        <v>97</v>
      </c>
      <c r="J87" s="484">
        <v>152</v>
      </c>
      <c r="K87" s="482">
        <v>177826.79</v>
      </c>
      <c r="L87" s="482">
        <v>177826.79</v>
      </c>
      <c r="M87" s="482">
        <f t="shared" si="3"/>
        <v>0</v>
      </c>
      <c r="N87" s="484">
        <v>93</v>
      </c>
      <c r="O87" s="482">
        <v>272452.59000000003</v>
      </c>
      <c r="P87" s="482">
        <v>272452.59000000003</v>
      </c>
      <c r="Q87" s="482">
        <f t="shared" si="4"/>
        <v>0</v>
      </c>
    </row>
    <row r="88" spans="1:17" s="459" customFormat="1" ht="15.75" customHeight="1" x14ac:dyDescent="0.2">
      <c r="A88" s="484">
        <f t="shared" si="5"/>
        <v>80</v>
      </c>
      <c r="B88" s="484" t="s">
        <v>246</v>
      </c>
      <c r="C88" s="516" t="s">
        <v>62</v>
      </c>
      <c r="D88" s="484"/>
      <c r="E88" s="486" t="s">
        <v>158</v>
      </c>
      <c r="F88" s="486" t="s">
        <v>248</v>
      </c>
      <c r="G88" s="510" t="s">
        <v>670</v>
      </c>
      <c r="H88" s="484">
        <v>47</v>
      </c>
      <c r="I88" s="484">
        <v>34</v>
      </c>
      <c r="J88" s="484">
        <v>40</v>
      </c>
      <c r="K88" s="482">
        <v>26416.06</v>
      </c>
      <c r="L88" s="482">
        <f>15436.02+1838.54</f>
        <v>17274.560000000001</v>
      </c>
      <c r="M88" s="482">
        <f t="shared" si="3"/>
        <v>9141.5</v>
      </c>
      <c r="N88" s="484">
        <v>0</v>
      </c>
      <c r="O88" s="482">
        <v>0</v>
      </c>
      <c r="P88" s="482">
        <v>0</v>
      </c>
      <c r="Q88" s="482">
        <f t="shared" si="4"/>
        <v>0</v>
      </c>
    </row>
    <row r="89" spans="1:17" s="459" customFormat="1" ht="15.75" customHeight="1" x14ac:dyDescent="0.2">
      <c r="A89" s="484">
        <f t="shared" si="5"/>
        <v>81</v>
      </c>
      <c r="B89" s="484" t="s">
        <v>39</v>
      </c>
      <c r="C89" s="516" t="s">
        <v>62</v>
      </c>
      <c r="D89" s="484" t="s">
        <v>63</v>
      </c>
      <c r="E89" s="486" t="s">
        <v>694</v>
      </c>
      <c r="F89" s="486" t="s">
        <v>466</v>
      </c>
      <c r="G89" s="510" t="s">
        <v>670</v>
      </c>
      <c r="H89" s="484">
        <v>120</v>
      </c>
      <c r="I89" s="484">
        <v>95</v>
      </c>
      <c r="J89" s="484">
        <v>102</v>
      </c>
      <c r="K89" s="482">
        <v>62619.199999999997</v>
      </c>
      <c r="L89" s="482">
        <v>62619.199999999997</v>
      </c>
      <c r="M89" s="482">
        <f t="shared" si="3"/>
        <v>0</v>
      </c>
      <c r="N89" s="484">
        <v>11</v>
      </c>
      <c r="O89" s="482">
        <v>18898.939999999999</v>
      </c>
      <c r="P89" s="482">
        <v>18898.939999999999</v>
      </c>
      <c r="Q89" s="482">
        <f t="shared" si="4"/>
        <v>0</v>
      </c>
    </row>
    <row r="90" spans="1:17" s="459" customFormat="1" ht="15.75" customHeight="1" x14ac:dyDescent="0.2">
      <c r="A90" s="484">
        <f t="shared" si="5"/>
        <v>82</v>
      </c>
      <c r="B90" s="484" t="s">
        <v>40</v>
      </c>
      <c r="C90" s="516" t="s">
        <v>62</v>
      </c>
      <c r="D90" s="484" t="s">
        <v>63</v>
      </c>
      <c r="E90" s="486" t="s">
        <v>695</v>
      </c>
      <c r="F90" s="486" t="s">
        <v>250</v>
      </c>
      <c r="G90" s="510" t="s">
        <v>670</v>
      </c>
      <c r="H90" s="484">
        <v>33</v>
      </c>
      <c r="I90" s="484">
        <v>30</v>
      </c>
      <c r="J90" s="484">
        <v>47</v>
      </c>
      <c r="K90" s="482">
        <f>72302.81+5373.43</f>
        <v>77676.239999999991</v>
      </c>
      <c r="L90" s="482">
        <f>72302.81+5373.43</f>
        <v>77676.239999999991</v>
      </c>
      <c r="M90" s="482">
        <f t="shared" si="3"/>
        <v>0</v>
      </c>
      <c r="N90" s="484">
        <v>19</v>
      </c>
      <c r="O90" s="482">
        <v>51901.91</v>
      </c>
      <c r="P90" s="482">
        <v>51901.91</v>
      </c>
      <c r="Q90" s="482">
        <f t="shared" si="4"/>
        <v>0</v>
      </c>
    </row>
    <row r="91" spans="1:17" s="459" customFormat="1" ht="15.75" customHeight="1" x14ac:dyDescent="0.2">
      <c r="A91" s="484">
        <f t="shared" si="5"/>
        <v>83</v>
      </c>
      <c r="B91" s="484" t="s">
        <v>660</v>
      </c>
      <c r="C91" s="516" t="s">
        <v>67</v>
      </c>
      <c r="D91" s="484" t="s">
        <v>661</v>
      </c>
      <c r="E91" s="486" t="s">
        <v>158</v>
      </c>
      <c r="F91" s="486" t="s">
        <v>662</v>
      </c>
      <c r="G91" s="510" t="s">
        <v>670</v>
      </c>
      <c r="H91" s="484">
        <v>5</v>
      </c>
      <c r="I91" s="484">
        <v>0</v>
      </c>
      <c r="J91" s="484">
        <v>0</v>
      </c>
      <c r="K91" s="482">
        <v>0</v>
      </c>
      <c r="L91" s="482">
        <v>0</v>
      </c>
      <c r="M91" s="482">
        <f t="shared" si="3"/>
        <v>0</v>
      </c>
      <c r="N91" s="484">
        <v>0</v>
      </c>
      <c r="O91" s="482">
        <v>0</v>
      </c>
      <c r="P91" s="482">
        <v>0</v>
      </c>
      <c r="Q91" s="482">
        <f t="shared" si="4"/>
        <v>0</v>
      </c>
    </row>
    <row r="92" spans="1:17" s="459" customFormat="1" ht="15.75" customHeight="1" x14ac:dyDescent="0.2">
      <c r="A92" s="484">
        <f t="shared" si="5"/>
        <v>84</v>
      </c>
      <c r="B92" s="484" t="s">
        <v>251</v>
      </c>
      <c r="C92" s="516" t="s">
        <v>62</v>
      </c>
      <c r="D92" s="484"/>
      <c r="E92" s="486" t="s">
        <v>677</v>
      </c>
      <c r="F92" s="486" t="s">
        <v>252</v>
      </c>
      <c r="G92" s="510" t="s">
        <v>670</v>
      </c>
      <c r="H92" s="484">
        <v>55</v>
      </c>
      <c r="I92" s="484">
        <v>33</v>
      </c>
      <c r="J92" s="484">
        <v>51</v>
      </c>
      <c r="K92" s="482">
        <v>85263.69</v>
      </c>
      <c r="L92" s="482">
        <f>65719.15+1750.29</f>
        <v>67469.439999999988</v>
      </c>
      <c r="M92" s="482">
        <f t="shared" si="3"/>
        <v>17794.250000000015</v>
      </c>
      <c r="N92" s="484">
        <v>0</v>
      </c>
      <c r="O92" s="482">
        <v>0</v>
      </c>
      <c r="P92" s="482">
        <v>0</v>
      </c>
      <c r="Q92" s="482">
        <f t="shared" si="4"/>
        <v>0</v>
      </c>
    </row>
    <row r="93" spans="1:17" s="459" customFormat="1" ht="15.75" customHeight="1" x14ac:dyDescent="0.2">
      <c r="A93" s="484">
        <f t="shared" si="5"/>
        <v>85</v>
      </c>
      <c r="B93" s="484" t="s">
        <v>117</v>
      </c>
      <c r="C93" s="516" t="s">
        <v>62</v>
      </c>
      <c r="D93" s="484" t="s">
        <v>63</v>
      </c>
      <c r="E93" s="486" t="s">
        <v>158</v>
      </c>
      <c r="F93" s="486" t="s">
        <v>520</v>
      </c>
      <c r="G93" s="510" t="s">
        <v>670</v>
      </c>
      <c r="H93" s="484">
        <v>4</v>
      </c>
      <c r="I93" s="484">
        <v>2</v>
      </c>
      <c r="J93" s="484">
        <v>2</v>
      </c>
      <c r="K93" s="482">
        <v>3618.99</v>
      </c>
      <c r="L93" s="482">
        <v>3618.99</v>
      </c>
      <c r="M93" s="482">
        <f t="shared" si="3"/>
        <v>0</v>
      </c>
      <c r="N93" s="484">
        <v>3</v>
      </c>
      <c r="O93" s="482">
        <v>9677.56</v>
      </c>
      <c r="P93" s="482">
        <v>9677.56</v>
      </c>
      <c r="Q93" s="482">
        <f t="shared" si="4"/>
        <v>0</v>
      </c>
    </row>
    <row r="94" spans="1:17" s="459" customFormat="1" ht="15.75" customHeight="1" x14ac:dyDescent="0.2">
      <c r="A94" s="484">
        <f t="shared" si="5"/>
        <v>86</v>
      </c>
      <c r="B94" s="484" t="s">
        <v>41</v>
      </c>
      <c r="C94" s="516" t="s">
        <v>64</v>
      </c>
      <c r="D94" s="484" t="s">
        <v>65</v>
      </c>
      <c r="E94" s="486" t="s">
        <v>158</v>
      </c>
      <c r="F94" s="486" t="s">
        <v>253</v>
      </c>
      <c r="G94" s="510" t="s">
        <v>670</v>
      </c>
      <c r="H94" s="484">
        <v>2</v>
      </c>
      <c r="I94" s="484">
        <v>2</v>
      </c>
      <c r="J94" s="484">
        <v>2</v>
      </c>
      <c r="K94" s="482">
        <v>1575.23</v>
      </c>
      <c r="L94" s="482">
        <v>1575.23</v>
      </c>
      <c r="M94" s="482">
        <f t="shared" si="3"/>
        <v>0</v>
      </c>
      <c r="N94" s="484">
        <v>12</v>
      </c>
      <c r="O94" s="482">
        <v>33315.620000000003</v>
      </c>
      <c r="P94" s="482">
        <v>33315.620000000003</v>
      </c>
      <c r="Q94" s="482">
        <f t="shared" si="4"/>
        <v>0</v>
      </c>
    </row>
    <row r="95" spans="1:17" s="459" customFormat="1" ht="15.75" customHeight="1" x14ac:dyDescent="0.2">
      <c r="A95" s="484">
        <f t="shared" si="5"/>
        <v>87</v>
      </c>
      <c r="B95" s="484" t="s">
        <v>118</v>
      </c>
      <c r="C95" s="516" t="s">
        <v>62</v>
      </c>
      <c r="D95" s="484" t="s">
        <v>63</v>
      </c>
      <c r="E95" s="486" t="s">
        <v>675</v>
      </c>
      <c r="F95" s="486" t="s">
        <v>467</v>
      </c>
      <c r="G95" s="510" t="s">
        <v>670</v>
      </c>
      <c r="H95" s="484">
        <v>7</v>
      </c>
      <c r="I95" s="484">
        <v>2</v>
      </c>
      <c r="J95" s="484">
        <v>2</v>
      </c>
      <c r="K95" s="482">
        <v>939.94</v>
      </c>
      <c r="L95" s="482">
        <v>939.94</v>
      </c>
      <c r="M95" s="482">
        <f t="shared" si="3"/>
        <v>0</v>
      </c>
      <c r="N95" s="484">
        <v>2</v>
      </c>
      <c r="O95" s="482">
        <f>18723.42+5109.8</f>
        <v>23833.219999999998</v>
      </c>
      <c r="P95" s="482">
        <f>10491.36+5109.8</f>
        <v>15601.16</v>
      </c>
      <c r="Q95" s="482">
        <f t="shared" si="4"/>
        <v>8232.0599999999977</v>
      </c>
    </row>
    <row r="96" spans="1:17" s="459" customFormat="1" ht="15.75" customHeight="1" x14ac:dyDescent="0.2">
      <c r="A96" s="484">
        <f t="shared" si="5"/>
        <v>88</v>
      </c>
      <c r="B96" s="484" t="s">
        <v>548</v>
      </c>
      <c r="C96" s="516" t="s">
        <v>62</v>
      </c>
      <c r="D96" s="484"/>
      <c r="E96" s="486" t="s">
        <v>675</v>
      </c>
      <c r="F96" s="486" t="s">
        <v>550</v>
      </c>
      <c r="G96" s="510" t="s">
        <v>670</v>
      </c>
      <c r="H96" s="484">
        <v>4</v>
      </c>
      <c r="I96" s="484">
        <v>2</v>
      </c>
      <c r="J96" s="484">
        <v>2</v>
      </c>
      <c r="K96" s="482">
        <v>0</v>
      </c>
      <c r="L96" s="482">
        <v>0</v>
      </c>
      <c r="M96" s="482">
        <f t="shared" si="3"/>
        <v>0</v>
      </c>
      <c r="N96" s="484">
        <v>0</v>
      </c>
      <c r="O96" s="482">
        <v>0</v>
      </c>
      <c r="P96" s="482">
        <v>0</v>
      </c>
      <c r="Q96" s="482">
        <f t="shared" si="4"/>
        <v>0</v>
      </c>
    </row>
    <row r="97" spans="1:17" s="459" customFormat="1" ht="15.75" customHeight="1" x14ac:dyDescent="0.2">
      <c r="A97" s="484">
        <f t="shared" si="5"/>
        <v>89</v>
      </c>
      <c r="B97" s="484" t="s">
        <v>254</v>
      </c>
      <c r="C97" s="516" t="s">
        <v>62</v>
      </c>
      <c r="D97" s="484"/>
      <c r="E97" s="486" t="s">
        <v>158</v>
      </c>
      <c r="F97" s="486" t="s">
        <v>255</v>
      </c>
      <c r="G97" s="510" t="s">
        <v>670</v>
      </c>
      <c r="H97" s="484">
        <v>11</v>
      </c>
      <c r="I97" s="484">
        <v>9</v>
      </c>
      <c r="J97" s="484">
        <v>11</v>
      </c>
      <c r="K97" s="482">
        <f>10146.51+1620.08</f>
        <v>11766.59</v>
      </c>
      <c r="L97" s="482">
        <f>10146.51+1620.08</f>
        <v>11766.59</v>
      </c>
      <c r="M97" s="482">
        <f t="shared" si="3"/>
        <v>0</v>
      </c>
      <c r="N97" s="484">
        <v>0</v>
      </c>
      <c r="O97" s="482">
        <v>0</v>
      </c>
      <c r="P97" s="482">
        <v>0</v>
      </c>
      <c r="Q97" s="482">
        <f t="shared" si="4"/>
        <v>0</v>
      </c>
    </row>
    <row r="98" spans="1:17" s="459" customFormat="1" ht="15.75" customHeight="1" x14ac:dyDescent="0.2">
      <c r="A98" s="484">
        <f t="shared" si="5"/>
        <v>90</v>
      </c>
      <c r="B98" s="484" t="s">
        <v>256</v>
      </c>
      <c r="C98" s="516" t="s">
        <v>62</v>
      </c>
      <c r="D98" s="484"/>
      <c r="E98" s="486" t="s">
        <v>158</v>
      </c>
      <c r="F98" s="486" t="s">
        <v>257</v>
      </c>
      <c r="G98" s="510" t="s">
        <v>670</v>
      </c>
      <c r="H98" s="484">
        <v>17</v>
      </c>
      <c r="I98" s="484">
        <v>7</v>
      </c>
      <c r="J98" s="484">
        <v>7</v>
      </c>
      <c r="K98" s="482">
        <v>7885.09</v>
      </c>
      <c r="L98" s="482">
        <v>7885.09</v>
      </c>
      <c r="M98" s="482">
        <f t="shared" si="3"/>
        <v>0</v>
      </c>
      <c r="N98" s="484">
        <v>0</v>
      </c>
      <c r="O98" s="482">
        <v>0</v>
      </c>
      <c r="P98" s="482">
        <v>0</v>
      </c>
      <c r="Q98" s="482">
        <f t="shared" si="4"/>
        <v>0</v>
      </c>
    </row>
    <row r="99" spans="1:17" s="459" customFormat="1" ht="15.75" customHeight="1" x14ac:dyDescent="0.2">
      <c r="A99" s="484">
        <f t="shared" si="5"/>
        <v>91</v>
      </c>
      <c r="B99" s="484" t="s">
        <v>643</v>
      </c>
      <c r="C99" s="516" t="s">
        <v>62</v>
      </c>
      <c r="D99" s="484"/>
      <c r="E99" s="486" t="s">
        <v>158</v>
      </c>
      <c r="F99" s="486" t="s">
        <v>663</v>
      </c>
      <c r="G99" s="510" t="s">
        <v>670</v>
      </c>
      <c r="H99" s="484">
        <v>6</v>
      </c>
      <c r="I99" s="484">
        <v>5</v>
      </c>
      <c r="J99" s="484">
        <v>5</v>
      </c>
      <c r="K99" s="482">
        <v>1723.18</v>
      </c>
      <c r="L99" s="482">
        <v>1723.18</v>
      </c>
      <c r="M99" s="482">
        <f t="shared" si="3"/>
        <v>0</v>
      </c>
      <c r="N99" s="484">
        <v>0</v>
      </c>
      <c r="O99" s="482">
        <v>0</v>
      </c>
      <c r="P99" s="482">
        <v>0</v>
      </c>
      <c r="Q99" s="482">
        <f t="shared" si="4"/>
        <v>0</v>
      </c>
    </row>
    <row r="100" spans="1:17" s="459" customFormat="1" ht="15.75" customHeight="1" x14ac:dyDescent="0.2">
      <c r="A100" s="484">
        <f t="shared" si="5"/>
        <v>92</v>
      </c>
      <c r="B100" s="484" t="s">
        <v>258</v>
      </c>
      <c r="C100" s="516" t="s">
        <v>62</v>
      </c>
      <c r="D100" s="484"/>
      <c r="E100" s="486" t="s">
        <v>158</v>
      </c>
      <c r="F100" s="486" t="s">
        <v>259</v>
      </c>
      <c r="G100" s="510" t="s">
        <v>670</v>
      </c>
      <c r="H100" s="484">
        <v>37</v>
      </c>
      <c r="I100" s="484">
        <v>28</v>
      </c>
      <c r="J100" s="484">
        <v>32</v>
      </c>
      <c r="K100" s="482">
        <f>39127.08+3850.68</f>
        <v>42977.760000000002</v>
      </c>
      <c r="L100" s="482">
        <f>39127.08+1356.82</f>
        <v>40483.9</v>
      </c>
      <c r="M100" s="482">
        <f t="shared" si="3"/>
        <v>2493.8600000000006</v>
      </c>
      <c r="N100" s="484">
        <v>0</v>
      </c>
      <c r="O100" s="482">
        <v>0</v>
      </c>
      <c r="P100" s="482">
        <v>0</v>
      </c>
      <c r="Q100" s="482">
        <f t="shared" si="4"/>
        <v>0</v>
      </c>
    </row>
    <row r="101" spans="1:17" s="459" customFormat="1" ht="15.75" customHeight="1" x14ac:dyDescent="0.2">
      <c r="A101" s="484">
        <f t="shared" si="5"/>
        <v>93</v>
      </c>
      <c r="B101" s="484" t="s">
        <v>42</v>
      </c>
      <c r="C101" s="516" t="s">
        <v>62</v>
      </c>
      <c r="D101" s="484" t="s">
        <v>63</v>
      </c>
      <c r="E101" s="486" t="s">
        <v>158</v>
      </c>
      <c r="F101" s="486" t="s">
        <v>260</v>
      </c>
      <c r="G101" s="510" t="s">
        <v>670</v>
      </c>
      <c r="H101" s="484">
        <v>51</v>
      </c>
      <c r="I101" s="484">
        <v>42</v>
      </c>
      <c r="J101" s="484">
        <v>52</v>
      </c>
      <c r="K101" s="482">
        <v>105749.62</v>
      </c>
      <c r="L101" s="482">
        <f>91702.68+1822.59</f>
        <v>93525.26999999999</v>
      </c>
      <c r="M101" s="482">
        <f t="shared" si="3"/>
        <v>12224.350000000006</v>
      </c>
      <c r="N101" s="484">
        <v>35</v>
      </c>
      <c r="O101" s="482">
        <v>157669.39000000001</v>
      </c>
      <c r="P101" s="482">
        <v>157669.39000000001</v>
      </c>
      <c r="Q101" s="482">
        <f t="shared" si="4"/>
        <v>0</v>
      </c>
    </row>
    <row r="102" spans="1:17" s="459" customFormat="1" ht="15.75" customHeight="1" x14ac:dyDescent="0.2">
      <c r="A102" s="484">
        <f t="shared" si="5"/>
        <v>94</v>
      </c>
      <c r="B102" s="484" t="s">
        <v>43</v>
      </c>
      <c r="C102" s="516" t="s">
        <v>62</v>
      </c>
      <c r="D102" s="484" t="s">
        <v>63</v>
      </c>
      <c r="E102" s="486" t="s">
        <v>158</v>
      </c>
      <c r="F102" s="486" t="s">
        <v>261</v>
      </c>
      <c r="G102" s="510" t="s">
        <v>670</v>
      </c>
      <c r="H102" s="484">
        <v>30</v>
      </c>
      <c r="I102" s="484">
        <v>20</v>
      </c>
      <c r="J102" s="484">
        <v>26</v>
      </c>
      <c r="K102" s="482">
        <f>39852.75+2742.8</f>
        <v>42595.55</v>
      </c>
      <c r="L102" s="482">
        <f>39852.75+2742.8</f>
        <v>42595.55</v>
      </c>
      <c r="M102" s="482">
        <f t="shared" si="3"/>
        <v>0</v>
      </c>
      <c r="N102" s="484">
        <v>50</v>
      </c>
      <c r="O102" s="482">
        <v>197997.04</v>
      </c>
      <c r="P102" s="482">
        <v>197997.04</v>
      </c>
      <c r="Q102" s="482">
        <f t="shared" si="4"/>
        <v>0</v>
      </c>
    </row>
    <row r="103" spans="1:17" s="459" customFormat="1" ht="15.75" customHeight="1" x14ac:dyDescent="0.2">
      <c r="A103" s="484">
        <f t="shared" si="5"/>
        <v>95</v>
      </c>
      <c r="B103" s="484" t="s">
        <v>44</v>
      </c>
      <c r="C103" s="516" t="s">
        <v>62</v>
      </c>
      <c r="D103" s="484" t="s">
        <v>63</v>
      </c>
      <c r="E103" s="486" t="s">
        <v>158</v>
      </c>
      <c r="F103" s="486" t="s">
        <v>262</v>
      </c>
      <c r="G103" s="510" t="s">
        <v>670</v>
      </c>
      <c r="H103" s="484">
        <v>51</v>
      </c>
      <c r="I103" s="484">
        <v>38</v>
      </c>
      <c r="J103" s="484">
        <v>44</v>
      </c>
      <c r="K103" s="482">
        <f>30894.23+2422.75</f>
        <v>33316.979999999996</v>
      </c>
      <c r="L103" s="482">
        <v>33316.980000000003</v>
      </c>
      <c r="M103" s="482">
        <f t="shared" si="3"/>
        <v>0</v>
      </c>
      <c r="N103" s="484">
        <v>42</v>
      </c>
      <c r="O103" s="482">
        <v>147210.87</v>
      </c>
      <c r="P103" s="482">
        <v>147210.87</v>
      </c>
      <c r="Q103" s="482">
        <f t="shared" si="4"/>
        <v>0</v>
      </c>
    </row>
    <row r="104" spans="1:17" s="459" customFormat="1" ht="15.75" customHeight="1" x14ac:dyDescent="0.2">
      <c r="A104" s="484">
        <f t="shared" si="5"/>
        <v>96</v>
      </c>
      <c r="B104" s="484" t="s">
        <v>45</v>
      </c>
      <c r="C104" s="516" t="s">
        <v>62</v>
      </c>
      <c r="D104" s="484" t="s">
        <v>63</v>
      </c>
      <c r="E104" s="486" t="s">
        <v>683</v>
      </c>
      <c r="F104" s="486" t="s">
        <v>263</v>
      </c>
      <c r="G104" s="510" t="s">
        <v>670</v>
      </c>
      <c r="H104" s="484">
        <v>16</v>
      </c>
      <c r="I104" s="484">
        <v>12</v>
      </c>
      <c r="J104" s="484">
        <v>19</v>
      </c>
      <c r="K104" s="482">
        <v>32539.22</v>
      </c>
      <c r="L104" s="482">
        <v>32539.22</v>
      </c>
      <c r="M104" s="482">
        <f t="shared" si="3"/>
        <v>0</v>
      </c>
      <c r="N104" s="484">
        <v>4</v>
      </c>
      <c r="O104" s="482">
        <v>25980.78</v>
      </c>
      <c r="P104" s="482">
        <v>25980.78</v>
      </c>
      <c r="Q104" s="482">
        <f t="shared" si="4"/>
        <v>0</v>
      </c>
    </row>
    <row r="105" spans="1:17" s="459" customFormat="1" ht="15.75" customHeight="1" x14ac:dyDescent="0.2">
      <c r="A105" s="484">
        <f t="shared" si="5"/>
        <v>97</v>
      </c>
      <c r="B105" s="484" t="s">
        <v>264</v>
      </c>
      <c r="C105" s="516" t="s">
        <v>62</v>
      </c>
      <c r="D105" s="484" t="s">
        <v>63</v>
      </c>
      <c r="E105" s="486" t="s">
        <v>158</v>
      </c>
      <c r="F105" s="486" t="s">
        <v>265</v>
      </c>
      <c r="G105" s="510" t="s">
        <v>670</v>
      </c>
      <c r="H105" s="484">
        <v>27</v>
      </c>
      <c r="I105" s="484">
        <v>21</v>
      </c>
      <c r="J105" s="484">
        <v>25</v>
      </c>
      <c r="K105" s="482">
        <v>18935.36</v>
      </c>
      <c r="L105" s="482">
        <v>18935.36</v>
      </c>
      <c r="M105" s="482">
        <f t="shared" si="3"/>
        <v>0</v>
      </c>
      <c r="N105" s="484">
        <v>0</v>
      </c>
      <c r="O105" s="482">
        <v>0</v>
      </c>
      <c r="P105" s="482">
        <v>0</v>
      </c>
      <c r="Q105" s="482">
        <f t="shared" si="4"/>
        <v>0</v>
      </c>
    </row>
    <row r="106" spans="1:17" s="459" customFormat="1" ht="15.75" customHeight="1" x14ac:dyDescent="0.2">
      <c r="A106" s="484">
        <f t="shared" si="5"/>
        <v>98</v>
      </c>
      <c r="B106" s="484" t="s">
        <v>119</v>
      </c>
      <c r="C106" s="516" t="s">
        <v>62</v>
      </c>
      <c r="D106" s="484" t="s">
        <v>63</v>
      </c>
      <c r="E106" s="486" t="s">
        <v>158</v>
      </c>
      <c r="F106" s="486" t="s">
        <v>266</v>
      </c>
      <c r="G106" s="510" t="s">
        <v>670</v>
      </c>
      <c r="H106" s="484">
        <v>22</v>
      </c>
      <c r="I106" s="484">
        <v>16</v>
      </c>
      <c r="J106" s="484">
        <v>18</v>
      </c>
      <c r="K106" s="482">
        <v>20121.990000000002</v>
      </c>
      <c r="L106" s="482">
        <v>20121.990000000002</v>
      </c>
      <c r="M106" s="482">
        <f t="shared" si="3"/>
        <v>0</v>
      </c>
      <c r="N106" s="484">
        <v>6</v>
      </c>
      <c r="O106" s="482">
        <v>1881.62</v>
      </c>
      <c r="P106" s="482">
        <v>1881.62</v>
      </c>
      <c r="Q106" s="482">
        <f t="shared" si="4"/>
        <v>0</v>
      </c>
    </row>
    <row r="107" spans="1:17" s="459" customFormat="1" ht="15.75" customHeight="1" x14ac:dyDescent="0.2">
      <c r="A107" s="484">
        <f t="shared" si="5"/>
        <v>99</v>
      </c>
      <c r="B107" s="484" t="s">
        <v>46</v>
      </c>
      <c r="C107" s="516" t="s">
        <v>62</v>
      </c>
      <c r="D107" s="484" t="s">
        <v>63</v>
      </c>
      <c r="E107" s="486" t="s">
        <v>678</v>
      </c>
      <c r="F107" s="486" t="s">
        <v>268</v>
      </c>
      <c r="G107" s="510" t="s">
        <v>670</v>
      </c>
      <c r="H107" s="484">
        <v>28</v>
      </c>
      <c r="I107" s="484">
        <v>18</v>
      </c>
      <c r="J107" s="484">
        <v>29</v>
      </c>
      <c r="K107" s="482">
        <v>60965.35</v>
      </c>
      <c r="L107" s="482">
        <v>60965.35</v>
      </c>
      <c r="M107" s="482">
        <f t="shared" si="3"/>
        <v>0</v>
      </c>
      <c r="N107" s="484">
        <v>28</v>
      </c>
      <c r="O107" s="482">
        <v>125896.58</v>
      </c>
      <c r="P107" s="482">
        <v>125896.58</v>
      </c>
      <c r="Q107" s="482">
        <f t="shared" si="4"/>
        <v>0</v>
      </c>
    </row>
    <row r="108" spans="1:17" s="459" customFormat="1" ht="15.75" customHeight="1" x14ac:dyDescent="0.2">
      <c r="A108" s="484">
        <f t="shared" si="5"/>
        <v>100</v>
      </c>
      <c r="B108" s="484" t="s">
        <v>47</v>
      </c>
      <c r="C108" s="516" t="s">
        <v>62</v>
      </c>
      <c r="D108" s="484" t="s">
        <v>63</v>
      </c>
      <c r="E108" s="486" t="s">
        <v>677</v>
      </c>
      <c r="F108" s="486" t="s">
        <v>269</v>
      </c>
      <c r="G108" s="510" t="s">
        <v>670</v>
      </c>
      <c r="H108" s="484">
        <v>91</v>
      </c>
      <c r="I108" s="484">
        <v>66</v>
      </c>
      <c r="J108" s="484">
        <v>102</v>
      </c>
      <c r="K108" s="482">
        <v>191322.19</v>
      </c>
      <c r="L108" s="482">
        <v>130721.37</v>
      </c>
      <c r="M108" s="482">
        <f t="shared" si="3"/>
        <v>60600.820000000007</v>
      </c>
      <c r="N108" s="484">
        <v>124</v>
      </c>
      <c r="O108" s="482">
        <v>524795.69999999995</v>
      </c>
      <c r="P108" s="482">
        <f>439929.29+1857.39</f>
        <v>441786.68</v>
      </c>
      <c r="Q108" s="482">
        <f t="shared" si="4"/>
        <v>83009.01999999996</v>
      </c>
    </row>
    <row r="109" spans="1:17" s="459" customFormat="1" ht="15.75" customHeight="1" x14ac:dyDescent="0.2">
      <c r="A109" s="484">
        <f t="shared" si="5"/>
        <v>101</v>
      </c>
      <c r="B109" s="484" t="s">
        <v>270</v>
      </c>
      <c r="C109" s="516" t="s">
        <v>62</v>
      </c>
      <c r="D109" s="484"/>
      <c r="E109" s="486" t="s">
        <v>158</v>
      </c>
      <c r="F109" s="486" t="s">
        <v>272</v>
      </c>
      <c r="G109" s="510" t="s">
        <v>670</v>
      </c>
      <c r="H109" s="484">
        <v>16</v>
      </c>
      <c r="I109" s="484">
        <v>11</v>
      </c>
      <c r="J109" s="484">
        <v>17</v>
      </c>
      <c r="K109" s="482">
        <v>23603.22</v>
      </c>
      <c r="L109" s="482">
        <v>23603.22</v>
      </c>
      <c r="M109" s="482">
        <f t="shared" si="3"/>
        <v>0</v>
      </c>
      <c r="N109" s="484">
        <v>0</v>
      </c>
      <c r="O109" s="482">
        <v>0</v>
      </c>
      <c r="P109" s="482">
        <v>0</v>
      </c>
      <c r="Q109" s="482">
        <f t="shared" si="4"/>
        <v>0</v>
      </c>
    </row>
    <row r="110" spans="1:17" s="459" customFormat="1" ht="15.75" customHeight="1" x14ac:dyDescent="0.2">
      <c r="A110" s="484">
        <f t="shared" si="5"/>
        <v>102</v>
      </c>
      <c r="B110" s="484" t="s">
        <v>621</v>
      </c>
      <c r="C110" s="516" t="s">
        <v>62</v>
      </c>
      <c r="D110" s="484"/>
      <c r="E110" s="486" t="s">
        <v>158</v>
      </c>
      <c r="F110" s="486" t="s">
        <v>664</v>
      </c>
      <c r="G110" s="510" t="s">
        <v>670</v>
      </c>
      <c r="H110" s="484">
        <v>12</v>
      </c>
      <c r="I110" s="484">
        <v>7</v>
      </c>
      <c r="J110" s="484">
        <v>7</v>
      </c>
      <c r="K110" s="482">
        <v>0</v>
      </c>
      <c r="L110" s="482">
        <v>0</v>
      </c>
      <c r="M110" s="482">
        <f t="shared" si="3"/>
        <v>0</v>
      </c>
      <c r="N110" s="484">
        <v>0</v>
      </c>
      <c r="O110" s="482">
        <v>0</v>
      </c>
      <c r="P110" s="482">
        <v>0</v>
      </c>
      <c r="Q110" s="482">
        <f t="shared" si="4"/>
        <v>0</v>
      </c>
    </row>
    <row r="111" spans="1:17" s="459" customFormat="1" ht="15.75" customHeight="1" x14ac:dyDescent="0.2">
      <c r="A111" s="484">
        <f t="shared" si="5"/>
        <v>103</v>
      </c>
      <c r="B111" s="484" t="s">
        <v>273</v>
      </c>
      <c r="C111" s="516" t="s">
        <v>62</v>
      </c>
      <c r="D111" s="484"/>
      <c r="E111" s="486" t="s">
        <v>674</v>
      </c>
      <c r="F111" s="486" t="s">
        <v>511</v>
      </c>
      <c r="G111" s="510" t="s">
        <v>670</v>
      </c>
      <c r="H111" s="484">
        <v>10</v>
      </c>
      <c r="I111" s="484">
        <v>0</v>
      </c>
      <c r="J111" s="484">
        <v>0</v>
      </c>
      <c r="K111" s="482">
        <v>0</v>
      </c>
      <c r="L111" s="482">
        <v>0</v>
      </c>
      <c r="M111" s="482">
        <f t="shared" si="3"/>
        <v>0</v>
      </c>
      <c r="N111" s="484">
        <v>0</v>
      </c>
      <c r="O111" s="482">
        <v>0</v>
      </c>
      <c r="P111" s="482">
        <v>0</v>
      </c>
      <c r="Q111" s="482">
        <f t="shared" si="4"/>
        <v>0</v>
      </c>
    </row>
    <row r="112" spans="1:17" s="459" customFormat="1" ht="15.75" customHeight="1" x14ac:dyDescent="0.2">
      <c r="A112" s="484">
        <f t="shared" si="5"/>
        <v>104</v>
      </c>
      <c r="B112" s="484" t="s">
        <v>490</v>
      </c>
      <c r="C112" s="516" t="s">
        <v>62</v>
      </c>
      <c r="D112" s="484"/>
      <c r="E112" s="486" t="s">
        <v>491</v>
      </c>
      <c r="F112" s="486" t="s">
        <v>492</v>
      </c>
      <c r="G112" s="510" t="s">
        <v>670</v>
      </c>
      <c r="H112" s="484">
        <v>18</v>
      </c>
      <c r="I112" s="484">
        <v>10</v>
      </c>
      <c r="J112" s="484">
        <v>12</v>
      </c>
      <c r="K112" s="482">
        <v>10195.18</v>
      </c>
      <c r="L112" s="482">
        <v>10195.18</v>
      </c>
      <c r="M112" s="482">
        <f t="shared" si="3"/>
        <v>0</v>
      </c>
      <c r="N112" s="484">
        <v>0</v>
      </c>
      <c r="O112" s="482">
        <v>0</v>
      </c>
      <c r="P112" s="482">
        <v>0</v>
      </c>
      <c r="Q112" s="482">
        <f t="shared" si="4"/>
        <v>0</v>
      </c>
    </row>
    <row r="113" spans="1:17" s="459" customFormat="1" ht="15.75" customHeight="1" x14ac:dyDescent="0.2">
      <c r="A113" s="484">
        <f t="shared" si="5"/>
        <v>105</v>
      </c>
      <c r="B113" s="484" t="s">
        <v>94</v>
      </c>
      <c r="C113" s="516" t="s">
        <v>62</v>
      </c>
      <c r="D113" s="484" t="s">
        <v>63</v>
      </c>
      <c r="E113" s="486" t="s">
        <v>158</v>
      </c>
      <c r="F113" s="486" t="s">
        <v>274</v>
      </c>
      <c r="G113" s="510" t="s">
        <v>670</v>
      </c>
      <c r="H113" s="484">
        <v>20</v>
      </c>
      <c r="I113" s="484">
        <v>7</v>
      </c>
      <c r="J113" s="484">
        <v>7</v>
      </c>
      <c r="K113" s="482">
        <v>7580.9</v>
      </c>
      <c r="L113" s="482">
        <v>7580.9</v>
      </c>
      <c r="M113" s="482">
        <f t="shared" si="3"/>
        <v>0</v>
      </c>
      <c r="N113" s="484">
        <v>7</v>
      </c>
      <c r="O113" s="482">
        <v>9361.67</v>
      </c>
      <c r="P113" s="482">
        <v>9361.67</v>
      </c>
      <c r="Q113" s="482">
        <f t="shared" si="4"/>
        <v>0</v>
      </c>
    </row>
    <row r="114" spans="1:17" s="459" customFormat="1" ht="15.75" customHeight="1" x14ac:dyDescent="0.2">
      <c r="A114" s="484">
        <f t="shared" si="5"/>
        <v>106</v>
      </c>
      <c r="B114" s="484" t="s">
        <v>120</v>
      </c>
      <c r="C114" s="516" t="s">
        <v>67</v>
      </c>
      <c r="D114" s="484" t="s">
        <v>493</v>
      </c>
      <c r="E114" s="486" t="s">
        <v>158</v>
      </c>
      <c r="F114" s="486" t="s">
        <v>468</v>
      </c>
      <c r="G114" s="510" t="s">
        <v>670</v>
      </c>
      <c r="H114" s="484">
        <v>14</v>
      </c>
      <c r="I114" s="484">
        <v>11</v>
      </c>
      <c r="J114" s="484">
        <v>12</v>
      </c>
      <c r="K114" s="482">
        <v>11996.24</v>
      </c>
      <c r="L114" s="482">
        <v>11996.24</v>
      </c>
      <c r="M114" s="482">
        <f t="shared" si="3"/>
        <v>0</v>
      </c>
      <c r="N114" s="484">
        <v>0</v>
      </c>
      <c r="O114" s="482">
        <v>0</v>
      </c>
      <c r="P114" s="482">
        <v>0</v>
      </c>
      <c r="Q114" s="482">
        <f t="shared" si="4"/>
        <v>0</v>
      </c>
    </row>
    <row r="115" spans="1:17" s="459" customFormat="1" ht="15.75" customHeight="1" x14ac:dyDescent="0.2">
      <c r="A115" s="484">
        <f t="shared" si="5"/>
        <v>107</v>
      </c>
      <c r="B115" s="484" t="s">
        <v>407</v>
      </c>
      <c r="C115" s="516" t="s">
        <v>62</v>
      </c>
      <c r="D115" s="484"/>
      <c r="E115" s="486" t="s">
        <v>674</v>
      </c>
      <c r="F115" s="486" t="s">
        <v>512</v>
      </c>
      <c r="G115" s="510" t="s">
        <v>670</v>
      </c>
      <c r="H115" s="484">
        <v>8</v>
      </c>
      <c r="I115" s="484">
        <v>5</v>
      </c>
      <c r="J115" s="484">
        <v>6</v>
      </c>
      <c r="K115" s="482">
        <v>4577.1000000000004</v>
      </c>
      <c r="L115" s="482">
        <v>4577.1000000000004</v>
      </c>
      <c r="M115" s="482">
        <f t="shared" si="3"/>
        <v>0</v>
      </c>
      <c r="N115" s="484">
        <v>0</v>
      </c>
      <c r="O115" s="482">
        <v>0</v>
      </c>
      <c r="P115" s="482">
        <v>0</v>
      </c>
      <c r="Q115" s="482">
        <f t="shared" si="4"/>
        <v>0</v>
      </c>
    </row>
    <row r="116" spans="1:17" s="459" customFormat="1" ht="15.75" customHeight="1" x14ac:dyDescent="0.2">
      <c r="A116" s="484">
        <f t="shared" si="5"/>
        <v>108</v>
      </c>
      <c r="B116" s="484" t="s">
        <v>122</v>
      </c>
      <c r="C116" s="516" t="s">
        <v>62</v>
      </c>
      <c r="D116" s="484" t="s">
        <v>63</v>
      </c>
      <c r="E116" s="486" t="s">
        <v>699</v>
      </c>
      <c r="F116" s="486" t="s">
        <v>276</v>
      </c>
      <c r="G116" s="510" t="s">
        <v>670</v>
      </c>
      <c r="H116" s="484">
        <v>13</v>
      </c>
      <c r="I116" s="484">
        <v>11</v>
      </c>
      <c r="J116" s="484">
        <v>18</v>
      </c>
      <c r="K116" s="482">
        <v>18022.7</v>
      </c>
      <c r="L116" s="482">
        <v>18022.7</v>
      </c>
      <c r="M116" s="482">
        <f t="shared" si="3"/>
        <v>0</v>
      </c>
      <c r="N116" s="484">
        <v>5</v>
      </c>
      <c r="O116" s="482">
        <v>9159.1299999999992</v>
      </c>
      <c r="P116" s="482">
        <v>9159.1299999999992</v>
      </c>
      <c r="Q116" s="482">
        <f t="shared" si="4"/>
        <v>0</v>
      </c>
    </row>
    <row r="117" spans="1:17" s="459" customFormat="1" ht="15.75" customHeight="1" x14ac:dyDescent="0.2">
      <c r="A117" s="484">
        <f t="shared" si="5"/>
        <v>109</v>
      </c>
      <c r="B117" s="484" t="s">
        <v>133</v>
      </c>
      <c r="C117" s="516" t="s">
        <v>67</v>
      </c>
      <c r="D117" s="484" t="s">
        <v>494</v>
      </c>
      <c r="E117" s="486" t="s">
        <v>158</v>
      </c>
      <c r="F117" s="486" t="s">
        <v>620</v>
      </c>
      <c r="G117" s="510" t="s">
        <v>670</v>
      </c>
      <c r="H117" s="484">
        <v>14</v>
      </c>
      <c r="I117" s="484">
        <v>7</v>
      </c>
      <c r="J117" s="484">
        <v>10</v>
      </c>
      <c r="K117" s="482">
        <v>24017.200000000001</v>
      </c>
      <c r="L117" s="482">
        <v>24017.200000000001</v>
      </c>
      <c r="M117" s="482">
        <f t="shared" si="3"/>
        <v>0</v>
      </c>
      <c r="N117" s="484">
        <v>0</v>
      </c>
      <c r="O117" s="482">
        <v>0</v>
      </c>
      <c r="P117" s="482">
        <v>0</v>
      </c>
      <c r="Q117" s="482">
        <f t="shared" si="4"/>
        <v>0</v>
      </c>
    </row>
    <row r="118" spans="1:17" s="459" customFormat="1" ht="15.75" customHeight="1" x14ac:dyDescent="0.2">
      <c r="A118" s="484">
        <f t="shared" si="5"/>
        <v>110</v>
      </c>
      <c r="B118" s="484" t="s">
        <v>96</v>
      </c>
      <c r="C118" s="516" t="s">
        <v>62</v>
      </c>
      <c r="D118" s="484" t="s">
        <v>63</v>
      </c>
      <c r="E118" s="486" t="s">
        <v>671</v>
      </c>
      <c r="F118" s="486" t="s">
        <v>277</v>
      </c>
      <c r="G118" s="510" t="s">
        <v>670</v>
      </c>
      <c r="H118" s="484">
        <v>40</v>
      </c>
      <c r="I118" s="484">
        <v>10</v>
      </c>
      <c r="J118" s="484">
        <v>12</v>
      </c>
      <c r="K118" s="482">
        <v>22080.639999999999</v>
      </c>
      <c r="L118" s="482">
        <v>22080.639999999999</v>
      </c>
      <c r="M118" s="482">
        <f t="shared" si="3"/>
        <v>0</v>
      </c>
      <c r="N118" s="484">
        <v>11</v>
      </c>
      <c r="O118" s="482">
        <v>47171.47</v>
      </c>
      <c r="P118" s="482">
        <v>47171.47</v>
      </c>
      <c r="Q118" s="482">
        <f t="shared" si="4"/>
        <v>0</v>
      </c>
    </row>
    <row r="119" spans="1:17" s="459" customFormat="1" ht="15.75" customHeight="1" x14ac:dyDescent="0.2">
      <c r="A119" s="484">
        <f t="shared" si="5"/>
        <v>111</v>
      </c>
      <c r="B119" s="484" t="s">
        <v>48</v>
      </c>
      <c r="C119" s="516" t="s">
        <v>62</v>
      </c>
      <c r="D119" s="484" t="s">
        <v>63</v>
      </c>
      <c r="E119" s="486" t="s">
        <v>671</v>
      </c>
      <c r="F119" s="486" t="s">
        <v>278</v>
      </c>
      <c r="G119" s="510" t="s">
        <v>670</v>
      </c>
      <c r="H119" s="484">
        <v>56</v>
      </c>
      <c r="I119" s="484">
        <v>41</v>
      </c>
      <c r="J119" s="484">
        <v>65</v>
      </c>
      <c r="K119" s="482">
        <v>87897.82</v>
      </c>
      <c r="L119" s="482">
        <v>87897.82</v>
      </c>
      <c r="M119" s="482">
        <f t="shared" si="3"/>
        <v>0</v>
      </c>
      <c r="N119" s="484">
        <v>19</v>
      </c>
      <c r="O119" s="482">
        <v>79680.25</v>
      </c>
      <c r="P119" s="482">
        <v>79680.25</v>
      </c>
      <c r="Q119" s="482">
        <f t="shared" si="4"/>
        <v>0</v>
      </c>
    </row>
    <row r="120" spans="1:17" s="459" customFormat="1" ht="15.75" customHeight="1" x14ac:dyDescent="0.2">
      <c r="A120" s="484">
        <f t="shared" si="5"/>
        <v>112</v>
      </c>
      <c r="B120" s="484" t="s">
        <v>49</v>
      </c>
      <c r="C120" s="516" t="s">
        <v>62</v>
      </c>
      <c r="D120" s="484" t="s">
        <v>63</v>
      </c>
      <c r="E120" s="486" t="s">
        <v>158</v>
      </c>
      <c r="F120" s="486" t="s">
        <v>279</v>
      </c>
      <c r="G120" s="510" t="s">
        <v>670</v>
      </c>
      <c r="H120" s="484">
        <v>27</v>
      </c>
      <c r="I120" s="484">
        <v>22</v>
      </c>
      <c r="J120" s="484">
        <v>25</v>
      </c>
      <c r="K120" s="482">
        <v>42604.57</v>
      </c>
      <c r="L120" s="482">
        <v>42604.57</v>
      </c>
      <c r="M120" s="482">
        <f t="shared" si="3"/>
        <v>0</v>
      </c>
      <c r="N120" s="484">
        <v>7</v>
      </c>
      <c r="O120" s="482">
        <f>37590.26+4052.83</f>
        <v>41643.090000000004</v>
      </c>
      <c r="P120" s="482">
        <f>37590.26+4052.83</f>
        <v>41643.090000000004</v>
      </c>
      <c r="Q120" s="482">
        <f t="shared" si="4"/>
        <v>0</v>
      </c>
    </row>
    <row r="121" spans="1:17" s="459" customFormat="1" ht="15.75" customHeight="1" x14ac:dyDescent="0.2">
      <c r="A121" s="484">
        <f t="shared" si="5"/>
        <v>113</v>
      </c>
      <c r="B121" s="484" t="s">
        <v>50</v>
      </c>
      <c r="C121" s="516" t="s">
        <v>67</v>
      </c>
      <c r="D121" s="484" t="s">
        <v>123</v>
      </c>
      <c r="E121" s="486" t="s">
        <v>158</v>
      </c>
      <c r="F121" s="486" t="s">
        <v>280</v>
      </c>
      <c r="G121" s="510" t="s">
        <v>670</v>
      </c>
      <c r="H121" s="484">
        <v>8</v>
      </c>
      <c r="I121" s="484">
        <v>4</v>
      </c>
      <c r="J121" s="484">
        <v>4</v>
      </c>
      <c r="K121" s="482">
        <v>12811.52</v>
      </c>
      <c r="L121" s="482">
        <v>12811.52</v>
      </c>
      <c r="M121" s="482">
        <f t="shared" si="3"/>
        <v>0</v>
      </c>
      <c r="N121" s="484">
        <v>5</v>
      </c>
      <c r="O121" s="482">
        <v>21689.57</v>
      </c>
      <c r="P121" s="482">
        <v>21689.57</v>
      </c>
      <c r="Q121" s="482">
        <f t="shared" si="4"/>
        <v>0</v>
      </c>
    </row>
    <row r="122" spans="1:17" s="459" customFormat="1" ht="15.75" customHeight="1" x14ac:dyDescent="0.2">
      <c r="A122" s="484">
        <f t="shared" si="5"/>
        <v>114</v>
      </c>
      <c r="B122" s="484" t="s">
        <v>281</v>
      </c>
      <c r="C122" s="516" t="s">
        <v>62</v>
      </c>
      <c r="D122" s="484"/>
      <c r="E122" s="486" t="s">
        <v>158</v>
      </c>
      <c r="F122" s="486" t="s">
        <v>283</v>
      </c>
      <c r="G122" s="510" t="s">
        <v>670</v>
      </c>
      <c r="H122" s="484">
        <v>27</v>
      </c>
      <c r="I122" s="484">
        <v>5</v>
      </c>
      <c r="J122" s="484">
        <v>5</v>
      </c>
      <c r="K122" s="482">
        <v>2685.29</v>
      </c>
      <c r="L122" s="482">
        <v>2685.29</v>
      </c>
      <c r="M122" s="482">
        <f t="shared" si="3"/>
        <v>0</v>
      </c>
      <c r="N122" s="484">
        <v>0</v>
      </c>
      <c r="O122" s="482">
        <v>0</v>
      </c>
      <c r="P122" s="482">
        <v>0</v>
      </c>
      <c r="Q122" s="482">
        <f t="shared" si="4"/>
        <v>0</v>
      </c>
    </row>
    <row r="123" spans="1:17" s="459" customFormat="1" ht="15.75" customHeight="1" x14ac:dyDescent="0.2">
      <c r="A123" s="484">
        <f t="shared" si="5"/>
        <v>115</v>
      </c>
      <c r="B123" s="484" t="s">
        <v>124</v>
      </c>
      <c r="C123" s="516" t="s">
        <v>62</v>
      </c>
      <c r="D123" s="484" t="s">
        <v>63</v>
      </c>
      <c r="E123" s="486" t="s">
        <v>158</v>
      </c>
      <c r="F123" s="486" t="s">
        <v>284</v>
      </c>
      <c r="G123" s="510" t="s">
        <v>670</v>
      </c>
      <c r="H123" s="484">
        <v>35</v>
      </c>
      <c r="I123" s="484">
        <v>31</v>
      </c>
      <c r="J123" s="484">
        <v>44</v>
      </c>
      <c r="K123" s="482">
        <v>56018.86</v>
      </c>
      <c r="L123" s="482">
        <v>56018.86</v>
      </c>
      <c r="M123" s="482">
        <f t="shared" si="3"/>
        <v>0</v>
      </c>
      <c r="N123" s="484">
        <v>17</v>
      </c>
      <c r="O123" s="482">
        <f>27397.93-4131.64</f>
        <v>23266.29</v>
      </c>
      <c r="P123" s="482">
        <f>21019.74+2246.55</f>
        <v>23266.29</v>
      </c>
      <c r="Q123" s="482">
        <f t="shared" si="4"/>
        <v>0</v>
      </c>
    </row>
    <row r="124" spans="1:17" s="459" customFormat="1" ht="15.75" customHeight="1" x14ac:dyDescent="0.2">
      <c r="A124" s="484">
        <f t="shared" si="5"/>
        <v>116</v>
      </c>
      <c r="B124" s="484" t="s">
        <v>51</v>
      </c>
      <c r="C124" s="516" t="s">
        <v>62</v>
      </c>
      <c r="D124" s="484" t="s">
        <v>63</v>
      </c>
      <c r="E124" s="486" t="s">
        <v>158</v>
      </c>
      <c r="F124" s="486" t="s">
        <v>285</v>
      </c>
      <c r="G124" s="510" t="s">
        <v>670</v>
      </c>
      <c r="H124" s="484">
        <v>20</v>
      </c>
      <c r="I124" s="484">
        <v>15</v>
      </c>
      <c r="J124" s="484">
        <v>15</v>
      </c>
      <c r="K124" s="482">
        <v>5873.82</v>
      </c>
      <c r="L124" s="482">
        <v>5873.82</v>
      </c>
      <c r="M124" s="482">
        <f t="shared" si="3"/>
        <v>0</v>
      </c>
      <c r="N124" s="484">
        <v>10</v>
      </c>
      <c r="O124" s="482">
        <v>1797.24</v>
      </c>
      <c r="P124" s="482">
        <v>1797.24</v>
      </c>
      <c r="Q124" s="482">
        <f t="shared" si="4"/>
        <v>0</v>
      </c>
    </row>
    <row r="125" spans="1:17" s="459" customFormat="1" ht="15.75" customHeight="1" x14ac:dyDescent="0.2">
      <c r="A125" s="484">
        <f t="shared" si="5"/>
        <v>117</v>
      </c>
      <c r="B125" s="484" t="s">
        <v>665</v>
      </c>
      <c r="C125" s="516" t="s">
        <v>62</v>
      </c>
      <c r="D125" s="484" t="s">
        <v>63</v>
      </c>
      <c r="E125" s="486" t="s">
        <v>158</v>
      </c>
      <c r="F125" s="486" t="s">
        <v>666</v>
      </c>
      <c r="G125" s="510" t="s">
        <v>670</v>
      </c>
      <c r="H125" s="484">
        <v>0</v>
      </c>
      <c r="I125" s="484">
        <v>0</v>
      </c>
      <c r="J125" s="484">
        <v>0</v>
      </c>
      <c r="K125" s="482">
        <v>0</v>
      </c>
      <c r="L125" s="482">
        <v>0</v>
      </c>
      <c r="M125" s="482">
        <f t="shared" si="3"/>
        <v>0</v>
      </c>
      <c r="N125" s="484">
        <v>1</v>
      </c>
      <c r="O125" s="482">
        <v>1516.12</v>
      </c>
      <c r="P125" s="482">
        <v>1516.12</v>
      </c>
      <c r="Q125" s="482">
        <f t="shared" si="4"/>
        <v>0</v>
      </c>
    </row>
    <row r="126" spans="1:17" s="459" customFormat="1" ht="15.75" customHeight="1" x14ac:dyDescent="0.2">
      <c r="A126" s="484">
        <f t="shared" si="5"/>
        <v>118</v>
      </c>
      <c r="B126" s="484" t="s">
        <v>286</v>
      </c>
      <c r="C126" s="516" t="s">
        <v>62</v>
      </c>
      <c r="D126" s="484"/>
      <c r="E126" s="486" t="s">
        <v>158</v>
      </c>
      <c r="F126" s="486" t="s">
        <v>287</v>
      </c>
      <c r="G126" s="510" t="s">
        <v>670</v>
      </c>
      <c r="H126" s="484">
        <v>19</v>
      </c>
      <c r="I126" s="484">
        <v>13</v>
      </c>
      <c r="J126" s="484">
        <v>16</v>
      </c>
      <c r="K126" s="482">
        <v>16457.87</v>
      </c>
      <c r="L126" s="482">
        <v>16457.87</v>
      </c>
      <c r="M126" s="482">
        <f t="shared" si="3"/>
        <v>0</v>
      </c>
      <c r="N126" s="484">
        <v>0</v>
      </c>
      <c r="O126" s="482">
        <v>0</v>
      </c>
      <c r="P126" s="482">
        <v>0</v>
      </c>
      <c r="Q126" s="482">
        <f t="shared" si="4"/>
        <v>0</v>
      </c>
    </row>
    <row r="127" spans="1:17" s="459" customFormat="1" ht="15.75" customHeight="1" x14ac:dyDescent="0.2">
      <c r="A127" s="484">
        <f t="shared" si="5"/>
        <v>119</v>
      </c>
      <c r="B127" s="484" t="s">
        <v>52</v>
      </c>
      <c r="C127" s="516" t="s">
        <v>62</v>
      </c>
      <c r="D127" s="484" t="s">
        <v>63</v>
      </c>
      <c r="E127" s="486" t="s">
        <v>158</v>
      </c>
      <c r="F127" s="486" t="s">
        <v>125</v>
      </c>
      <c r="G127" s="510" t="s">
        <v>670</v>
      </c>
      <c r="H127" s="484">
        <v>3</v>
      </c>
      <c r="I127" s="484">
        <v>0</v>
      </c>
      <c r="J127" s="484">
        <v>0</v>
      </c>
      <c r="K127" s="482">
        <v>0</v>
      </c>
      <c r="L127" s="482">
        <v>0</v>
      </c>
      <c r="M127" s="482">
        <f t="shared" si="3"/>
        <v>0</v>
      </c>
      <c r="N127" s="484">
        <v>0</v>
      </c>
      <c r="O127" s="482">
        <v>0</v>
      </c>
      <c r="P127" s="482">
        <v>0</v>
      </c>
      <c r="Q127" s="482">
        <f t="shared" si="4"/>
        <v>0</v>
      </c>
    </row>
    <row r="128" spans="1:17" s="459" customFormat="1" ht="15.75" customHeight="1" x14ac:dyDescent="0.2">
      <c r="A128" s="484">
        <f t="shared" si="5"/>
        <v>120</v>
      </c>
      <c r="B128" s="484" t="s">
        <v>469</v>
      </c>
      <c r="C128" s="516" t="s">
        <v>62</v>
      </c>
      <c r="D128" s="484" t="s">
        <v>63</v>
      </c>
      <c r="E128" s="486" t="s">
        <v>158</v>
      </c>
      <c r="F128" s="486" t="s">
        <v>470</v>
      </c>
      <c r="G128" s="510" t="s">
        <v>670</v>
      </c>
      <c r="H128" s="484">
        <v>1</v>
      </c>
      <c r="I128" s="484">
        <v>0</v>
      </c>
      <c r="J128" s="484">
        <v>0</v>
      </c>
      <c r="K128" s="482">
        <v>0</v>
      </c>
      <c r="L128" s="482">
        <v>0</v>
      </c>
      <c r="M128" s="482">
        <f t="shared" si="3"/>
        <v>0</v>
      </c>
      <c r="N128" s="484">
        <v>0</v>
      </c>
      <c r="O128" s="482">
        <v>0</v>
      </c>
      <c r="P128" s="482">
        <v>0</v>
      </c>
      <c r="Q128" s="482">
        <f t="shared" si="4"/>
        <v>0</v>
      </c>
    </row>
    <row r="129" spans="1:17" s="459" customFormat="1" ht="15.75" customHeight="1" x14ac:dyDescent="0.2">
      <c r="A129" s="484">
        <f t="shared" si="5"/>
        <v>121</v>
      </c>
      <c r="B129" s="484" t="s">
        <v>53</v>
      </c>
      <c r="C129" s="516" t="s">
        <v>62</v>
      </c>
      <c r="D129" s="484" t="s">
        <v>63</v>
      </c>
      <c r="E129" s="486" t="s">
        <v>158</v>
      </c>
      <c r="F129" s="486" t="s">
        <v>126</v>
      </c>
      <c r="G129" s="510" t="s">
        <v>670</v>
      </c>
      <c r="H129" s="484">
        <v>8</v>
      </c>
      <c r="I129" s="484">
        <v>0</v>
      </c>
      <c r="J129" s="484">
        <v>0</v>
      </c>
      <c r="K129" s="482">
        <v>0</v>
      </c>
      <c r="L129" s="482">
        <v>0</v>
      </c>
      <c r="M129" s="482">
        <f t="shared" si="3"/>
        <v>0</v>
      </c>
      <c r="N129" s="484">
        <v>0</v>
      </c>
      <c r="O129" s="482">
        <v>0</v>
      </c>
      <c r="P129" s="482">
        <v>0</v>
      </c>
      <c r="Q129" s="482">
        <f t="shared" si="4"/>
        <v>0</v>
      </c>
    </row>
    <row r="130" spans="1:17" s="459" customFormat="1" ht="15.75" customHeight="1" x14ac:dyDescent="0.2">
      <c r="A130" s="484">
        <f t="shared" si="5"/>
        <v>122</v>
      </c>
      <c r="B130" s="484" t="s">
        <v>151</v>
      </c>
      <c r="C130" s="516" t="s">
        <v>62</v>
      </c>
      <c r="D130" s="484" t="s">
        <v>63</v>
      </c>
      <c r="E130" s="486" t="s">
        <v>158</v>
      </c>
      <c r="F130" s="486" t="s">
        <v>288</v>
      </c>
      <c r="G130" s="510" t="s">
        <v>670</v>
      </c>
      <c r="H130" s="484">
        <v>10</v>
      </c>
      <c r="I130" s="484">
        <v>8</v>
      </c>
      <c r="J130" s="484">
        <v>10</v>
      </c>
      <c r="K130" s="482">
        <v>15560.06</v>
      </c>
      <c r="L130" s="482">
        <v>15560.06</v>
      </c>
      <c r="M130" s="482">
        <f t="shared" si="3"/>
        <v>0</v>
      </c>
      <c r="N130" s="484">
        <v>6</v>
      </c>
      <c r="O130" s="482">
        <v>14253.5</v>
      </c>
      <c r="P130" s="482">
        <v>14253.5</v>
      </c>
      <c r="Q130" s="482">
        <f t="shared" si="4"/>
        <v>0</v>
      </c>
    </row>
    <row r="131" spans="1:17" s="459" customFormat="1" ht="15.75" customHeight="1" x14ac:dyDescent="0.2">
      <c r="A131" s="484">
        <f t="shared" si="5"/>
        <v>123</v>
      </c>
      <c r="B131" s="484" t="s">
        <v>155</v>
      </c>
      <c r="C131" s="516" t="s">
        <v>62</v>
      </c>
      <c r="D131" s="484" t="s">
        <v>63</v>
      </c>
      <c r="E131" s="486" t="s">
        <v>158</v>
      </c>
      <c r="F131" s="486" t="s">
        <v>289</v>
      </c>
      <c r="G131" s="510" t="s">
        <v>670</v>
      </c>
      <c r="H131" s="484">
        <v>15</v>
      </c>
      <c r="I131" s="484">
        <v>10</v>
      </c>
      <c r="J131" s="484">
        <v>15</v>
      </c>
      <c r="K131" s="482">
        <v>38355.85</v>
      </c>
      <c r="L131" s="482">
        <v>38355.85</v>
      </c>
      <c r="M131" s="482">
        <f t="shared" si="3"/>
        <v>0</v>
      </c>
      <c r="N131" s="484">
        <v>4</v>
      </c>
      <c r="O131" s="482">
        <v>28262.06</v>
      </c>
      <c r="P131" s="482">
        <v>28262.06</v>
      </c>
      <c r="Q131" s="482">
        <f t="shared" si="4"/>
        <v>0</v>
      </c>
    </row>
    <row r="132" spans="1:17" s="459" customFormat="1" ht="15.75" customHeight="1" x14ac:dyDescent="0.2">
      <c r="A132" s="484">
        <f t="shared" si="5"/>
        <v>124</v>
      </c>
      <c r="B132" s="484" t="s">
        <v>290</v>
      </c>
      <c r="C132" s="516" t="s">
        <v>62</v>
      </c>
      <c r="D132" s="484"/>
      <c r="E132" s="486" t="s">
        <v>158</v>
      </c>
      <c r="F132" s="486" t="s">
        <v>292</v>
      </c>
      <c r="G132" s="510" t="s">
        <v>670</v>
      </c>
      <c r="H132" s="484">
        <v>40</v>
      </c>
      <c r="I132" s="484">
        <v>28</v>
      </c>
      <c r="J132" s="484">
        <v>36</v>
      </c>
      <c r="K132" s="482">
        <v>34384.86</v>
      </c>
      <c r="L132" s="482">
        <v>34384.86</v>
      </c>
      <c r="M132" s="482">
        <f t="shared" si="3"/>
        <v>0</v>
      </c>
      <c r="N132" s="484">
        <v>0</v>
      </c>
      <c r="O132" s="482">
        <v>0</v>
      </c>
      <c r="P132" s="482">
        <v>0</v>
      </c>
      <c r="Q132" s="482">
        <f t="shared" si="4"/>
        <v>0</v>
      </c>
    </row>
    <row r="133" spans="1:17" s="459" customFormat="1" ht="15.75" customHeight="1" x14ac:dyDescent="0.2">
      <c r="A133" s="484">
        <f t="shared" si="5"/>
        <v>125</v>
      </c>
      <c r="B133" s="484" t="s">
        <v>495</v>
      </c>
      <c r="C133" s="516" t="s">
        <v>62</v>
      </c>
      <c r="D133" s="484"/>
      <c r="E133" s="486" t="s">
        <v>158</v>
      </c>
      <c r="F133" s="486" t="s">
        <v>496</v>
      </c>
      <c r="G133" s="510" t="s">
        <v>670</v>
      </c>
      <c r="H133" s="484">
        <v>31</v>
      </c>
      <c r="I133" s="484">
        <v>7</v>
      </c>
      <c r="J133" s="484">
        <v>7</v>
      </c>
      <c r="K133" s="482">
        <v>9234.7099999999991</v>
      </c>
      <c r="L133" s="482">
        <v>9234.7099999999991</v>
      </c>
      <c r="M133" s="482">
        <f t="shared" si="3"/>
        <v>0</v>
      </c>
      <c r="N133" s="484">
        <v>0</v>
      </c>
      <c r="O133" s="482">
        <v>0</v>
      </c>
      <c r="P133" s="482">
        <v>0</v>
      </c>
      <c r="Q133" s="482">
        <f t="shared" si="4"/>
        <v>0</v>
      </c>
    </row>
    <row r="134" spans="1:17" s="459" customFormat="1" ht="15.75" customHeight="1" x14ac:dyDescent="0.2">
      <c r="A134" s="484">
        <f t="shared" si="5"/>
        <v>126</v>
      </c>
      <c r="B134" s="484" t="s">
        <v>134</v>
      </c>
      <c r="C134" s="516" t="s">
        <v>62</v>
      </c>
      <c r="D134" s="484" t="s">
        <v>63</v>
      </c>
      <c r="E134" s="486" t="s">
        <v>158</v>
      </c>
      <c r="F134" s="486" t="s">
        <v>293</v>
      </c>
      <c r="G134" s="510" t="s">
        <v>670</v>
      </c>
      <c r="H134" s="484">
        <v>8</v>
      </c>
      <c r="I134" s="484">
        <v>6</v>
      </c>
      <c r="J134" s="484">
        <v>7</v>
      </c>
      <c r="K134" s="482">
        <v>5018.5600000000004</v>
      </c>
      <c r="L134" s="482">
        <v>5018.5600000000004</v>
      </c>
      <c r="M134" s="482">
        <f t="shared" si="3"/>
        <v>0</v>
      </c>
      <c r="N134" s="484">
        <v>2</v>
      </c>
      <c r="O134" s="482">
        <f>10990.78+5462.2</f>
        <v>16452.98</v>
      </c>
      <c r="P134" s="482">
        <f>10990.78+5462.2</f>
        <v>16452.98</v>
      </c>
      <c r="Q134" s="482">
        <f t="shared" si="4"/>
        <v>0</v>
      </c>
    </row>
    <row r="135" spans="1:17" s="459" customFormat="1" ht="15.75" customHeight="1" x14ac:dyDescent="0.2">
      <c r="A135" s="484">
        <f t="shared" si="5"/>
        <v>127</v>
      </c>
      <c r="B135" s="484" t="s">
        <v>127</v>
      </c>
      <c r="C135" s="516" t="s">
        <v>62</v>
      </c>
      <c r="D135" s="484" t="s">
        <v>63</v>
      </c>
      <c r="E135" s="486" t="s">
        <v>158</v>
      </c>
      <c r="F135" s="486" t="s">
        <v>294</v>
      </c>
      <c r="G135" s="510" t="s">
        <v>670</v>
      </c>
      <c r="H135" s="484">
        <v>9</v>
      </c>
      <c r="I135" s="484">
        <v>6</v>
      </c>
      <c r="J135" s="484">
        <v>7</v>
      </c>
      <c r="K135" s="482">
        <v>5794.74</v>
      </c>
      <c r="L135" s="482">
        <v>5794.74</v>
      </c>
      <c r="M135" s="482">
        <f t="shared" si="3"/>
        <v>0</v>
      </c>
      <c r="N135" s="484">
        <v>2</v>
      </c>
      <c r="O135" s="482">
        <v>3267.6</v>
      </c>
      <c r="P135" s="482">
        <v>3267.6</v>
      </c>
      <c r="Q135" s="482">
        <f t="shared" si="4"/>
        <v>0</v>
      </c>
    </row>
    <row r="136" spans="1:17" s="459" customFormat="1" ht="15.75" customHeight="1" x14ac:dyDescent="0.2">
      <c r="A136" s="484">
        <f t="shared" si="5"/>
        <v>128</v>
      </c>
      <c r="B136" s="484" t="s">
        <v>55</v>
      </c>
      <c r="C136" s="516" t="s">
        <v>64</v>
      </c>
      <c r="D136" s="484" t="s">
        <v>66</v>
      </c>
      <c r="E136" s="486" t="s">
        <v>677</v>
      </c>
      <c r="F136" s="486" t="s">
        <v>295</v>
      </c>
      <c r="G136" s="510" t="s">
        <v>670</v>
      </c>
      <c r="H136" s="484">
        <v>8</v>
      </c>
      <c r="I136" s="484">
        <v>5</v>
      </c>
      <c r="J136" s="484">
        <v>5</v>
      </c>
      <c r="K136" s="482">
        <v>1989.43</v>
      </c>
      <c r="L136" s="482">
        <v>1989.43</v>
      </c>
      <c r="M136" s="482">
        <f t="shared" si="3"/>
        <v>0</v>
      </c>
      <c r="N136" s="484">
        <v>3</v>
      </c>
      <c r="O136" s="482">
        <v>17287.61</v>
      </c>
      <c r="P136" s="482">
        <v>17287.61</v>
      </c>
      <c r="Q136" s="482">
        <f t="shared" si="4"/>
        <v>0</v>
      </c>
    </row>
    <row r="137" spans="1:17" s="459" customFormat="1" ht="15.75" customHeight="1" x14ac:dyDescent="0.2">
      <c r="A137" s="484">
        <f t="shared" si="5"/>
        <v>129</v>
      </c>
      <c r="B137" s="484" t="s">
        <v>135</v>
      </c>
      <c r="C137" s="516" t="s">
        <v>62</v>
      </c>
      <c r="D137" s="484" t="s">
        <v>63</v>
      </c>
      <c r="E137" s="486" t="s">
        <v>158</v>
      </c>
      <c r="F137" s="486" t="s">
        <v>296</v>
      </c>
      <c r="G137" s="510" t="s">
        <v>670</v>
      </c>
      <c r="H137" s="484">
        <v>7</v>
      </c>
      <c r="I137" s="484">
        <v>3</v>
      </c>
      <c r="J137" s="484">
        <v>3</v>
      </c>
      <c r="K137" s="482">
        <v>1786.07</v>
      </c>
      <c r="L137" s="482">
        <v>1786.07</v>
      </c>
      <c r="M137" s="482">
        <f t="shared" si="3"/>
        <v>0</v>
      </c>
      <c r="N137" s="484">
        <v>10</v>
      </c>
      <c r="O137" s="482">
        <f>18103.64-0.3</f>
        <v>18103.34</v>
      </c>
      <c r="P137" s="482">
        <f>18103.64-0.3</f>
        <v>18103.34</v>
      </c>
      <c r="Q137" s="482">
        <f t="shared" si="4"/>
        <v>0</v>
      </c>
    </row>
    <row r="138" spans="1:17" s="459" customFormat="1" ht="15.75" customHeight="1" x14ac:dyDescent="0.2">
      <c r="A138" s="484">
        <f t="shared" si="5"/>
        <v>130</v>
      </c>
      <c r="B138" s="484" t="s">
        <v>128</v>
      </c>
      <c r="C138" s="516" t="s">
        <v>62</v>
      </c>
      <c r="D138" s="484" t="s">
        <v>63</v>
      </c>
      <c r="E138" s="486" t="s">
        <v>158</v>
      </c>
      <c r="F138" s="486" t="s">
        <v>297</v>
      </c>
      <c r="G138" s="510" t="s">
        <v>670</v>
      </c>
      <c r="H138" s="484">
        <v>2</v>
      </c>
      <c r="I138" s="484">
        <v>2</v>
      </c>
      <c r="J138" s="484">
        <v>2</v>
      </c>
      <c r="K138" s="482">
        <v>1303.8499999999999</v>
      </c>
      <c r="L138" s="482">
        <v>1303.8499999999999</v>
      </c>
      <c r="M138" s="482">
        <f t="shared" ref="M138:M168" si="6">K138-L138</f>
        <v>0</v>
      </c>
      <c r="N138" s="484">
        <v>1</v>
      </c>
      <c r="O138" s="482">
        <v>264.3</v>
      </c>
      <c r="P138" s="482">
        <v>264.3</v>
      </c>
      <c r="Q138" s="482">
        <f t="shared" ref="Q138:Q168" si="7">O138-P138</f>
        <v>0</v>
      </c>
    </row>
    <row r="139" spans="1:17" s="459" customFormat="1" ht="15.75" customHeight="1" x14ac:dyDescent="0.2">
      <c r="A139" s="484">
        <f t="shared" ref="A139:A202" si="8">A138+1</f>
        <v>131</v>
      </c>
      <c r="B139" s="484" t="s">
        <v>508</v>
      </c>
      <c r="C139" s="516" t="s">
        <v>64</v>
      </c>
      <c r="D139" s="484" t="s">
        <v>551</v>
      </c>
      <c r="E139" s="486" t="s">
        <v>158</v>
      </c>
      <c r="F139" s="486" t="s">
        <v>552</v>
      </c>
      <c r="G139" s="510" t="s">
        <v>670</v>
      </c>
      <c r="H139" s="484">
        <v>31</v>
      </c>
      <c r="I139" s="484">
        <v>17</v>
      </c>
      <c r="J139" s="484">
        <v>18</v>
      </c>
      <c r="K139" s="482">
        <v>11219.42</v>
      </c>
      <c r="L139" s="482">
        <v>11219.42</v>
      </c>
      <c r="M139" s="482">
        <f t="shared" si="6"/>
        <v>0</v>
      </c>
      <c r="N139" s="484">
        <v>0</v>
      </c>
      <c r="O139" s="482">
        <v>0</v>
      </c>
      <c r="P139" s="482">
        <v>0</v>
      </c>
      <c r="Q139" s="482">
        <f t="shared" si="7"/>
        <v>0</v>
      </c>
    </row>
    <row r="140" spans="1:17" s="459" customFormat="1" ht="15.75" customHeight="1" x14ac:dyDescent="0.2">
      <c r="A140" s="484">
        <f t="shared" si="8"/>
        <v>132</v>
      </c>
      <c r="B140" s="484" t="s">
        <v>497</v>
      </c>
      <c r="C140" s="516" t="s">
        <v>62</v>
      </c>
      <c r="D140" s="484"/>
      <c r="E140" s="486" t="s">
        <v>158</v>
      </c>
      <c r="F140" s="486" t="s">
        <v>498</v>
      </c>
      <c r="G140" s="510" t="s">
        <v>670</v>
      </c>
      <c r="H140" s="484">
        <v>63</v>
      </c>
      <c r="I140" s="484">
        <v>38</v>
      </c>
      <c r="J140" s="484">
        <v>40</v>
      </c>
      <c r="K140" s="482">
        <v>29545.75</v>
      </c>
      <c r="L140" s="482">
        <v>29545.75</v>
      </c>
      <c r="M140" s="482">
        <f t="shared" si="6"/>
        <v>0</v>
      </c>
      <c r="N140" s="484">
        <v>0</v>
      </c>
      <c r="O140" s="482">
        <v>0</v>
      </c>
      <c r="P140" s="482">
        <v>0</v>
      </c>
      <c r="Q140" s="482">
        <f t="shared" si="7"/>
        <v>0</v>
      </c>
    </row>
    <row r="141" spans="1:17" s="459" customFormat="1" ht="15.75" customHeight="1" x14ac:dyDescent="0.2">
      <c r="A141" s="484">
        <f t="shared" si="8"/>
        <v>133</v>
      </c>
      <c r="B141" s="484" t="s">
        <v>646</v>
      </c>
      <c r="C141" s="516" t="s">
        <v>62</v>
      </c>
      <c r="D141" s="484" t="s">
        <v>63</v>
      </c>
      <c r="E141" s="486" t="s">
        <v>158</v>
      </c>
      <c r="F141" s="486" t="s">
        <v>647</v>
      </c>
      <c r="G141" s="510" t="s">
        <v>670</v>
      </c>
      <c r="H141" s="484">
        <v>4</v>
      </c>
      <c r="I141" s="484">
        <v>0</v>
      </c>
      <c r="J141" s="484">
        <v>0</v>
      </c>
      <c r="K141" s="482">
        <v>0</v>
      </c>
      <c r="L141" s="482">
        <v>0</v>
      </c>
      <c r="M141" s="482">
        <f t="shared" si="6"/>
        <v>0</v>
      </c>
      <c r="N141" s="484">
        <v>0</v>
      </c>
      <c r="O141" s="482">
        <v>0</v>
      </c>
      <c r="P141" s="482">
        <v>0</v>
      </c>
      <c r="Q141" s="482">
        <f t="shared" si="7"/>
        <v>0</v>
      </c>
    </row>
    <row r="142" spans="1:17" s="459" customFormat="1" ht="15.75" customHeight="1" x14ac:dyDescent="0.2">
      <c r="A142" s="484">
        <f t="shared" si="8"/>
        <v>134</v>
      </c>
      <c r="B142" s="484" t="s">
        <v>56</v>
      </c>
      <c r="C142" s="516" t="s">
        <v>62</v>
      </c>
      <c r="D142" s="484" t="s">
        <v>63</v>
      </c>
      <c r="E142" s="486" t="s">
        <v>701</v>
      </c>
      <c r="F142" s="486" t="s">
        <v>298</v>
      </c>
      <c r="G142" s="510" t="s">
        <v>670</v>
      </c>
      <c r="H142" s="484">
        <v>98</v>
      </c>
      <c r="I142" s="484">
        <v>86</v>
      </c>
      <c r="J142" s="484">
        <v>128</v>
      </c>
      <c r="K142" s="482">
        <v>140627.04</v>
      </c>
      <c r="L142" s="482">
        <f>121877.98+2865.51</f>
        <v>124743.48999999999</v>
      </c>
      <c r="M142" s="482">
        <f t="shared" si="6"/>
        <v>15883.550000000017</v>
      </c>
      <c r="N142" s="484">
        <v>32</v>
      </c>
      <c r="O142" s="482">
        <v>97693.16</v>
      </c>
      <c r="P142" s="482">
        <v>97693.16</v>
      </c>
      <c r="Q142" s="482">
        <f t="shared" si="7"/>
        <v>0</v>
      </c>
    </row>
    <row r="143" spans="1:17" s="459" customFormat="1" ht="15.75" customHeight="1" x14ac:dyDescent="0.2">
      <c r="A143" s="484">
        <f t="shared" si="8"/>
        <v>135</v>
      </c>
      <c r="B143" s="484" t="s">
        <v>638</v>
      </c>
      <c r="C143" s="516" t="s">
        <v>67</v>
      </c>
      <c r="D143" s="484" t="s">
        <v>639</v>
      </c>
      <c r="E143" s="486" t="s">
        <v>690</v>
      </c>
      <c r="F143" s="486" t="s">
        <v>641</v>
      </c>
      <c r="G143" s="510" t="s">
        <v>670</v>
      </c>
      <c r="H143" s="484">
        <v>7</v>
      </c>
      <c r="I143" s="484">
        <v>1</v>
      </c>
      <c r="J143" s="484">
        <v>1</v>
      </c>
      <c r="K143" s="482">
        <v>0</v>
      </c>
      <c r="L143" s="482">
        <v>0</v>
      </c>
      <c r="M143" s="482">
        <f t="shared" si="6"/>
        <v>0</v>
      </c>
      <c r="N143" s="484">
        <v>0</v>
      </c>
      <c r="O143" s="482">
        <v>0</v>
      </c>
      <c r="P143" s="482">
        <v>0</v>
      </c>
      <c r="Q143" s="482">
        <f t="shared" si="7"/>
        <v>0</v>
      </c>
    </row>
    <row r="144" spans="1:17" s="459" customFormat="1" ht="15.75" customHeight="1" x14ac:dyDescent="0.2">
      <c r="A144" s="484">
        <f t="shared" si="8"/>
        <v>136</v>
      </c>
      <c r="B144" s="484" t="s">
        <v>299</v>
      </c>
      <c r="C144" s="516" t="s">
        <v>62</v>
      </c>
      <c r="D144" s="484"/>
      <c r="E144" s="486" t="s">
        <v>158</v>
      </c>
      <c r="F144" s="486" t="s">
        <v>300</v>
      </c>
      <c r="G144" s="510" t="s">
        <v>670</v>
      </c>
      <c r="H144" s="484">
        <v>23</v>
      </c>
      <c r="I144" s="484">
        <v>20</v>
      </c>
      <c r="J144" s="484">
        <v>24</v>
      </c>
      <c r="K144" s="482">
        <v>18541.13</v>
      </c>
      <c r="L144" s="482">
        <v>18541.13</v>
      </c>
      <c r="M144" s="482">
        <f t="shared" si="6"/>
        <v>0</v>
      </c>
      <c r="N144" s="484">
        <v>0</v>
      </c>
      <c r="O144" s="482">
        <v>0</v>
      </c>
      <c r="P144" s="482">
        <v>0</v>
      </c>
      <c r="Q144" s="482">
        <f t="shared" si="7"/>
        <v>0</v>
      </c>
    </row>
    <row r="145" spans="1:17" s="459" customFormat="1" ht="15.75" customHeight="1" x14ac:dyDescent="0.2">
      <c r="A145" s="484">
        <f t="shared" si="8"/>
        <v>137</v>
      </c>
      <c r="B145" s="484" t="s">
        <v>156</v>
      </c>
      <c r="C145" s="516" t="s">
        <v>67</v>
      </c>
      <c r="D145" s="484" t="s">
        <v>499</v>
      </c>
      <c r="E145" s="486" t="s">
        <v>158</v>
      </c>
      <c r="F145" s="486" t="s">
        <v>301</v>
      </c>
      <c r="G145" s="510" t="s">
        <v>670</v>
      </c>
      <c r="H145" s="484">
        <v>40</v>
      </c>
      <c r="I145" s="484">
        <v>32</v>
      </c>
      <c r="J145" s="484">
        <v>38</v>
      </c>
      <c r="K145" s="482">
        <v>36129.29</v>
      </c>
      <c r="L145" s="482">
        <v>36129.29</v>
      </c>
      <c r="M145" s="482">
        <f t="shared" si="6"/>
        <v>0</v>
      </c>
      <c r="N145" s="484">
        <v>37</v>
      </c>
      <c r="O145" s="482">
        <v>66837.119999999995</v>
      </c>
      <c r="P145" s="482">
        <v>66837.119999999995</v>
      </c>
      <c r="Q145" s="482">
        <f t="shared" si="7"/>
        <v>0</v>
      </c>
    </row>
    <row r="146" spans="1:17" s="459" customFormat="1" ht="15.75" customHeight="1" x14ac:dyDescent="0.2">
      <c r="A146" s="484">
        <f t="shared" si="8"/>
        <v>138</v>
      </c>
      <c r="B146" s="484" t="s">
        <v>302</v>
      </c>
      <c r="C146" s="516" t="s">
        <v>62</v>
      </c>
      <c r="D146" s="484"/>
      <c r="E146" s="486" t="s">
        <v>371</v>
      </c>
      <c r="F146" s="486" t="s">
        <v>303</v>
      </c>
      <c r="G146" s="510" t="s">
        <v>670</v>
      </c>
      <c r="H146" s="484">
        <v>17</v>
      </c>
      <c r="I146" s="484">
        <v>15</v>
      </c>
      <c r="J146" s="484">
        <v>18</v>
      </c>
      <c r="K146" s="482">
        <v>9697.18</v>
      </c>
      <c r="L146" s="482">
        <v>9697.18</v>
      </c>
      <c r="M146" s="482">
        <f t="shared" si="6"/>
        <v>0</v>
      </c>
      <c r="N146" s="484">
        <v>0</v>
      </c>
      <c r="O146" s="482">
        <v>0</v>
      </c>
      <c r="P146" s="482">
        <v>0</v>
      </c>
      <c r="Q146" s="482">
        <f t="shared" si="7"/>
        <v>0</v>
      </c>
    </row>
    <row r="147" spans="1:17" s="459" customFormat="1" ht="15.75" customHeight="1" x14ac:dyDescent="0.2">
      <c r="A147" s="484">
        <f t="shared" si="8"/>
        <v>139</v>
      </c>
      <c r="B147" s="484" t="s">
        <v>140</v>
      </c>
      <c r="C147" s="516" t="s">
        <v>62</v>
      </c>
      <c r="D147" s="484" t="s">
        <v>63</v>
      </c>
      <c r="E147" s="486" t="s">
        <v>158</v>
      </c>
      <c r="F147" s="486" t="s">
        <v>304</v>
      </c>
      <c r="G147" s="510" t="s">
        <v>670</v>
      </c>
      <c r="H147" s="484">
        <v>66</v>
      </c>
      <c r="I147" s="484">
        <v>56</v>
      </c>
      <c r="J147" s="484">
        <v>60</v>
      </c>
      <c r="K147" s="482">
        <v>49113.38</v>
      </c>
      <c r="L147" s="482">
        <v>49113.38</v>
      </c>
      <c r="M147" s="482">
        <f t="shared" si="6"/>
        <v>0</v>
      </c>
      <c r="N147" s="484">
        <v>19</v>
      </c>
      <c r="O147" s="482">
        <v>43411.7</v>
      </c>
      <c r="P147" s="482">
        <v>43411.7</v>
      </c>
      <c r="Q147" s="482">
        <f t="shared" si="7"/>
        <v>0</v>
      </c>
    </row>
    <row r="148" spans="1:17" s="459" customFormat="1" ht="15.75" customHeight="1" x14ac:dyDescent="0.2">
      <c r="A148" s="484">
        <f t="shared" si="8"/>
        <v>140</v>
      </c>
      <c r="B148" s="484" t="s">
        <v>305</v>
      </c>
      <c r="C148" s="516" t="s">
        <v>62</v>
      </c>
      <c r="D148" s="484"/>
      <c r="E148" s="486" t="s">
        <v>674</v>
      </c>
      <c r="F148" s="486" t="s">
        <v>513</v>
      </c>
      <c r="G148" s="510" t="s">
        <v>670</v>
      </c>
      <c r="H148" s="484">
        <v>15</v>
      </c>
      <c r="I148" s="484">
        <v>12</v>
      </c>
      <c r="J148" s="484">
        <v>13</v>
      </c>
      <c r="K148" s="482">
        <v>6542.9</v>
      </c>
      <c r="L148" s="482">
        <v>6542.9</v>
      </c>
      <c r="M148" s="482">
        <f t="shared" si="6"/>
        <v>0</v>
      </c>
      <c r="N148" s="484">
        <v>0</v>
      </c>
      <c r="O148" s="482">
        <v>0</v>
      </c>
      <c r="P148" s="482">
        <v>0</v>
      </c>
      <c r="Q148" s="482">
        <f t="shared" si="7"/>
        <v>0</v>
      </c>
    </row>
    <row r="149" spans="1:17" s="459" customFormat="1" ht="15.75" customHeight="1" x14ac:dyDescent="0.2">
      <c r="A149" s="484">
        <f t="shared" si="8"/>
        <v>141</v>
      </c>
      <c r="B149" s="484" t="s">
        <v>702</v>
      </c>
      <c r="C149" s="516" t="s">
        <v>62</v>
      </c>
      <c r="D149" s="484"/>
      <c r="E149" s="486" t="s">
        <v>158</v>
      </c>
      <c r="F149" s="486" t="s">
        <v>733</v>
      </c>
      <c r="G149" s="510" t="s">
        <v>670</v>
      </c>
      <c r="H149" s="484">
        <v>2</v>
      </c>
      <c r="I149" s="484">
        <v>1</v>
      </c>
      <c r="J149" s="484">
        <v>1</v>
      </c>
      <c r="K149" s="482">
        <v>649.87</v>
      </c>
      <c r="L149" s="482">
        <v>649.87</v>
      </c>
      <c r="M149" s="482">
        <f t="shared" si="6"/>
        <v>0</v>
      </c>
      <c r="N149" s="484">
        <v>0</v>
      </c>
      <c r="O149" s="482">
        <v>0</v>
      </c>
      <c r="P149" s="482">
        <v>0</v>
      </c>
      <c r="Q149" s="482">
        <f t="shared" si="7"/>
        <v>0</v>
      </c>
    </row>
    <row r="150" spans="1:17" s="459" customFormat="1" ht="15.75" customHeight="1" x14ac:dyDescent="0.2">
      <c r="A150" s="484">
        <f t="shared" si="8"/>
        <v>142</v>
      </c>
      <c r="B150" s="484" t="s">
        <v>471</v>
      </c>
      <c r="C150" s="516" t="s">
        <v>64</v>
      </c>
      <c r="D150" s="484" t="s">
        <v>65</v>
      </c>
      <c r="E150" s="486" t="s">
        <v>158</v>
      </c>
      <c r="F150" s="486" t="s">
        <v>472</v>
      </c>
      <c r="G150" s="510" t="s">
        <v>670</v>
      </c>
      <c r="H150" s="484">
        <v>0</v>
      </c>
      <c r="I150" s="484">
        <v>0</v>
      </c>
      <c r="J150" s="484">
        <v>0</v>
      </c>
      <c r="K150" s="482">
        <v>0</v>
      </c>
      <c r="L150" s="482">
        <v>0</v>
      </c>
      <c r="M150" s="482">
        <f t="shared" si="6"/>
        <v>0</v>
      </c>
      <c r="N150" s="484">
        <v>1</v>
      </c>
      <c r="O150" s="482">
        <v>0</v>
      </c>
      <c r="P150" s="482">
        <v>0</v>
      </c>
      <c r="Q150" s="482">
        <f t="shared" si="7"/>
        <v>0</v>
      </c>
    </row>
    <row r="151" spans="1:17" s="459" customFormat="1" ht="15.75" customHeight="1" x14ac:dyDescent="0.2">
      <c r="A151" s="484">
        <f t="shared" si="8"/>
        <v>143</v>
      </c>
      <c r="B151" s="484" t="s">
        <v>57</v>
      </c>
      <c r="C151" s="516" t="s">
        <v>62</v>
      </c>
      <c r="D151" s="484" t="s">
        <v>63</v>
      </c>
      <c r="E151" s="486" t="s">
        <v>698</v>
      </c>
      <c r="F151" s="486" t="s">
        <v>306</v>
      </c>
      <c r="G151" s="510" t="s">
        <v>670</v>
      </c>
      <c r="H151" s="484">
        <v>38</v>
      </c>
      <c r="I151" s="484">
        <v>18</v>
      </c>
      <c r="J151" s="484">
        <v>21</v>
      </c>
      <c r="K151" s="482">
        <v>19342.23</v>
      </c>
      <c r="L151" s="482">
        <v>19342.23</v>
      </c>
      <c r="M151" s="482">
        <f t="shared" si="6"/>
        <v>0</v>
      </c>
      <c r="N151" s="484">
        <v>21</v>
      </c>
      <c r="O151" s="482">
        <v>109281.48</v>
      </c>
      <c r="P151" s="482">
        <f>92362.92+3000</f>
        <v>95362.92</v>
      </c>
      <c r="Q151" s="482">
        <f t="shared" si="7"/>
        <v>13918.559999999998</v>
      </c>
    </row>
    <row r="152" spans="1:17" s="459" customFormat="1" ht="15.75" customHeight="1" x14ac:dyDescent="0.2">
      <c r="A152" s="484">
        <f t="shared" si="8"/>
        <v>144</v>
      </c>
      <c r="B152" s="484" t="s">
        <v>648</v>
      </c>
      <c r="C152" s="516" t="s">
        <v>62</v>
      </c>
      <c r="D152" s="484"/>
      <c r="E152" s="486" t="s">
        <v>158</v>
      </c>
      <c r="F152" s="486" t="s">
        <v>650</v>
      </c>
      <c r="G152" s="510" t="s">
        <v>670</v>
      </c>
      <c r="H152" s="484">
        <v>12</v>
      </c>
      <c r="I152" s="484">
        <v>8</v>
      </c>
      <c r="J152" s="484">
        <v>9</v>
      </c>
      <c r="K152" s="482">
        <v>4135.99</v>
      </c>
      <c r="L152" s="482">
        <v>1233.47</v>
      </c>
      <c r="M152" s="482">
        <f t="shared" si="6"/>
        <v>2902.5199999999995</v>
      </c>
      <c r="N152" s="484">
        <v>0</v>
      </c>
      <c r="O152" s="482">
        <v>0</v>
      </c>
      <c r="P152" s="482">
        <v>0</v>
      </c>
      <c r="Q152" s="482">
        <f t="shared" si="7"/>
        <v>0</v>
      </c>
    </row>
    <row r="153" spans="1:17" s="459" customFormat="1" ht="15.75" customHeight="1" x14ac:dyDescent="0.2">
      <c r="A153" s="484">
        <f t="shared" si="8"/>
        <v>145</v>
      </c>
      <c r="B153" s="484" t="s">
        <v>473</v>
      </c>
      <c r="C153" s="516" t="s">
        <v>62</v>
      </c>
      <c r="D153" s="484"/>
      <c r="E153" s="486" t="s">
        <v>158</v>
      </c>
      <c r="F153" s="486" t="s">
        <v>500</v>
      </c>
      <c r="G153" s="510" t="s">
        <v>670</v>
      </c>
      <c r="H153" s="484">
        <v>17</v>
      </c>
      <c r="I153" s="484">
        <v>12</v>
      </c>
      <c r="J153" s="484">
        <v>14</v>
      </c>
      <c r="K153" s="482">
        <f>9948.68+1377.07</f>
        <v>11325.75</v>
      </c>
      <c r="L153" s="482">
        <f>9948.68+1377.07</f>
        <v>11325.75</v>
      </c>
      <c r="M153" s="482">
        <f t="shared" si="6"/>
        <v>0</v>
      </c>
      <c r="N153" s="484">
        <v>4</v>
      </c>
      <c r="O153" s="482">
        <v>20865.919999999998</v>
      </c>
      <c r="P153" s="482">
        <v>20865.919999999998</v>
      </c>
      <c r="Q153" s="482">
        <f t="shared" si="7"/>
        <v>0</v>
      </c>
    </row>
    <row r="154" spans="1:17" s="459" customFormat="1" ht="15.75" customHeight="1" x14ac:dyDescent="0.2">
      <c r="A154" s="484">
        <f t="shared" si="8"/>
        <v>146</v>
      </c>
      <c r="B154" s="484" t="s">
        <v>129</v>
      </c>
      <c r="C154" s="516" t="s">
        <v>62</v>
      </c>
      <c r="D154" s="484" t="s">
        <v>63</v>
      </c>
      <c r="E154" s="486" t="s">
        <v>158</v>
      </c>
      <c r="F154" s="486" t="s">
        <v>307</v>
      </c>
      <c r="G154" s="510" t="s">
        <v>670</v>
      </c>
      <c r="H154" s="484">
        <v>0</v>
      </c>
      <c r="I154" s="484">
        <v>0</v>
      </c>
      <c r="J154" s="484">
        <v>0</v>
      </c>
      <c r="K154" s="482">
        <v>0</v>
      </c>
      <c r="L154" s="482">
        <v>0</v>
      </c>
      <c r="M154" s="482">
        <f t="shared" si="6"/>
        <v>0</v>
      </c>
      <c r="N154" s="484">
        <v>4</v>
      </c>
      <c r="O154" s="482">
        <f>2390.47+10607.41</f>
        <v>12997.88</v>
      </c>
      <c r="P154" s="482">
        <f>2390.47+10607.41</f>
        <v>12997.88</v>
      </c>
      <c r="Q154" s="482">
        <f t="shared" si="7"/>
        <v>0</v>
      </c>
    </row>
    <row r="155" spans="1:17" s="459" customFormat="1" ht="15.75" customHeight="1" x14ac:dyDescent="0.2">
      <c r="A155" s="484">
        <f t="shared" si="8"/>
        <v>147</v>
      </c>
      <c r="B155" s="484" t="s">
        <v>58</v>
      </c>
      <c r="C155" s="516" t="s">
        <v>62</v>
      </c>
      <c r="D155" s="484" t="s">
        <v>63</v>
      </c>
      <c r="E155" s="486" t="s">
        <v>158</v>
      </c>
      <c r="F155" s="486" t="s">
        <v>308</v>
      </c>
      <c r="G155" s="510" t="s">
        <v>670</v>
      </c>
      <c r="H155" s="484">
        <v>236</v>
      </c>
      <c r="I155" s="484">
        <v>225</v>
      </c>
      <c r="J155" s="484">
        <v>256</v>
      </c>
      <c r="K155" s="482">
        <v>246573.61</v>
      </c>
      <c r="L155" s="482">
        <f>219265.57+611.21</f>
        <v>219876.78</v>
      </c>
      <c r="M155" s="482">
        <f t="shared" si="6"/>
        <v>26696.829999999987</v>
      </c>
      <c r="N155" s="484">
        <v>62</v>
      </c>
      <c r="O155" s="482">
        <v>217678.14</v>
      </c>
      <c r="P155" s="482">
        <v>217678.14</v>
      </c>
      <c r="Q155" s="482">
        <f t="shared" si="7"/>
        <v>0</v>
      </c>
    </row>
    <row r="156" spans="1:17" s="459" customFormat="1" ht="15.75" customHeight="1" x14ac:dyDescent="0.2">
      <c r="A156" s="484">
        <f t="shared" si="8"/>
        <v>148</v>
      </c>
      <c r="B156" s="484" t="s">
        <v>59</v>
      </c>
      <c r="C156" s="516" t="s">
        <v>64</v>
      </c>
      <c r="D156" s="484" t="s">
        <v>66</v>
      </c>
      <c r="E156" s="486" t="s">
        <v>677</v>
      </c>
      <c r="F156" s="486" t="s">
        <v>309</v>
      </c>
      <c r="G156" s="510" t="s">
        <v>670</v>
      </c>
      <c r="H156" s="484">
        <v>42</v>
      </c>
      <c r="I156" s="484">
        <v>34</v>
      </c>
      <c r="J156" s="484">
        <v>53</v>
      </c>
      <c r="K156" s="482">
        <v>90310.61</v>
      </c>
      <c r="L156" s="482">
        <v>83144.350000000006</v>
      </c>
      <c r="M156" s="482">
        <f t="shared" si="6"/>
        <v>7166.2599999999948</v>
      </c>
      <c r="N156" s="484">
        <v>32</v>
      </c>
      <c r="O156" s="482">
        <v>128048.16</v>
      </c>
      <c r="P156" s="482">
        <f>108860.27+3000</f>
        <v>111860.27</v>
      </c>
      <c r="Q156" s="482">
        <f t="shared" si="7"/>
        <v>16187.89</v>
      </c>
    </row>
    <row r="157" spans="1:17" s="459" customFormat="1" ht="15.75" customHeight="1" x14ac:dyDescent="0.2">
      <c r="A157" s="484">
        <f t="shared" si="8"/>
        <v>149</v>
      </c>
      <c r="B157" s="484" t="s">
        <v>130</v>
      </c>
      <c r="C157" s="516" t="s">
        <v>62</v>
      </c>
      <c r="D157" s="484" t="s">
        <v>63</v>
      </c>
      <c r="E157" s="486" t="s">
        <v>158</v>
      </c>
      <c r="F157" s="486" t="s">
        <v>553</v>
      </c>
      <c r="G157" s="510" t="s">
        <v>670</v>
      </c>
      <c r="H157" s="484">
        <v>7</v>
      </c>
      <c r="I157" s="484">
        <v>2</v>
      </c>
      <c r="J157" s="484">
        <v>2</v>
      </c>
      <c r="K157" s="482">
        <v>299.54000000000002</v>
      </c>
      <c r="L157" s="482">
        <v>299.54000000000002</v>
      </c>
      <c r="M157" s="482">
        <f t="shared" si="6"/>
        <v>0</v>
      </c>
      <c r="N157" s="484">
        <v>5</v>
      </c>
      <c r="O157" s="482">
        <f>14754.22+5264.54</f>
        <v>20018.759999999998</v>
      </c>
      <c r="P157" s="482">
        <f>14754.22+5264.54</f>
        <v>20018.759999999998</v>
      </c>
      <c r="Q157" s="482">
        <f t="shared" si="7"/>
        <v>0</v>
      </c>
    </row>
    <row r="158" spans="1:17" s="459" customFormat="1" ht="15.75" customHeight="1" x14ac:dyDescent="0.2">
      <c r="A158" s="484">
        <f t="shared" si="8"/>
        <v>150</v>
      </c>
      <c r="B158" s="484" t="s">
        <v>97</v>
      </c>
      <c r="C158" s="516" t="s">
        <v>62</v>
      </c>
      <c r="D158" s="484" t="s">
        <v>63</v>
      </c>
      <c r="E158" s="486" t="s">
        <v>158</v>
      </c>
      <c r="F158" s="486" t="s">
        <v>310</v>
      </c>
      <c r="G158" s="510" t="s">
        <v>670</v>
      </c>
      <c r="H158" s="484">
        <v>7</v>
      </c>
      <c r="I158" s="484">
        <v>4</v>
      </c>
      <c r="J158" s="484">
        <v>4</v>
      </c>
      <c r="K158" s="482">
        <f>5524.96+2973.38</f>
        <v>8498.34</v>
      </c>
      <c r="L158" s="482">
        <f>5524.96+2973.38</f>
        <v>8498.34</v>
      </c>
      <c r="M158" s="482">
        <f t="shared" si="6"/>
        <v>0</v>
      </c>
      <c r="N158" s="484">
        <v>1</v>
      </c>
      <c r="O158" s="482">
        <v>808.76</v>
      </c>
      <c r="P158" s="482">
        <v>808.76</v>
      </c>
      <c r="Q158" s="482">
        <f t="shared" si="7"/>
        <v>0</v>
      </c>
    </row>
    <row r="159" spans="1:17" s="459" customFormat="1" ht="15.75" customHeight="1" x14ac:dyDescent="0.2">
      <c r="A159" s="484">
        <f t="shared" si="8"/>
        <v>151</v>
      </c>
      <c r="B159" s="484" t="s">
        <v>667</v>
      </c>
      <c r="C159" s="516" t="s">
        <v>62</v>
      </c>
      <c r="D159" s="484"/>
      <c r="E159" s="486" t="s">
        <v>158</v>
      </c>
      <c r="F159" s="486" t="s">
        <v>668</v>
      </c>
      <c r="G159" s="510" t="s">
        <v>670</v>
      </c>
      <c r="H159" s="484">
        <v>5</v>
      </c>
      <c r="I159" s="484">
        <v>2</v>
      </c>
      <c r="J159" s="484">
        <v>2</v>
      </c>
      <c r="K159" s="482">
        <v>0</v>
      </c>
      <c r="L159" s="482">
        <v>0</v>
      </c>
      <c r="M159" s="482">
        <f t="shared" si="6"/>
        <v>0</v>
      </c>
      <c r="N159" s="484">
        <v>0</v>
      </c>
      <c r="O159" s="482">
        <v>0</v>
      </c>
      <c r="P159" s="482">
        <v>0</v>
      </c>
      <c r="Q159" s="482">
        <f t="shared" si="7"/>
        <v>0</v>
      </c>
    </row>
    <row r="160" spans="1:17" s="459" customFormat="1" ht="15.75" customHeight="1" x14ac:dyDescent="0.2">
      <c r="A160" s="484">
        <f t="shared" si="8"/>
        <v>152</v>
      </c>
      <c r="B160" s="484" t="s">
        <v>514</v>
      </c>
      <c r="C160" s="516" t="s">
        <v>62</v>
      </c>
      <c r="D160" s="484"/>
      <c r="E160" s="486" t="s">
        <v>158</v>
      </c>
      <c r="F160" s="486" t="s">
        <v>515</v>
      </c>
      <c r="G160" s="510" t="s">
        <v>670</v>
      </c>
      <c r="H160" s="484">
        <v>24</v>
      </c>
      <c r="I160" s="484">
        <v>17</v>
      </c>
      <c r="J160" s="484">
        <v>24</v>
      </c>
      <c r="K160" s="482">
        <f>21122.21+4718.32</f>
        <v>25840.53</v>
      </c>
      <c r="L160" s="482">
        <f>21122.21+2235.34</f>
        <v>23357.55</v>
      </c>
      <c r="M160" s="482">
        <f t="shared" si="6"/>
        <v>2482.9799999999996</v>
      </c>
      <c r="N160" s="484">
        <v>0</v>
      </c>
      <c r="O160" s="482">
        <v>0</v>
      </c>
      <c r="P160" s="482">
        <v>0</v>
      </c>
      <c r="Q160" s="482">
        <f t="shared" si="7"/>
        <v>0</v>
      </c>
    </row>
    <row r="161" spans="1:17" s="459" customFormat="1" ht="15.75" customHeight="1" x14ac:dyDescent="0.2">
      <c r="A161" s="484">
        <f t="shared" si="8"/>
        <v>153</v>
      </c>
      <c r="B161" s="484" t="s">
        <v>132</v>
      </c>
      <c r="C161" s="516" t="s">
        <v>62</v>
      </c>
      <c r="D161" s="484" t="s">
        <v>63</v>
      </c>
      <c r="E161" s="486" t="s">
        <v>158</v>
      </c>
      <c r="F161" s="486" t="s">
        <v>311</v>
      </c>
      <c r="G161" s="510" t="s">
        <v>670</v>
      </c>
      <c r="H161" s="484">
        <v>19</v>
      </c>
      <c r="I161" s="484">
        <v>7</v>
      </c>
      <c r="J161" s="484">
        <v>8</v>
      </c>
      <c r="K161" s="482">
        <v>7071.18</v>
      </c>
      <c r="L161" s="482">
        <v>7071.18</v>
      </c>
      <c r="M161" s="482">
        <f t="shared" si="6"/>
        <v>0</v>
      </c>
      <c r="N161" s="484">
        <v>11</v>
      </c>
      <c r="O161" s="482">
        <v>7200.72</v>
      </c>
      <c r="P161" s="482">
        <v>7200.72</v>
      </c>
      <c r="Q161" s="482">
        <f t="shared" si="7"/>
        <v>0</v>
      </c>
    </row>
    <row r="162" spans="1:17" s="459" customFormat="1" ht="15.75" customHeight="1" x14ac:dyDescent="0.2">
      <c r="A162" s="484">
        <f t="shared" si="8"/>
        <v>154</v>
      </c>
      <c r="B162" s="484" t="s">
        <v>312</v>
      </c>
      <c r="C162" s="516" t="s">
        <v>62</v>
      </c>
      <c r="D162" s="484"/>
      <c r="E162" s="486" t="s">
        <v>158</v>
      </c>
      <c r="F162" s="486" t="s">
        <v>314</v>
      </c>
      <c r="G162" s="510" t="s">
        <v>670</v>
      </c>
      <c r="H162" s="484">
        <v>67</v>
      </c>
      <c r="I162" s="484">
        <v>1</v>
      </c>
      <c r="J162" s="484">
        <v>1</v>
      </c>
      <c r="K162" s="482">
        <v>0</v>
      </c>
      <c r="L162" s="482">
        <v>0</v>
      </c>
      <c r="M162" s="482">
        <f t="shared" si="6"/>
        <v>0</v>
      </c>
      <c r="N162" s="484">
        <v>0</v>
      </c>
      <c r="O162" s="482">
        <v>0</v>
      </c>
      <c r="P162" s="482">
        <v>0</v>
      </c>
      <c r="Q162" s="482">
        <f t="shared" si="7"/>
        <v>0</v>
      </c>
    </row>
    <row r="163" spans="1:17" s="459" customFormat="1" ht="15.75" customHeight="1" x14ac:dyDescent="0.2">
      <c r="A163" s="484">
        <f t="shared" si="8"/>
        <v>155</v>
      </c>
      <c r="B163" s="484" t="s">
        <v>505</v>
      </c>
      <c r="C163" s="516" t="s">
        <v>62</v>
      </c>
      <c r="D163" s="484"/>
      <c r="E163" s="486" t="s">
        <v>703</v>
      </c>
      <c r="F163" s="486" t="s">
        <v>704</v>
      </c>
      <c r="G163" s="510" t="s">
        <v>670</v>
      </c>
      <c r="H163" s="484">
        <v>7</v>
      </c>
      <c r="I163" s="484">
        <v>0</v>
      </c>
      <c r="J163" s="484">
        <v>0</v>
      </c>
      <c r="K163" s="482">
        <v>0</v>
      </c>
      <c r="L163" s="482">
        <v>0</v>
      </c>
      <c r="M163" s="482">
        <f t="shared" si="6"/>
        <v>0</v>
      </c>
      <c r="N163" s="484">
        <v>0</v>
      </c>
      <c r="O163" s="482">
        <v>0</v>
      </c>
      <c r="P163" s="482">
        <v>0</v>
      </c>
      <c r="Q163" s="482">
        <f t="shared" si="7"/>
        <v>0</v>
      </c>
    </row>
    <row r="164" spans="1:17" s="459" customFormat="1" ht="15.75" customHeight="1" x14ac:dyDescent="0.2">
      <c r="A164" s="484">
        <f t="shared" si="8"/>
        <v>156</v>
      </c>
      <c r="B164" s="484" t="s">
        <v>315</v>
      </c>
      <c r="C164" s="516" t="s">
        <v>62</v>
      </c>
      <c r="D164" s="484" t="s">
        <v>63</v>
      </c>
      <c r="E164" s="486" t="s">
        <v>158</v>
      </c>
      <c r="F164" s="486" t="s">
        <v>316</v>
      </c>
      <c r="G164" s="510" t="s">
        <v>670</v>
      </c>
      <c r="H164" s="484">
        <v>18</v>
      </c>
      <c r="I164" s="484">
        <v>10</v>
      </c>
      <c r="J164" s="484">
        <v>12</v>
      </c>
      <c r="K164" s="482">
        <v>11020.91</v>
      </c>
      <c r="L164" s="482">
        <v>11020.91</v>
      </c>
      <c r="M164" s="482">
        <f t="shared" si="6"/>
        <v>0</v>
      </c>
      <c r="N164" s="484">
        <v>4</v>
      </c>
      <c r="O164" s="482">
        <v>3889.02</v>
      </c>
      <c r="P164" s="482">
        <v>3889.02</v>
      </c>
      <c r="Q164" s="482">
        <f t="shared" si="7"/>
        <v>0</v>
      </c>
    </row>
    <row r="165" spans="1:17" s="459" customFormat="1" ht="15.75" customHeight="1" x14ac:dyDescent="0.2">
      <c r="A165" s="484">
        <f t="shared" si="8"/>
        <v>157</v>
      </c>
      <c r="B165" s="484" t="s">
        <v>317</v>
      </c>
      <c r="C165" s="516" t="s">
        <v>62</v>
      </c>
      <c r="D165" s="484"/>
      <c r="E165" s="486" t="s">
        <v>158</v>
      </c>
      <c r="F165" s="486" t="s">
        <v>474</v>
      </c>
      <c r="G165" s="510" t="s">
        <v>670</v>
      </c>
      <c r="H165" s="484">
        <v>12</v>
      </c>
      <c r="I165" s="484">
        <v>7</v>
      </c>
      <c r="J165" s="484">
        <v>8</v>
      </c>
      <c r="K165" s="482">
        <v>4210.97</v>
      </c>
      <c r="L165" s="482">
        <v>4210.97</v>
      </c>
      <c r="M165" s="482">
        <f t="shared" si="6"/>
        <v>0</v>
      </c>
      <c r="N165" s="484">
        <v>0</v>
      </c>
      <c r="O165" s="482">
        <v>0</v>
      </c>
      <c r="P165" s="482">
        <v>0</v>
      </c>
      <c r="Q165" s="482">
        <f t="shared" si="7"/>
        <v>0</v>
      </c>
    </row>
    <row r="166" spans="1:17" s="459" customFormat="1" ht="15.75" customHeight="1" x14ac:dyDescent="0.2">
      <c r="A166" s="484">
        <f t="shared" si="8"/>
        <v>158</v>
      </c>
      <c r="B166" s="484" t="s">
        <v>318</v>
      </c>
      <c r="C166" s="516" t="s">
        <v>62</v>
      </c>
      <c r="D166" s="484"/>
      <c r="E166" s="486" t="s">
        <v>158</v>
      </c>
      <c r="F166" s="486" t="s">
        <v>319</v>
      </c>
      <c r="G166" s="510" t="s">
        <v>670</v>
      </c>
      <c r="H166" s="484">
        <v>32</v>
      </c>
      <c r="I166" s="484">
        <v>19</v>
      </c>
      <c r="J166" s="484">
        <v>23</v>
      </c>
      <c r="K166" s="482">
        <v>24890.68</v>
      </c>
      <c r="L166" s="482">
        <v>24890.68</v>
      </c>
      <c r="M166" s="482">
        <f t="shared" si="6"/>
        <v>0</v>
      </c>
      <c r="N166" s="484">
        <v>0</v>
      </c>
      <c r="O166" s="482">
        <v>0</v>
      </c>
      <c r="P166" s="482">
        <v>0</v>
      </c>
      <c r="Q166" s="482">
        <f t="shared" si="7"/>
        <v>0</v>
      </c>
    </row>
    <row r="167" spans="1:17" s="459" customFormat="1" ht="15.75" customHeight="1" x14ac:dyDescent="0.2">
      <c r="A167" s="484">
        <f t="shared" si="8"/>
        <v>159</v>
      </c>
      <c r="B167" s="484" t="s">
        <v>60</v>
      </c>
      <c r="C167" s="516" t="s">
        <v>67</v>
      </c>
      <c r="D167" s="484" t="s">
        <v>68</v>
      </c>
      <c r="E167" s="486" t="s">
        <v>158</v>
      </c>
      <c r="F167" s="486" t="s">
        <v>320</v>
      </c>
      <c r="G167" s="510" t="s">
        <v>670</v>
      </c>
      <c r="H167" s="484">
        <v>75</v>
      </c>
      <c r="I167" s="484">
        <v>60</v>
      </c>
      <c r="J167" s="484">
        <v>88</v>
      </c>
      <c r="K167" s="482">
        <v>159674.60999999999</v>
      </c>
      <c r="L167" s="482">
        <v>159674.60999999999</v>
      </c>
      <c r="M167" s="482">
        <f t="shared" si="6"/>
        <v>0</v>
      </c>
      <c r="N167" s="484">
        <v>44</v>
      </c>
      <c r="O167" s="482">
        <v>110859.9</v>
      </c>
      <c r="P167" s="482">
        <v>110859.9</v>
      </c>
      <c r="Q167" s="482">
        <f t="shared" si="7"/>
        <v>0</v>
      </c>
    </row>
    <row r="168" spans="1:17" s="459" customFormat="1" ht="15.75" customHeight="1" x14ac:dyDescent="0.2">
      <c r="A168" s="484">
        <f t="shared" si="8"/>
        <v>160</v>
      </c>
      <c r="B168" s="484" t="s">
        <v>61</v>
      </c>
      <c r="C168" s="516" t="s">
        <v>67</v>
      </c>
      <c r="D168" s="484" t="s">
        <v>69</v>
      </c>
      <c r="E168" s="486" t="s">
        <v>158</v>
      </c>
      <c r="F168" s="486" t="s">
        <v>321</v>
      </c>
      <c r="G168" s="510" t="s">
        <v>670</v>
      </c>
      <c r="H168" s="484">
        <v>9</v>
      </c>
      <c r="I168" s="484">
        <v>5</v>
      </c>
      <c r="J168" s="484">
        <v>6</v>
      </c>
      <c r="K168" s="482">
        <v>12993.1</v>
      </c>
      <c r="L168" s="482">
        <v>12993.1</v>
      </c>
      <c r="M168" s="482">
        <f t="shared" si="6"/>
        <v>0</v>
      </c>
      <c r="N168" s="484">
        <v>7</v>
      </c>
      <c r="O168" s="482">
        <v>7602.26</v>
      </c>
      <c r="P168" s="482">
        <v>7602.26</v>
      </c>
      <c r="Q168" s="482">
        <f t="shared" si="7"/>
        <v>0</v>
      </c>
    </row>
    <row r="169" spans="1:17" s="459" customFormat="1" ht="15.75" customHeight="1" x14ac:dyDescent="0.2">
      <c r="A169" s="484">
        <f t="shared" si="8"/>
        <v>161</v>
      </c>
      <c r="B169" s="532" t="s">
        <v>21</v>
      </c>
      <c r="C169" s="533" t="s">
        <v>62</v>
      </c>
      <c r="D169" s="534"/>
      <c r="E169" s="532" t="s">
        <v>674</v>
      </c>
      <c r="F169" s="532" t="s">
        <v>734</v>
      </c>
      <c r="G169" s="532" t="s">
        <v>735</v>
      </c>
      <c r="H169" s="568">
        <v>1</v>
      </c>
      <c r="I169" s="568">
        <v>0</v>
      </c>
      <c r="J169" s="568">
        <v>0</v>
      </c>
      <c r="K169" s="569">
        <v>0</v>
      </c>
      <c r="L169" s="569">
        <v>0</v>
      </c>
      <c r="M169" s="569">
        <v>0</v>
      </c>
      <c r="N169" s="568">
        <v>3</v>
      </c>
      <c r="O169" s="569">
        <v>18538.8</v>
      </c>
      <c r="P169" s="569">
        <v>18538.8</v>
      </c>
      <c r="Q169" s="569">
        <v>0</v>
      </c>
    </row>
    <row r="170" spans="1:17" s="459" customFormat="1" ht="15.75" customHeight="1" x14ac:dyDescent="0.2">
      <c r="A170" s="484">
        <f t="shared" si="8"/>
        <v>162</v>
      </c>
      <c r="B170" s="532" t="s">
        <v>147</v>
      </c>
      <c r="C170" s="533" t="s">
        <v>62</v>
      </c>
      <c r="D170" s="534"/>
      <c r="E170" s="486" t="s">
        <v>158</v>
      </c>
      <c r="F170" s="532" t="s">
        <v>736</v>
      </c>
      <c r="G170" s="532" t="s">
        <v>706</v>
      </c>
      <c r="H170" s="568">
        <v>1</v>
      </c>
      <c r="I170" s="568">
        <v>1</v>
      </c>
      <c r="J170" s="568">
        <v>1</v>
      </c>
      <c r="K170" s="569">
        <v>1762</v>
      </c>
      <c r="L170" s="569">
        <v>1762</v>
      </c>
      <c r="M170" s="569">
        <v>0</v>
      </c>
      <c r="N170" s="568">
        <v>3</v>
      </c>
      <c r="O170" s="569">
        <v>12040</v>
      </c>
      <c r="P170" s="569">
        <v>12040</v>
      </c>
      <c r="Q170" s="569">
        <v>0</v>
      </c>
    </row>
    <row r="171" spans="1:17" s="459" customFormat="1" ht="15.75" customHeight="1" x14ac:dyDescent="0.2">
      <c r="A171" s="484">
        <f t="shared" si="8"/>
        <v>163</v>
      </c>
      <c r="B171" s="532" t="s">
        <v>526</v>
      </c>
      <c r="C171" s="533" t="s">
        <v>62</v>
      </c>
      <c r="D171" s="534"/>
      <c r="E171" s="532" t="s">
        <v>760</v>
      </c>
      <c r="F171" s="532" t="s">
        <v>738</v>
      </c>
      <c r="G171" s="532" t="s">
        <v>706</v>
      </c>
      <c r="H171" s="568">
        <v>0</v>
      </c>
      <c r="I171" s="568">
        <v>0</v>
      </c>
      <c r="J171" s="568">
        <v>0</v>
      </c>
      <c r="K171" s="569">
        <v>0</v>
      </c>
      <c r="L171" s="569">
        <v>0</v>
      </c>
      <c r="M171" s="569">
        <v>0</v>
      </c>
      <c r="N171" s="568">
        <v>0</v>
      </c>
      <c r="O171" s="570">
        <v>0</v>
      </c>
      <c r="P171" s="569">
        <v>0</v>
      </c>
      <c r="Q171" s="569">
        <v>0</v>
      </c>
    </row>
    <row r="172" spans="1:17" s="459" customFormat="1" ht="15.75" customHeight="1" x14ac:dyDescent="0.2">
      <c r="A172" s="484">
        <f t="shared" si="8"/>
        <v>164</v>
      </c>
      <c r="B172" s="532" t="s">
        <v>305</v>
      </c>
      <c r="C172" s="533" t="s">
        <v>62</v>
      </c>
      <c r="D172" s="534"/>
      <c r="E172" s="532" t="s">
        <v>674</v>
      </c>
      <c r="F172" s="532" t="s">
        <v>739</v>
      </c>
      <c r="G172" s="532" t="s">
        <v>706</v>
      </c>
      <c r="H172" s="568">
        <v>4</v>
      </c>
      <c r="I172" s="568">
        <v>4</v>
      </c>
      <c r="J172" s="568">
        <v>4</v>
      </c>
      <c r="K172" s="569">
        <v>10545.1</v>
      </c>
      <c r="L172" s="569">
        <v>10545.1</v>
      </c>
      <c r="M172" s="569">
        <v>0</v>
      </c>
      <c r="N172" s="568">
        <v>0</v>
      </c>
      <c r="O172" s="569">
        <v>0</v>
      </c>
      <c r="P172" s="569">
        <v>0</v>
      </c>
      <c r="Q172" s="569">
        <v>0</v>
      </c>
    </row>
    <row r="173" spans="1:17" s="459" customFormat="1" ht="15.75" customHeight="1" x14ac:dyDescent="0.2">
      <c r="A173" s="484">
        <f t="shared" si="8"/>
        <v>165</v>
      </c>
      <c r="B173" s="532" t="s">
        <v>407</v>
      </c>
      <c r="C173" s="533" t="s">
        <v>62</v>
      </c>
      <c r="D173" s="534"/>
      <c r="E173" s="532" t="s">
        <v>674</v>
      </c>
      <c r="F173" s="532" t="s">
        <v>740</v>
      </c>
      <c r="G173" s="532" t="s">
        <v>706</v>
      </c>
      <c r="H173" s="568">
        <v>4</v>
      </c>
      <c r="I173" s="568">
        <v>1</v>
      </c>
      <c r="J173" s="568">
        <v>1</v>
      </c>
      <c r="K173" s="569">
        <v>3866.1</v>
      </c>
      <c r="L173" s="569">
        <v>3866.1</v>
      </c>
      <c r="M173" s="569">
        <v>0</v>
      </c>
      <c r="N173" s="568">
        <v>0</v>
      </c>
      <c r="O173" s="569">
        <v>0</v>
      </c>
      <c r="P173" s="569">
        <v>0</v>
      </c>
      <c r="Q173" s="569">
        <v>0</v>
      </c>
    </row>
    <row r="174" spans="1:17" s="459" customFormat="1" ht="15.75" customHeight="1" x14ac:dyDescent="0.2">
      <c r="A174" s="484">
        <f t="shared" si="8"/>
        <v>166</v>
      </c>
      <c r="B174" s="532" t="s">
        <v>185</v>
      </c>
      <c r="C174" s="533" t="s">
        <v>62</v>
      </c>
      <c r="D174" s="534"/>
      <c r="E174" s="532" t="s">
        <v>674</v>
      </c>
      <c r="F174" s="532" t="s">
        <v>741</v>
      </c>
      <c r="G174" s="532" t="s">
        <v>706</v>
      </c>
      <c r="H174" s="568">
        <v>4</v>
      </c>
      <c r="I174" s="568">
        <v>4</v>
      </c>
      <c r="J174" s="568">
        <v>4</v>
      </c>
      <c r="K174" s="569">
        <v>14698.09</v>
      </c>
      <c r="L174" s="569">
        <v>14698.09</v>
      </c>
      <c r="M174" s="569">
        <v>0</v>
      </c>
      <c r="N174" s="568">
        <v>0</v>
      </c>
      <c r="O174" s="569">
        <v>0</v>
      </c>
      <c r="P174" s="569">
        <v>0</v>
      </c>
      <c r="Q174" s="569">
        <v>0</v>
      </c>
    </row>
    <row r="175" spans="1:17" s="459" customFormat="1" ht="15.75" customHeight="1" x14ac:dyDescent="0.2">
      <c r="A175" s="484">
        <f t="shared" si="8"/>
        <v>167</v>
      </c>
      <c r="B175" s="532" t="s">
        <v>534</v>
      </c>
      <c r="C175" s="533" t="s">
        <v>62</v>
      </c>
      <c r="D175" s="534"/>
      <c r="E175" s="532" t="s">
        <v>674</v>
      </c>
      <c r="F175" s="532" t="s">
        <v>742</v>
      </c>
      <c r="G175" s="532" t="s">
        <v>706</v>
      </c>
      <c r="H175" s="568">
        <v>1</v>
      </c>
      <c r="I175" s="568">
        <v>0</v>
      </c>
      <c r="J175" s="568">
        <v>0</v>
      </c>
      <c r="K175" s="569">
        <v>0</v>
      </c>
      <c r="L175" s="569">
        <v>0</v>
      </c>
      <c r="M175" s="569">
        <v>0</v>
      </c>
      <c r="N175" s="568">
        <v>0</v>
      </c>
      <c r="O175" s="569">
        <v>0</v>
      </c>
      <c r="P175" s="569">
        <v>0</v>
      </c>
      <c r="Q175" s="569">
        <v>0</v>
      </c>
    </row>
    <row r="176" spans="1:17" s="459" customFormat="1" ht="15.75" customHeight="1" x14ac:dyDescent="0.2">
      <c r="A176" s="484">
        <f t="shared" si="8"/>
        <v>168</v>
      </c>
      <c r="B176" s="532" t="s">
        <v>104</v>
      </c>
      <c r="C176" s="533" t="s">
        <v>62</v>
      </c>
      <c r="D176" s="534"/>
      <c r="E176" s="490" t="s">
        <v>730</v>
      </c>
      <c r="F176" s="532" t="s">
        <v>743</v>
      </c>
      <c r="G176" s="532" t="s">
        <v>706</v>
      </c>
      <c r="H176" s="568">
        <v>0</v>
      </c>
      <c r="I176" s="568">
        <v>0</v>
      </c>
      <c r="J176" s="568">
        <v>0</v>
      </c>
      <c r="K176" s="569">
        <v>0</v>
      </c>
      <c r="L176" s="569">
        <v>0</v>
      </c>
      <c r="M176" s="569">
        <v>0</v>
      </c>
      <c r="N176" s="568">
        <v>1</v>
      </c>
      <c r="O176" s="569">
        <v>3187.89</v>
      </c>
      <c r="P176" s="569">
        <v>3187.89</v>
      </c>
      <c r="Q176" s="569">
        <v>0</v>
      </c>
    </row>
    <row r="177" spans="1:17" s="459" customFormat="1" ht="15.75" customHeight="1" x14ac:dyDescent="0.2">
      <c r="A177" s="484">
        <f t="shared" si="8"/>
        <v>169</v>
      </c>
      <c r="B177" s="532" t="s">
        <v>621</v>
      </c>
      <c r="C177" s="533" t="s">
        <v>62</v>
      </c>
      <c r="D177" s="534"/>
      <c r="E177" s="486" t="s">
        <v>158</v>
      </c>
      <c r="F177" s="532" t="s">
        <v>744</v>
      </c>
      <c r="G177" s="532" t="s">
        <v>706</v>
      </c>
      <c r="H177" s="568">
        <v>0</v>
      </c>
      <c r="I177" s="568">
        <v>0</v>
      </c>
      <c r="J177" s="568">
        <v>0</v>
      </c>
      <c r="K177" s="569">
        <v>0</v>
      </c>
      <c r="L177" s="569">
        <v>0</v>
      </c>
      <c r="M177" s="569">
        <v>0</v>
      </c>
      <c r="N177" s="568">
        <v>0</v>
      </c>
      <c r="O177" s="569">
        <v>0</v>
      </c>
      <c r="P177" s="569">
        <v>0</v>
      </c>
      <c r="Q177" s="569">
        <v>0</v>
      </c>
    </row>
    <row r="178" spans="1:17" s="459" customFormat="1" ht="15.75" customHeight="1" x14ac:dyDescent="0.2">
      <c r="A178" s="484">
        <f t="shared" si="8"/>
        <v>170</v>
      </c>
      <c r="B178" s="484" t="s">
        <v>47</v>
      </c>
      <c r="C178" s="516" t="s">
        <v>62</v>
      </c>
      <c r="D178" s="484"/>
      <c r="E178" s="486" t="s">
        <v>761</v>
      </c>
      <c r="F178" s="486" t="s">
        <v>448</v>
      </c>
      <c r="G178" s="510" t="s">
        <v>142</v>
      </c>
      <c r="H178" s="484">
        <v>8</v>
      </c>
      <c r="I178" s="484">
        <v>2</v>
      </c>
      <c r="J178" s="484">
        <v>2</v>
      </c>
      <c r="K178" s="482">
        <v>2522.1</v>
      </c>
      <c r="L178" s="482">
        <v>2522.1</v>
      </c>
      <c r="M178" s="482">
        <v>0</v>
      </c>
      <c r="N178" s="484">
        <v>24</v>
      </c>
      <c r="O178" s="482">
        <v>43758.62</v>
      </c>
      <c r="P178" s="482">
        <v>43758.62</v>
      </c>
      <c r="Q178" s="482">
        <v>0</v>
      </c>
    </row>
    <row r="179" spans="1:17" s="459" customFormat="1" ht="15.75" customHeight="1" x14ac:dyDescent="0.2">
      <c r="A179" s="484">
        <f t="shared" si="8"/>
        <v>171</v>
      </c>
      <c r="B179" s="484" t="s">
        <v>55</v>
      </c>
      <c r="C179" s="516" t="s">
        <v>62</v>
      </c>
      <c r="D179" s="484"/>
      <c r="E179" s="486" t="s">
        <v>762</v>
      </c>
      <c r="F179" s="486" t="s">
        <v>449</v>
      </c>
      <c r="G179" s="510" t="s">
        <v>142</v>
      </c>
      <c r="H179" s="484">
        <v>9</v>
      </c>
      <c r="I179" s="484">
        <v>4</v>
      </c>
      <c r="J179" s="484">
        <v>4</v>
      </c>
      <c r="K179" s="482">
        <v>4284.1000000000004</v>
      </c>
      <c r="L179" s="482">
        <v>4284.1000000000004</v>
      </c>
      <c r="M179" s="482">
        <v>0</v>
      </c>
      <c r="N179" s="484">
        <v>14</v>
      </c>
      <c r="O179" s="482">
        <v>29300.9</v>
      </c>
      <c r="P179" s="482">
        <v>29300.9</v>
      </c>
      <c r="Q179" s="482">
        <v>0</v>
      </c>
    </row>
    <row r="180" spans="1:17" s="459" customFormat="1" ht="15.75" customHeight="1" x14ac:dyDescent="0.2">
      <c r="A180" s="484">
        <f t="shared" si="8"/>
        <v>172</v>
      </c>
      <c r="B180" s="484" t="s">
        <v>122</v>
      </c>
      <c r="C180" s="516" t="s">
        <v>62</v>
      </c>
      <c r="D180" s="484"/>
      <c r="E180" s="486" t="s">
        <v>763</v>
      </c>
      <c r="F180" s="486" t="s">
        <v>450</v>
      </c>
      <c r="G180" s="510" t="s">
        <v>142</v>
      </c>
      <c r="H180" s="484">
        <v>5</v>
      </c>
      <c r="I180" s="484">
        <v>2</v>
      </c>
      <c r="J180" s="484">
        <v>2</v>
      </c>
      <c r="K180" s="482">
        <v>2301.25</v>
      </c>
      <c r="L180" s="482">
        <v>2301.25</v>
      </c>
      <c r="M180" s="482">
        <v>0</v>
      </c>
      <c r="N180" s="484">
        <v>8</v>
      </c>
      <c r="O180" s="482">
        <v>16883.89</v>
      </c>
      <c r="P180" s="482">
        <v>14674.69</v>
      </c>
      <c r="Q180" s="482">
        <v>2209.1999999999998</v>
      </c>
    </row>
    <row r="181" spans="1:17" s="459" customFormat="1" ht="15.75" customHeight="1" x14ac:dyDescent="0.2">
      <c r="A181" s="484">
        <f t="shared" si="8"/>
        <v>173</v>
      </c>
      <c r="B181" s="484" t="s">
        <v>144</v>
      </c>
      <c r="C181" s="516" t="s">
        <v>62</v>
      </c>
      <c r="D181" s="484"/>
      <c r="E181" s="486" t="s">
        <v>761</v>
      </c>
      <c r="F181" s="486" t="s">
        <v>451</v>
      </c>
      <c r="G181" s="510" t="s">
        <v>142</v>
      </c>
      <c r="H181" s="484">
        <v>8</v>
      </c>
      <c r="I181" s="484">
        <v>7</v>
      </c>
      <c r="J181" s="484">
        <v>7</v>
      </c>
      <c r="K181" s="482">
        <v>8121.62</v>
      </c>
      <c r="L181" s="482">
        <v>8121.62</v>
      </c>
      <c r="M181" s="482">
        <v>0</v>
      </c>
      <c r="N181" s="484">
        <v>3</v>
      </c>
      <c r="O181" s="482">
        <v>3595.1</v>
      </c>
      <c r="P181" s="482">
        <v>3595.1</v>
      </c>
      <c r="Q181" s="482">
        <v>0</v>
      </c>
    </row>
    <row r="182" spans="1:17" s="459" customFormat="1" ht="15.75" customHeight="1" x14ac:dyDescent="0.2">
      <c r="A182" s="484">
        <f t="shared" si="8"/>
        <v>174</v>
      </c>
      <c r="B182" s="484" t="s">
        <v>46</v>
      </c>
      <c r="C182" s="516" t="s">
        <v>62</v>
      </c>
      <c r="D182" s="484"/>
      <c r="E182" s="486" t="s">
        <v>764</v>
      </c>
      <c r="F182" s="486" t="s">
        <v>453</v>
      </c>
      <c r="G182" s="510" t="s">
        <v>142</v>
      </c>
      <c r="H182" s="484">
        <v>0</v>
      </c>
      <c r="I182" s="484">
        <v>0</v>
      </c>
      <c r="J182" s="484">
        <v>0</v>
      </c>
      <c r="K182" s="482">
        <v>0</v>
      </c>
      <c r="L182" s="482">
        <v>0</v>
      </c>
      <c r="M182" s="482">
        <v>0</v>
      </c>
      <c r="N182" s="484">
        <v>0</v>
      </c>
      <c r="O182" s="482">
        <v>0</v>
      </c>
      <c r="P182" s="482">
        <v>0</v>
      </c>
      <c r="Q182" s="482">
        <v>0</v>
      </c>
    </row>
    <row r="183" spans="1:17" s="459" customFormat="1" ht="15.75" customHeight="1" x14ac:dyDescent="0.2">
      <c r="A183" s="484">
        <f t="shared" si="8"/>
        <v>175</v>
      </c>
      <c r="B183" s="484" t="s">
        <v>133</v>
      </c>
      <c r="C183" s="516" t="s">
        <v>67</v>
      </c>
      <c r="D183" s="484" t="s">
        <v>397</v>
      </c>
      <c r="E183" s="486" t="s">
        <v>74</v>
      </c>
      <c r="F183" s="486" t="s">
        <v>593</v>
      </c>
      <c r="G183" s="510" t="s">
        <v>142</v>
      </c>
      <c r="H183" s="484">
        <v>0</v>
      </c>
      <c r="I183" s="484">
        <v>0</v>
      </c>
      <c r="J183" s="484">
        <v>0</v>
      </c>
      <c r="K183" s="482">
        <v>0</v>
      </c>
      <c r="L183" s="482">
        <v>0</v>
      </c>
      <c r="M183" s="482">
        <v>0</v>
      </c>
      <c r="N183" s="484">
        <v>0</v>
      </c>
      <c r="O183" s="482">
        <v>0</v>
      </c>
      <c r="P183" s="482">
        <v>0</v>
      </c>
      <c r="Q183" s="482">
        <v>0</v>
      </c>
    </row>
    <row r="184" spans="1:17" s="459" customFormat="1" ht="15.75" customHeight="1" x14ac:dyDescent="0.2">
      <c r="A184" s="484">
        <f t="shared" si="8"/>
        <v>176</v>
      </c>
      <c r="B184" s="484" t="s">
        <v>176</v>
      </c>
      <c r="C184" s="516" t="s">
        <v>62</v>
      </c>
      <c r="D184" s="484"/>
      <c r="E184" s="486" t="s">
        <v>765</v>
      </c>
      <c r="F184" s="486" t="s">
        <v>455</v>
      </c>
      <c r="G184" s="510" t="s">
        <v>142</v>
      </c>
      <c r="H184" s="484">
        <v>12</v>
      </c>
      <c r="I184" s="484">
        <v>10</v>
      </c>
      <c r="J184" s="484">
        <v>10</v>
      </c>
      <c r="K184" s="482">
        <v>11360.06</v>
      </c>
      <c r="L184" s="482">
        <v>11360.06</v>
      </c>
      <c r="M184" s="482">
        <v>0</v>
      </c>
      <c r="N184" s="484">
        <v>0</v>
      </c>
      <c r="O184" s="482">
        <v>0</v>
      </c>
      <c r="P184" s="482">
        <v>0</v>
      </c>
      <c r="Q184" s="482">
        <v>0</v>
      </c>
    </row>
    <row r="185" spans="1:17" s="459" customFormat="1" ht="15.75" customHeight="1" x14ac:dyDescent="0.2">
      <c r="A185" s="484">
        <f t="shared" si="8"/>
        <v>177</v>
      </c>
      <c r="B185" s="484" t="s">
        <v>235</v>
      </c>
      <c r="C185" s="516" t="s">
        <v>62</v>
      </c>
      <c r="D185" s="484"/>
      <c r="E185" s="486" t="s">
        <v>766</v>
      </c>
      <c r="F185" s="486" t="s">
        <v>457</v>
      </c>
      <c r="G185" s="510" t="s">
        <v>142</v>
      </c>
      <c r="H185" s="484">
        <v>4</v>
      </c>
      <c r="I185" s="484">
        <v>3</v>
      </c>
      <c r="J185" s="484">
        <v>3</v>
      </c>
      <c r="K185" s="482">
        <v>2269.65</v>
      </c>
      <c r="L185" s="482">
        <v>2269.65</v>
      </c>
      <c r="M185" s="482">
        <v>0</v>
      </c>
      <c r="N185" s="484">
        <v>0</v>
      </c>
      <c r="O185" s="482">
        <v>0</v>
      </c>
      <c r="P185" s="482">
        <v>0</v>
      </c>
      <c r="Q185" s="482">
        <v>0</v>
      </c>
    </row>
    <row r="186" spans="1:17" s="459" customFormat="1" ht="15.75" customHeight="1" x14ac:dyDescent="0.2">
      <c r="A186" s="484">
        <f t="shared" si="8"/>
        <v>178</v>
      </c>
      <c r="B186" s="484" t="s">
        <v>251</v>
      </c>
      <c r="C186" s="516" t="s">
        <v>62</v>
      </c>
      <c r="D186" s="484"/>
      <c r="E186" s="486" t="s">
        <v>761</v>
      </c>
      <c r="F186" s="486" t="s">
        <v>458</v>
      </c>
      <c r="G186" s="510" t="s">
        <v>142</v>
      </c>
      <c r="H186" s="484">
        <v>6</v>
      </c>
      <c r="I186" s="484">
        <v>3</v>
      </c>
      <c r="J186" s="484">
        <v>3</v>
      </c>
      <c r="K186" s="482">
        <v>3434.7</v>
      </c>
      <c r="L186" s="482">
        <v>3434.7</v>
      </c>
      <c r="M186" s="482">
        <v>0</v>
      </c>
      <c r="N186" s="484">
        <v>0</v>
      </c>
      <c r="O186" s="482">
        <v>0</v>
      </c>
      <c r="P186" s="482">
        <v>0</v>
      </c>
      <c r="Q186" s="482">
        <v>0</v>
      </c>
    </row>
    <row r="187" spans="1:17" s="459" customFormat="1" ht="15.75" customHeight="1" x14ac:dyDescent="0.2">
      <c r="A187" s="484">
        <f t="shared" si="8"/>
        <v>179</v>
      </c>
      <c r="B187" s="484" t="s">
        <v>30</v>
      </c>
      <c r="C187" s="516" t="s">
        <v>62</v>
      </c>
      <c r="D187" s="484"/>
      <c r="E187" s="486" t="s">
        <v>767</v>
      </c>
      <c r="F187" s="486" t="s">
        <v>460</v>
      </c>
      <c r="G187" s="510" t="s">
        <v>142</v>
      </c>
      <c r="H187" s="484">
        <v>1</v>
      </c>
      <c r="I187" s="484">
        <v>0</v>
      </c>
      <c r="J187" s="484">
        <v>0</v>
      </c>
      <c r="K187" s="482">
        <v>0</v>
      </c>
      <c r="L187" s="482">
        <v>0</v>
      </c>
      <c r="M187" s="482">
        <v>0</v>
      </c>
      <c r="N187" s="484">
        <v>0</v>
      </c>
      <c r="O187" s="482">
        <v>0</v>
      </c>
      <c r="P187" s="482">
        <v>0</v>
      </c>
      <c r="Q187" s="482">
        <v>0</v>
      </c>
    </row>
    <row r="188" spans="1:17" s="459" customFormat="1" ht="15.75" customHeight="1" x14ac:dyDescent="0.2">
      <c r="A188" s="484">
        <f t="shared" si="8"/>
        <v>180</v>
      </c>
      <c r="B188" s="484" t="s">
        <v>35</v>
      </c>
      <c r="C188" s="516" t="s">
        <v>62</v>
      </c>
      <c r="D188" s="484"/>
      <c r="E188" s="486" t="s">
        <v>768</v>
      </c>
      <c r="F188" s="486" t="s">
        <v>462</v>
      </c>
      <c r="G188" s="510" t="s">
        <v>142</v>
      </c>
      <c r="H188" s="484">
        <v>1</v>
      </c>
      <c r="I188" s="484">
        <v>0</v>
      </c>
      <c r="J188" s="484">
        <v>0</v>
      </c>
      <c r="K188" s="482">
        <v>0</v>
      </c>
      <c r="L188" s="482">
        <v>0</v>
      </c>
      <c r="M188" s="482">
        <v>0</v>
      </c>
      <c r="N188" s="484">
        <v>0</v>
      </c>
      <c r="O188" s="482">
        <v>0</v>
      </c>
      <c r="P188" s="482">
        <v>0</v>
      </c>
      <c r="Q188" s="482">
        <v>0</v>
      </c>
    </row>
    <row r="189" spans="1:17" s="459" customFormat="1" ht="15.75" customHeight="1" x14ac:dyDescent="0.2">
      <c r="A189" s="484">
        <f t="shared" si="8"/>
        <v>181</v>
      </c>
      <c r="B189" s="556" t="s">
        <v>769</v>
      </c>
      <c r="C189" s="557" t="s">
        <v>62</v>
      </c>
      <c r="D189" s="558"/>
      <c r="E189" s="486" t="s">
        <v>770</v>
      </c>
      <c r="F189" s="556" t="s">
        <v>771</v>
      </c>
      <c r="G189" s="556" t="s">
        <v>142</v>
      </c>
      <c r="H189" s="550">
        <v>1</v>
      </c>
      <c r="I189" s="550">
        <v>0</v>
      </c>
      <c r="J189" s="550">
        <v>0</v>
      </c>
      <c r="K189" s="551">
        <v>0</v>
      </c>
      <c r="L189" s="551">
        <v>0</v>
      </c>
      <c r="M189" s="482">
        <v>0</v>
      </c>
      <c r="N189" s="550">
        <v>0</v>
      </c>
      <c r="O189" s="551">
        <v>0</v>
      </c>
      <c r="P189" s="551">
        <v>0</v>
      </c>
      <c r="Q189" s="482">
        <v>0</v>
      </c>
    </row>
    <row r="190" spans="1:17" s="459" customFormat="1" ht="15.75" customHeight="1" x14ac:dyDescent="0.2">
      <c r="A190" s="484">
        <f t="shared" si="8"/>
        <v>182</v>
      </c>
      <c r="B190" s="571" t="s">
        <v>134</v>
      </c>
      <c r="C190" s="572" t="s">
        <v>62</v>
      </c>
      <c r="D190" s="573"/>
      <c r="E190" s="574" t="s">
        <v>158</v>
      </c>
      <c r="F190" s="571" t="s">
        <v>408</v>
      </c>
      <c r="G190" s="571" t="s">
        <v>718</v>
      </c>
      <c r="H190" s="575">
        <v>28</v>
      </c>
      <c r="I190" s="576">
        <v>11</v>
      </c>
      <c r="J190" s="576">
        <v>11</v>
      </c>
      <c r="K190" s="577">
        <v>11668.56</v>
      </c>
      <c r="L190" s="577">
        <v>11668.56</v>
      </c>
      <c r="M190" s="578">
        <v>0</v>
      </c>
      <c r="N190" s="576">
        <v>10</v>
      </c>
      <c r="O190" s="577">
        <v>24976.5</v>
      </c>
      <c r="P190" s="577">
        <v>22030.9</v>
      </c>
      <c r="Q190" s="578">
        <v>2945.6</v>
      </c>
    </row>
    <row r="191" spans="1:17" s="459" customFormat="1" ht="15.75" customHeight="1" x14ac:dyDescent="0.2">
      <c r="A191" s="484">
        <f t="shared" si="8"/>
        <v>183</v>
      </c>
      <c r="B191" s="571" t="s">
        <v>335</v>
      </c>
      <c r="C191" s="572" t="s">
        <v>62</v>
      </c>
      <c r="D191" s="573"/>
      <c r="E191" s="574" t="s">
        <v>158</v>
      </c>
      <c r="F191" s="571" t="s">
        <v>410</v>
      </c>
      <c r="G191" s="571" t="s">
        <v>718</v>
      </c>
      <c r="H191" s="575">
        <v>18</v>
      </c>
      <c r="I191" s="576">
        <v>4</v>
      </c>
      <c r="J191" s="576">
        <v>4</v>
      </c>
      <c r="K191" s="577">
        <v>10075.39</v>
      </c>
      <c r="L191" s="577">
        <v>7497.99</v>
      </c>
      <c r="M191" s="578">
        <v>2577.4</v>
      </c>
      <c r="N191" s="576">
        <v>13</v>
      </c>
      <c r="O191" s="577">
        <v>20140.7</v>
      </c>
      <c r="P191" s="577">
        <v>20140.7</v>
      </c>
      <c r="Q191" s="578">
        <v>0</v>
      </c>
    </row>
    <row r="192" spans="1:17" s="459" customFormat="1" ht="15.75" customHeight="1" x14ac:dyDescent="0.2">
      <c r="A192" s="484">
        <f t="shared" si="8"/>
        <v>184</v>
      </c>
      <c r="B192" s="571" t="s">
        <v>46</v>
      </c>
      <c r="C192" s="572" t="s">
        <v>62</v>
      </c>
      <c r="D192" s="573"/>
      <c r="E192" s="574" t="s">
        <v>678</v>
      </c>
      <c r="F192" s="571" t="s">
        <v>411</v>
      </c>
      <c r="G192" s="571" t="s">
        <v>718</v>
      </c>
      <c r="H192" s="575">
        <v>39</v>
      </c>
      <c r="I192" s="576">
        <v>25</v>
      </c>
      <c r="J192" s="576">
        <v>25</v>
      </c>
      <c r="K192" s="577">
        <v>43817.5</v>
      </c>
      <c r="L192" s="577">
        <v>42701.98</v>
      </c>
      <c r="M192" s="578">
        <v>1115.52</v>
      </c>
      <c r="N192" s="576">
        <v>22</v>
      </c>
      <c r="O192" s="577">
        <v>36901.160000000003</v>
      </c>
      <c r="P192" s="577">
        <v>32130.52</v>
      </c>
      <c r="Q192" s="578">
        <v>4770.6400000000003</v>
      </c>
    </row>
    <row r="193" spans="1:17" s="459" customFormat="1" ht="15.75" customHeight="1" x14ac:dyDescent="0.2">
      <c r="A193" s="484">
        <f t="shared" si="8"/>
        <v>185</v>
      </c>
      <c r="B193" s="571" t="s">
        <v>36</v>
      </c>
      <c r="C193" s="572" t="s">
        <v>62</v>
      </c>
      <c r="D193" s="573"/>
      <c r="E193" s="574" t="s">
        <v>158</v>
      </c>
      <c r="F193" s="571" t="s">
        <v>412</v>
      </c>
      <c r="G193" s="571" t="s">
        <v>718</v>
      </c>
      <c r="H193" s="575">
        <v>29</v>
      </c>
      <c r="I193" s="576">
        <v>20</v>
      </c>
      <c r="J193" s="576">
        <v>20</v>
      </c>
      <c r="K193" s="577">
        <v>36461.949999999997</v>
      </c>
      <c r="L193" s="577">
        <v>33884.550000000003</v>
      </c>
      <c r="M193" s="578">
        <v>2577.3999999999901</v>
      </c>
      <c r="N193" s="576">
        <v>25</v>
      </c>
      <c r="O193" s="577">
        <v>70762.62</v>
      </c>
      <c r="P193" s="577">
        <v>61373.52</v>
      </c>
      <c r="Q193" s="578">
        <v>9389.1</v>
      </c>
    </row>
    <row r="194" spans="1:17" s="459" customFormat="1" ht="15.75" customHeight="1" x14ac:dyDescent="0.2">
      <c r="A194" s="484">
        <f t="shared" si="8"/>
        <v>186</v>
      </c>
      <c r="B194" s="571" t="s">
        <v>27</v>
      </c>
      <c r="C194" s="572" t="s">
        <v>62</v>
      </c>
      <c r="D194" s="573"/>
      <c r="E194" s="574" t="s">
        <v>158</v>
      </c>
      <c r="F194" s="571" t="s">
        <v>413</v>
      </c>
      <c r="G194" s="571" t="s">
        <v>718</v>
      </c>
      <c r="H194" s="575">
        <v>12</v>
      </c>
      <c r="I194" s="576">
        <v>9</v>
      </c>
      <c r="J194" s="576">
        <v>9</v>
      </c>
      <c r="K194" s="577">
        <v>15819.14</v>
      </c>
      <c r="L194" s="577">
        <v>11514.02</v>
      </c>
      <c r="M194" s="578">
        <v>4305.12</v>
      </c>
      <c r="N194" s="576">
        <v>10</v>
      </c>
      <c r="O194" s="577">
        <v>19563.2</v>
      </c>
      <c r="P194" s="577">
        <v>19563.2</v>
      </c>
      <c r="Q194" s="578">
        <v>0</v>
      </c>
    </row>
    <row r="195" spans="1:17" s="459" customFormat="1" ht="15.75" customHeight="1" x14ac:dyDescent="0.2">
      <c r="A195" s="484">
        <f t="shared" si="8"/>
        <v>187</v>
      </c>
      <c r="B195" s="571" t="s">
        <v>28</v>
      </c>
      <c r="C195" s="572" t="s">
        <v>62</v>
      </c>
      <c r="D195" s="573"/>
      <c r="E195" s="574" t="s">
        <v>158</v>
      </c>
      <c r="F195" s="571" t="s">
        <v>414</v>
      </c>
      <c r="G195" s="571" t="s">
        <v>718</v>
      </c>
      <c r="H195" s="575">
        <v>31</v>
      </c>
      <c r="I195" s="576">
        <v>21</v>
      </c>
      <c r="J195" s="576">
        <v>21</v>
      </c>
      <c r="K195" s="577">
        <v>31030.02</v>
      </c>
      <c r="L195" s="577">
        <v>28728.77</v>
      </c>
      <c r="M195" s="578">
        <v>2301.25</v>
      </c>
      <c r="N195" s="576">
        <v>16</v>
      </c>
      <c r="O195" s="577">
        <v>26212.25</v>
      </c>
      <c r="P195" s="577">
        <v>18572.099999999999</v>
      </c>
      <c r="Q195" s="578">
        <v>7640.15</v>
      </c>
    </row>
    <row r="196" spans="1:17" s="459" customFormat="1" ht="15.75" customHeight="1" x14ac:dyDescent="0.2">
      <c r="A196" s="484">
        <f t="shared" si="8"/>
        <v>188</v>
      </c>
      <c r="B196" s="579" t="s">
        <v>246</v>
      </c>
      <c r="C196" s="580" t="s">
        <v>62</v>
      </c>
      <c r="D196" s="581"/>
      <c r="E196" s="574" t="s">
        <v>158</v>
      </c>
      <c r="F196" s="579" t="s">
        <v>415</v>
      </c>
      <c r="G196" s="571" t="s">
        <v>718</v>
      </c>
      <c r="H196" s="575">
        <v>27</v>
      </c>
      <c r="I196" s="576">
        <v>7</v>
      </c>
      <c r="J196" s="576">
        <v>7</v>
      </c>
      <c r="K196" s="577">
        <v>7611.84</v>
      </c>
      <c r="L196" s="577">
        <v>6907.04</v>
      </c>
      <c r="M196" s="578">
        <v>704.8</v>
      </c>
      <c r="N196" s="576">
        <v>0</v>
      </c>
      <c r="O196" s="577">
        <v>0</v>
      </c>
      <c r="P196" s="577">
        <v>0</v>
      </c>
      <c r="Q196" s="578">
        <v>0</v>
      </c>
    </row>
    <row r="197" spans="1:17" s="459" customFormat="1" ht="15.75" customHeight="1" x14ac:dyDescent="0.2">
      <c r="A197" s="484">
        <f t="shared" si="8"/>
        <v>189</v>
      </c>
      <c r="B197" s="571" t="s">
        <v>330</v>
      </c>
      <c r="C197" s="580" t="s">
        <v>62</v>
      </c>
      <c r="D197" s="581"/>
      <c r="E197" s="574" t="s">
        <v>158</v>
      </c>
      <c r="F197" s="579" t="s">
        <v>416</v>
      </c>
      <c r="G197" s="571" t="s">
        <v>718</v>
      </c>
      <c r="H197" s="575">
        <v>10</v>
      </c>
      <c r="I197" s="576">
        <v>2</v>
      </c>
      <c r="J197" s="576">
        <v>2</v>
      </c>
      <c r="K197" s="577">
        <v>4050.2</v>
      </c>
      <c r="L197" s="577">
        <v>1841</v>
      </c>
      <c r="M197" s="578">
        <v>2209.1999999999998</v>
      </c>
      <c r="N197" s="576">
        <v>0</v>
      </c>
      <c r="O197" s="577">
        <v>0</v>
      </c>
      <c r="P197" s="577">
        <v>0</v>
      </c>
      <c r="Q197" s="578">
        <v>0</v>
      </c>
    </row>
    <row r="198" spans="1:17" s="459" customFormat="1" ht="15.75" customHeight="1" x14ac:dyDescent="0.2">
      <c r="A198" s="484">
        <f t="shared" si="8"/>
        <v>190</v>
      </c>
      <c r="B198" s="571" t="s">
        <v>402</v>
      </c>
      <c r="C198" s="580" t="s">
        <v>62</v>
      </c>
      <c r="D198" s="581"/>
      <c r="E198" s="574" t="s">
        <v>158</v>
      </c>
      <c r="F198" s="579" t="s">
        <v>417</v>
      </c>
      <c r="G198" s="571" t="s">
        <v>718</v>
      </c>
      <c r="H198" s="575">
        <v>22</v>
      </c>
      <c r="I198" s="576">
        <v>14</v>
      </c>
      <c r="J198" s="576">
        <v>14</v>
      </c>
      <c r="K198" s="577">
        <v>28917.64</v>
      </c>
      <c r="L198" s="577">
        <v>27702.58</v>
      </c>
      <c r="M198" s="578">
        <v>1215.06</v>
      </c>
      <c r="N198" s="576">
        <v>0</v>
      </c>
      <c r="O198" s="577">
        <v>0</v>
      </c>
      <c r="P198" s="577">
        <v>0</v>
      </c>
      <c r="Q198" s="578">
        <v>0</v>
      </c>
    </row>
    <row r="199" spans="1:17" s="459" customFormat="1" ht="15.75" customHeight="1" x14ac:dyDescent="0.2">
      <c r="A199" s="484">
        <f t="shared" si="8"/>
        <v>191</v>
      </c>
      <c r="B199" s="571" t="s">
        <v>154</v>
      </c>
      <c r="C199" s="580" t="s">
        <v>62</v>
      </c>
      <c r="D199" s="581"/>
      <c r="E199" s="571" t="s">
        <v>158</v>
      </c>
      <c r="F199" s="579" t="s">
        <v>418</v>
      </c>
      <c r="G199" s="571" t="s">
        <v>718</v>
      </c>
      <c r="H199" s="575">
        <v>10</v>
      </c>
      <c r="I199" s="576">
        <v>3</v>
      </c>
      <c r="J199" s="576">
        <v>3</v>
      </c>
      <c r="K199" s="577">
        <v>4422.95</v>
      </c>
      <c r="L199" s="577">
        <v>925.05</v>
      </c>
      <c r="M199" s="578">
        <v>3497.9</v>
      </c>
      <c r="N199" s="576">
        <v>9</v>
      </c>
      <c r="O199" s="577">
        <v>14857.9</v>
      </c>
      <c r="P199" s="577">
        <v>13569.2</v>
      </c>
      <c r="Q199" s="578">
        <v>1288.7</v>
      </c>
    </row>
    <row r="200" spans="1:17" s="459" customFormat="1" ht="15.75" customHeight="1" x14ac:dyDescent="0.2">
      <c r="A200" s="484">
        <f t="shared" si="8"/>
        <v>192</v>
      </c>
      <c r="B200" s="571" t="s">
        <v>153</v>
      </c>
      <c r="C200" s="580" t="s">
        <v>62</v>
      </c>
      <c r="D200" s="581"/>
      <c r="E200" s="574" t="s">
        <v>158</v>
      </c>
      <c r="F200" s="579" t="s">
        <v>419</v>
      </c>
      <c r="G200" s="571" t="s">
        <v>718</v>
      </c>
      <c r="H200" s="575">
        <v>4</v>
      </c>
      <c r="I200" s="576">
        <v>1</v>
      </c>
      <c r="J200" s="576">
        <v>1</v>
      </c>
      <c r="K200" s="577">
        <v>1635.8</v>
      </c>
      <c r="L200" s="577">
        <v>1635.8</v>
      </c>
      <c r="M200" s="578">
        <v>0</v>
      </c>
      <c r="N200" s="576">
        <v>18</v>
      </c>
      <c r="O200" s="577">
        <v>63052.81</v>
      </c>
      <c r="P200" s="577">
        <v>63052.81</v>
      </c>
      <c r="Q200" s="578">
        <v>0</v>
      </c>
    </row>
    <row r="201" spans="1:17" s="459" customFormat="1" ht="15.75" customHeight="1" x14ac:dyDescent="0.2">
      <c r="A201" s="484">
        <f t="shared" si="8"/>
        <v>193</v>
      </c>
      <c r="B201" s="571" t="s">
        <v>89</v>
      </c>
      <c r="C201" s="580" t="s">
        <v>62</v>
      </c>
      <c r="D201" s="581"/>
      <c r="E201" s="574" t="s">
        <v>158</v>
      </c>
      <c r="F201" s="579" t="s">
        <v>420</v>
      </c>
      <c r="G201" s="571" t="s">
        <v>718</v>
      </c>
      <c r="H201" s="575">
        <v>14</v>
      </c>
      <c r="I201" s="576">
        <v>7</v>
      </c>
      <c r="J201" s="576">
        <v>7</v>
      </c>
      <c r="K201" s="577">
        <v>11093.25</v>
      </c>
      <c r="L201" s="577">
        <v>9804.5499999999993</v>
      </c>
      <c r="M201" s="578">
        <v>1288.7</v>
      </c>
      <c r="N201" s="576">
        <v>4</v>
      </c>
      <c r="O201" s="577">
        <v>12828.6</v>
      </c>
      <c r="P201" s="577">
        <v>12828.6</v>
      </c>
      <c r="Q201" s="578">
        <v>0</v>
      </c>
    </row>
    <row r="202" spans="1:17" s="459" customFormat="1" ht="15.75" customHeight="1" x14ac:dyDescent="0.2">
      <c r="A202" s="484">
        <f t="shared" si="8"/>
        <v>194</v>
      </c>
      <c r="B202" s="571" t="s">
        <v>379</v>
      </c>
      <c r="C202" s="580" t="s">
        <v>62</v>
      </c>
      <c r="D202" s="581"/>
      <c r="E202" s="574" t="s">
        <v>158</v>
      </c>
      <c r="F202" s="579" t="s">
        <v>421</v>
      </c>
      <c r="G202" s="571" t="s">
        <v>718</v>
      </c>
      <c r="H202" s="575">
        <v>10</v>
      </c>
      <c r="I202" s="576">
        <v>6</v>
      </c>
      <c r="J202" s="576">
        <v>6</v>
      </c>
      <c r="K202" s="577">
        <v>7132.7</v>
      </c>
      <c r="L202" s="577">
        <v>6120.15</v>
      </c>
      <c r="M202" s="578">
        <v>1012.55</v>
      </c>
      <c r="N202" s="576">
        <v>0</v>
      </c>
      <c r="O202" s="577">
        <v>0</v>
      </c>
      <c r="P202" s="577">
        <v>0</v>
      </c>
      <c r="Q202" s="578">
        <v>0</v>
      </c>
    </row>
    <row r="203" spans="1:17" s="459" customFormat="1" ht="15.75" customHeight="1" x14ac:dyDescent="0.2">
      <c r="A203" s="484">
        <f t="shared" ref="A203:A266" si="9">A202+1</f>
        <v>195</v>
      </c>
      <c r="B203" s="571" t="s">
        <v>264</v>
      </c>
      <c r="C203" s="580" t="s">
        <v>62</v>
      </c>
      <c r="D203" s="581"/>
      <c r="E203" s="574" t="s">
        <v>158</v>
      </c>
      <c r="F203" s="579" t="s">
        <v>422</v>
      </c>
      <c r="G203" s="571" t="s">
        <v>718</v>
      </c>
      <c r="H203" s="575">
        <v>3</v>
      </c>
      <c r="I203" s="576">
        <v>0</v>
      </c>
      <c r="J203" s="576">
        <v>0</v>
      </c>
      <c r="K203" s="577">
        <v>0</v>
      </c>
      <c r="L203" s="577">
        <v>0</v>
      </c>
      <c r="M203" s="578">
        <v>0</v>
      </c>
      <c r="N203" s="576">
        <v>0</v>
      </c>
      <c r="O203" s="577">
        <v>0</v>
      </c>
      <c r="P203" s="577">
        <v>0</v>
      </c>
      <c r="Q203" s="578">
        <v>0</v>
      </c>
    </row>
    <row r="204" spans="1:17" s="459" customFormat="1" ht="15.75" customHeight="1" x14ac:dyDescent="0.2">
      <c r="A204" s="484">
        <f t="shared" si="9"/>
        <v>196</v>
      </c>
      <c r="B204" s="571" t="s">
        <v>475</v>
      </c>
      <c r="C204" s="580" t="s">
        <v>67</v>
      </c>
      <c r="D204" s="573" t="s">
        <v>123</v>
      </c>
      <c r="E204" s="571" t="s">
        <v>158</v>
      </c>
      <c r="F204" s="579" t="s">
        <v>423</v>
      </c>
      <c r="G204" s="571" t="s">
        <v>718</v>
      </c>
      <c r="H204" s="575">
        <v>3</v>
      </c>
      <c r="I204" s="576">
        <v>0</v>
      </c>
      <c r="J204" s="576">
        <v>0</v>
      </c>
      <c r="K204" s="577">
        <v>0</v>
      </c>
      <c r="L204" s="577">
        <v>0</v>
      </c>
      <c r="M204" s="578">
        <v>0</v>
      </c>
      <c r="N204" s="576">
        <v>0</v>
      </c>
      <c r="O204" s="577">
        <v>0</v>
      </c>
      <c r="P204" s="577">
        <v>0</v>
      </c>
      <c r="Q204" s="578">
        <v>0</v>
      </c>
    </row>
    <row r="205" spans="1:17" s="459" customFormat="1" ht="15.75" customHeight="1" x14ac:dyDescent="0.2">
      <c r="A205" s="484">
        <f t="shared" si="9"/>
        <v>197</v>
      </c>
      <c r="B205" s="571" t="s">
        <v>137</v>
      </c>
      <c r="C205" s="580" t="s">
        <v>62</v>
      </c>
      <c r="D205" s="581"/>
      <c r="E205" s="571" t="s">
        <v>158</v>
      </c>
      <c r="F205" s="579" t="s">
        <v>424</v>
      </c>
      <c r="G205" s="571" t="s">
        <v>718</v>
      </c>
      <c r="H205" s="575">
        <v>6</v>
      </c>
      <c r="I205" s="576">
        <v>2</v>
      </c>
      <c r="J205" s="576">
        <v>2</v>
      </c>
      <c r="K205" s="577">
        <v>2243.8200000000002</v>
      </c>
      <c r="L205" s="577">
        <v>1691.52</v>
      </c>
      <c r="M205" s="578">
        <v>552.29999999999995</v>
      </c>
      <c r="N205" s="576">
        <v>1</v>
      </c>
      <c r="O205" s="577">
        <v>2393.3000000000002</v>
      </c>
      <c r="P205" s="577">
        <v>0</v>
      </c>
      <c r="Q205" s="578">
        <v>2393.3000000000002</v>
      </c>
    </row>
    <row r="206" spans="1:17" s="459" customFormat="1" ht="15.75" customHeight="1" x14ac:dyDescent="0.2">
      <c r="A206" s="484">
        <f t="shared" si="9"/>
        <v>198</v>
      </c>
      <c r="B206" s="571" t="s">
        <v>173</v>
      </c>
      <c r="C206" s="580" t="s">
        <v>67</v>
      </c>
      <c r="D206" s="582" t="s">
        <v>478</v>
      </c>
      <c r="E206" s="574" t="s">
        <v>158</v>
      </c>
      <c r="F206" s="579" t="s">
        <v>426</v>
      </c>
      <c r="G206" s="571" t="s">
        <v>718</v>
      </c>
      <c r="H206" s="575">
        <v>14</v>
      </c>
      <c r="I206" s="576">
        <v>8</v>
      </c>
      <c r="J206" s="576">
        <v>8</v>
      </c>
      <c r="K206" s="577">
        <v>13701.62</v>
      </c>
      <c r="L206" s="577">
        <v>13701.62</v>
      </c>
      <c r="M206" s="578">
        <v>0</v>
      </c>
      <c r="N206" s="576">
        <v>0</v>
      </c>
      <c r="O206" s="577">
        <v>0</v>
      </c>
      <c r="P206" s="577">
        <v>0</v>
      </c>
      <c r="Q206" s="578">
        <v>0</v>
      </c>
    </row>
    <row r="207" spans="1:17" s="459" customFormat="1" ht="15.75" customHeight="1" x14ac:dyDescent="0.2">
      <c r="A207" s="484">
        <f t="shared" si="9"/>
        <v>199</v>
      </c>
      <c r="B207" s="571" t="s">
        <v>135</v>
      </c>
      <c r="C207" s="580" t="s">
        <v>62</v>
      </c>
      <c r="D207" s="581"/>
      <c r="E207" s="574" t="s">
        <v>158</v>
      </c>
      <c r="F207" s="579" t="s">
        <v>427</v>
      </c>
      <c r="G207" s="571" t="s">
        <v>718</v>
      </c>
      <c r="H207" s="575">
        <v>7</v>
      </c>
      <c r="I207" s="576">
        <v>3</v>
      </c>
      <c r="J207" s="576">
        <v>3</v>
      </c>
      <c r="K207" s="577">
        <v>3524.92</v>
      </c>
      <c r="L207" s="577">
        <v>2396.3200000000002</v>
      </c>
      <c r="M207" s="578">
        <v>1128.5999999999999</v>
      </c>
      <c r="N207" s="576">
        <v>13</v>
      </c>
      <c r="O207" s="577">
        <v>29153.119999999999</v>
      </c>
      <c r="P207" s="577">
        <v>21917.97</v>
      </c>
      <c r="Q207" s="578">
        <v>7235.15</v>
      </c>
    </row>
    <row r="208" spans="1:17" s="459" customFormat="1" ht="15.75" customHeight="1" x14ac:dyDescent="0.2">
      <c r="A208" s="484">
        <f t="shared" si="9"/>
        <v>200</v>
      </c>
      <c r="B208" s="571" t="s">
        <v>148</v>
      </c>
      <c r="C208" s="580" t="s">
        <v>62</v>
      </c>
      <c r="D208" s="581"/>
      <c r="E208" s="571" t="s">
        <v>719</v>
      </c>
      <c r="F208" s="579" t="s">
        <v>375</v>
      </c>
      <c r="G208" s="571" t="s">
        <v>718</v>
      </c>
      <c r="H208" s="575">
        <v>25</v>
      </c>
      <c r="I208" s="576">
        <v>20</v>
      </c>
      <c r="J208" s="576">
        <v>20</v>
      </c>
      <c r="K208" s="577">
        <v>58526.37</v>
      </c>
      <c r="L208" s="577">
        <v>49137.27</v>
      </c>
      <c r="M208" s="578">
        <v>9389.1000000000095</v>
      </c>
      <c r="N208" s="576">
        <v>30</v>
      </c>
      <c r="O208" s="577">
        <v>92970.89</v>
      </c>
      <c r="P208" s="577">
        <v>92970.89</v>
      </c>
      <c r="Q208" s="578">
        <v>0</v>
      </c>
    </row>
    <row r="209" spans="1:17" s="459" customFormat="1" ht="15.75" customHeight="1" x14ac:dyDescent="0.2">
      <c r="A209" s="484">
        <f t="shared" si="9"/>
        <v>201</v>
      </c>
      <c r="B209" s="571" t="s">
        <v>147</v>
      </c>
      <c r="C209" s="580" t="s">
        <v>62</v>
      </c>
      <c r="D209" s="581"/>
      <c r="E209" s="574" t="s">
        <v>158</v>
      </c>
      <c r="F209" s="579" t="s">
        <v>331</v>
      </c>
      <c r="G209" s="571" t="s">
        <v>718</v>
      </c>
      <c r="H209" s="575">
        <v>9</v>
      </c>
      <c r="I209" s="576">
        <v>3</v>
      </c>
      <c r="J209" s="576">
        <v>3</v>
      </c>
      <c r="K209" s="577">
        <v>6204.1</v>
      </c>
      <c r="L209" s="577">
        <v>4915.3999999999996</v>
      </c>
      <c r="M209" s="578">
        <v>1288.7</v>
      </c>
      <c r="N209" s="576">
        <v>10</v>
      </c>
      <c r="O209" s="577">
        <v>22395.4</v>
      </c>
      <c r="P209" s="577">
        <v>22395.4</v>
      </c>
      <c r="Q209" s="578">
        <v>0</v>
      </c>
    </row>
    <row r="210" spans="1:17" s="459" customFormat="1" ht="15.75" customHeight="1" x14ac:dyDescent="0.2">
      <c r="A210" s="484">
        <f t="shared" si="9"/>
        <v>202</v>
      </c>
      <c r="B210" s="571" t="s">
        <v>124</v>
      </c>
      <c r="C210" s="580" t="s">
        <v>62</v>
      </c>
      <c r="D210" s="581"/>
      <c r="E210" s="571" t="s">
        <v>720</v>
      </c>
      <c r="F210" s="579" t="s">
        <v>329</v>
      </c>
      <c r="G210" s="571" t="s">
        <v>718</v>
      </c>
      <c r="H210" s="575">
        <v>17</v>
      </c>
      <c r="I210" s="576">
        <v>11</v>
      </c>
      <c r="J210" s="576">
        <v>11</v>
      </c>
      <c r="K210" s="577">
        <v>14887.37</v>
      </c>
      <c r="L210" s="577">
        <v>14887.37</v>
      </c>
      <c r="M210" s="578">
        <v>0</v>
      </c>
      <c r="N210" s="576">
        <v>26</v>
      </c>
      <c r="O210" s="577">
        <v>35829.449999999997</v>
      </c>
      <c r="P210" s="577">
        <v>35829.449999999997</v>
      </c>
      <c r="Q210" s="578">
        <v>0</v>
      </c>
    </row>
    <row r="211" spans="1:17" s="459" customFormat="1" ht="15.75" customHeight="1" x14ac:dyDescent="0.2">
      <c r="A211" s="484">
        <f t="shared" si="9"/>
        <v>203</v>
      </c>
      <c r="B211" s="571" t="s">
        <v>168</v>
      </c>
      <c r="C211" s="580" t="s">
        <v>62</v>
      </c>
      <c r="D211" s="581"/>
      <c r="E211" s="579" t="s">
        <v>371</v>
      </c>
      <c r="F211" s="579" t="s">
        <v>353</v>
      </c>
      <c r="G211" s="571" t="s">
        <v>718</v>
      </c>
      <c r="H211" s="575">
        <v>11</v>
      </c>
      <c r="I211" s="576">
        <v>1</v>
      </c>
      <c r="J211" s="576">
        <v>1</v>
      </c>
      <c r="K211" s="577">
        <v>1409.6</v>
      </c>
      <c r="L211" s="577">
        <v>1409.6</v>
      </c>
      <c r="M211" s="578">
        <v>0</v>
      </c>
      <c r="N211" s="576">
        <v>0</v>
      </c>
      <c r="O211" s="577">
        <v>0</v>
      </c>
      <c r="P211" s="577">
        <v>0</v>
      </c>
      <c r="Q211" s="578">
        <v>0</v>
      </c>
    </row>
    <row r="212" spans="1:17" s="459" customFormat="1" ht="15.75" customHeight="1" x14ac:dyDescent="0.2">
      <c r="A212" s="484">
        <f t="shared" si="9"/>
        <v>204</v>
      </c>
      <c r="B212" s="571" t="s">
        <v>429</v>
      </c>
      <c r="C212" s="580" t="s">
        <v>62</v>
      </c>
      <c r="D212" s="581"/>
      <c r="E212" s="574" t="s">
        <v>158</v>
      </c>
      <c r="F212" s="579" t="s">
        <v>430</v>
      </c>
      <c r="G212" s="571" t="s">
        <v>718</v>
      </c>
      <c r="H212" s="575">
        <v>10</v>
      </c>
      <c r="I212" s="576">
        <v>3</v>
      </c>
      <c r="J212" s="576">
        <v>3</v>
      </c>
      <c r="K212" s="577">
        <v>5178.84</v>
      </c>
      <c r="L212" s="577">
        <v>5178.84</v>
      </c>
      <c r="M212" s="578">
        <v>0</v>
      </c>
      <c r="N212" s="576">
        <v>7</v>
      </c>
      <c r="O212" s="577">
        <v>6995.76</v>
      </c>
      <c r="P212" s="577">
        <v>6995.76</v>
      </c>
      <c r="Q212" s="578">
        <v>0</v>
      </c>
    </row>
    <row r="213" spans="1:17" s="459" customFormat="1" ht="15.75" customHeight="1" x14ac:dyDescent="0.2">
      <c r="A213" s="484">
        <f t="shared" si="9"/>
        <v>205</v>
      </c>
      <c r="B213" s="571" t="s">
        <v>130</v>
      </c>
      <c r="C213" s="580" t="s">
        <v>62</v>
      </c>
      <c r="D213" s="581"/>
      <c r="E213" s="574" t="s">
        <v>158</v>
      </c>
      <c r="F213" s="579" t="s">
        <v>431</v>
      </c>
      <c r="G213" s="571" t="s">
        <v>718</v>
      </c>
      <c r="H213" s="575">
        <v>7</v>
      </c>
      <c r="I213" s="576">
        <v>4</v>
      </c>
      <c r="J213" s="576">
        <v>4</v>
      </c>
      <c r="K213" s="577">
        <v>5204.2</v>
      </c>
      <c r="L213" s="577">
        <v>5204.2</v>
      </c>
      <c r="M213" s="578">
        <v>0</v>
      </c>
      <c r="N213" s="576">
        <v>5</v>
      </c>
      <c r="O213" s="577">
        <v>10391.459999999999</v>
      </c>
      <c r="P213" s="577">
        <v>10391.459999999999</v>
      </c>
      <c r="Q213" s="578">
        <v>0</v>
      </c>
    </row>
    <row r="214" spans="1:17" s="459" customFormat="1" ht="15.75" customHeight="1" x14ac:dyDescent="0.2">
      <c r="A214" s="484">
        <f t="shared" si="9"/>
        <v>206</v>
      </c>
      <c r="B214" s="571" t="s">
        <v>32</v>
      </c>
      <c r="C214" s="580" t="s">
        <v>62</v>
      </c>
      <c r="D214" s="581"/>
      <c r="E214" s="574" t="s">
        <v>158</v>
      </c>
      <c r="F214" s="579" t="s">
        <v>432</v>
      </c>
      <c r="G214" s="571" t="s">
        <v>718</v>
      </c>
      <c r="H214" s="575">
        <v>15</v>
      </c>
      <c r="I214" s="576">
        <v>10</v>
      </c>
      <c r="J214" s="576">
        <v>10</v>
      </c>
      <c r="K214" s="577">
        <v>16181.42</v>
      </c>
      <c r="L214" s="577">
        <v>12683.52</v>
      </c>
      <c r="M214" s="578">
        <v>3497.9</v>
      </c>
      <c r="N214" s="576">
        <v>9</v>
      </c>
      <c r="O214" s="577">
        <v>18778.12</v>
      </c>
      <c r="P214" s="577">
        <v>18778.12</v>
      </c>
      <c r="Q214" s="578">
        <v>0</v>
      </c>
    </row>
    <row r="215" spans="1:17" s="459" customFormat="1" ht="15.75" customHeight="1" x14ac:dyDescent="0.2">
      <c r="A215" s="484">
        <f t="shared" si="9"/>
        <v>207</v>
      </c>
      <c r="B215" s="571" t="s">
        <v>343</v>
      </c>
      <c r="C215" s="580" t="s">
        <v>62</v>
      </c>
      <c r="D215" s="581"/>
      <c r="E215" s="574" t="s">
        <v>158</v>
      </c>
      <c r="F215" s="579" t="s">
        <v>433</v>
      </c>
      <c r="G215" s="571" t="s">
        <v>718</v>
      </c>
      <c r="H215" s="575">
        <v>16</v>
      </c>
      <c r="I215" s="576">
        <v>12</v>
      </c>
      <c r="J215" s="576">
        <v>12</v>
      </c>
      <c r="K215" s="577">
        <v>20615</v>
      </c>
      <c r="L215" s="577">
        <v>18037.599999999999</v>
      </c>
      <c r="M215" s="578">
        <v>2577.4</v>
      </c>
      <c r="N215" s="576">
        <v>0</v>
      </c>
      <c r="O215" s="577">
        <v>0</v>
      </c>
      <c r="P215" s="577">
        <v>0</v>
      </c>
      <c r="Q215" s="578">
        <v>0</v>
      </c>
    </row>
    <row r="216" spans="1:17" s="459" customFormat="1" ht="15.75" customHeight="1" x14ac:dyDescent="0.2">
      <c r="A216" s="484">
        <f t="shared" si="9"/>
        <v>208</v>
      </c>
      <c r="B216" s="571" t="s">
        <v>290</v>
      </c>
      <c r="C216" s="580" t="s">
        <v>62</v>
      </c>
      <c r="D216" s="581"/>
      <c r="E216" s="579" t="s">
        <v>371</v>
      </c>
      <c r="F216" s="579" t="s">
        <v>434</v>
      </c>
      <c r="G216" s="571" t="s">
        <v>718</v>
      </c>
      <c r="H216" s="575">
        <v>6</v>
      </c>
      <c r="I216" s="576">
        <v>1</v>
      </c>
      <c r="J216" s="576">
        <v>1</v>
      </c>
      <c r="K216" s="577">
        <v>1585.8</v>
      </c>
      <c r="L216" s="577">
        <v>1585.8</v>
      </c>
      <c r="M216" s="578">
        <v>0</v>
      </c>
      <c r="N216" s="576">
        <v>0</v>
      </c>
      <c r="O216" s="577">
        <v>0</v>
      </c>
      <c r="P216" s="577">
        <v>0</v>
      </c>
      <c r="Q216" s="578">
        <v>0</v>
      </c>
    </row>
    <row r="217" spans="1:17" s="459" customFormat="1" ht="15.75" customHeight="1" x14ac:dyDescent="0.2">
      <c r="A217" s="484">
        <f t="shared" si="9"/>
        <v>209</v>
      </c>
      <c r="B217" s="571" t="s">
        <v>315</v>
      </c>
      <c r="C217" s="580" t="s">
        <v>62</v>
      </c>
      <c r="D217" s="581"/>
      <c r="E217" s="574" t="s">
        <v>158</v>
      </c>
      <c r="F217" s="579" t="s">
        <v>435</v>
      </c>
      <c r="G217" s="571" t="s">
        <v>718</v>
      </c>
      <c r="H217" s="575">
        <v>20</v>
      </c>
      <c r="I217" s="576">
        <v>6</v>
      </c>
      <c r="J217" s="576">
        <v>6</v>
      </c>
      <c r="K217" s="577">
        <v>13025.5</v>
      </c>
      <c r="L217" s="577">
        <v>4741</v>
      </c>
      <c r="M217" s="578">
        <v>8284.5</v>
      </c>
      <c r="N217" s="576">
        <v>6</v>
      </c>
      <c r="O217" s="577">
        <v>14019.72</v>
      </c>
      <c r="P217" s="577">
        <v>7208.02</v>
      </c>
      <c r="Q217" s="578">
        <v>6811.7</v>
      </c>
    </row>
    <row r="218" spans="1:17" s="459" customFormat="1" ht="15.75" customHeight="1" x14ac:dyDescent="0.2">
      <c r="A218" s="484">
        <f t="shared" si="9"/>
        <v>210</v>
      </c>
      <c r="B218" s="571" t="s">
        <v>216</v>
      </c>
      <c r="C218" s="580" t="s">
        <v>67</v>
      </c>
      <c r="D218" s="581" t="s">
        <v>436</v>
      </c>
      <c r="E218" s="574" t="s">
        <v>158</v>
      </c>
      <c r="F218" s="579" t="s">
        <v>437</v>
      </c>
      <c r="G218" s="571" t="s">
        <v>718</v>
      </c>
      <c r="H218" s="575">
        <v>20</v>
      </c>
      <c r="I218" s="576">
        <v>7</v>
      </c>
      <c r="J218" s="576">
        <v>7</v>
      </c>
      <c r="K218" s="577">
        <v>13299.66</v>
      </c>
      <c r="L218" s="577">
        <v>13299.66</v>
      </c>
      <c r="M218" s="578">
        <v>0</v>
      </c>
      <c r="N218" s="576">
        <v>0</v>
      </c>
      <c r="O218" s="577">
        <v>0</v>
      </c>
      <c r="P218" s="577">
        <v>0</v>
      </c>
      <c r="Q218" s="578">
        <v>0</v>
      </c>
    </row>
    <row r="219" spans="1:17" s="459" customFormat="1" ht="15.75" customHeight="1" x14ac:dyDescent="0.2">
      <c r="A219" s="484">
        <f t="shared" si="9"/>
        <v>211</v>
      </c>
      <c r="B219" s="571" t="s">
        <v>438</v>
      </c>
      <c r="C219" s="580" t="s">
        <v>62</v>
      </c>
      <c r="D219" s="581"/>
      <c r="E219" s="574" t="s">
        <v>158</v>
      </c>
      <c r="F219" s="579" t="s">
        <v>439</v>
      </c>
      <c r="G219" s="571" t="s">
        <v>718</v>
      </c>
      <c r="H219" s="575">
        <v>9</v>
      </c>
      <c r="I219" s="576">
        <v>1</v>
      </c>
      <c r="J219" s="576">
        <v>1</v>
      </c>
      <c r="K219" s="577">
        <v>3497.9</v>
      </c>
      <c r="L219" s="577">
        <v>0</v>
      </c>
      <c r="M219" s="578">
        <v>3497.9</v>
      </c>
      <c r="N219" s="576">
        <v>0</v>
      </c>
      <c r="O219" s="577">
        <v>0</v>
      </c>
      <c r="P219" s="577">
        <v>0</v>
      </c>
      <c r="Q219" s="578">
        <v>0</v>
      </c>
    </row>
    <row r="220" spans="1:17" s="459" customFormat="1" ht="15.75" customHeight="1" x14ac:dyDescent="0.2">
      <c r="A220" s="484">
        <f t="shared" si="9"/>
        <v>212</v>
      </c>
      <c r="B220" s="571" t="s">
        <v>440</v>
      </c>
      <c r="C220" s="580" t="s">
        <v>62</v>
      </c>
      <c r="D220" s="581"/>
      <c r="E220" s="574" t="s">
        <v>158</v>
      </c>
      <c r="F220" s="579" t="s">
        <v>441</v>
      </c>
      <c r="G220" s="571" t="s">
        <v>718</v>
      </c>
      <c r="H220" s="575">
        <v>7</v>
      </c>
      <c r="I220" s="576">
        <v>3</v>
      </c>
      <c r="J220" s="576">
        <v>3</v>
      </c>
      <c r="K220" s="577">
        <v>3171.6</v>
      </c>
      <c r="L220" s="577">
        <v>3171.6</v>
      </c>
      <c r="M220" s="578">
        <v>0</v>
      </c>
      <c r="N220" s="576">
        <v>0</v>
      </c>
      <c r="O220" s="577">
        <v>0</v>
      </c>
      <c r="P220" s="577">
        <v>0</v>
      </c>
      <c r="Q220" s="578">
        <v>0</v>
      </c>
    </row>
    <row r="221" spans="1:17" s="459" customFormat="1" ht="15.75" customHeight="1" x14ac:dyDescent="0.2">
      <c r="A221" s="484">
        <f t="shared" si="9"/>
        <v>213</v>
      </c>
      <c r="B221" s="571" t="s">
        <v>222</v>
      </c>
      <c r="C221" s="580" t="s">
        <v>64</v>
      </c>
      <c r="D221" s="582" t="s">
        <v>486</v>
      </c>
      <c r="E221" s="574" t="s">
        <v>158</v>
      </c>
      <c r="F221" s="579" t="s">
        <v>443</v>
      </c>
      <c r="G221" s="571" t="s">
        <v>718</v>
      </c>
      <c r="H221" s="575">
        <v>1</v>
      </c>
      <c r="I221" s="576">
        <v>0</v>
      </c>
      <c r="J221" s="576">
        <v>0</v>
      </c>
      <c r="K221" s="577">
        <v>0</v>
      </c>
      <c r="L221" s="577">
        <v>0</v>
      </c>
      <c r="M221" s="578">
        <v>0</v>
      </c>
      <c r="N221" s="576">
        <v>0</v>
      </c>
      <c r="O221" s="577">
        <v>0</v>
      </c>
      <c r="P221" s="577">
        <v>0</v>
      </c>
      <c r="Q221" s="578">
        <v>0</v>
      </c>
    </row>
    <row r="222" spans="1:17" s="459" customFormat="1" ht="15.75" customHeight="1" x14ac:dyDescent="0.2">
      <c r="A222" s="484">
        <f t="shared" si="9"/>
        <v>214</v>
      </c>
      <c r="B222" s="571" t="s">
        <v>444</v>
      </c>
      <c r="C222" s="580" t="s">
        <v>62</v>
      </c>
      <c r="D222" s="581"/>
      <c r="E222" s="574" t="s">
        <v>158</v>
      </c>
      <c r="F222" s="579" t="s">
        <v>445</v>
      </c>
      <c r="G222" s="571" t="s">
        <v>718</v>
      </c>
      <c r="H222" s="575">
        <v>5</v>
      </c>
      <c r="I222" s="576">
        <v>5</v>
      </c>
      <c r="J222" s="576">
        <v>5</v>
      </c>
      <c r="K222" s="577">
        <v>3802.9</v>
      </c>
      <c r="L222" s="577">
        <v>3802.9</v>
      </c>
      <c r="M222" s="578">
        <v>0</v>
      </c>
      <c r="N222" s="576">
        <v>0</v>
      </c>
      <c r="O222" s="577">
        <v>0</v>
      </c>
      <c r="P222" s="577">
        <v>0</v>
      </c>
      <c r="Q222" s="578">
        <v>0</v>
      </c>
    </row>
    <row r="223" spans="1:17" s="459" customFormat="1" ht="15.75" customHeight="1" x14ac:dyDescent="0.2">
      <c r="A223" s="484">
        <f t="shared" si="9"/>
        <v>215</v>
      </c>
      <c r="B223" s="571" t="s">
        <v>129</v>
      </c>
      <c r="C223" s="580" t="s">
        <v>62</v>
      </c>
      <c r="D223" s="581"/>
      <c r="E223" s="574" t="s">
        <v>158</v>
      </c>
      <c r="F223" s="579" t="s">
        <v>446</v>
      </c>
      <c r="G223" s="571" t="s">
        <v>718</v>
      </c>
      <c r="H223" s="575">
        <v>12</v>
      </c>
      <c r="I223" s="576">
        <v>6</v>
      </c>
      <c r="J223" s="576">
        <v>6</v>
      </c>
      <c r="K223" s="577">
        <v>8100.41</v>
      </c>
      <c r="L223" s="577">
        <v>4624.25</v>
      </c>
      <c r="M223" s="578">
        <v>3476.16</v>
      </c>
      <c r="N223" s="576">
        <v>12</v>
      </c>
      <c r="O223" s="577">
        <v>25243.58</v>
      </c>
      <c r="P223" s="577">
        <v>25243.58</v>
      </c>
      <c r="Q223" s="578">
        <v>0</v>
      </c>
    </row>
    <row r="224" spans="1:17" s="459" customFormat="1" ht="15.75" customHeight="1" x14ac:dyDescent="0.2">
      <c r="A224" s="484">
        <f t="shared" si="9"/>
        <v>216</v>
      </c>
      <c r="B224" s="579" t="s">
        <v>104</v>
      </c>
      <c r="C224" s="580" t="s">
        <v>62</v>
      </c>
      <c r="D224" s="581"/>
      <c r="E224" s="574" t="s">
        <v>730</v>
      </c>
      <c r="F224" s="579" t="s">
        <v>447</v>
      </c>
      <c r="G224" s="571" t="s">
        <v>718</v>
      </c>
      <c r="H224" s="575">
        <v>0</v>
      </c>
      <c r="I224" s="576">
        <v>0</v>
      </c>
      <c r="J224" s="576">
        <v>0</v>
      </c>
      <c r="K224" s="577">
        <v>0</v>
      </c>
      <c r="L224" s="577">
        <v>0</v>
      </c>
      <c r="M224" s="578">
        <v>0</v>
      </c>
      <c r="N224" s="576">
        <v>7</v>
      </c>
      <c r="O224" s="577">
        <v>5726.5</v>
      </c>
      <c r="P224" s="577">
        <v>5726.5</v>
      </c>
      <c r="Q224" s="578">
        <v>0</v>
      </c>
    </row>
    <row r="225" spans="1:17" s="459" customFormat="1" ht="15.75" customHeight="1" x14ac:dyDescent="0.2">
      <c r="A225" s="484">
        <f t="shared" si="9"/>
        <v>217</v>
      </c>
      <c r="B225" s="579" t="s">
        <v>156</v>
      </c>
      <c r="C225" s="580" t="s">
        <v>67</v>
      </c>
      <c r="D225" s="581" t="s">
        <v>745</v>
      </c>
      <c r="E225" s="574" t="s">
        <v>158</v>
      </c>
      <c r="F225" s="579" t="s">
        <v>502</v>
      </c>
      <c r="G225" s="571" t="s">
        <v>718</v>
      </c>
      <c r="H225" s="575">
        <v>4</v>
      </c>
      <c r="I225" s="576">
        <v>0</v>
      </c>
      <c r="J225" s="576">
        <v>0</v>
      </c>
      <c r="K225" s="577">
        <v>0</v>
      </c>
      <c r="L225" s="577">
        <v>0</v>
      </c>
      <c r="M225" s="578">
        <v>0</v>
      </c>
      <c r="N225" s="576">
        <v>5</v>
      </c>
      <c r="O225" s="577">
        <v>8865.2999999999993</v>
      </c>
      <c r="P225" s="577">
        <v>8865.2999999999993</v>
      </c>
      <c r="Q225" s="578">
        <v>0</v>
      </c>
    </row>
    <row r="226" spans="1:17" s="459" customFormat="1" ht="15.75" customHeight="1" x14ac:dyDescent="0.2">
      <c r="A226" s="484">
        <f t="shared" si="9"/>
        <v>218</v>
      </c>
      <c r="B226" s="579" t="s">
        <v>133</v>
      </c>
      <c r="C226" s="580" t="s">
        <v>67</v>
      </c>
      <c r="D226" s="582" t="s">
        <v>494</v>
      </c>
      <c r="E226" s="574" t="s">
        <v>158</v>
      </c>
      <c r="F226" s="579" t="s">
        <v>503</v>
      </c>
      <c r="G226" s="571" t="s">
        <v>718</v>
      </c>
      <c r="H226" s="575">
        <v>12</v>
      </c>
      <c r="I226" s="576">
        <v>5</v>
      </c>
      <c r="J226" s="576">
        <v>5</v>
      </c>
      <c r="K226" s="577">
        <v>13731.4</v>
      </c>
      <c r="L226" s="577">
        <v>13731.4</v>
      </c>
      <c r="M226" s="578">
        <v>0</v>
      </c>
      <c r="N226" s="576">
        <v>18</v>
      </c>
      <c r="O226" s="577">
        <v>45265.08</v>
      </c>
      <c r="P226" s="577">
        <v>42255.08</v>
      </c>
      <c r="Q226" s="578">
        <v>3010</v>
      </c>
    </row>
    <row r="227" spans="1:17" s="459" customFormat="1" ht="15.75" customHeight="1" x14ac:dyDescent="0.2">
      <c r="A227" s="484">
        <f t="shared" si="9"/>
        <v>219</v>
      </c>
      <c r="B227" s="579" t="s">
        <v>114</v>
      </c>
      <c r="C227" s="580" t="s">
        <v>62</v>
      </c>
      <c r="D227" s="581"/>
      <c r="E227" s="574" t="s">
        <v>691</v>
      </c>
      <c r="F227" s="579" t="s">
        <v>504</v>
      </c>
      <c r="G227" s="571" t="s">
        <v>718</v>
      </c>
      <c r="H227" s="575">
        <v>3</v>
      </c>
      <c r="I227" s="576">
        <v>0</v>
      </c>
      <c r="J227" s="576">
        <v>0</v>
      </c>
      <c r="K227" s="577">
        <v>0</v>
      </c>
      <c r="L227" s="577">
        <v>0</v>
      </c>
      <c r="M227" s="578">
        <v>0</v>
      </c>
      <c r="N227" s="576">
        <v>4</v>
      </c>
      <c r="O227" s="577">
        <v>3524</v>
      </c>
      <c r="P227" s="577">
        <v>3524</v>
      </c>
      <c r="Q227" s="578">
        <v>0</v>
      </c>
    </row>
    <row r="228" spans="1:17" s="459" customFormat="1" ht="15.75" customHeight="1" x14ac:dyDescent="0.2">
      <c r="A228" s="484">
        <f t="shared" si="9"/>
        <v>220</v>
      </c>
      <c r="B228" s="579" t="s">
        <v>505</v>
      </c>
      <c r="C228" s="580" t="s">
        <v>62</v>
      </c>
      <c r="D228" s="581"/>
      <c r="E228" s="574" t="s">
        <v>158</v>
      </c>
      <c r="F228" s="579" t="s">
        <v>506</v>
      </c>
      <c r="G228" s="571" t="s">
        <v>718</v>
      </c>
      <c r="H228" s="575">
        <v>5</v>
      </c>
      <c r="I228" s="576">
        <v>2</v>
      </c>
      <c r="J228" s="576">
        <v>2</v>
      </c>
      <c r="K228" s="577">
        <v>2025.1</v>
      </c>
      <c r="L228" s="577">
        <v>0</v>
      </c>
      <c r="M228" s="578">
        <v>2025.1</v>
      </c>
      <c r="N228" s="576">
        <v>0</v>
      </c>
      <c r="O228" s="577">
        <v>0</v>
      </c>
      <c r="P228" s="577">
        <v>0</v>
      </c>
      <c r="Q228" s="578">
        <v>0</v>
      </c>
    </row>
    <row r="229" spans="1:17" s="459" customFormat="1" ht="15.75" customHeight="1" x14ac:dyDescent="0.2">
      <c r="A229" s="484">
        <f t="shared" si="9"/>
        <v>221</v>
      </c>
      <c r="B229" s="579" t="s">
        <v>473</v>
      </c>
      <c r="C229" s="580" t="s">
        <v>62</v>
      </c>
      <c r="D229" s="581"/>
      <c r="E229" s="574" t="s">
        <v>158</v>
      </c>
      <c r="F229" s="579" t="s">
        <v>558</v>
      </c>
      <c r="G229" s="571" t="s">
        <v>718</v>
      </c>
      <c r="H229" s="575">
        <v>4</v>
      </c>
      <c r="I229" s="576">
        <v>0</v>
      </c>
      <c r="J229" s="576">
        <v>0</v>
      </c>
      <c r="K229" s="577">
        <v>0</v>
      </c>
      <c r="L229" s="577">
        <v>0</v>
      </c>
      <c r="M229" s="578">
        <v>0</v>
      </c>
      <c r="N229" s="576">
        <v>0</v>
      </c>
      <c r="O229" s="577">
        <v>0</v>
      </c>
      <c r="P229" s="577">
        <v>0</v>
      </c>
      <c r="Q229" s="578">
        <v>0</v>
      </c>
    </row>
    <row r="230" spans="1:17" s="459" customFormat="1" ht="15.75" customHeight="1" x14ac:dyDescent="0.2">
      <c r="A230" s="484">
        <f t="shared" si="9"/>
        <v>222</v>
      </c>
      <c r="B230" s="579" t="s">
        <v>376</v>
      </c>
      <c r="C230" s="580" t="s">
        <v>62</v>
      </c>
      <c r="D230" s="581"/>
      <c r="E230" s="574" t="s">
        <v>158</v>
      </c>
      <c r="F230" s="579" t="s">
        <v>559</v>
      </c>
      <c r="G230" s="571" t="s">
        <v>718</v>
      </c>
      <c r="H230" s="575">
        <v>3</v>
      </c>
      <c r="I230" s="576">
        <v>0</v>
      </c>
      <c r="J230" s="576">
        <v>0</v>
      </c>
      <c r="K230" s="577">
        <v>0</v>
      </c>
      <c r="L230" s="577">
        <v>0</v>
      </c>
      <c r="M230" s="578">
        <v>0</v>
      </c>
      <c r="N230" s="576">
        <v>0</v>
      </c>
      <c r="O230" s="577">
        <v>0</v>
      </c>
      <c r="P230" s="577">
        <v>0</v>
      </c>
      <c r="Q230" s="578">
        <v>0</v>
      </c>
    </row>
    <row r="231" spans="1:17" s="459" customFormat="1" ht="15.75" customHeight="1" x14ac:dyDescent="0.2">
      <c r="A231" s="484">
        <f t="shared" si="9"/>
        <v>223</v>
      </c>
      <c r="B231" s="579" t="s">
        <v>119</v>
      </c>
      <c r="C231" s="580" t="s">
        <v>62</v>
      </c>
      <c r="D231" s="581"/>
      <c r="E231" s="574" t="s">
        <v>158</v>
      </c>
      <c r="F231" s="579" t="s">
        <v>560</v>
      </c>
      <c r="G231" s="571" t="s">
        <v>718</v>
      </c>
      <c r="H231" s="575">
        <v>10</v>
      </c>
      <c r="I231" s="576">
        <v>1</v>
      </c>
      <c r="J231" s="576">
        <v>1</v>
      </c>
      <c r="K231" s="577">
        <v>1691.52</v>
      </c>
      <c r="L231" s="577">
        <v>1691.52</v>
      </c>
      <c r="M231" s="578">
        <v>0</v>
      </c>
      <c r="N231" s="576">
        <v>14</v>
      </c>
      <c r="O231" s="577">
        <v>20900.5</v>
      </c>
      <c r="P231" s="577">
        <v>20900.5</v>
      </c>
      <c r="Q231" s="578">
        <v>0</v>
      </c>
    </row>
    <row r="232" spans="1:17" s="459" customFormat="1" ht="15.75" customHeight="1" x14ac:dyDescent="0.2">
      <c r="A232" s="484">
        <f t="shared" si="9"/>
        <v>224</v>
      </c>
      <c r="B232" s="579" t="s">
        <v>47</v>
      </c>
      <c r="C232" s="580" t="s">
        <v>62</v>
      </c>
      <c r="D232" s="581"/>
      <c r="E232" s="574" t="s">
        <v>677</v>
      </c>
      <c r="F232" s="579" t="s">
        <v>589</v>
      </c>
      <c r="G232" s="571" t="s">
        <v>718</v>
      </c>
      <c r="H232" s="575">
        <v>0</v>
      </c>
      <c r="I232" s="576">
        <v>0</v>
      </c>
      <c r="J232" s="576">
        <v>0</v>
      </c>
      <c r="K232" s="577">
        <v>0</v>
      </c>
      <c r="L232" s="577">
        <v>0</v>
      </c>
      <c r="M232" s="578">
        <v>0</v>
      </c>
      <c r="N232" s="576">
        <v>1</v>
      </c>
      <c r="O232" s="577">
        <v>6554.64</v>
      </c>
      <c r="P232" s="577">
        <v>6554.64</v>
      </c>
      <c r="Q232" s="578">
        <v>0</v>
      </c>
    </row>
    <row r="233" spans="1:17" s="459" customFormat="1" ht="15.75" customHeight="1" x14ac:dyDescent="0.2">
      <c r="A233" s="484">
        <f t="shared" si="9"/>
        <v>225</v>
      </c>
      <c r="B233" s="579" t="s">
        <v>37</v>
      </c>
      <c r="C233" s="580" t="s">
        <v>62</v>
      </c>
      <c r="D233" s="581"/>
      <c r="E233" s="574" t="s">
        <v>158</v>
      </c>
      <c r="F233" s="579" t="s">
        <v>590</v>
      </c>
      <c r="G233" s="571" t="s">
        <v>718</v>
      </c>
      <c r="H233" s="575">
        <v>6</v>
      </c>
      <c r="I233" s="576">
        <v>0</v>
      </c>
      <c r="J233" s="576">
        <v>0</v>
      </c>
      <c r="K233" s="577">
        <v>0</v>
      </c>
      <c r="L233" s="577">
        <v>0</v>
      </c>
      <c r="M233" s="578">
        <v>0</v>
      </c>
      <c r="N233" s="576">
        <v>0</v>
      </c>
      <c r="O233" s="577">
        <v>0</v>
      </c>
      <c r="P233" s="577">
        <v>0</v>
      </c>
      <c r="Q233" s="578">
        <v>0</v>
      </c>
    </row>
    <row r="234" spans="1:17" s="459" customFormat="1" ht="15.75" customHeight="1" x14ac:dyDescent="0.2">
      <c r="A234" s="484">
        <f t="shared" si="9"/>
        <v>226</v>
      </c>
      <c r="B234" s="579" t="s">
        <v>97</v>
      </c>
      <c r="C234" s="580" t="s">
        <v>62</v>
      </c>
      <c r="D234" s="581"/>
      <c r="E234" s="574" t="s">
        <v>158</v>
      </c>
      <c r="F234" s="579" t="s">
        <v>591</v>
      </c>
      <c r="G234" s="571" t="s">
        <v>718</v>
      </c>
      <c r="H234" s="575">
        <v>4</v>
      </c>
      <c r="I234" s="576">
        <v>2</v>
      </c>
      <c r="J234" s="576">
        <v>2</v>
      </c>
      <c r="K234" s="577">
        <v>3626.7</v>
      </c>
      <c r="L234" s="577">
        <v>3626.7</v>
      </c>
      <c r="M234" s="578">
        <v>0</v>
      </c>
      <c r="N234" s="576">
        <v>3</v>
      </c>
      <c r="O234" s="577">
        <v>4570.8999999999996</v>
      </c>
      <c r="P234" s="577">
        <v>4570.8999999999996</v>
      </c>
      <c r="Q234" s="578">
        <v>0</v>
      </c>
    </row>
    <row r="235" spans="1:17" s="459" customFormat="1" ht="15.75" customHeight="1" x14ac:dyDescent="0.2">
      <c r="A235" s="484">
        <f t="shared" si="9"/>
        <v>227</v>
      </c>
      <c r="B235" s="579" t="s">
        <v>613</v>
      </c>
      <c r="C235" s="580" t="s">
        <v>62</v>
      </c>
      <c r="D235" s="581"/>
      <c r="E235" s="574" t="s">
        <v>158</v>
      </c>
      <c r="F235" s="579" t="s">
        <v>614</v>
      </c>
      <c r="G235" s="571" t="s">
        <v>718</v>
      </c>
      <c r="H235" s="575">
        <v>7</v>
      </c>
      <c r="I235" s="576">
        <v>2</v>
      </c>
      <c r="J235" s="576">
        <v>2</v>
      </c>
      <c r="K235" s="577">
        <v>1585.8</v>
      </c>
      <c r="L235" s="577">
        <v>1585.8</v>
      </c>
      <c r="M235" s="578">
        <v>0</v>
      </c>
      <c r="N235" s="576">
        <v>3</v>
      </c>
      <c r="O235" s="577">
        <v>616.70000000000005</v>
      </c>
      <c r="P235" s="577">
        <v>616.70000000000005</v>
      </c>
      <c r="Q235" s="578">
        <v>0</v>
      </c>
    </row>
    <row r="236" spans="1:17" s="459" customFormat="1" ht="15.75" customHeight="1" x14ac:dyDescent="0.2">
      <c r="A236" s="484">
        <f t="shared" si="9"/>
        <v>228</v>
      </c>
      <c r="B236" s="579" t="s">
        <v>615</v>
      </c>
      <c r="C236" s="580" t="s">
        <v>62</v>
      </c>
      <c r="D236" s="581"/>
      <c r="E236" s="574" t="s">
        <v>158</v>
      </c>
      <c r="F236" s="579" t="s">
        <v>616</v>
      </c>
      <c r="G236" s="571" t="s">
        <v>718</v>
      </c>
      <c r="H236" s="575">
        <v>6</v>
      </c>
      <c r="I236" s="576">
        <v>0</v>
      </c>
      <c r="J236" s="576">
        <v>0</v>
      </c>
      <c r="K236" s="577">
        <v>0</v>
      </c>
      <c r="L236" s="577">
        <v>0</v>
      </c>
      <c r="M236" s="578">
        <v>0</v>
      </c>
      <c r="N236" s="576">
        <v>0</v>
      </c>
      <c r="O236" s="577">
        <v>0</v>
      </c>
      <c r="P236" s="577">
        <v>0</v>
      </c>
      <c r="Q236" s="578">
        <v>0</v>
      </c>
    </row>
    <row r="237" spans="1:17" s="459" customFormat="1" ht="15.75" customHeight="1" x14ac:dyDescent="0.2">
      <c r="A237" s="484">
        <f t="shared" si="9"/>
        <v>229</v>
      </c>
      <c r="B237" s="579" t="s">
        <v>357</v>
      </c>
      <c r="C237" s="583" t="s">
        <v>64</v>
      </c>
      <c r="D237" s="581" t="s">
        <v>585</v>
      </c>
      <c r="E237" s="574" t="s">
        <v>158</v>
      </c>
      <c r="F237" s="579" t="s">
        <v>618</v>
      </c>
      <c r="G237" s="571" t="s">
        <v>718</v>
      </c>
      <c r="H237" s="575">
        <v>7</v>
      </c>
      <c r="I237" s="576">
        <v>1</v>
      </c>
      <c r="J237" s="576">
        <v>1</v>
      </c>
      <c r="K237" s="577">
        <v>1057.2</v>
      </c>
      <c r="L237" s="577">
        <v>1057.2</v>
      </c>
      <c r="M237" s="578">
        <v>0</v>
      </c>
      <c r="N237" s="576">
        <v>3</v>
      </c>
      <c r="O237" s="577">
        <v>5236.2</v>
      </c>
      <c r="P237" s="577">
        <v>5236.2</v>
      </c>
      <c r="Q237" s="578">
        <v>0</v>
      </c>
    </row>
    <row r="238" spans="1:17" s="459" customFormat="1" ht="15.75" customHeight="1" x14ac:dyDescent="0.2">
      <c r="A238" s="484">
        <f t="shared" si="9"/>
        <v>230</v>
      </c>
      <c r="B238" s="579" t="s">
        <v>621</v>
      </c>
      <c r="C238" s="580" t="s">
        <v>62</v>
      </c>
      <c r="D238" s="581"/>
      <c r="E238" s="574" t="s">
        <v>158</v>
      </c>
      <c r="F238" s="579" t="s">
        <v>625</v>
      </c>
      <c r="G238" s="571" t="s">
        <v>718</v>
      </c>
      <c r="H238" s="575">
        <v>13</v>
      </c>
      <c r="I238" s="576">
        <v>5</v>
      </c>
      <c r="J238" s="576">
        <v>5</v>
      </c>
      <c r="K238" s="577">
        <v>4878.6499999999996</v>
      </c>
      <c r="L238" s="577">
        <v>1564.85</v>
      </c>
      <c r="M238" s="578">
        <v>3313.8</v>
      </c>
      <c r="N238" s="576">
        <v>0</v>
      </c>
      <c r="O238" s="577">
        <v>0</v>
      </c>
      <c r="P238" s="577">
        <v>0</v>
      </c>
      <c r="Q238" s="578">
        <v>0</v>
      </c>
    </row>
    <row r="239" spans="1:17" s="459" customFormat="1" ht="15.75" customHeight="1" x14ac:dyDescent="0.2">
      <c r="A239" s="484">
        <f t="shared" si="9"/>
        <v>231</v>
      </c>
      <c r="B239" s="484" t="s">
        <v>146</v>
      </c>
      <c r="C239" s="516" t="s">
        <v>62</v>
      </c>
      <c r="D239" s="484"/>
      <c r="E239" s="486" t="s">
        <v>74</v>
      </c>
      <c r="F239" s="486" t="s">
        <v>325</v>
      </c>
      <c r="G239" s="510" t="s">
        <v>721</v>
      </c>
      <c r="H239" s="484">
        <v>15</v>
      </c>
      <c r="I239" s="484">
        <v>7</v>
      </c>
      <c r="J239" s="484">
        <v>7</v>
      </c>
      <c r="K239" s="482">
        <v>8953.4</v>
      </c>
      <c r="L239" s="482">
        <v>8953.4</v>
      </c>
      <c r="M239" s="482">
        <v>0</v>
      </c>
      <c r="N239" s="484">
        <v>6</v>
      </c>
      <c r="O239" s="482">
        <v>5374.1</v>
      </c>
      <c r="P239" s="482">
        <v>5374.1</v>
      </c>
      <c r="Q239" s="482">
        <v>0</v>
      </c>
    </row>
    <row r="240" spans="1:17" s="459" customFormat="1" ht="15.75" customHeight="1" x14ac:dyDescent="0.2">
      <c r="A240" s="484">
        <f t="shared" si="9"/>
        <v>232</v>
      </c>
      <c r="B240" s="484" t="s">
        <v>166</v>
      </c>
      <c r="C240" s="516" t="s">
        <v>62</v>
      </c>
      <c r="D240" s="484"/>
      <c r="E240" s="486" t="s">
        <v>158</v>
      </c>
      <c r="F240" s="486" t="s">
        <v>327</v>
      </c>
      <c r="G240" s="510" t="s">
        <v>721</v>
      </c>
      <c r="H240" s="484">
        <v>5</v>
      </c>
      <c r="I240" s="484">
        <v>3</v>
      </c>
      <c r="J240" s="484">
        <v>3</v>
      </c>
      <c r="K240" s="482">
        <v>6750.9</v>
      </c>
      <c r="L240" s="482">
        <v>5462.2</v>
      </c>
      <c r="M240" s="482">
        <v>1288.7</v>
      </c>
      <c r="N240" s="484">
        <v>0</v>
      </c>
      <c r="O240" s="482">
        <v>0</v>
      </c>
      <c r="P240" s="482">
        <v>0</v>
      </c>
      <c r="Q240" s="482">
        <v>0</v>
      </c>
    </row>
    <row r="241" spans="1:17" s="459" customFormat="1" ht="15.75" customHeight="1" x14ac:dyDescent="0.2">
      <c r="A241" s="484">
        <f t="shared" si="9"/>
        <v>233</v>
      </c>
      <c r="B241" s="484" t="s">
        <v>173</v>
      </c>
      <c r="C241" s="516" t="s">
        <v>67</v>
      </c>
      <c r="D241" s="484" t="s">
        <v>328</v>
      </c>
      <c r="E241" s="486" t="s">
        <v>158</v>
      </c>
      <c r="F241" s="486" t="s">
        <v>329</v>
      </c>
      <c r="G241" s="510" t="s">
        <v>721</v>
      </c>
      <c r="H241" s="484">
        <v>9</v>
      </c>
      <c r="I241" s="484">
        <v>5</v>
      </c>
      <c r="J241" s="484">
        <v>5</v>
      </c>
      <c r="K241" s="482">
        <v>10645.26</v>
      </c>
      <c r="L241" s="482">
        <v>10645.26</v>
      </c>
      <c r="M241" s="482">
        <v>0</v>
      </c>
      <c r="N241" s="484">
        <v>0</v>
      </c>
      <c r="O241" s="482">
        <v>0</v>
      </c>
      <c r="P241" s="482">
        <v>0</v>
      </c>
      <c r="Q241" s="482">
        <v>0</v>
      </c>
    </row>
    <row r="242" spans="1:17" s="459" customFormat="1" ht="15.75" customHeight="1" x14ac:dyDescent="0.2">
      <c r="A242" s="484">
        <f t="shared" si="9"/>
        <v>234</v>
      </c>
      <c r="B242" s="484" t="s">
        <v>330</v>
      </c>
      <c r="C242" s="516" t="s">
        <v>62</v>
      </c>
      <c r="D242" s="484"/>
      <c r="E242" s="486" t="s">
        <v>158</v>
      </c>
      <c r="F242" s="486" t="s">
        <v>331</v>
      </c>
      <c r="G242" s="510" t="s">
        <v>721</v>
      </c>
      <c r="H242" s="484">
        <v>16</v>
      </c>
      <c r="I242" s="484">
        <v>10</v>
      </c>
      <c r="J242" s="484">
        <v>10</v>
      </c>
      <c r="K242" s="482">
        <v>12533.9</v>
      </c>
      <c r="L242" s="482">
        <v>12533.9</v>
      </c>
      <c r="M242" s="482">
        <v>0</v>
      </c>
      <c r="N242" s="484">
        <v>0</v>
      </c>
      <c r="O242" s="482">
        <v>0</v>
      </c>
      <c r="P242" s="482">
        <v>0</v>
      </c>
      <c r="Q242" s="482">
        <v>0</v>
      </c>
    </row>
    <row r="243" spans="1:17" s="459" customFormat="1" ht="15.75" customHeight="1" x14ac:dyDescent="0.2">
      <c r="A243" s="484">
        <f t="shared" si="9"/>
        <v>235</v>
      </c>
      <c r="B243" s="484" t="s">
        <v>147</v>
      </c>
      <c r="C243" s="516" t="s">
        <v>62</v>
      </c>
      <c r="D243" s="484"/>
      <c r="E243" s="486" t="s">
        <v>74</v>
      </c>
      <c r="F243" s="486" t="s">
        <v>332</v>
      </c>
      <c r="G243" s="510" t="s">
        <v>721</v>
      </c>
      <c r="H243" s="484">
        <v>15</v>
      </c>
      <c r="I243" s="484">
        <v>8</v>
      </c>
      <c r="J243" s="484">
        <v>8</v>
      </c>
      <c r="K243" s="482">
        <v>14527.75</v>
      </c>
      <c r="L243" s="482">
        <v>13239.05</v>
      </c>
      <c r="M243" s="482">
        <v>1288.7</v>
      </c>
      <c r="N243" s="484">
        <v>5</v>
      </c>
      <c r="O243" s="482">
        <v>13962.4</v>
      </c>
      <c r="P243" s="482">
        <v>13962.4</v>
      </c>
      <c r="Q243" s="482">
        <v>0</v>
      </c>
    </row>
    <row r="244" spans="1:17" s="459" customFormat="1" ht="15.75" customHeight="1" x14ac:dyDescent="0.2">
      <c r="A244" s="484">
        <f t="shared" si="9"/>
        <v>236</v>
      </c>
      <c r="B244" s="484" t="s">
        <v>554</v>
      </c>
      <c r="C244" s="516" t="s">
        <v>67</v>
      </c>
      <c r="D244" s="484" t="s">
        <v>555</v>
      </c>
      <c r="E244" s="486" t="s">
        <v>74</v>
      </c>
      <c r="F244" s="486" t="s">
        <v>556</v>
      </c>
      <c r="G244" s="510" t="s">
        <v>721</v>
      </c>
      <c r="H244" s="484">
        <v>2</v>
      </c>
      <c r="I244" s="484">
        <v>0</v>
      </c>
      <c r="J244" s="484">
        <v>0</v>
      </c>
      <c r="K244" s="482">
        <v>0</v>
      </c>
      <c r="L244" s="482">
        <v>0</v>
      </c>
      <c r="M244" s="482">
        <v>0</v>
      </c>
      <c r="N244" s="484">
        <v>0</v>
      </c>
      <c r="O244" s="482">
        <v>0</v>
      </c>
      <c r="P244" s="482">
        <v>0</v>
      </c>
      <c r="Q244" s="482">
        <v>0</v>
      </c>
    </row>
    <row r="245" spans="1:17" s="459" customFormat="1" ht="15.75" customHeight="1" x14ac:dyDescent="0.2">
      <c r="A245" s="484">
        <f t="shared" si="9"/>
        <v>237</v>
      </c>
      <c r="B245" s="484" t="s">
        <v>88</v>
      </c>
      <c r="C245" s="516" t="s">
        <v>62</v>
      </c>
      <c r="D245" s="484"/>
      <c r="E245" s="486" t="s">
        <v>74</v>
      </c>
      <c r="F245" s="486" t="s">
        <v>333</v>
      </c>
      <c r="G245" s="510" t="s">
        <v>721</v>
      </c>
      <c r="H245" s="484">
        <v>2</v>
      </c>
      <c r="I245" s="484">
        <v>2</v>
      </c>
      <c r="J245" s="484">
        <v>2</v>
      </c>
      <c r="K245" s="482">
        <v>2290.6</v>
      </c>
      <c r="L245" s="482">
        <v>2290.6</v>
      </c>
      <c r="M245" s="482">
        <v>0</v>
      </c>
      <c r="N245" s="484">
        <v>1</v>
      </c>
      <c r="O245" s="482">
        <v>1145.3</v>
      </c>
      <c r="P245" s="482">
        <v>1145.3</v>
      </c>
      <c r="Q245" s="482">
        <v>0</v>
      </c>
    </row>
    <row r="246" spans="1:17" s="459" customFormat="1" ht="15.75" customHeight="1" x14ac:dyDescent="0.2">
      <c r="A246" s="484">
        <f t="shared" si="9"/>
        <v>238</v>
      </c>
      <c r="B246" s="484" t="s">
        <v>182</v>
      </c>
      <c r="C246" s="516" t="s">
        <v>62</v>
      </c>
      <c r="D246" s="484"/>
      <c r="E246" s="486" t="s">
        <v>158</v>
      </c>
      <c r="F246" s="486" t="s">
        <v>334</v>
      </c>
      <c r="G246" s="510" t="s">
        <v>721</v>
      </c>
      <c r="H246" s="484">
        <v>5</v>
      </c>
      <c r="I246" s="484">
        <v>1</v>
      </c>
      <c r="J246" s="484">
        <v>1</v>
      </c>
      <c r="K246" s="482">
        <v>1233.4000000000001</v>
      </c>
      <c r="L246" s="482">
        <v>1233.4000000000001</v>
      </c>
      <c r="M246" s="482">
        <v>0</v>
      </c>
      <c r="N246" s="484">
        <v>0</v>
      </c>
      <c r="O246" s="482">
        <v>0</v>
      </c>
      <c r="P246" s="482">
        <v>0</v>
      </c>
      <c r="Q246" s="482">
        <v>0</v>
      </c>
    </row>
    <row r="247" spans="1:17" s="459" customFormat="1" ht="15.75" customHeight="1" x14ac:dyDescent="0.2">
      <c r="A247" s="484">
        <f t="shared" si="9"/>
        <v>239</v>
      </c>
      <c r="B247" s="484" t="s">
        <v>335</v>
      </c>
      <c r="C247" s="516" t="s">
        <v>62</v>
      </c>
      <c r="D247" s="484"/>
      <c r="E247" s="486" t="s">
        <v>74</v>
      </c>
      <c r="F247" s="486" t="s">
        <v>336</v>
      </c>
      <c r="G247" s="510" t="s">
        <v>721</v>
      </c>
      <c r="H247" s="484">
        <v>15</v>
      </c>
      <c r="I247" s="484">
        <v>8</v>
      </c>
      <c r="J247" s="484">
        <v>8</v>
      </c>
      <c r="K247" s="482">
        <v>12008.05</v>
      </c>
      <c r="L247" s="482">
        <v>12008.05</v>
      </c>
      <c r="M247" s="482">
        <v>0</v>
      </c>
      <c r="N247" s="484">
        <v>9</v>
      </c>
      <c r="O247" s="482">
        <v>10605.75</v>
      </c>
      <c r="P247" s="482">
        <v>6739.65</v>
      </c>
      <c r="Q247" s="482">
        <v>3866.1</v>
      </c>
    </row>
    <row r="248" spans="1:17" s="459" customFormat="1" ht="15.75" customHeight="1" x14ac:dyDescent="0.2">
      <c r="A248" s="484">
        <f t="shared" si="9"/>
        <v>240</v>
      </c>
      <c r="B248" s="484" t="s">
        <v>27</v>
      </c>
      <c r="C248" s="516" t="s">
        <v>62</v>
      </c>
      <c r="D248" s="484"/>
      <c r="E248" s="486" t="s">
        <v>158</v>
      </c>
      <c r="F248" s="486" t="s">
        <v>337</v>
      </c>
      <c r="G248" s="510" t="s">
        <v>721</v>
      </c>
      <c r="H248" s="484">
        <v>13</v>
      </c>
      <c r="I248" s="484">
        <v>12</v>
      </c>
      <c r="J248" s="484">
        <v>12</v>
      </c>
      <c r="K248" s="482">
        <v>12823.4</v>
      </c>
      <c r="L248" s="482">
        <v>12823.4</v>
      </c>
      <c r="M248" s="482">
        <v>0</v>
      </c>
      <c r="N248" s="484">
        <v>0</v>
      </c>
      <c r="O248" s="482">
        <v>0</v>
      </c>
      <c r="P248" s="482">
        <v>0</v>
      </c>
      <c r="Q248" s="482">
        <v>0</v>
      </c>
    </row>
    <row r="249" spans="1:17" s="459" customFormat="1" ht="15.75" customHeight="1" x14ac:dyDescent="0.2">
      <c r="A249" s="484">
        <f t="shared" si="9"/>
        <v>241</v>
      </c>
      <c r="B249" s="484" t="s">
        <v>190</v>
      </c>
      <c r="C249" s="516" t="s">
        <v>62</v>
      </c>
      <c r="D249" s="484"/>
      <c r="E249" s="486" t="s">
        <v>675</v>
      </c>
      <c r="F249" s="486" t="s">
        <v>339</v>
      </c>
      <c r="G249" s="510" t="s">
        <v>721</v>
      </c>
      <c r="H249" s="484">
        <v>23</v>
      </c>
      <c r="I249" s="484">
        <v>11</v>
      </c>
      <c r="J249" s="484">
        <v>11</v>
      </c>
      <c r="K249" s="482">
        <v>20433.8</v>
      </c>
      <c r="L249" s="482">
        <v>20433.8</v>
      </c>
      <c r="M249" s="482">
        <v>0</v>
      </c>
      <c r="N249" s="484">
        <v>0</v>
      </c>
      <c r="O249" s="482">
        <v>0</v>
      </c>
      <c r="P249" s="482">
        <v>0</v>
      </c>
      <c r="Q249" s="482">
        <v>0</v>
      </c>
    </row>
    <row r="250" spans="1:17" s="459" customFormat="1" ht="15.75" customHeight="1" x14ac:dyDescent="0.2">
      <c r="A250" s="484">
        <f t="shared" si="9"/>
        <v>242</v>
      </c>
      <c r="B250" s="484" t="s">
        <v>89</v>
      </c>
      <c r="C250" s="516" t="s">
        <v>62</v>
      </c>
      <c r="D250" s="484"/>
      <c r="E250" s="486" t="s">
        <v>74</v>
      </c>
      <c r="F250" s="486" t="s">
        <v>340</v>
      </c>
      <c r="G250" s="510" t="s">
        <v>721</v>
      </c>
      <c r="H250" s="484">
        <v>7</v>
      </c>
      <c r="I250" s="484">
        <v>6</v>
      </c>
      <c r="J250" s="484">
        <v>6</v>
      </c>
      <c r="K250" s="482">
        <v>8633.7999999999993</v>
      </c>
      <c r="L250" s="482">
        <v>8633.7999999999993</v>
      </c>
      <c r="M250" s="482">
        <v>0</v>
      </c>
      <c r="N250" s="484">
        <v>4</v>
      </c>
      <c r="O250" s="482">
        <v>9250.5</v>
      </c>
      <c r="P250" s="482">
        <v>9250.5</v>
      </c>
      <c r="Q250" s="482">
        <v>0</v>
      </c>
    </row>
    <row r="251" spans="1:17" s="459" customFormat="1" ht="15.75" customHeight="1" x14ac:dyDescent="0.2">
      <c r="A251" s="484">
        <f t="shared" si="9"/>
        <v>243</v>
      </c>
      <c r="B251" s="484" t="s">
        <v>196</v>
      </c>
      <c r="C251" s="516" t="s">
        <v>62</v>
      </c>
      <c r="D251" s="484"/>
      <c r="E251" s="486" t="s">
        <v>683</v>
      </c>
      <c r="F251" s="486" t="s">
        <v>342</v>
      </c>
      <c r="G251" s="510" t="s">
        <v>721</v>
      </c>
      <c r="H251" s="484">
        <v>7</v>
      </c>
      <c r="I251" s="484">
        <v>5</v>
      </c>
      <c r="J251" s="484">
        <v>5</v>
      </c>
      <c r="K251" s="482">
        <v>4933.6000000000004</v>
      </c>
      <c r="L251" s="482">
        <v>4933.6000000000004</v>
      </c>
      <c r="M251" s="482">
        <v>0</v>
      </c>
      <c r="N251" s="484">
        <v>0</v>
      </c>
      <c r="O251" s="482">
        <v>0</v>
      </c>
      <c r="P251" s="482">
        <v>0</v>
      </c>
      <c r="Q251" s="482">
        <v>0</v>
      </c>
    </row>
    <row r="252" spans="1:17" s="459" customFormat="1" ht="15.75" customHeight="1" x14ac:dyDescent="0.2">
      <c r="A252" s="484">
        <f t="shared" si="9"/>
        <v>244</v>
      </c>
      <c r="B252" s="484" t="s">
        <v>631</v>
      </c>
      <c r="C252" s="516" t="s">
        <v>62</v>
      </c>
      <c r="D252" s="484"/>
      <c r="E252" s="486" t="s">
        <v>74</v>
      </c>
      <c r="F252" s="486" t="s">
        <v>642</v>
      </c>
      <c r="G252" s="510" t="s">
        <v>721</v>
      </c>
      <c r="H252" s="484">
        <v>3</v>
      </c>
      <c r="I252" s="484">
        <v>0</v>
      </c>
      <c r="J252" s="484">
        <v>0</v>
      </c>
      <c r="K252" s="482">
        <v>0</v>
      </c>
      <c r="L252" s="482">
        <v>0</v>
      </c>
      <c r="M252" s="482">
        <v>0</v>
      </c>
      <c r="N252" s="484">
        <v>0</v>
      </c>
      <c r="O252" s="482">
        <v>0</v>
      </c>
      <c r="P252" s="482">
        <v>0</v>
      </c>
      <c r="Q252" s="482">
        <v>0</v>
      </c>
    </row>
    <row r="253" spans="1:17" s="459" customFormat="1" ht="15.75" customHeight="1" x14ac:dyDescent="0.2">
      <c r="A253" s="484">
        <f t="shared" si="9"/>
        <v>245</v>
      </c>
      <c r="B253" s="484" t="s">
        <v>343</v>
      </c>
      <c r="C253" s="516" t="s">
        <v>62</v>
      </c>
      <c r="D253" s="484"/>
      <c r="E253" s="486" t="s">
        <v>74</v>
      </c>
      <c r="F253" s="486" t="s">
        <v>344</v>
      </c>
      <c r="G253" s="510" t="s">
        <v>721</v>
      </c>
      <c r="H253" s="484">
        <v>11</v>
      </c>
      <c r="I253" s="484">
        <v>3</v>
      </c>
      <c r="J253" s="484">
        <v>3</v>
      </c>
      <c r="K253" s="482">
        <v>3019.1</v>
      </c>
      <c r="L253" s="482">
        <v>2466.8000000000002</v>
      </c>
      <c r="M253" s="482">
        <v>552.29999999999995</v>
      </c>
      <c r="N253" s="484">
        <v>0</v>
      </c>
      <c r="O253" s="482">
        <v>0</v>
      </c>
      <c r="P253" s="482">
        <v>0</v>
      </c>
      <c r="Q253" s="482">
        <v>0</v>
      </c>
    </row>
    <row r="254" spans="1:17" s="459" customFormat="1" ht="15.75" customHeight="1" x14ac:dyDescent="0.2">
      <c r="A254" s="484">
        <f t="shared" si="9"/>
        <v>246</v>
      </c>
      <c r="B254" s="484" t="s">
        <v>154</v>
      </c>
      <c r="C254" s="516" t="s">
        <v>62</v>
      </c>
      <c r="D254" s="484"/>
      <c r="E254" s="486" t="s">
        <v>74</v>
      </c>
      <c r="F254" s="486" t="s">
        <v>345</v>
      </c>
      <c r="G254" s="510" t="s">
        <v>721</v>
      </c>
      <c r="H254" s="484">
        <v>7</v>
      </c>
      <c r="I254" s="484">
        <v>7</v>
      </c>
      <c r="J254" s="484">
        <v>7</v>
      </c>
      <c r="K254" s="482">
        <v>9690.15</v>
      </c>
      <c r="L254" s="482">
        <v>9690.15</v>
      </c>
      <c r="M254" s="482">
        <v>0</v>
      </c>
      <c r="N254" s="484">
        <v>7</v>
      </c>
      <c r="O254" s="482">
        <v>9770</v>
      </c>
      <c r="P254" s="482">
        <v>9770</v>
      </c>
      <c r="Q254" s="482">
        <v>0</v>
      </c>
    </row>
    <row r="255" spans="1:17" s="459" customFormat="1" ht="15.75" customHeight="1" x14ac:dyDescent="0.2">
      <c r="A255" s="484">
        <f t="shared" si="9"/>
        <v>247</v>
      </c>
      <c r="B255" s="484" t="s">
        <v>346</v>
      </c>
      <c r="C255" s="516" t="s">
        <v>62</v>
      </c>
      <c r="D255" s="484"/>
      <c r="E255" s="486" t="s">
        <v>158</v>
      </c>
      <c r="F255" s="486" t="s">
        <v>347</v>
      </c>
      <c r="G255" s="510" t="s">
        <v>721</v>
      </c>
      <c r="H255" s="484">
        <v>4</v>
      </c>
      <c r="I255" s="484">
        <v>0</v>
      </c>
      <c r="J255" s="484">
        <v>0</v>
      </c>
      <c r="K255" s="482">
        <v>0</v>
      </c>
      <c r="L255" s="482">
        <v>0</v>
      </c>
      <c r="M255" s="482">
        <v>0</v>
      </c>
      <c r="N255" s="484">
        <v>0</v>
      </c>
      <c r="O255" s="482">
        <v>0</v>
      </c>
      <c r="P255" s="482">
        <v>0</v>
      </c>
      <c r="Q255" s="482">
        <v>0</v>
      </c>
    </row>
    <row r="256" spans="1:17" s="459" customFormat="1" ht="15.75" customHeight="1" x14ac:dyDescent="0.2">
      <c r="A256" s="484">
        <f t="shared" si="9"/>
        <v>248</v>
      </c>
      <c r="B256" s="484" t="s">
        <v>348</v>
      </c>
      <c r="C256" s="516" t="s">
        <v>62</v>
      </c>
      <c r="D256" s="484"/>
      <c r="E256" s="486" t="s">
        <v>158</v>
      </c>
      <c r="F256" s="486" t="s">
        <v>349</v>
      </c>
      <c r="G256" s="510" t="s">
        <v>721</v>
      </c>
      <c r="H256" s="484">
        <v>6</v>
      </c>
      <c r="I256" s="484">
        <v>0</v>
      </c>
      <c r="J256" s="484">
        <v>0</v>
      </c>
      <c r="K256" s="482">
        <v>0</v>
      </c>
      <c r="L256" s="482">
        <v>0</v>
      </c>
      <c r="M256" s="482">
        <v>0</v>
      </c>
      <c r="N256" s="484">
        <v>0</v>
      </c>
      <c r="O256" s="482">
        <v>0</v>
      </c>
      <c r="P256" s="482">
        <v>0</v>
      </c>
      <c r="Q256" s="482">
        <v>0</v>
      </c>
    </row>
    <row r="257" spans="1:17" s="459" customFormat="1" ht="15.75" customHeight="1" x14ac:dyDescent="0.2">
      <c r="A257" s="484">
        <f t="shared" si="9"/>
        <v>249</v>
      </c>
      <c r="B257" s="484" t="s">
        <v>350</v>
      </c>
      <c r="C257" s="516" t="s">
        <v>62</v>
      </c>
      <c r="D257" s="484"/>
      <c r="E257" s="486" t="s">
        <v>74</v>
      </c>
      <c r="F257" s="486" t="s">
        <v>351</v>
      </c>
      <c r="G257" s="510" t="s">
        <v>721</v>
      </c>
      <c r="H257" s="484">
        <v>1</v>
      </c>
      <c r="I257" s="484">
        <v>1</v>
      </c>
      <c r="J257" s="484">
        <v>1</v>
      </c>
      <c r="K257" s="482">
        <v>528.6</v>
      </c>
      <c r="L257" s="482">
        <v>528.6</v>
      </c>
      <c r="M257" s="482">
        <v>0</v>
      </c>
      <c r="N257" s="484">
        <v>4</v>
      </c>
      <c r="O257" s="482">
        <v>5065.75</v>
      </c>
      <c r="P257" s="482">
        <v>5065.75</v>
      </c>
      <c r="Q257" s="482">
        <v>0</v>
      </c>
    </row>
    <row r="258" spans="1:17" s="459" customFormat="1" ht="15.75" customHeight="1" x14ac:dyDescent="0.2">
      <c r="A258" s="484">
        <f t="shared" si="9"/>
        <v>250</v>
      </c>
      <c r="B258" s="484" t="s">
        <v>222</v>
      </c>
      <c r="C258" s="516" t="s">
        <v>64</v>
      </c>
      <c r="D258" s="484" t="s">
        <v>352</v>
      </c>
      <c r="E258" s="486" t="s">
        <v>158</v>
      </c>
      <c r="F258" s="486" t="s">
        <v>353</v>
      </c>
      <c r="G258" s="510" t="s">
        <v>721</v>
      </c>
      <c r="H258" s="484">
        <v>6</v>
      </c>
      <c r="I258" s="484">
        <v>2</v>
      </c>
      <c r="J258" s="484">
        <v>2</v>
      </c>
      <c r="K258" s="482">
        <v>3524</v>
      </c>
      <c r="L258" s="482">
        <v>3524</v>
      </c>
      <c r="M258" s="482">
        <v>0</v>
      </c>
      <c r="N258" s="484">
        <v>0</v>
      </c>
      <c r="O258" s="482">
        <v>0</v>
      </c>
      <c r="P258" s="482">
        <v>0</v>
      </c>
      <c r="Q258" s="482">
        <v>0</v>
      </c>
    </row>
    <row r="259" spans="1:17" s="459" customFormat="1" ht="15.75" customHeight="1" x14ac:dyDescent="0.2">
      <c r="A259" s="484">
        <f t="shared" si="9"/>
        <v>251</v>
      </c>
      <c r="B259" s="484" t="s">
        <v>232</v>
      </c>
      <c r="C259" s="516" t="s">
        <v>62</v>
      </c>
      <c r="D259" s="484"/>
      <c r="E259" s="486" t="s">
        <v>74</v>
      </c>
      <c r="F259" s="486" t="s">
        <v>722</v>
      </c>
      <c r="G259" s="510" t="s">
        <v>721</v>
      </c>
      <c r="H259" s="484">
        <v>2</v>
      </c>
      <c r="I259" s="484">
        <v>0</v>
      </c>
      <c r="J259" s="484">
        <v>0</v>
      </c>
      <c r="K259" s="482">
        <v>0</v>
      </c>
      <c r="L259" s="482">
        <v>0</v>
      </c>
      <c r="M259" s="482">
        <v>0</v>
      </c>
      <c r="N259" s="484">
        <v>0</v>
      </c>
      <c r="O259" s="482">
        <v>0</v>
      </c>
      <c r="P259" s="482">
        <v>0</v>
      </c>
      <c r="Q259" s="482">
        <v>0</v>
      </c>
    </row>
    <row r="260" spans="1:17" s="459" customFormat="1" ht="15.75" customHeight="1" x14ac:dyDescent="0.2">
      <c r="A260" s="484">
        <f t="shared" si="9"/>
        <v>252</v>
      </c>
      <c r="B260" s="484" t="s">
        <v>238</v>
      </c>
      <c r="C260" s="516" t="s">
        <v>62</v>
      </c>
      <c r="D260" s="484"/>
      <c r="E260" s="486" t="s">
        <v>158</v>
      </c>
      <c r="F260" s="486" t="s">
        <v>354</v>
      </c>
      <c r="G260" s="510" t="s">
        <v>721</v>
      </c>
      <c r="H260" s="484">
        <v>9</v>
      </c>
      <c r="I260" s="484">
        <v>6</v>
      </c>
      <c r="J260" s="484">
        <v>6</v>
      </c>
      <c r="K260" s="482">
        <v>8060.55</v>
      </c>
      <c r="L260" s="482">
        <v>8060.55</v>
      </c>
      <c r="M260" s="482">
        <v>0</v>
      </c>
      <c r="N260" s="484">
        <v>0</v>
      </c>
      <c r="O260" s="482">
        <v>0</v>
      </c>
      <c r="P260" s="482">
        <v>0</v>
      </c>
      <c r="Q260" s="482">
        <v>0</v>
      </c>
    </row>
    <row r="261" spans="1:17" s="459" customFormat="1" ht="15.75" customHeight="1" x14ac:dyDescent="0.2">
      <c r="A261" s="484">
        <f t="shared" si="9"/>
        <v>253</v>
      </c>
      <c r="B261" s="484" t="s">
        <v>355</v>
      </c>
      <c r="C261" s="516" t="s">
        <v>62</v>
      </c>
      <c r="D261" s="484"/>
      <c r="E261" s="486" t="s">
        <v>158</v>
      </c>
      <c r="F261" s="486" t="s">
        <v>356</v>
      </c>
      <c r="G261" s="510" t="s">
        <v>721</v>
      </c>
      <c r="H261" s="484">
        <v>7</v>
      </c>
      <c r="I261" s="484">
        <v>3</v>
      </c>
      <c r="J261" s="484">
        <v>3</v>
      </c>
      <c r="K261" s="482">
        <v>3971.2</v>
      </c>
      <c r="L261" s="482">
        <v>3971.2</v>
      </c>
      <c r="M261" s="482">
        <v>0</v>
      </c>
      <c r="N261" s="484">
        <v>0</v>
      </c>
      <c r="O261" s="482">
        <v>0</v>
      </c>
      <c r="P261" s="482">
        <v>0</v>
      </c>
      <c r="Q261" s="482">
        <v>0</v>
      </c>
    </row>
    <row r="262" spans="1:17" s="459" customFormat="1" ht="15.75" customHeight="1" x14ac:dyDescent="0.2">
      <c r="A262" s="484">
        <f t="shared" si="9"/>
        <v>254</v>
      </c>
      <c r="B262" s="484" t="s">
        <v>357</v>
      </c>
      <c r="C262" s="516" t="s">
        <v>64</v>
      </c>
      <c r="D262" s="534" t="s">
        <v>358</v>
      </c>
      <c r="E262" s="486" t="s">
        <v>158</v>
      </c>
      <c r="F262" s="486" t="s">
        <v>507</v>
      </c>
      <c r="G262" s="510" t="s">
        <v>721</v>
      </c>
      <c r="H262" s="484">
        <v>3</v>
      </c>
      <c r="I262" s="484">
        <v>2</v>
      </c>
      <c r="J262" s="484">
        <v>2</v>
      </c>
      <c r="K262" s="482">
        <v>3129.7</v>
      </c>
      <c r="L262" s="482">
        <v>3129.7</v>
      </c>
      <c r="M262" s="482">
        <v>0</v>
      </c>
      <c r="N262" s="484">
        <v>0</v>
      </c>
      <c r="O262" s="482">
        <v>0</v>
      </c>
      <c r="P262" s="482">
        <v>0</v>
      </c>
      <c r="Q262" s="482">
        <v>0</v>
      </c>
    </row>
    <row r="263" spans="1:17" s="459" customFormat="1" ht="15.75" customHeight="1" x14ac:dyDescent="0.2">
      <c r="A263" s="484">
        <f t="shared" si="9"/>
        <v>255</v>
      </c>
      <c r="B263" s="484" t="s">
        <v>36</v>
      </c>
      <c r="C263" s="516" t="s">
        <v>62</v>
      </c>
      <c r="D263" s="484"/>
      <c r="E263" s="486" t="s">
        <v>74</v>
      </c>
      <c r="F263" s="486" t="s">
        <v>630</v>
      </c>
      <c r="G263" s="510" t="s">
        <v>721</v>
      </c>
      <c r="H263" s="484">
        <v>2</v>
      </c>
      <c r="I263" s="484">
        <v>1</v>
      </c>
      <c r="J263" s="484">
        <v>1</v>
      </c>
      <c r="K263" s="482">
        <v>552.29999999999995</v>
      </c>
      <c r="L263" s="482">
        <v>552.29999999999995</v>
      </c>
      <c r="M263" s="482">
        <v>0</v>
      </c>
      <c r="N263" s="484">
        <v>0</v>
      </c>
      <c r="O263" s="482">
        <v>0</v>
      </c>
      <c r="P263" s="482">
        <v>0</v>
      </c>
      <c r="Q263" s="482">
        <v>0</v>
      </c>
    </row>
    <row r="264" spans="1:17" s="459" customFormat="1" ht="15.75" customHeight="1" x14ac:dyDescent="0.2">
      <c r="A264" s="484">
        <f t="shared" si="9"/>
        <v>256</v>
      </c>
      <c r="B264" s="484" t="s">
        <v>359</v>
      </c>
      <c r="C264" s="516" t="s">
        <v>62</v>
      </c>
      <c r="D264" s="484"/>
      <c r="E264" s="486" t="s">
        <v>158</v>
      </c>
      <c r="F264" s="486" t="s">
        <v>360</v>
      </c>
      <c r="G264" s="510" t="s">
        <v>721</v>
      </c>
      <c r="H264" s="484">
        <v>5</v>
      </c>
      <c r="I264" s="484">
        <v>5</v>
      </c>
      <c r="J264" s="484">
        <v>5</v>
      </c>
      <c r="K264" s="482">
        <v>4933.6000000000004</v>
      </c>
      <c r="L264" s="482">
        <v>4933.6000000000004</v>
      </c>
      <c r="M264" s="482">
        <v>0</v>
      </c>
      <c r="N264" s="484">
        <v>0</v>
      </c>
      <c r="O264" s="482">
        <v>0</v>
      </c>
      <c r="P264" s="482">
        <v>0</v>
      </c>
      <c r="Q264" s="482">
        <v>0</v>
      </c>
    </row>
    <row r="265" spans="1:17" s="459" customFormat="1" ht="15.75" customHeight="1" x14ac:dyDescent="0.2">
      <c r="A265" s="484">
        <f t="shared" si="9"/>
        <v>257</v>
      </c>
      <c r="B265" s="484" t="s">
        <v>118</v>
      </c>
      <c r="C265" s="516" t="s">
        <v>62</v>
      </c>
      <c r="D265" s="484"/>
      <c r="E265" s="486" t="s">
        <v>675</v>
      </c>
      <c r="F265" s="486" t="s">
        <v>361</v>
      </c>
      <c r="G265" s="510" t="s">
        <v>721</v>
      </c>
      <c r="H265" s="484">
        <v>1</v>
      </c>
      <c r="I265" s="484">
        <v>1</v>
      </c>
      <c r="J265" s="484">
        <v>1</v>
      </c>
      <c r="K265" s="482">
        <v>1012.55</v>
      </c>
      <c r="L265" s="482">
        <v>1012.55</v>
      </c>
      <c r="M265" s="482">
        <v>0</v>
      </c>
      <c r="N265" s="484">
        <v>0</v>
      </c>
      <c r="O265" s="482">
        <v>0</v>
      </c>
      <c r="P265" s="482">
        <v>0</v>
      </c>
      <c r="Q265" s="482">
        <v>0</v>
      </c>
    </row>
    <row r="266" spans="1:17" s="459" customFormat="1" ht="15.75" customHeight="1" x14ac:dyDescent="0.2">
      <c r="A266" s="484">
        <f t="shared" si="9"/>
        <v>258</v>
      </c>
      <c r="B266" s="484" t="s">
        <v>246</v>
      </c>
      <c r="C266" s="516" t="s">
        <v>62</v>
      </c>
      <c r="D266" s="484"/>
      <c r="E266" s="486" t="s">
        <v>158</v>
      </c>
      <c r="F266" s="486" t="s">
        <v>362</v>
      </c>
      <c r="G266" s="510" t="s">
        <v>721</v>
      </c>
      <c r="H266" s="484">
        <v>5</v>
      </c>
      <c r="I266" s="484">
        <v>3</v>
      </c>
      <c r="J266" s="484">
        <v>3</v>
      </c>
      <c r="K266" s="482">
        <v>2522.1</v>
      </c>
      <c r="L266" s="482">
        <v>2522.1</v>
      </c>
      <c r="M266" s="482">
        <v>0</v>
      </c>
      <c r="N266" s="484">
        <v>0</v>
      </c>
      <c r="O266" s="482">
        <v>0</v>
      </c>
      <c r="P266" s="482">
        <v>0</v>
      </c>
      <c r="Q266" s="482">
        <v>0</v>
      </c>
    </row>
    <row r="267" spans="1:17" s="459" customFormat="1" ht="15.75" customHeight="1" x14ac:dyDescent="0.2">
      <c r="A267" s="484">
        <f t="shared" ref="A267:A301" si="10">A266+1</f>
        <v>259</v>
      </c>
      <c r="B267" s="484" t="s">
        <v>643</v>
      </c>
      <c r="C267" s="516" t="s">
        <v>62</v>
      </c>
      <c r="D267" s="484"/>
      <c r="E267" s="486" t="s">
        <v>74</v>
      </c>
      <c r="F267" s="486" t="s">
        <v>644</v>
      </c>
      <c r="G267" s="510" t="s">
        <v>721</v>
      </c>
      <c r="H267" s="484">
        <v>2</v>
      </c>
      <c r="I267" s="484">
        <v>0</v>
      </c>
      <c r="J267" s="484">
        <v>0</v>
      </c>
      <c r="K267" s="482">
        <v>0</v>
      </c>
      <c r="L267" s="482">
        <v>0</v>
      </c>
      <c r="M267" s="482">
        <v>0</v>
      </c>
      <c r="N267" s="484">
        <v>0</v>
      </c>
      <c r="O267" s="482">
        <v>0</v>
      </c>
      <c r="P267" s="482">
        <v>0</v>
      </c>
      <c r="Q267" s="482">
        <v>0</v>
      </c>
    </row>
    <row r="268" spans="1:17" s="459" customFormat="1" ht="15.75" customHeight="1" x14ac:dyDescent="0.2">
      <c r="A268" s="484">
        <f t="shared" si="10"/>
        <v>260</v>
      </c>
      <c r="B268" s="484" t="s">
        <v>43</v>
      </c>
      <c r="C268" s="516" t="s">
        <v>62</v>
      </c>
      <c r="D268" s="484"/>
      <c r="E268" s="486" t="s">
        <v>74</v>
      </c>
      <c r="F268" s="486" t="s">
        <v>363</v>
      </c>
      <c r="G268" s="510" t="s">
        <v>721</v>
      </c>
      <c r="H268" s="484">
        <v>4</v>
      </c>
      <c r="I268" s="484">
        <v>1</v>
      </c>
      <c r="J268" s="484">
        <v>1</v>
      </c>
      <c r="K268" s="482">
        <v>660.75</v>
      </c>
      <c r="L268" s="482">
        <v>660.75</v>
      </c>
      <c r="M268" s="482">
        <v>0</v>
      </c>
      <c r="N268" s="484">
        <v>0</v>
      </c>
      <c r="O268" s="482">
        <v>0</v>
      </c>
      <c r="P268" s="482">
        <v>0</v>
      </c>
      <c r="Q268" s="482">
        <v>0</v>
      </c>
    </row>
    <row r="269" spans="1:17" s="459" customFormat="1" ht="15.75" customHeight="1" x14ac:dyDescent="0.2">
      <c r="A269" s="484">
        <f t="shared" si="10"/>
        <v>261</v>
      </c>
      <c r="B269" s="484" t="s">
        <v>364</v>
      </c>
      <c r="C269" s="516" t="s">
        <v>62</v>
      </c>
      <c r="D269" s="484"/>
      <c r="E269" s="486" t="s">
        <v>74</v>
      </c>
      <c r="F269" s="486" t="s">
        <v>365</v>
      </c>
      <c r="G269" s="510" t="s">
        <v>721</v>
      </c>
      <c r="H269" s="484">
        <v>8</v>
      </c>
      <c r="I269" s="484">
        <v>3</v>
      </c>
      <c r="J269" s="484">
        <v>3</v>
      </c>
      <c r="K269" s="482">
        <v>7069.3</v>
      </c>
      <c r="L269" s="482">
        <v>7069.3</v>
      </c>
      <c r="M269" s="482">
        <v>0</v>
      </c>
      <c r="N269" s="484">
        <v>3</v>
      </c>
      <c r="O269" s="482">
        <v>9692.9599999999991</v>
      </c>
      <c r="P269" s="482">
        <v>9692.9599999999991</v>
      </c>
      <c r="Q269" s="482">
        <v>0</v>
      </c>
    </row>
    <row r="270" spans="1:17" s="459" customFormat="1" ht="15.75" customHeight="1" x14ac:dyDescent="0.2">
      <c r="A270" s="484">
        <f t="shared" si="10"/>
        <v>262</v>
      </c>
      <c r="B270" s="484" t="s">
        <v>46</v>
      </c>
      <c r="C270" s="516" t="s">
        <v>62</v>
      </c>
      <c r="D270" s="484"/>
      <c r="E270" s="486" t="s">
        <v>678</v>
      </c>
      <c r="F270" s="486" t="s">
        <v>367</v>
      </c>
      <c r="G270" s="510" t="s">
        <v>721</v>
      </c>
      <c r="H270" s="484">
        <v>0</v>
      </c>
      <c r="I270" s="484">
        <v>0</v>
      </c>
      <c r="J270" s="484">
        <v>0</v>
      </c>
      <c r="K270" s="482">
        <v>0</v>
      </c>
      <c r="L270" s="482">
        <v>0</v>
      </c>
      <c r="M270" s="482">
        <v>0</v>
      </c>
      <c r="N270" s="484">
        <v>2</v>
      </c>
      <c r="O270" s="482">
        <v>4669.3</v>
      </c>
      <c r="P270" s="482">
        <v>4669.3</v>
      </c>
      <c r="Q270" s="482">
        <v>0</v>
      </c>
    </row>
    <row r="271" spans="1:17" s="459" customFormat="1" ht="15.75" customHeight="1" x14ac:dyDescent="0.2">
      <c r="A271" s="484">
        <f t="shared" si="10"/>
        <v>263</v>
      </c>
      <c r="B271" s="484" t="s">
        <v>270</v>
      </c>
      <c r="C271" s="516" t="s">
        <v>62</v>
      </c>
      <c r="D271" s="484"/>
      <c r="E271" s="486" t="s">
        <v>74</v>
      </c>
      <c r="F271" s="486" t="s">
        <v>539</v>
      </c>
      <c r="G271" s="510" t="s">
        <v>721</v>
      </c>
      <c r="H271" s="484">
        <v>3</v>
      </c>
      <c r="I271" s="484">
        <v>1</v>
      </c>
      <c r="J271" s="484">
        <v>1</v>
      </c>
      <c r="K271" s="482">
        <v>1012.55</v>
      </c>
      <c r="L271" s="482">
        <v>1012.55</v>
      </c>
      <c r="M271" s="482">
        <v>0</v>
      </c>
      <c r="N271" s="484">
        <v>0</v>
      </c>
      <c r="O271" s="482">
        <v>0</v>
      </c>
      <c r="P271" s="482">
        <v>0</v>
      </c>
      <c r="Q271" s="482">
        <v>0</v>
      </c>
    </row>
    <row r="272" spans="1:17" s="459" customFormat="1" ht="15.75" customHeight="1" x14ac:dyDescent="0.2">
      <c r="A272" s="484">
        <f t="shared" si="10"/>
        <v>264</v>
      </c>
      <c r="B272" s="484" t="s">
        <v>621</v>
      </c>
      <c r="C272" s="516" t="s">
        <v>62</v>
      </c>
      <c r="D272" s="484"/>
      <c r="E272" s="486" t="s">
        <v>74</v>
      </c>
      <c r="F272" s="486" t="s">
        <v>622</v>
      </c>
      <c r="G272" s="510" t="s">
        <v>721</v>
      </c>
      <c r="H272" s="484">
        <v>5</v>
      </c>
      <c r="I272" s="484">
        <v>1</v>
      </c>
      <c r="J272" s="484">
        <v>1</v>
      </c>
      <c r="K272" s="482">
        <v>1012.55</v>
      </c>
      <c r="L272" s="482">
        <v>1012.55</v>
      </c>
      <c r="M272" s="482">
        <v>0</v>
      </c>
      <c r="N272" s="484">
        <v>0</v>
      </c>
      <c r="O272" s="482">
        <v>0</v>
      </c>
      <c r="P272" s="482">
        <v>0</v>
      </c>
      <c r="Q272" s="482">
        <v>0</v>
      </c>
    </row>
    <row r="273" spans="1:17" s="459" customFormat="1" ht="15.75" customHeight="1" x14ac:dyDescent="0.2">
      <c r="A273" s="484">
        <f t="shared" si="10"/>
        <v>265</v>
      </c>
      <c r="B273" s="484" t="s">
        <v>723</v>
      </c>
      <c r="C273" s="516" t="s">
        <v>62</v>
      </c>
      <c r="D273" s="484"/>
      <c r="E273" s="486" t="s">
        <v>74</v>
      </c>
      <c r="F273" s="486" t="s">
        <v>724</v>
      </c>
      <c r="G273" s="510" t="s">
        <v>721</v>
      </c>
      <c r="H273" s="484">
        <v>2</v>
      </c>
      <c r="I273" s="484">
        <v>0</v>
      </c>
      <c r="J273" s="484">
        <v>0</v>
      </c>
      <c r="K273" s="482">
        <v>0</v>
      </c>
      <c r="L273" s="482">
        <v>0</v>
      </c>
      <c r="M273" s="482">
        <v>0</v>
      </c>
      <c r="N273" s="484">
        <v>0</v>
      </c>
      <c r="O273" s="482">
        <v>0</v>
      </c>
      <c r="P273" s="482">
        <v>0</v>
      </c>
      <c r="Q273" s="482">
        <v>0</v>
      </c>
    </row>
    <row r="274" spans="1:17" s="459" customFormat="1" ht="15.75" customHeight="1" x14ac:dyDescent="0.2">
      <c r="A274" s="484">
        <f t="shared" si="10"/>
        <v>266</v>
      </c>
      <c r="B274" s="484" t="s">
        <v>96</v>
      </c>
      <c r="C274" s="516" t="s">
        <v>62</v>
      </c>
      <c r="D274" s="484"/>
      <c r="E274" s="486" t="s">
        <v>772</v>
      </c>
      <c r="F274" s="486" t="s">
        <v>540</v>
      </c>
      <c r="G274" s="510" t="s">
        <v>721</v>
      </c>
      <c r="H274" s="484">
        <v>1</v>
      </c>
      <c r="I274" s="484">
        <v>0</v>
      </c>
      <c r="J274" s="484">
        <v>0</v>
      </c>
      <c r="K274" s="482">
        <v>0</v>
      </c>
      <c r="L274" s="482">
        <v>0</v>
      </c>
      <c r="M274" s="482">
        <v>0</v>
      </c>
      <c r="N274" s="484">
        <v>1</v>
      </c>
      <c r="O274" s="482">
        <v>0</v>
      </c>
      <c r="P274" s="482">
        <v>0</v>
      </c>
      <c r="Q274" s="482">
        <v>0</v>
      </c>
    </row>
    <row r="275" spans="1:17" s="459" customFormat="1" ht="15.75" customHeight="1" x14ac:dyDescent="0.2">
      <c r="A275" s="484">
        <f t="shared" si="10"/>
        <v>267</v>
      </c>
      <c r="B275" s="484" t="s">
        <v>124</v>
      </c>
      <c r="C275" s="516" t="s">
        <v>62</v>
      </c>
      <c r="D275" s="484"/>
      <c r="E275" s="486" t="s">
        <v>773</v>
      </c>
      <c r="F275" s="486" t="s">
        <v>368</v>
      </c>
      <c r="G275" s="510" t="s">
        <v>721</v>
      </c>
      <c r="H275" s="484">
        <v>27</v>
      </c>
      <c r="I275" s="484">
        <v>19</v>
      </c>
      <c r="J275" s="484">
        <v>19</v>
      </c>
      <c r="K275" s="482">
        <v>23114.5</v>
      </c>
      <c r="L275" s="482">
        <v>17959.7</v>
      </c>
      <c r="M275" s="482">
        <v>5154.8</v>
      </c>
      <c r="N275" s="484">
        <v>8</v>
      </c>
      <c r="O275" s="482">
        <v>4753.3999999999996</v>
      </c>
      <c r="P275" s="482">
        <v>4753.3999999999996</v>
      </c>
      <c r="Q275" s="482">
        <v>0</v>
      </c>
    </row>
    <row r="276" spans="1:17" s="459" customFormat="1" ht="15.75" customHeight="1" x14ac:dyDescent="0.2">
      <c r="A276" s="484">
        <f t="shared" si="10"/>
        <v>268</v>
      </c>
      <c r="B276" s="484" t="s">
        <v>51</v>
      </c>
      <c r="C276" s="516" t="s">
        <v>62</v>
      </c>
      <c r="D276" s="484"/>
      <c r="E276" s="486" t="s">
        <v>74</v>
      </c>
      <c r="F276" s="486" t="s">
        <v>369</v>
      </c>
      <c r="G276" s="510" t="s">
        <v>721</v>
      </c>
      <c r="H276" s="484">
        <v>0</v>
      </c>
      <c r="I276" s="484">
        <v>0</v>
      </c>
      <c r="J276" s="484">
        <v>0</v>
      </c>
      <c r="K276" s="482">
        <v>0</v>
      </c>
      <c r="L276" s="482">
        <v>0</v>
      </c>
      <c r="M276" s="482">
        <v>0</v>
      </c>
      <c r="N276" s="484">
        <v>1</v>
      </c>
      <c r="O276" s="482">
        <v>2290.6</v>
      </c>
      <c r="P276" s="482">
        <v>2290.6</v>
      </c>
      <c r="Q276" s="482">
        <v>0</v>
      </c>
    </row>
    <row r="277" spans="1:17" s="459" customFormat="1" ht="15.75" customHeight="1" x14ac:dyDescent="0.2">
      <c r="A277" s="484">
        <f t="shared" si="10"/>
        <v>269</v>
      </c>
      <c r="B277" s="484" t="s">
        <v>286</v>
      </c>
      <c r="C277" s="516" t="s">
        <v>62</v>
      </c>
      <c r="D277" s="484"/>
      <c r="E277" s="486" t="s">
        <v>74</v>
      </c>
      <c r="F277" s="486" t="s">
        <v>476</v>
      </c>
      <c r="G277" s="510" t="s">
        <v>721</v>
      </c>
      <c r="H277" s="484">
        <v>8</v>
      </c>
      <c r="I277" s="484">
        <v>4</v>
      </c>
      <c r="J277" s="484">
        <v>4</v>
      </c>
      <c r="K277" s="482">
        <v>3195.3</v>
      </c>
      <c r="L277" s="482">
        <v>3195.3</v>
      </c>
      <c r="M277" s="482">
        <v>0</v>
      </c>
      <c r="N277" s="484">
        <v>0</v>
      </c>
      <c r="O277" s="482">
        <v>0</v>
      </c>
      <c r="P277" s="482">
        <v>0</v>
      </c>
      <c r="Q277" s="482">
        <v>0</v>
      </c>
    </row>
    <row r="278" spans="1:17" s="459" customFormat="1" ht="15.75" customHeight="1" x14ac:dyDescent="0.2">
      <c r="A278" s="484">
        <f t="shared" si="10"/>
        <v>270</v>
      </c>
      <c r="B278" s="484" t="s">
        <v>290</v>
      </c>
      <c r="C278" s="516" t="s">
        <v>62</v>
      </c>
      <c r="D278" s="484"/>
      <c r="E278" s="486" t="s">
        <v>74</v>
      </c>
      <c r="F278" s="486" t="s">
        <v>372</v>
      </c>
      <c r="G278" s="510" t="s">
        <v>721</v>
      </c>
      <c r="H278" s="484">
        <v>9</v>
      </c>
      <c r="I278" s="484">
        <v>8</v>
      </c>
      <c r="J278" s="484">
        <v>8</v>
      </c>
      <c r="K278" s="482">
        <v>6532.8</v>
      </c>
      <c r="L278" s="482">
        <v>6532.8</v>
      </c>
      <c r="M278" s="482">
        <v>0</v>
      </c>
      <c r="N278" s="484">
        <v>0</v>
      </c>
      <c r="O278" s="482">
        <v>0</v>
      </c>
      <c r="P278" s="482">
        <v>0</v>
      </c>
      <c r="Q278" s="482">
        <v>0</v>
      </c>
    </row>
    <row r="279" spans="1:17" s="459" customFormat="1" ht="15.75" customHeight="1" x14ac:dyDescent="0.2">
      <c r="A279" s="484">
        <f t="shared" si="10"/>
        <v>271</v>
      </c>
      <c r="B279" s="484" t="s">
        <v>134</v>
      </c>
      <c r="C279" s="516" t="s">
        <v>62</v>
      </c>
      <c r="D279" s="484"/>
      <c r="E279" s="486" t="s">
        <v>74</v>
      </c>
      <c r="F279" s="486" t="s">
        <v>373</v>
      </c>
      <c r="G279" s="510" t="s">
        <v>721</v>
      </c>
      <c r="H279" s="484">
        <v>3</v>
      </c>
      <c r="I279" s="484">
        <v>1</v>
      </c>
      <c r="J279" s="484">
        <v>1</v>
      </c>
      <c r="K279" s="482">
        <v>1938.2</v>
      </c>
      <c r="L279" s="482">
        <v>1938.2</v>
      </c>
      <c r="M279" s="482">
        <v>0</v>
      </c>
      <c r="N279" s="484">
        <v>2</v>
      </c>
      <c r="O279" s="482">
        <v>2643</v>
      </c>
      <c r="P279" s="482">
        <v>2643</v>
      </c>
      <c r="Q279" s="482">
        <v>0</v>
      </c>
    </row>
    <row r="280" spans="1:17" s="459" customFormat="1" ht="15.75" customHeight="1" x14ac:dyDescent="0.2">
      <c r="A280" s="484">
        <f t="shared" si="10"/>
        <v>272</v>
      </c>
      <c r="B280" s="484" t="s">
        <v>135</v>
      </c>
      <c r="C280" s="516" t="s">
        <v>62</v>
      </c>
      <c r="D280" s="484"/>
      <c r="E280" s="486" t="s">
        <v>74</v>
      </c>
      <c r="F280" s="486" t="s">
        <v>374</v>
      </c>
      <c r="G280" s="510" t="s">
        <v>721</v>
      </c>
      <c r="H280" s="484">
        <v>21</v>
      </c>
      <c r="I280" s="484">
        <v>7</v>
      </c>
      <c r="J280" s="484">
        <v>7</v>
      </c>
      <c r="K280" s="482">
        <v>11764.9</v>
      </c>
      <c r="L280" s="482">
        <v>9376.32</v>
      </c>
      <c r="M280" s="482">
        <v>2388.58</v>
      </c>
      <c r="N280" s="484">
        <v>94</v>
      </c>
      <c r="O280" s="482">
        <v>48904.95</v>
      </c>
      <c r="P280" s="482">
        <v>46103.199999999997</v>
      </c>
      <c r="Q280" s="482">
        <v>2801.75</v>
      </c>
    </row>
    <row r="281" spans="1:17" s="459" customFormat="1" ht="15.75" customHeight="1" x14ac:dyDescent="0.2">
      <c r="A281" s="484">
        <f t="shared" si="10"/>
        <v>273</v>
      </c>
      <c r="B281" s="484" t="s">
        <v>508</v>
      </c>
      <c r="C281" s="516" t="s">
        <v>64</v>
      </c>
      <c r="D281" s="484" t="s">
        <v>509</v>
      </c>
      <c r="E281" s="486" t="s">
        <v>74</v>
      </c>
      <c r="F281" s="486" t="s">
        <v>510</v>
      </c>
      <c r="G281" s="510" t="s">
        <v>721</v>
      </c>
      <c r="H281" s="484">
        <v>3</v>
      </c>
      <c r="I281" s="484">
        <v>2</v>
      </c>
      <c r="J281" s="484">
        <v>2</v>
      </c>
      <c r="K281" s="482">
        <v>4418.3999999999996</v>
      </c>
      <c r="L281" s="482">
        <v>4418.3999999999996</v>
      </c>
      <c r="M281" s="482">
        <v>0</v>
      </c>
      <c r="N281" s="484">
        <v>0</v>
      </c>
      <c r="O281" s="482">
        <v>0</v>
      </c>
      <c r="P281" s="482">
        <v>0</v>
      </c>
      <c r="Q281" s="482">
        <v>0</v>
      </c>
    </row>
    <row r="282" spans="1:17" s="459" customFormat="1" ht="15.75" customHeight="1" x14ac:dyDescent="0.2">
      <c r="A282" s="484">
        <f t="shared" si="10"/>
        <v>274</v>
      </c>
      <c r="B282" s="484" t="s">
        <v>299</v>
      </c>
      <c r="C282" s="516" t="s">
        <v>62</v>
      </c>
      <c r="D282" s="484"/>
      <c r="E282" s="486" t="s">
        <v>158</v>
      </c>
      <c r="F282" s="486" t="s">
        <v>375</v>
      </c>
      <c r="G282" s="510" t="s">
        <v>721</v>
      </c>
      <c r="H282" s="484">
        <v>3</v>
      </c>
      <c r="I282" s="484">
        <v>1</v>
      </c>
      <c r="J282" s="484">
        <v>1</v>
      </c>
      <c r="K282" s="482">
        <v>704.8</v>
      </c>
      <c r="L282" s="482">
        <v>704.8</v>
      </c>
      <c r="M282" s="482">
        <v>0</v>
      </c>
      <c r="N282" s="484">
        <v>0</v>
      </c>
      <c r="O282" s="482">
        <v>0</v>
      </c>
      <c r="P282" s="482">
        <v>0</v>
      </c>
      <c r="Q282" s="482">
        <v>0</v>
      </c>
    </row>
    <row r="283" spans="1:17" s="459" customFormat="1" ht="15.75" customHeight="1" x14ac:dyDescent="0.2">
      <c r="A283" s="484">
        <f t="shared" si="10"/>
        <v>275</v>
      </c>
      <c r="B283" s="484" t="s">
        <v>302</v>
      </c>
      <c r="C283" s="516" t="s">
        <v>62</v>
      </c>
      <c r="D283" s="484"/>
      <c r="E283" s="486" t="s">
        <v>74</v>
      </c>
      <c r="F283" s="486" t="s">
        <v>725</v>
      </c>
      <c r="G283" s="510" t="s">
        <v>721</v>
      </c>
      <c r="H283" s="484">
        <v>1</v>
      </c>
      <c r="I283" s="484">
        <v>0</v>
      </c>
      <c r="J283" s="484">
        <v>0</v>
      </c>
      <c r="K283" s="482">
        <v>0</v>
      </c>
      <c r="L283" s="482">
        <v>0</v>
      </c>
      <c r="M283" s="482">
        <v>0</v>
      </c>
      <c r="N283" s="484">
        <v>0</v>
      </c>
      <c r="O283" s="482">
        <v>0</v>
      </c>
      <c r="P283" s="482">
        <v>0</v>
      </c>
      <c r="Q283" s="482">
        <v>0</v>
      </c>
    </row>
    <row r="284" spans="1:17" s="459" customFormat="1" ht="15.75" customHeight="1" x14ac:dyDescent="0.2">
      <c r="A284" s="484">
        <f t="shared" si="10"/>
        <v>276</v>
      </c>
      <c r="B284" s="484" t="s">
        <v>702</v>
      </c>
      <c r="C284" s="516" t="s">
        <v>62</v>
      </c>
      <c r="D284" s="484"/>
      <c r="E284" s="486" t="s">
        <v>74</v>
      </c>
      <c r="F284" s="486" t="s">
        <v>726</v>
      </c>
      <c r="G284" s="510" t="s">
        <v>721</v>
      </c>
      <c r="H284" s="484">
        <v>1</v>
      </c>
      <c r="I284" s="484">
        <v>1</v>
      </c>
      <c r="J284" s="484">
        <v>1</v>
      </c>
      <c r="K284" s="482">
        <v>552.29999999999995</v>
      </c>
      <c r="L284" s="482">
        <v>0</v>
      </c>
      <c r="M284" s="482">
        <v>552.29999999999995</v>
      </c>
      <c r="N284" s="484">
        <v>0</v>
      </c>
      <c r="O284" s="482">
        <v>0</v>
      </c>
      <c r="P284" s="482">
        <v>0</v>
      </c>
      <c r="Q284" s="482">
        <v>0</v>
      </c>
    </row>
    <row r="285" spans="1:17" s="459" customFormat="1" ht="15.75" customHeight="1" x14ac:dyDescent="0.2">
      <c r="A285" s="484">
        <f t="shared" si="10"/>
        <v>277</v>
      </c>
      <c r="B285" s="484" t="s">
        <v>376</v>
      </c>
      <c r="C285" s="516" t="s">
        <v>62</v>
      </c>
      <c r="D285" s="484"/>
      <c r="E285" s="486" t="s">
        <v>74</v>
      </c>
      <c r="F285" s="486" t="s">
        <v>377</v>
      </c>
      <c r="G285" s="510" t="s">
        <v>721</v>
      </c>
      <c r="H285" s="484">
        <v>10</v>
      </c>
      <c r="I285" s="484">
        <v>6</v>
      </c>
      <c r="J285" s="484">
        <v>6</v>
      </c>
      <c r="K285" s="482">
        <v>6722.05</v>
      </c>
      <c r="L285" s="482">
        <v>6722.05</v>
      </c>
      <c r="M285" s="482">
        <v>0</v>
      </c>
      <c r="N285" s="484">
        <v>0</v>
      </c>
      <c r="O285" s="482">
        <v>0</v>
      </c>
      <c r="P285" s="482">
        <v>0</v>
      </c>
      <c r="Q285" s="482">
        <v>0</v>
      </c>
    </row>
    <row r="286" spans="1:17" s="459" customFormat="1" ht="15.75" customHeight="1" x14ac:dyDescent="0.2">
      <c r="A286" s="484">
        <f t="shared" si="10"/>
        <v>278</v>
      </c>
      <c r="B286" s="484" t="s">
        <v>129</v>
      </c>
      <c r="C286" s="516" t="s">
        <v>62</v>
      </c>
      <c r="D286" s="484"/>
      <c r="E286" s="486" t="s">
        <v>74</v>
      </c>
      <c r="F286" s="486" t="s">
        <v>378</v>
      </c>
      <c r="G286" s="510" t="s">
        <v>721</v>
      </c>
      <c r="H286" s="484">
        <v>55</v>
      </c>
      <c r="I286" s="484">
        <v>38</v>
      </c>
      <c r="J286" s="484">
        <v>38</v>
      </c>
      <c r="K286" s="482">
        <v>56334.05</v>
      </c>
      <c r="L286" s="482">
        <v>56334.05</v>
      </c>
      <c r="M286" s="482">
        <v>0</v>
      </c>
      <c r="N286" s="484">
        <v>40</v>
      </c>
      <c r="O286" s="482">
        <v>75401.06</v>
      </c>
      <c r="P286" s="482">
        <v>75401.06</v>
      </c>
      <c r="Q286" s="482">
        <v>0</v>
      </c>
    </row>
    <row r="287" spans="1:17" s="459" customFormat="1" ht="15.75" customHeight="1" x14ac:dyDescent="0.2">
      <c r="A287" s="484">
        <f t="shared" si="10"/>
        <v>279</v>
      </c>
      <c r="B287" s="484" t="s">
        <v>379</v>
      </c>
      <c r="C287" s="516" t="s">
        <v>62</v>
      </c>
      <c r="D287" s="484"/>
      <c r="E287" s="486" t="s">
        <v>158</v>
      </c>
      <c r="F287" s="486" t="s">
        <v>380</v>
      </c>
      <c r="G287" s="510" t="s">
        <v>721</v>
      </c>
      <c r="H287" s="484">
        <v>5</v>
      </c>
      <c r="I287" s="484">
        <v>4</v>
      </c>
      <c r="J287" s="484">
        <v>4</v>
      </c>
      <c r="K287" s="482">
        <v>4131.6499999999996</v>
      </c>
      <c r="L287" s="482">
        <v>1717.35</v>
      </c>
      <c r="M287" s="482">
        <v>2414.3000000000002</v>
      </c>
      <c r="N287" s="484">
        <v>0</v>
      </c>
      <c r="O287" s="482">
        <v>0</v>
      </c>
      <c r="P287" s="482">
        <v>0</v>
      </c>
      <c r="Q287" s="482">
        <v>0</v>
      </c>
    </row>
    <row r="288" spans="1:17" s="459" customFormat="1" ht="15.75" customHeight="1" x14ac:dyDescent="0.2">
      <c r="A288" s="484">
        <f t="shared" si="10"/>
        <v>280</v>
      </c>
      <c r="B288" s="484" t="s">
        <v>130</v>
      </c>
      <c r="C288" s="516" t="s">
        <v>62</v>
      </c>
      <c r="D288" s="484"/>
      <c r="E288" s="486" t="s">
        <v>74</v>
      </c>
      <c r="F288" s="486" t="s">
        <v>557</v>
      </c>
      <c r="G288" s="510" t="s">
        <v>721</v>
      </c>
      <c r="H288" s="484">
        <v>2</v>
      </c>
      <c r="I288" s="484">
        <v>0</v>
      </c>
      <c r="J288" s="484">
        <v>0</v>
      </c>
      <c r="K288" s="482">
        <v>0</v>
      </c>
      <c r="L288" s="482">
        <v>0</v>
      </c>
      <c r="M288" s="482">
        <v>0</v>
      </c>
      <c r="N288" s="484">
        <v>2</v>
      </c>
      <c r="O288" s="482">
        <v>3700.2</v>
      </c>
      <c r="P288" s="482">
        <v>3700.2</v>
      </c>
      <c r="Q288" s="482">
        <v>0</v>
      </c>
    </row>
    <row r="289" spans="1:17" s="459" customFormat="1" ht="15.75" customHeight="1" x14ac:dyDescent="0.2">
      <c r="A289" s="484">
        <f t="shared" si="10"/>
        <v>281</v>
      </c>
      <c r="B289" s="484" t="s">
        <v>382</v>
      </c>
      <c r="C289" s="516" t="s">
        <v>62</v>
      </c>
      <c r="D289" s="484"/>
      <c r="E289" s="486" t="s">
        <v>703</v>
      </c>
      <c r="F289" s="486" t="s">
        <v>384</v>
      </c>
      <c r="G289" s="510" t="s">
        <v>721</v>
      </c>
      <c r="H289" s="484">
        <v>1</v>
      </c>
      <c r="I289" s="484">
        <v>1</v>
      </c>
      <c r="J289" s="484">
        <v>1</v>
      </c>
      <c r="K289" s="482">
        <v>704.8</v>
      </c>
      <c r="L289" s="482">
        <v>704.8</v>
      </c>
      <c r="M289" s="482">
        <v>0</v>
      </c>
      <c r="N289" s="484">
        <v>0</v>
      </c>
      <c r="O289" s="482">
        <v>0</v>
      </c>
      <c r="P289" s="482">
        <v>0</v>
      </c>
      <c r="Q289" s="482">
        <v>0</v>
      </c>
    </row>
    <row r="290" spans="1:17" s="459" customFormat="1" ht="15.75" customHeight="1" x14ac:dyDescent="0.2">
      <c r="A290" s="484">
        <f t="shared" si="10"/>
        <v>282</v>
      </c>
      <c r="B290" s="484" t="s">
        <v>385</v>
      </c>
      <c r="C290" s="516" t="s">
        <v>62</v>
      </c>
      <c r="D290" s="484"/>
      <c r="E290" s="486" t="s">
        <v>675</v>
      </c>
      <c r="F290" s="486" t="s">
        <v>386</v>
      </c>
      <c r="G290" s="510" t="s">
        <v>721</v>
      </c>
      <c r="H290" s="484">
        <v>15</v>
      </c>
      <c r="I290" s="484">
        <v>7</v>
      </c>
      <c r="J290" s="484">
        <v>7</v>
      </c>
      <c r="K290" s="482">
        <v>4184.75</v>
      </c>
      <c r="L290" s="482">
        <v>4184.75</v>
      </c>
      <c r="M290" s="482">
        <v>0</v>
      </c>
      <c r="N290" s="484">
        <v>18</v>
      </c>
      <c r="O290" s="482">
        <v>9602.9</v>
      </c>
      <c r="P290" s="482">
        <v>9602.9</v>
      </c>
      <c r="Q290" s="482">
        <v>0</v>
      </c>
    </row>
    <row r="291" spans="1:17" s="459" customFormat="1" ht="15.75" customHeight="1" x14ac:dyDescent="0.2">
      <c r="A291" s="484">
        <f t="shared" si="10"/>
        <v>283</v>
      </c>
      <c r="B291" s="584" t="s">
        <v>19</v>
      </c>
      <c r="C291" s="585" t="s">
        <v>62</v>
      </c>
      <c r="D291" s="289"/>
      <c r="E291" s="490" t="s">
        <v>671</v>
      </c>
      <c r="F291" s="586" t="s">
        <v>394</v>
      </c>
      <c r="G291" s="289" t="s">
        <v>395</v>
      </c>
      <c r="H291" s="289">
        <v>1</v>
      </c>
      <c r="I291" s="289">
        <v>0</v>
      </c>
      <c r="J291" s="491">
        <v>0</v>
      </c>
      <c r="K291" s="587">
        <v>0</v>
      </c>
      <c r="L291" s="587">
        <v>0</v>
      </c>
      <c r="M291" s="482">
        <v>0</v>
      </c>
      <c r="N291" s="371">
        <v>0</v>
      </c>
      <c r="O291" s="492">
        <v>0</v>
      </c>
      <c r="P291" s="492">
        <v>0</v>
      </c>
      <c r="Q291" s="482">
        <v>0</v>
      </c>
    </row>
    <row r="292" spans="1:17" s="459" customFormat="1" ht="15.75" customHeight="1" x14ac:dyDescent="0.2">
      <c r="A292" s="484">
        <f t="shared" si="10"/>
        <v>284</v>
      </c>
      <c r="B292" s="584" t="s">
        <v>90</v>
      </c>
      <c r="C292" s="585" t="s">
        <v>62</v>
      </c>
      <c r="D292" s="584"/>
      <c r="E292" s="490" t="s">
        <v>689</v>
      </c>
      <c r="F292" s="586" t="s">
        <v>396</v>
      </c>
      <c r="G292" s="584" t="s">
        <v>395</v>
      </c>
      <c r="H292" s="584">
        <v>9</v>
      </c>
      <c r="I292" s="584">
        <v>9</v>
      </c>
      <c r="J292" s="584">
        <v>9</v>
      </c>
      <c r="K292" s="587">
        <v>11276.8</v>
      </c>
      <c r="L292" s="587">
        <v>11276.8</v>
      </c>
      <c r="M292" s="482">
        <v>0</v>
      </c>
      <c r="N292" s="584">
        <v>20</v>
      </c>
      <c r="O292" s="587">
        <v>28791.88</v>
      </c>
      <c r="P292" s="587">
        <v>28791.88</v>
      </c>
      <c r="Q292" s="482">
        <v>0</v>
      </c>
    </row>
    <row r="293" spans="1:17" s="459" customFormat="1" ht="15.75" customHeight="1" x14ac:dyDescent="0.2">
      <c r="A293" s="484">
        <f t="shared" si="10"/>
        <v>285</v>
      </c>
      <c r="B293" s="289" t="s">
        <v>133</v>
      </c>
      <c r="C293" s="493" t="s">
        <v>67</v>
      </c>
      <c r="D293" s="484" t="s">
        <v>494</v>
      </c>
      <c r="E293" s="486" t="s">
        <v>158</v>
      </c>
      <c r="F293" s="586" t="s">
        <v>398</v>
      </c>
      <c r="G293" s="584" t="s">
        <v>395</v>
      </c>
      <c r="H293" s="584">
        <v>12</v>
      </c>
      <c r="I293" s="584">
        <v>5</v>
      </c>
      <c r="J293" s="584">
        <v>5</v>
      </c>
      <c r="K293" s="587">
        <v>7688.8</v>
      </c>
      <c r="L293" s="587">
        <v>7688.8</v>
      </c>
      <c r="M293" s="482">
        <v>0</v>
      </c>
      <c r="N293" s="584">
        <v>9</v>
      </c>
      <c r="O293" s="587">
        <v>12473.03</v>
      </c>
      <c r="P293" s="587">
        <v>12473.03</v>
      </c>
      <c r="Q293" s="482">
        <v>0</v>
      </c>
    </row>
    <row r="294" spans="1:17" s="459" customFormat="1" ht="15.75" customHeight="1" x14ac:dyDescent="0.2">
      <c r="A294" s="484">
        <f t="shared" si="10"/>
        <v>286</v>
      </c>
      <c r="B294" s="584" t="s">
        <v>399</v>
      </c>
      <c r="C294" s="585" t="s">
        <v>62</v>
      </c>
      <c r="D294" s="584"/>
      <c r="E294" s="490" t="s">
        <v>694</v>
      </c>
      <c r="F294" s="586" t="s">
        <v>401</v>
      </c>
      <c r="G294" s="584" t="s">
        <v>395</v>
      </c>
      <c r="H294" s="584">
        <v>31</v>
      </c>
      <c r="I294" s="584">
        <v>10</v>
      </c>
      <c r="J294" s="584">
        <v>10</v>
      </c>
      <c r="K294" s="587">
        <v>11834.6</v>
      </c>
      <c r="L294" s="587">
        <v>11834.6</v>
      </c>
      <c r="M294" s="482">
        <v>0</v>
      </c>
      <c r="N294" s="584">
        <v>0</v>
      </c>
      <c r="O294" s="587">
        <v>0</v>
      </c>
      <c r="P294" s="587">
        <v>0</v>
      </c>
      <c r="Q294" s="482">
        <v>0</v>
      </c>
    </row>
    <row r="295" spans="1:17" s="459" customFormat="1" ht="15.75" customHeight="1" x14ac:dyDescent="0.2">
      <c r="A295" s="484">
        <f t="shared" si="10"/>
        <v>287</v>
      </c>
      <c r="B295" s="584" t="s">
        <v>402</v>
      </c>
      <c r="C295" s="585" t="s">
        <v>62</v>
      </c>
      <c r="D295" s="584"/>
      <c r="E295" s="486" t="s">
        <v>158</v>
      </c>
      <c r="F295" s="586" t="s">
        <v>403</v>
      </c>
      <c r="G295" s="584" t="s">
        <v>395</v>
      </c>
      <c r="H295" s="584">
        <v>2</v>
      </c>
      <c r="I295" s="584">
        <v>2</v>
      </c>
      <c r="J295" s="584">
        <v>2</v>
      </c>
      <c r="K295" s="587">
        <v>3815.95</v>
      </c>
      <c r="L295" s="587">
        <v>3815.95</v>
      </c>
      <c r="M295" s="482">
        <v>0</v>
      </c>
      <c r="N295" s="584">
        <v>0</v>
      </c>
      <c r="O295" s="587">
        <v>0</v>
      </c>
      <c r="P295" s="587">
        <v>0</v>
      </c>
      <c r="Q295" s="482">
        <v>0</v>
      </c>
    </row>
    <row r="296" spans="1:17" s="459" customFormat="1" ht="15.75" customHeight="1" x14ac:dyDescent="0.2">
      <c r="A296" s="484">
        <f t="shared" si="10"/>
        <v>288</v>
      </c>
      <c r="B296" s="584" t="s">
        <v>48</v>
      </c>
      <c r="C296" s="585" t="s">
        <v>62</v>
      </c>
      <c r="D296" s="584"/>
      <c r="E296" s="490" t="s">
        <v>671</v>
      </c>
      <c r="F296" s="586" t="s">
        <v>404</v>
      </c>
      <c r="G296" s="584" t="s">
        <v>395</v>
      </c>
      <c r="H296" s="584">
        <v>48</v>
      </c>
      <c r="I296" s="584">
        <v>11</v>
      </c>
      <c r="J296" s="584">
        <v>11</v>
      </c>
      <c r="K296" s="587">
        <v>16179.5</v>
      </c>
      <c r="L296" s="587">
        <v>16179.5</v>
      </c>
      <c r="M296" s="482">
        <v>0</v>
      </c>
      <c r="N296" s="584">
        <v>21</v>
      </c>
      <c r="O296" s="587">
        <v>53288.82</v>
      </c>
      <c r="P296" s="587">
        <v>53288.82</v>
      </c>
      <c r="Q296" s="482">
        <v>0</v>
      </c>
    </row>
    <row r="297" spans="1:17" s="459" customFormat="1" ht="15.75" customHeight="1" x14ac:dyDescent="0.2">
      <c r="A297" s="484">
        <f t="shared" si="10"/>
        <v>289</v>
      </c>
      <c r="B297" s="584" t="s">
        <v>39</v>
      </c>
      <c r="C297" s="585" t="s">
        <v>62</v>
      </c>
      <c r="D297" s="584"/>
      <c r="E297" s="490" t="s">
        <v>694</v>
      </c>
      <c r="F297" s="586" t="s">
        <v>405</v>
      </c>
      <c r="G297" s="584" t="s">
        <v>395</v>
      </c>
      <c r="H297" s="584">
        <v>33</v>
      </c>
      <c r="I297" s="584">
        <v>3</v>
      </c>
      <c r="J297" s="584">
        <v>3</v>
      </c>
      <c r="K297" s="587">
        <v>3866.1</v>
      </c>
      <c r="L297" s="587">
        <v>3866.1</v>
      </c>
      <c r="M297" s="482">
        <v>0</v>
      </c>
      <c r="N297" s="584">
        <v>13</v>
      </c>
      <c r="O297" s="587">
        <v>23040.3</v>
      </c>
      <c r="P297" s="587">
        <v>23040.3</v>
      </c>
      <c r="Q297" s="482">
        <v>0</v>
      </c>
    </row>
    <row r="298" spans="1:17" s="459" customFormat="1" ht="15.75" customHeight="1" x14ac:dyDescent="0.2">
      <c r="A298" s="484">
        <f t="shared" si="10"/>
        <v>290</v>
      </c>
      <c r="B298" s="584" t="s">
        <v>127</v>
      </c>
      <c r="C298" s="585" t="s">
        <v>62</v>
      </c>
      <c r="D298" s="584"/>
      <c r="E298" s="486" t="s">
        <v>158</v>
      </c>
      <c r="F298" s="586" t="s">
        <v>406</v>
      </c>
      <c r="G298" s="584" t="s">
        <v>395</v>
      </c>
      <c r="H298" s="584">
        <v>0</v>
      </c>
      <c r="I298" s="584">
        <v>0</v>
      </c>
      <c r="J298" s="584">
        <v>0</v>
      </c>
      <c r="K298" s="587">
        <v>0</v>
      </c>
      <c r="L298" s="587">
        <v>0</v>
      </c>
      <c r="M298" s="482">
        <v>0</v>
      </c>
      <c r="N298" s="584">
        <v>1</v>
      </c>
      <c r="O298" s="587">
        <v>264.3</v>
      </c>
      <c r="P298" s="587">
        <v>264.3</v>
      </c>
      <c r="Q298" s="482">
        <v>0</v>
      </c>
    </row>
    <row r="299" spans="1:17" s="459" customFormat="1" ht="15.75" customHeight="1" x14ac:dyDescent="0.2">
      <c r="A299" s="484">
        <f t="shared" si="10"/>
        <v>291</v>
      </c>
      <c r="B299" s="584" t="s">
        <v>561</v>
      </c>
      <c r="C299" s="585" t="s">
        <v>62</v>
      </c>
      <c r="D299" s="584"/>
      <c r="E299" s="490" t="s">
        <v>671</v>
      </c>
      <c r="F299" s="586" t="s">
        <v>562</v>
      </c>
      <c r="G299" s="584" t="s">
        <v>395</v>
      </c>
      <c r="H299" s="584">
        <v>31</v>
      </c>
      <c r="I299" s="584">
        <v>0</v>
      </c>
      <c r="J299" s="584">
        <v>0</v>
      </c>
      <c r="K299" s="587">
        <v>0</v>
      </c>
      <c r="L299" s="587">
        <v>0</v>
      </c>
      <c r="M299" s="482">
        <v>0</v>
      </c>
      <c r="N299" s="584">
        <v>0</v>
      </c>
      <c r="O299" s="587">
        <v>0</v>
      </c>
      <c r="P299" s="587">
        <v>0</v>
      </c>
      <c r="Q299" s="482">
        <v>0</v>
      </c>
    </row>
    <row r="300" spans="1:17" s="459" customFormat="1" ht="15.75" customHeight="1" x14ac:dyDescent="0.2">
      <c r="A300" s="484">
        <f t="shared" si="10"/>
        <v>292</v>
      </c>
      <c r="B300" s="584" t="s">
        <v>563</v>
      </c>
      <c r="C300" s="585" t="s">
        <v>62</v>
      </c>
      <c r="D300" s="584"/>
      <c r="E300" s="490" t="s">
        <v>671</v>
      </c>
      <c r="F300" s="586" t="s">
        <v>564</v>
      </c>
      <c r="G300" s="584" t="s">
        <v>395</v>
      </c>
      <c r="H300" s="584">
        <v>36</v>
      </c>
      <c r="I300" s="584">
        <v>0</v>
      </c>
      <c r="J300" s="584">
        <v>1</v>
      </c>
      <c r="K300" s="587">
        <v>2643</v>
      </c>
      <c r="L300" s="587">
        <v>2643</v>
      </c>
      <c r="M300" s="482">
        <v>0</v>
      </c>
      <c r="N300" s="584">
        <v>0</v>
      </c>
      <c r="O300" s="587">
        <v>0</v>
      </c>
      <c r="P300" s="587">
        <v>0</v>
      </c>
      <c r="Q300" s="482">
        <v>0</v>
      </c>
    </row>
    <row r="301" spans="1:17" s="459" customFormat="1" ht="15.75" customHeight="1" x14ac:dyDescent="0.2">
      <c r="A301" s="484">
        <f t="shared" si="10"/>
        <v>293</v>
      </c>
      <c r="B301" s="584" t="s">
        <v>53</v>
      </c>
      <c r="C301" s="585" t="s">
        <v>62</v>
      </c>
      <c r="D301" s="584"/>
      <c r="E301" s="486" t="s">
        <v>158</v>
      </c>
      <c r="F301" s="586" t="s">
        <v>634</v>
      </c>
      <c r="G301" s="584" t="s">
        <v>395</v>
      </c>
      <c r="H301" s="584">
        <v>17</v>
      </c>
      <c r="I301" s="584">
        <v>1</v>
      </c>
      <c r="J301" s="584">
        <v>1</v>
      </c>
      <c r="K301" s="587">
        <v>920.5</v>
      </c>
      <c r="L301" s="587">
        <v>920.5</v>
      </c>
      <c r="M301" s="482">
        <v>0</v>
      </c>
      <c r="N301" s="371">
        <v>0</v>
      </c>
      <c r="O301" s="492">
        <v>0</v>
      </c>
      <c r="P301" s="492">
        <v>0</v>
      </c>
      <c r="Q301" s="482">
        <v>0</v>
      </c>
    </row>
  </sheetData>
  <autoFilter ref="A8:IV301"/>
  <pageMargins left="0.75" right="0.75" top="1" bottom="1" header="0.5" footer="0.5"/>
  <pageSetup paperSize="9" orientation="portrait" verticalDpi="0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R298"/>
  <sheetViews>
    <sheetView topLeftCell="E64" workbookViewId="0">
      <selection activeCell="E45" sqref="E45"/>
    </sheetView>
  </sheetViews>
  <sheetFormatPr defaultRowHeight="12.75" x14ac:dyDescent="0.2"/>
  <cols>
    <col min="1" max="1" width="5" style="459" customWidth="1"/>
    <col min="2" max="2" width="40.7109375" style="459" customWidth="1"/>
    <col min="3" max="3" width="10.140625" style="459" customWidth="1"/>
    <col min="4" max="4" width="41.7109375" style="459" customWidth="1"/>
    <col min="5" max="5" width="34.5703125" style="459" customWidth="1"/>
    <col min="6" max="6" width="20.42578125" style="459" customWidth="1"/>
    <col min="7" max="7" width="36" style="459" customWidth="1"/>
    <col min="8" max="10" width="9.140625" style="459"/>
    <col min="11" max="12" width="9.5703125" style="459" customWidth="1"/>
    <col min="13" max="13" width="9.42578125" style="459" customWidth="1"/>
    <col min="14" max="14" width="9.140625" style="459"/>
    <col min="15" max="16" width="10.5703125" style="459" customWidth="1"/>
    <col min="17" max="17" width="9.42578125" style="459" customWidth="1"/>
    <col min="18" max="256" width="9.140625" style="459"/>
    <col min="257" max="257" width="5" style="459" customWidth="1"/>
    <col min="258" max="258" width="40.7109375" style="459" customWidth="1"/>
    <col min="259" max="259" width="10.140625" style="459" customWidth="1"/>
    <col min="260" max="260" width="41.7109375" style="459" customWidth="1"/>
    <col min="261" max="261" width="34.5703125" style="459" customWidth="1"/>
    <col min="262" max="262" width="20.42578125" style="459" customWidth="1"/>
    <col min="263" max="263" width="36" style="459" customWidth="1"/>
    <col min="264" max="266" width="9.140625" style="459"/>
    <col min="267" max="268" width="9.5703125" style="459" customWidth="1"/>
    <col min="269" max="269" width="9.42578125" style="459" customWidth="1"/>
    <col min="270" max="270" width="9.140625" style="459"/>
    <col min="271" max="272" width="10.5703125" style="459" customWidth="1"/>
    <col min="273" max="273" width="9.42578125" style="459" customWidth="1"/>
    <col min="274" max="512" width="9.140625" style="459"/>
    <col min="513" max="513" width="5" style="459" customWidth="1"/>
    <col min="514" max="514" width="40.7109375" style="459" customWidth="1"/>
    <col min="515" max="515" width="10.140625" style="459" customWidth="1"/>
    <col min="516" max="516" width="41.7109375" style="459" customWidth="1"/>
    <col min="517" max="517" width="34.5703125" style="459" customWidth="1"/>
    <col min="518" max="518" width="20.42578125" style="459" customWidth="1"/>
    <col min="519" max="519" width="36" style="459" customWidth="1"/>
    <col min="520" max="522" width="9.140625" style="459"/>
    <col min="523" max="524" width="9.5703125" style="459" customWidth="1"/>
    <col min="525" max="525" width="9.42578125" style="459" customWidth="1"/>
    <col min="526" max="526" width="9.140625" style="459"/>
    <col min="527" max="528" width="10.5703125" style="459" customWidth="1"/>
    <col min="529" max="529" width="9.42578125" style="459" customWidth="1"/>
    <col min="530" max="768" width="9.140625" style="459"/>
    <col min="769" max="769" width="5" style="459" customWidth="1"/>
    <col min="770" max="770" width="40.7109375" style="459" customWidth="1"/>
    <col min="771" max="771" width="10.140625" style="459" customWidth="1"/>
    <col min="772" max="772" width="41.7109375" style="459" customWidth="1"/>
    <col min="773" max="773" width="34.5703125" style="459" customWidth="1"/>
    <col min="774" max="774" width="20.42578125" style="459" customWidth="1"/>
    <col min="775" max="775" width="36" style="459" customWidth="1"/>
    <col min="776" max="778" width="9.140625" style="459"/>
    <col min="779" max="780" width="9.5703125" style="459" customWidth="1"/>
    <col min="781" max="781" width="9.42578125" style="459" customWidth="1"/>
    <col min="782" max="782" width="9.140625" style="459"/>
    <col min="783" max="784" width="10.5703125" style="459" customWidth="1"/>
    <col min="785" max="785" width="9.42578125" style="459" customWidth="1"/>
    <col min="786" max="1024" width="9.140625" style="459"/>
    <col min="1025" max="1025" width="5" style="459" customWidth="1"/>
    <col min="1026" max="1026" width="40.7109375" style="459" customWidth="1"/>
    <col min="1027" max="1027" width="10.140625" style="459" customWidth="1"/>
    <col min="1028" max="1028" width="41.7109375" style="459" customWidth="1"/>
    <col min="1029" max="1029" width="34.5703125" style="459" customWidth="1"/>
    <col min="1030" max="1030" width="20.42578125" style="459" customWidth="1"/>
    <col min="1031" max="1031" width="36" style="459" customWidth="1"/>
    <col min="1032" max="1034" width="9.140625" style="459"/>
    <col min="1035" max="1036" width="9.5703125" style="459" customWidth="1"/>
    <col min="1037" max="1037" width="9.42578125" style="459" customWidth="1"/>
    <col min="1038" max="1038" width="9.140625" style="459"/>
    <col min="1039" max="1040" width="10.5703125" style="459" customWidth="1"/>
    <col min="1041" max="1041" width="9.42578125" style="459" customWidth="1"/>
    <col min="1042" max="1280" width="9.140625" style="459"/>
    <col min="1281" max="1281" width="5" style="459" customWidth="1"/>
    <col min="1282" max="1282" width="40.7109375" style="459" customWidth="1"/>
    <col min="1283" max="1283" width="10.140625" style="459" customWidth="1"/>
    <col min="1284" max="1284" width="41.7109375" style="459" customWidth="1"/>
    <col min="1285" max="1285" width="34.5703125" style="459" customWidth="1"/>
    <col min="1286" max="1286" width="20.42578125" style="459" customWidth="1"/>
    <col min="1287" max="1287" width="36" style="459" customWidth="1"/>
    <col min="1288" max="1290" width="9.140625" style="459"/>
    <col min="1291" max="1292" width="9.5703125" style="459" customWidth="1"/>
    <col min="1293" max="1293" width="9.42578125" style="459" customWidth="1"/>
    <col min="1294" max="1294" width="9.140625" style="459"/>
    <col min="1295" max="1296" width="10.5703125" style="459" customWidth="1"/>
    <col min="1297" max="1297" width="9.42578125" style="459" customWidth="1"/>
    <col min="1298" max="1536" width="9.140625" style="459"/>
    <col min="1537" max="1537" width="5" style="459" customWidth="1"/>
    <col min="1538" max="1538" width="40.7109375" style="459" customWidth="1"/>
    <col min="1539" max="1539" width="10.140625" style="459" customWidth="1"/>
    <col min="1540" max="1540" width="41.7109375" style="459" customWidth="1"/>
    <col min="1541" max="1541" width="34.5703125" style="459" customWidth="1"/>
    <col min="1542" max="1542" width="20.42578125" style="459" customWidth="1"/>
    <col min="1543" max="1543" width="36" style="459" customWidth="1"/>
    <col min="1544" max="1546" width="9.140625" style="459"/>
    <col min="1547" max="1548" width="9.5703125" style="459" customWidth="1"/>
    <col min="1549" max="1549" width="9.42578125" style="459" customWidth="1"/>
    <col min="1550" max="1550" width="9.140625" style="459"/>
    <col min="1551" max="1552" width="10.5703125" style="459" customWidth="1"/>
    <col min="1553" max="1553" width="9.42578125" style="459" customWidth="1"/>
    <col min="1554" max="1792" width="9.140625" style="459"/>
    <col min="1793" max="1793" width="5" style="459" customWidth="1"/>
    <col min="1794" max="1794" width="40.7109375" style="459" customWidth="1"/>
    <col min="1795" max="1795" width="10.140625" style="459" customWidth="1"/>
    <col min="1796" max="1796" width="41.7109375" style="459" customWidth="1"/>
    <col min="1797" max="1797" width="34.5703125" style="459" customWidth="1"/>
    <col min="1798" max="1798" width="20.42578125" style="459" customWidth="1"/>
    <col min="1799" max="1799" width="36" style="459" customWidth="1"/>
    <col min="1800" max="1802" width="9.140625" style="459"/>
    <col min="1803" max="1804" width="9.5703125" style="459" customWidth="1"/>
    <col min="1805" max="1805" width="9.42578125" style="459" customWidth="1"/>
    <col min="1806" max="1806" width="9.140625" style="459"/>
    <col min="1807" max="1808" width="10.5703125" style="459" customWidth="1"/>
    <col min="1809" max="1809" width="9.42578125" style="459" customWidth="1"/>
    <col min="1810" max="2048" width="9.140625" style="459"/>
    <col min="2049" max="2049" width="5" style="459" customWidth="1"/>
    <col min="2050" max="2050" width="40.7109375" style="459" customWidth="1"/>
    <col min="2051" max="2051" width="10.140625" style="459" customWidth="1"/>
    <col min="2052" max="2052" width="41.7109375" style="459" customWidth="1"/>
    <col min="2053" max="2053" width="34.5703125" style="459" customWidth="1"/>
    <col min="2054" max="2054" width="20.42578125" style="459" customWidth="1"/>
    <col min="2055" max="2055" width="36" style="459" customWidth="1"/>
    <col min="2056" max="2058" width="9.140625" style="459"/>
    <col min="2059" max="2060" width="9.5703125" style="459" customWidth="1"/>
    <col min="2061" max="2061" width="9.42578125" style="459" customWidth="1"/>
    <col min="2062" max="2062" width="9.140625" style="459"/>
    <col min="2063" max="2064" width="10.5703125" style="459" customWidth="1"/>
    <col min="2065" max="2065" width="9.42578125" style="459" customWidth="1"/>
    <col min="2066" max="2304" width="9.140625" style="459"/>
    <col min="2305" max="2305" width="5" style="459" customWidth="1"/>
    <col min="2306" max="2306" width="40.7109375" style="459" customWidth="1"/>
    <col min="2307" max="2307" width="10.140625" style="459" customWidth="1"/>
    <col min="2308" max="2308" width="41.7109375" style="459" customWidth="1"/>
    <col min="2309" max="2309" width="34.5703125" style="459" customWidth="1"/>
    <col min="2310" max="2310" width="20.42578125" style="459" customWidth="1"/>
    <col min="2311" max="2311" width="36" style="459" customWidth="1"/>
    <col min="2312" max="2314" width="9.140625" style="459"/>
    <col min="2315" max="2316" width="9.5703125" style="459" customWidth="1"/>
    <col min="2317" max="2317" width="9.42578125" style="459" customWidth="1"/>
    <col min="2318" max="2318" width="9.140625" style="459"/>
    <col min="2319" max="2320" width="10.5703125" style="459" customWidth="1"/>
    <col min="2321" max="2321" width="9.42578125" style="459" customWidth="1"/>
    <col min="2322" max="2560" width="9.140625" style="459"/>
    <col min="2561" max="2561" width="5" style="459" customWidth="1"/>
    <col min="2562" max="2562" width="40.7109375" style="459" customWidth="1"/>
    <col min="2563" max="2563" width="10.140625" style="459" customWidth="1"/>
    <col min="2564" max="2564" width="41.7109375" style="459" customWidth="1"/>
    <col min="2565" max="2565" width="34.5703125" style="459" customWidth="1"/>
    <col min="2566" max="2566" width="20.42578125" style="459" customWidth="1"/>
    <col min="2567" max="2567" width="36" style="459" customWidth="1"/>
    <col min="2568" max="2570" width="9.140625" style="459"/>
    <col min="2571" max="2572" width="9.5703125" style="459" customWidth="1"/>
    <col min="2573" max="2573" width="9.42578125" style="459" customWidth="1"/>
    <col min="2574" max="2574" width="9.140625" style="459"/>
    <col min="2575" max="2576" width="10.5703125" style="459" customWidth="1"/>
    <col min="2577" max="2577" width="9.42578125" style="459" customWidth="1"/>
    <col min="2578" max="2816" width="9.140625" style="459"/>
    <col min="2817" max="2817" width="5" style="459" customWidth="1"/>
    <col min="2818" max="2818" width="40.7109375" style="459" customWidth="1"/>
    <col min="2819" max="2819" width="10.140625" style="459" customWidth="1"/>
    <col min="2820" max="2820" width="41.7109375" style="459" customWidth="1"/>
    <col min="2821" max="2821" width="34.5703125" style="459" customWidth="1"/>
    <col min="2822" max="2822" width="20.42578125" style="459" customWidth="1"/>
    <col min="2823" max="2823" width="36" style="459" customWidth="1"/>
    <col min="2824" max="2826" width="9.140625" style="459"/>
    <col min="2827" max="2828" width="9.5703125" style="459" customWidth="1"/>
    <col min="2829" max="2829" width="9.42578125" style="459" customWidth="1"/>
    <col min="2830" max="2830" width="9.140625" style="459"/>
    <col min="2831" max="2832" width="10.5703125" style="459" customWidth="1"/>
    <col min="2833" max="2833" width="9.42578125" style="459" customWidth="1"/>
    <col min="2834" max="3072" width="9.140625" style="459"/>
    <col min="3073" max="3073" width="5" style="459" customWidth="1"/>
    <col min="3074" max="3074" width="40.7109375" style="459" customWidth="1"/>
    <col min="3075" max="3075" width="10.140625" style="459" customWidth="1"/>
    <col min="3076" max="3076" width="41.7109375" style="459" customWidth="1"/>
    <col min="3077" max="3077" width="34.5703125" style="459" customWidth="1"/>
    <col min="3078" max="3078" width="20.42578125" style="459" customWidth="1"/>
    <col min="3079" max="3079" width="36" style="459" customWidth="1"/>
    <col min="3080" max="3082" width="9.140625" style="459"/>
    <col min="3083" max="3084" width="9.5703125" style="459" customWidth="1"/>
    <col min="3085" max="3085" width="9.42578125" style="459" customWidth="1"/>
    <col min="3086" max="3086" width="9.140625" style="459"/>
    <col min="3087" max="3088" width="10.5703125" style="459" customWidth="1"/>
    <col min="3089" max="3089" width="9.42578125" style="459" customWidth="1"/>
    <col min="3090" max="3328" width="9.140625" style="459"/>
    <col min="3329" max="3329" width="5" style="459" customWidth="1"/>
    <col min="3330" max="3330" width="40.7109375" style="459" customWidth="1"/>
    <col min="3331" max="3331" width="10.140625" style="459" customWidth="1"/>
    <col min="3332" max="3332" width="41.7109375" style="459" customWidth="1"/>
    <col min="3333" max="3333" width="34.5703125" style="459" customWidth="1"/>
    <col min="3334" max="3334" width="20.42578125" style="459" customWidth="1"/>
    <col min="3335" max="3335" width="36" style="459" customWidth="1"/>
    <col min="3336" max="3338" width="9.140625" style="459"/>
    <col min="3339" max="3340" width="9.5703125" style="459" customWidth="1"/>
    <col min="3341" max="3341" width="9.42578125" style="459" customWidth="1"/>
    <col min="3342" max="3342" width="9.140625" style="459"/>
    <col min="3343" max="3344" width="10.5703125" style="459" customWidth="1"/>
    <col min="3345" max="3345" width="9.42578125" style="459" customWidth="1"/>
    <col min="3346" max="3584" width="9.140625" style="459"/>
    <col min="3585" max="3585" width="5" style="459" customWidth="1"/>
    <col min="3586" max="3586" width="40.7109375" style="459" customWidth="1"/>
    <col min="3587" max="3587" width="10.140625" style="459" customWidth="1"/>
    <col min="3588" max="3588" width="41.7109375" style="459" customWidth="1"/>
    <col min="3589" max="3589" width="34.5703125" style="459" customWidth="1"/>
    <col min="3590" max="3590" width="20.42578125" style="459" customWidth="1"/>
    <col min="3591" max="3591" width="36" style="459" customWidth="1"/>
    <col min="3592" max="3594" width="9.140625" style="459"/>
    <col min="3595" max="3596" width="9.5703125" style="459" customWidth="1"/>
    <col min="3597" max="3597" width="9.42578125" style="459" customWidth="1"/>
    <col min="3598" max="3598" width="9.140625" style="459"/>
    <col min="3599" max="3600" width="10.5703125" style="459" customWidth="1"/>
    <col min="3601" max="3601" width="9.42578125" style="459" customWidth="1"/>
    <col min="3602" max="3840" width="9.140625" style="459"/>
    <col min="3841" max="3841" width="5" style="459" customWidth="1"/>
    <col min="3842" max="3842" width="40.7109375" style="459" customWidth="1"/>
    <col min="3843" max="3843" width="10.140625" style="459" customWidth="1"/>
    <col min="3844" max="3844" width="41.7109375" style="459" customWidth="1"/>
    <col min="3845" max="3845" width="34.5703125" style="459" customWidth="1"/>
    <col min="3846" max="3846" width="20.42578125" style="459" customWidth="1"/>
    <col min="3847" max="3847" width="36" style="459" customWidth="1"/>
    <col min="3848" max="3850" width="9.140625" style="459"/>
    <col min="3851" max="3852" width="9.5703125" style="459" customWidth="1"/>
    <col min="3853" max="3853" width="9.42578125" style="459" customWidth="1"/>
    <col min="3854" max="3854" width="9.140625" style="459"/>
    <col min="3855" max="3856" width="10.5703125" style="459" customWidth="1"/>
    <col min="3857" max="3857" width="9.42578125" style="459" customWidth="1"/>
    <col min="3858" max="4096" width="9.140625" style="459"/>
    <col min="4097" max="4097" width="5" style="459" customWidth="1"/>
    <col min="4098" max="4098" width="40.7109375" style="459" customWidth="1"/>
    <col min="4099" max="4099" width="10.140625" style="459" customWidth="1"/>
    <col min="4100" max="4100" width="41.7109375" style="459" customWidth="1"/>
    <col min="4101" max="4101" width="34.5703125" style="459" customWidth="1"/>
    <col min="4102" max="4102" width="20.42578125" style="459" customWidth="1"/>
    <col min="4103" max="4103" width="36" style="459" customWidth="1"/>
    <col min="4104" max="4106" width="9.140625" style="459"/>
    <col min="4107" max="4108" width="9.5703125" style="459" customWidth="1"/>
    <col min="4109" max="4109" width="9.42578125" style="459" customWidth="1"/>
    <col min="4110" max="4110" width="9.140625" style="459"/>
    <col min="4111" max="4112" width="10.5703125" style="459" customWidth="1"/>
    <col min="4113" max="4113" width="9.42578125" style="459" customWidth="1"/>
    <col min="4114" max="4352" width="9.140625" style="459"/>
    <col min="4353" max="4353" width="5" style="459" customWidth="1"/>
    <col min="4354" max="4354" width="40.7109375" style="459" customWidth="1"/>
    <col min="4355" max="4355" width="10.140625" style="459" customWidth="1"/>
    <col min="4356" max="4356" width="41.7109375" style="459" customWidth="1"/>
    <col min="4357" max="4357" width="34.5703125" style="459" customWidth="1"/>
    <col min="4358" max="4358" width="20.42578125" style="459" customWidth="1"/>
    <col min="4359" max="4359" width="36" style="459" customWidth="1"/>
    <col min="4360" max="4362" width="9.140625" style="459"/>
    <col min="4363" max="4364" width="9.5703125" style="459" customWidth="1"/>
    <col min="4365" max="4365" width="9.42578125" style="459" customWidth="1"/>
    <col min="4366" max="4366" width="9.140625" style="459"/>
    <col min="4367" max="4368" width="10.5703125" style="459" customWidth="1"/>
    <col min="4369" max="4369" width="9.42578125" style="459" customWidth="1"/>
    <col min="4370" max="4608" width="9.140625" style="459"/>
    <col min="4609" max="4609" width="5" style="459" customWidth="1"/>
    <col min="4610" max="4610" width="40.7109375" style="459" customWidth="1"/>
    <col min="4611" max="4611" width="10.140625" style="459" customWidth="1"/>
    <col min="4612" max="4612" width="41.7109375" style="459" customWidth="1"/>
    <col min="4613" max="4613" width="34.5703125" style="459" customWidth="1"/>
    <col min="4614" max="4614" width="20.42578125" style="459" customWidth="1"/>
    <col min="4615" max="4615" width="36" style="459" customWidth="1"/>
    <col min="4616" max="4618" width="9.140625" style="459"/>
    <col min="4619" max="4620" width="9.5703125" style="459" customWidth="1"/>
    <col min="4621" max="4621" width="9.42578125" style="459" customWidth="1"/>
    <col min="4622" max="4622" width="9.140625" style="459"/>
    <col min="4623" max="4624" width="10.5703125" style="459" customWidth="1"/>
    <col min="4625" max="4625" width="9.42578125" style="459" customWidth="1"/>
    <col min="4626" max="4864" width="9.140625" style="459"/>
    <col min="4865" max="4865" width="5" style="459" customWidth="1"/>
    <col min="4866" max="4866" width="40.7109375" style="459" customWidth="1"/>
    <col min="4867" max="4867" width="10.140625" style="459" customWidth="1"/>
    <col min="4868" max="4868" width="41.7109375" style="459" customWidth="1"/>
    <col min="4869" max="4869" width="34.5703125" style="459" customWidth="1"/>
    <col min="4870" max="4870" width="20.42578125" style="459" customWidth="1"/>
    <col min="4871" max="4871" width="36" style="459" customWidth="1"/>
    <col min="4872" max="4874" width="9.140625" style="459"/>
    <col min="4875" max="4876" width="9.5703125" style="459" customWidth="1"/>
    <col min="4877" max="4877" width="9.42578125" style="459" customWidth="1"/>
    <col min="4878" max="4878" width="9.140625" style="459"/>
    <col min="4879" max="4880" width="10.5703125" style="459" customWidth="1"/>
    <col min="4881" max="4881" width="9.42578125" style="459" customWidth="1"/>
    <col min="4882" max="5120" width="9.140625" style="459"/>
    <col min="5121" max="5121" width="5" style="459" customWidth="1"/>
    <col min="5122" max="5122" width="40.7109375" style="459" customWidth="1"/>
    <col min="5123" max="5123" width="10.140625" style="459" customWidth="1"/>
    <col min="5124" max="5124" width="41.7109375" style="459" customWidth="1"/>
    <col min="5125" max="5125" width="34.5703125" style="459" customWidth="1"/>
    <col min="5126" max="5126" width="20.42578125" style="459" customWidth="1"/>
    <col min="5127" max="5127" width="36" style="459" customWidth="1"/>
    <col min="5128" max="5130" width="9.140625" style="459"/>
    <col min="5131" max="5132" width="9.5703125" style="459" customWidth="1"/>
    <col min="5133" max="5133" width="9.42578125" style="459" customWidth="1"/>
    <col min="5134" max="5134" width="9.140625" style="459"/>
    <col min="5135" max="5136" width="10.5703125" style="459" customWidth="1"/>
    <col min="5137" max="5137" width="9.42578125" style="459" customWidth="1"/>
    <col min="5138" max="5376" width="9.140625" style="459"/>
    <col min="5377" max="5377" width="5" style="459" customWidth="1"/>
    <col min="5378" max="5378" width="40.7109375" style="459" customWidth="1"/>
    <col min="5379" max="5379" width="10.140625" style="459" customWidth="1"/>
    <col min="5380" max="5380" width="41.7109375" style="459" customWidth="1"/>
    <col min="5381" max="5381" width="34.5703125" style="459" customWidth="1"/>
    <col min="5382" max="5382" width="20.42578125" style="459" customWidth="1"/>
    <col min="5383" max="5383" width="36" style="459" customWidth="1"/>
    <col min="5384" max="5386" width="9.140625" style="459"/>
    <col min="5387" max="5388" width="9.5703125" style="459" customWidth="1"/>
    <col min="5389" max="5389" width="9.42578125" style="459" customWidth="1"/>
    <col min="5390" max="5390" width="9.140625" style="459"/>
    <col min="5391" max="5392" width="10.5703125" style="459" customWidth="1"/>
    <col min="5393" max="5393" width="9.42578125" style="459" customWidth="1"/>
    <col min="5394" max="5632" width="9.140625" style="459"/>
    <col min="5633" max="5633" width="5" style="459" customWidth="1"/>
    <col min="5634" max="5634" width="40.7109375" style="459" customWidth="1"/>
    <col min="5635" max="5635" width="10.140625" style="459" customWidth="1"/>
    <col min="5636" max="5636" width="41.7109375" style="459" customWidth="1"/>
    <col min="5637" max="5637" width="34.5703125" style="459" customWidth="1"/>
    <col min="5638" max="5638" width="20.42578125" style="459" customWidth="1"/>
    <col min="5639" max="5639" width="36" style="459" customWidth="1"/>
    <col min="5640" max="5642" width="9.140625" style="459"/>
    <col min="5643" max="5644" width="9.5703125" style="459" customWidth="1"/>
    <col min="5645" max="5645" width="9.42578125" style="459" customWidth="1"/>
    <col min="5646" max="5646" width="9.140625" style="459"/>
    <col min="5647" max="5648" width="10.5703125" style="459" customWidth="1"/>
    <col min="5649" max="5649" width="9.42578125" style="459" customWidth="1"/>
    <col min="5650" max="5888" width="9.140625" style="459"/>
    <col min="5889" max="5889" width="5" style="459" customWidth="1"/>
    <col min="5890" max="5890" width="40.7109375" style="459" customWidth="1"/>
    <col min="5891" max="5891" width="10.140625" style="459" customWidth="1"/>
    <col min="5892" max="5892" width="41.7109375" style="459" customWidth="1"/>
    <col min="5893" max="5893" width="34.5703125" style="459" customWidth="1"/>
    <col min="5894" max="5894" width="20.42578125" style="459" customWidth="1"/>
    <col min="5895" max="5895" width="36" style="459" customWidth="1"/>
    <col min="5896" max="5898" width="9.140625" style="459"/>
    <col min="5899" max="5900" width="9.5703125" style="459" customWidth="1"/>
    <col min="5901" max="5901" width="9.42578125" style="459" customWidth="1"/>
    <col min="5902" max="5902" width="9.140625" style="459"/>
    <col min="5903" max="5904" width="10.5703125" style="459" customWidth="1"/>
    <col min="5905" max="5905" width="9.42578125" style="459" customWidth="1"/>
    <col min="5906" max="6144" width="9.140625" style="459"/>
    <col min="6145" max="6145" width="5" style="459" customWidth="1"/>
    <col min="6146" max="6146" width="40.7109375" style="459" customWidth="1"/>
    <col min="6147" max="6147" width="10.140625" style="459" customWidth="1"/>
    <col min="6148" max="6148" width="41.7109375" style="459" customWidth="1"/>
    <col min="6149" max="6149" width="34.5703125" style="459" customWidth="1"/>
    <col min="6150" max="6150" width="20.42578125" style="459" customWidth="1"/>
    <col min="6151" max="6151" width="36" style="459" customWidth="1"/>
    <col min="6152" max="6154" width="9.140625" style="459"/>
    <col min="6155" max="6156" width="9.5703125" style="459" customWidth="1"/>
    <col min="6157" max="6157" width="9.42578125" style="459" customWidth="1"/>
    <col min="6158" max="6158" width="9.140625" style="459"/>
    <col min="6159" max="6160" width="10.5703125" style="459" customWidth="1"/>
    <col min="6161" max="6161" width="9.42578125" style="459" customWidth="1"/>
    <col min="6162" max="6400" width="9.140625" style="459"/>
    <col min="6401" max="6401" width="5" style="459" customWidth="1"/>
    <col min="6402" max="6402" width="40.7109375" style="459" customWidth="1"/>
    <col min="6403" max="6403" width="10.140625" style="459" customWidth="1"/>
    <col min="6404" max="6404" width="41.7109375" style="459" customWidth="1"/>
    <col min="6405" max="6405" width="34.5703125" style="459" customWidth="1"/>
    <col min="6406" max="6406" width="20.42578125" style="459" customWidth="1"/>
    <col min="6407" max="6407" width="36" style="459" customWidth="1"/>
    <col min="6408" max="6410" width="9.140625" style="459"/>
    <col min="6411" max="6412" width="9.5703125" style="459" customWidth="1"/>
    <col min="6413" max="6413" width="9.42578125" style="459" customWidth="1"/>
    <col min="6414" max="6414" width="9.140625" style="459"/>
    <col min="6415" max="6416" width="10.5703125" style="459" customWidth="1"/>
    <col min="6417" max="6417" width="9.42578125" style="459" customWidth="1"/>
    <col min="6418" max="6656" width="9.140625" style="459"/>
    <col min="6657" max="6657" width="5" style="459" customWidth="1"/>
    <col min="6658" max="6658" width="40.7109375" style="459" customWidth="1"/>
    <col min="6659" max="6659" width="10.140625" style="459" customWidth="1"/>
    <col min="6660" max="6660" width="41.7109375" style="459" customWidth="1"/>
    <col min="6661" max="6661" width="34.5703125" style="459" customWidth="1"/>
    <col min="6662" max="6662" width="20.42578125" style="459" customWidth="1"/>
    <col min="6663" max="6663" width="36" style="459" customWidth="1"/>
    <col min="6664" max="6666" width="9.140625" style="459"/>
    <col min="6667" max="6668" width="9.5703125" style="459" customWidth="1"/>
    <col min="6669" max="6669" width="9.42578125" style="459" customWidth="1"/>
    <col min="6670" max="6670" width="9.140625" style="459"/>
    <col min="6671" max="6672" width="10.5703125" style="459" customWidth="1"/>
    <col min="6673" max="6673" width="9.42578125" style="459" customWidth="1"/>
    <col min="6674" max="6912" width="9.140625" style="459"/>
    <col min="6913" max="6913" width="5" style="459" customWidth="1"/>
    <col min="6914" max="6914" width="40.7109375" style="459" customWidth="1"/>
    <col min="6915" max="6915" width="10.140625" style="459" customWidth="1"/>
    <col min="6916" max="6916" width="41.7109375" style="459" customWidth="1"/>
    <col min="6917" max="6917" width="34.5703125" style="459" customWidth="1"/>
    <col min="6918" max="6918" width="20.42578125" style="459" customWidth="1"/>
    <col min="6919" max="6919" width="36" style="459" customWidth="1"/>
    <col min="6920" max="6922" width="9.140625" style="459"/>
    <col min="6923" max="6924" width="9.5703125" style="459" customWidth="1"/>
    <col min="6925" max="6925" width="9.42578125" style="459" customWidth="1"/>
    <col min="6926" max="6926" width="9.140625" style="459"/>
    <col min="6927" max="6928" width="10.5703125" style="459" customWidth="1"/>
    <col min="6929" max="6929" width="9.42578125" style="459" customWidth="1"/>
    <col min="6930" max="7168" width="9.140625" style="459"/>
    <col min="7169" max="7169" width="5" style="459" customWidth="1"/>
    <col min="7170" max="7170" width="40.7109375" style="459" customWidth="1"/>
    <col min="7171" max="7171" width="10.140625" style="459" customWidth="1"/>
    <col min="7172" max="7172" width="41.7109375" style="459" customWidth="1"/>
    <col min="7173" max="7173" width="34.5703125" style="459" customWidth="1"/>
    <col min="7174" max="7174" width="20.42578125" style="459" customWidth="1"/>
    <col min="7175" max="7175" width="36" style="459" customWidth="1"/>
    <col min="7176" max="7178" width="9.140625" style="459"/>
    <col min="7179" max="7180" width="9.5703125" style="459" customWidth="1"/>
    <col min="7181" max="7181" width="9.42578125" style="459" customWidth="1"/>
    <col min="7182" max="7182" width="9.140625" style="459"/>
    <col min="7183" max="7184" width="10.5703125" style="459" customWidth="1"/>
    <col min="7185" max="7185" width="9.42578125" style="459" customWidth="1"/>
    <col min="7186" max="7424" width="9.140625" style="459"/>
    <col min="7425" max="7425" width="5" style="459" customWidth="1"/>
    <col min="7426" max="7426" width="40.7109375" style="459" customWidth="1"/>
    <col min="7427" max="7427" width="10.140625" style="459" customWidth="1"/>
    <col min="7428" max="7428" width="41.7109375" style="459" customWidth="1"/>
    <col min="7429" max="7429" width="34.5703125" style="459" customWidth="1"/>
    <col min="7430" max="7430" width="20.42578125" style="459" customWidth="1"/>
    <col min="7431" max="7431" width="36" style="459" customWidth="1"/>
    <col min="7432" max="7434" width="9.140625" style="459"/>
    <col min="7435" max="7436" width="9.5703125" style="459" customWidth="1"/>
    <col min="7437" max="7437" width="9.42578125" style="459" customWidth="1"/>
    <col min="7438" max="7438" width="9.140625" style="459"/>
    <col min="7439" max="7440" width="10.5703125" style="459" customWidth="1"/>
    <col min="7441" max="7441" width="9.42578125" style="459" customWidth="1"/>
    <col min="7442" max="7680" width="9.140625" style="459"/>
    <col min="7681" max="7681" width="5" style="459" customWidth="1"/>
    <col min="7682" max="7682" width="40.7109375" style="459" customWidth="1"/>
    <col min="7683" max="7683" width="10.140625" style="459" customWidth="1"/>
    <col min="7684" max="7684" width="41.7109375" style="459" customWidth="1"/>
    <col min="7685" max="7685" width="34.5703125" style="459" customWidth="1"/>
    <col min="7686" max="7686" width="20.42578125" style="459" customWidth="1"/>
    <col min="7687" max="7687" width="36" style="459" customWidth="1"/>
    <col min="7688" max="7690" width="9.140625" style="459"/>
    <col min="7691" max="7692" width="9.5703125" style="459" customWidth="1"/>
    <col min="7693" max="7693" width="9.42578125" style="459" customWidth="1"/>
    <col min="7694" max="7694" width="9.140625" style="459"/>
    <col min="7695" max="7696" width="10.5703125" style="459" customWidth="1"/>
    <col min="7697" max="7697" width="9.42578125" style="459" customWidth="1"/>
    <col min="7698" max="7936" width="9.140625" style="459"/>
    <col min="7937" max="7937" width="5" style="459" customWidth="1"/>
    <col min="7938" max="7938" width="40.7109375" style="459" customWidth="1"/>
    <col min="7939" max="7939" width="10.140625" style="459" customWidth="1"/>
    <col min="7940" max="7940" width="41.7109375" style="459" customWidth="1"/>
    <col min="7941" max="7941" width="34.5703125" style="459" customWidth="1"/>
    <col min="7942" max="7942" width="20.42578125" style="459" customWidth="1"/>
    <col min="7943" max="7943" width="36" style="459" customWidth="1"/>
    <col min="7944" max="7946" width="9.140625" style="459"/>
    <col min="7947" max="7948" width="9.5703125" style="459" customWidth="1"/>
    <col min="7949" max="7949" width="9.42578125" style="459" customWidth="1"/>
    <col min="7950" max="7950" width="9.140625" style="459"/>
    <col min="7951" max="7952" width="10.5703125" style="459" customWidth="1"/>
    <col min="7953" max="7953" width="9.42578125" style="459" customWidth="1"/>
    <col min="7954" max="8192" width="9.140625" style="459"/>
    <col min="8193" max="8193" width="5" style="459" customWidth="1"/>
    <col min="8194" max="8194" width="40.7109375" style="459" customWidth="1"/>
    <col min="8195" max="8195" width="10.140625" style="459" customWidth="1"/>
    <col min="8196" max="8196" width="41.7109375" style="459" customWidth="1"/>
    <col min="8197" max="8197" width="34.5703125" style="459" customWidth="1"/>
    <col min="8198" max="8198" width="20.42578125" style="459" customWidth="1"/>
    <col min="8199" max="8199" width="36" style="459" customWidth="1"/>
    <col min="8200" max="8202" width="9.140625" style="459"/>
    <col min="8203" max="8204" width="9.5703125" style="459" customWidth="1"/>
    <col min="8205" max="8205" width="9.42578125" style="459" customWidth="1"/>
    <col min="8206" max="8206" width="9.140625" style="459"/>
    <col min="8207" max="8208" width="10.5703125" style="459" customWidth="1"/>
    <col min="8209" max="8209" width="9.42578125" style="459" customWidth="1"/>
    <col min="8210" max="8448" width="9.140625" style="459"/>
    <col min="8449" max="8449" width="5" style="459" customWidth="1"/>
    <col min="8450" max="8450" width="40.7109375" style="459" customWidth="1"/>
    <col min="8451" max="8451" width="10.140625" style="459" customWidth="1"/>
    <col min="8452" max="8452" width="41.7109375" style="459" customWidth="1"/>
    <col min="8453" max="8453" width="34.5703125" style="459" customWidth="1"/>
    <col min="8454" max="8454" width="20.42578125" style="459" customWidth="1"/>
    <col min="8455" max="8455" width="36" style="459" customWidth="1"/>
    <col min="8456" max="8458" width="9.140625" style="459"/>
    <col min="8459" max="8460" width="9.5703125" style="459" customWidth="1"/>
    <col min="8461" max="8461" width="9.42578125" style="459" customWidth="1"/>
    <col min="8462" max="8462" width="9.140625" style="459"/>
    <col min="8463" max="8464" width="10.5703125" style="459" customWidth="1"/>
    <col min="8465" max="8465" width="9.42578125" style="459" customWidth="1"/>
    <col min="8466" max="8704" width="9.140625" style="459"/>
    <col min="8705" max="8705" width="5" style="459" customWidth="1"/>
    <col min="8706" max="8706" width="40.7109375" style="459" customWidth="1"/>
    <col min="8707" max="8707" width="10.140625" style="459" customWidth="1"/>
    <col min="8708" max="8708" width="41.7109375" style="459" customWidth="1"/>
    <col min="8709" max="8709" width="34.5703125" style="459" customWidth="1"/>
    <col min="8710" max="8710" width="20.42578125" style="459" customWidth="1"/>
    <col min="8711" max="8711" width="36" style="459" customWidth="1"/>
    <col min="8712" max="8714" width="9.140625" style="459"/>
    <col min="8715" max="8716" width="9.5703125" style="459" customWidth="1"/>
    <col min="8717" max="8717" width="9.42578125" style="459" customWidth="1"/>
    <col min="8718" max="8718" width="9.140625" style="459"/>
    <col min="8719" max="8720" width="10.5703125" style="459" customWidth="1"/>
    <col min="8721" max="8721" width="9.42578125" style="459" customWidth="1"/>
    <col min="8722" max="8960" width="9.140625" style="459"/>
    <col min="8961" max="8961" width="5" style="459" customWidth="1"/>
    <col min="8962" max="8962" width="40.7109375" style="459" customWidth="1"/>
    <col min="8963" max="8963" width="10.140625" style="459" customWidth="1"/>
    <col min="8964" max="8964" width="41.7109375" style="459" customWidth="1"/>
    <col min="8965" max="8965" width="34.5703125" style="459" customWidth="1"/>
    <col min="8966" max="8966" width="20.42578125" style="459" customWidth="1"/>
    <col min="8967" max="8967" width="36" style="459" customWidth="1"/>
    <col min="8968" max="8970" width="9.140625" style="459"/>
    <col min="8971" max="8972" width="9.5703125" style="459" customWidth="1"/>
    <col min="8973" max="8973" width="9.42578125" style="459" customWidth="1"/>
    <col min="8974" max="8974" width="9.140625" style="459"/>
    <col min="8975" max="8976" width="10.5703125" style="459" customWidth="1"/>
    <col min="8977" max="8977" width="9.42578125" style="459" customWidth="1"/>
    <col min="8978" max="9216" width="9.140625" style="459"/>
    <col min="9217" max="9217" width="5" style="459" customWidth="1"/>
    <col min="9218" max="9218" width="40.7109375" style="459" customWidth="1"/>
    <col min="9219" max="9219" width="10.140625" style="459" customWidth="1"/>
    <col min="9220" max="9220" width="41.7109375" style="459" customWidth="1"/>
    <col min="9221" max="9221" width="34.5703125" style="459" customWidth="1"/>
    <col min="9222" max="9222" width="20.42578125" style="459" customWidth="1"/>
    <col min="9223" max="9223" width="36" style="459" customWidth="1"/>
    <col min="9224" max="9226" width="9.140625" style="459"/>
    <col min="9227" max="9228" width="9.5703125" style="459" customWidth="1"/>
    <col min="9229" max="9229" width="9.42578125" style="459" customWidth="1"/>
    <col min="9230" max="9230" width="9.140625" style="459"/>
    <col min="9231" max="9232" width="10.5703125" style="459" customWidth="1"/>
    <col min="9233" max="9233" width="9.42578125" style="459" customWidth="1"/>
    <col min="9234" max="9472" width="9.140625" style="459"/>
    <col min="9473" max="9473" width="5" style="459" customWidth="1"/>
    <col min="9474" max="9474" width="40.7109375" style="459" customWidth="1"/>
    <col min="9475" max="9475" width="10.140625" style="459" customWidth="1"/>
    <col min="9476" max="9476" width="41.7109375" style="459" customWidth="1"/>
    <col min="9477" max="9477" width="34.5703125" style="459" customWidth="1"/>
    <col min="9478" max="9478" width="20.42578125" style="459" customWidth="1"/>
    <col min="9479" max="9479" width="36" style="459" customWidth="1"/>
    <col min="9480" max="9482" width="9.140625" style="459"/>
    <col min="9483" max="9484" width="9.5703125" style="459" customWidth="1"/>
    <col min="9485" max="9485" width="9.42578125" style="459" customWidth="1"/>
    <col min="9486" max="9486" width="9.140625" style="459"/>
    <col min="9487" max="9488" width="10.5703125" style="459" customWidth="1"/>
    <col min="9489" max="9489" width="9.42578125" style="459" customWidth="1"/>
    <col min="9490" max="9728" width="9.140625" style="459"/>
    <col min="9729" max="9729" width="5" style="459" customWidth="1"/>
    <col min="9730" max="9730" width="40.7109375" style="459" customWidth="1"/>
    <col min="9731" max="9731" width="10.140625" style="459" customWidth="1"/>
    <col min="9732" max="9732" width="41.7109375" style="459" customWidth="1"/>
    <col min="9733" max="9733" width="34.5703125" style="459" customWidth="1"/>
    <col min="9734" max="9734" width="20.42578125" style="459" customWidth="1"/>
    <col min="9735" max="9735" width="36" style="459" customWidth="1"/>
    <col min="9736" max="9738" width="9.140625" style="459"/>
    <col min="9739" max="9740" width="9.5703125" style="459" customWidth="1"/>
    <col min="9741" max="9741" width="9.42578125" style="459" customWidth="1"/>
    <col min="9742" max="9742" width="9.140625" style="459"/>
    <col min="9743" max="9744" width="10.5703125" style="459" customWidth="1"/>
    <col min="9745" max="9745" width="9.42578125" style="459" customWidth="1"/>
    <col min="9746" max="9984" width="9.140625" style="459"/>
    <col min="9985" max="9985" width="5" style="459" customWidth="1"/>
    <col min="9986" max="9986" width="40.7109375" style="459" customWidth="1"/>
    <col min="9987" max="9987" width="10.140625" style="459" customWidth="1"/>
    <col min="9988" max="9988" width="41.7109375" style="459" customWidth="1"/>
    <col min="9989" max="9989" width="34.5703125" style="459" customWidth="1"/>
    <col min="9990" max="9990" width="20.42578125" style="459" customWidth="1"/>
    <col min="9991" max="9991" width="36" style="459" customWidth="1"/>
    <col min="9992" max="9994" width="9.140625" style="459"/>
    <col min="9995" max="9996" width="9.5703125" style="459" customWidth="1"/>
    <col min="9997" max="9997" width="9.42578125" style="459" customWidth="1"/>
    <col min="9998" max="9998" width="9.140625" style="459"/>
    <col min="9999" max="10000" width="10.5703125" style="459" customWidth="1"/>
    <col min="10001" max="10001" width="9.42578125" style="459" customWidth="1"/>
    <col min="10002" max="10240" width="9.140625" style="459"/>
    <col min="10241" max="10241" width="5" style="459" customWidth="1"/>
    <col min="10242" max="10242" width="40.7109375" style="459" customWidth="1"/>
    <col min="10243" max="10243" width="10.140625" style="459" customWidth="1"/>
    <col min="10244" max="10244" width="41.7109375" style="459" customWidth="1"/>
    <col min="10245" max="10245" width="34.5703125" style="459" customWidth="1"/>
    <col min="10246" max="10246" width="20.42578125" style="459" customWidth="1"/>
    <col min="10247" max="10247" width="36" style="459" customWidth="1"/>
    <col min="10248" max="10250" width="9.140625" style="459"/>
    <col min="10251" max="10252" width="9.5703125" style="459" customWidth="1"/>
    <col min="10253" max="10253" width="9.42578125" style="459" customWidth="1"/>
    <col min="10254" max="10254" width="9.140625" style="459"/>
    <col min="10255" max="10256" width="10.5703125" style="459" customWidth="1"/>
    <col min="10257" max="10257" width="9.42578125" style="459" customWidth="1"/>
    <col min="10258" max="10496" width="9.140625" style="459"/>
    <col min="10497" max="10497" width="5" style="459" customWidth="1"/>
    <col min="10498" max="10498" width="40.7109375" style="459" customWidth="1"/>
    <col min="10499" max="10499" width="10.140625" style="459" customWidth="1"/>
    <col min="10500" max="10500" width="41.7109375" style="459" customWidth="1"/>
    <col min="10501" max="10501" width="34.5703125" style="459" customWidth="1"/>
    <col min="10502" max="10502" width="20.42578125" style="459" customWidth="1"/>
    <col min="10503" max="10503" width="36" style="459" customWidth="1"/>
    <col min="10504" max="10506" width="9.140625" style="459"/>
    <col min="10507" max="10508" width="9.5703125" style="459" customWidth="1"/>
    <col min="10509" max="10509" width="9.42578125" style="459" customWidth="1"/>
    <col min="10510" max="10510" width="9.140625" style="459"/>
    <col min="10511" max="10512" width="10.5703125" style="459" customWidth="1"/>
    <col min="10513" max="10513" width="9.42578125" style="459" customWidth="1"/>
    <col min="10514" max="10752" width="9.140625" style="459"/>
    <col min="10753" max="10753" width="5" style="459" customWidth="1"/>
    <col min="10754" max="10754" width="40.7109375" style="459" customWidth="1"/>
    <col min="10755" max="10755" width="10.140625" style="459" customWidth="1"/>
    <col min="10756" max="10756" width="41.7109375" style="459" customWidth="1"/>
    <col min="10757" max="10757" width="34.5703125" style="459" customWidth="1"/>
    <col min="10758" max="10758" width="20.42578125" style="459" customWidth="1"/>
    <col min="10759" max="10759" width="36" style="459" customWidth="1"/>
    <col min="10760" max="10762" width="9.140625" style="459"/>
    <col min="10763" max="10764" width="9.5703125" style="459" customWidth="1"/>
    <col min="10765" max="10765" width="9.42578125" style="459" customWidth="1"/>
    <col min="10766" max="10766" width="9.140625" style="459"/>
    <col min="10767" max="10768" width="10.5703125" style="459" customWidth="1"/>
    <col min="10769" max="10769" width="9.42578125" style="459" customWidth="1"/>
    <col min="10770" max="11008" width="9.140625" style="459"/>
    <col min="11009" max="11009" width="5" style="459" customWidth="1"/>
    <col min="11010" max="11010" width="40.7109375" style="459" customWidth="1"/>
    <col min="11011" max="11011" width="10.140625" style="459" customWidth="1"/>
    <col min="11012" max="11012" width="41.7109375" style="459" customWidth="1"/>
    <col min="11013" max="11013" width="34.5703125" style="459" customWidth="1"/>
    <col min="11014" max="11014" width="20.42578125" style="459" customWidth="1"/>
    <col min="11015" max="11015" width="36" style="459" customWidth="1"/>
    <col min="11016" max="11018" width="9.140625" style="459"/>
    <col min="11019" max="11020" width="9.5703125" style="459" customWidth="1"/>
    <col min="11021" max="11021" width="9.42578125" style="459" customWidth="1"/>
    <col min="11022" max="11022" width="9.140625" style="459"/>
    <col min="11023" max="11024" width="10.5703125" style="459" customWidth="1"/>
    <col min="11025" max="11025" width="9.42578125" style="459" customWidth="1"/>
    <col min="11026" max="11264" width="9.140625" style="459"/>
    <col min="11265" max="11265" width="5" style="459" customWidth="1"/>
    <col min="11266" max="11266" width="40.7109375" style="459" customWidth="1"/>
    <col min="11267" max="11267" width="10.140625" style="459" customWidth="1"/>
    <col min="11268" max="11268" width="41.7109375" style="459" customWidth="1"/>
    <col min="11269" max="11269" width="34.5703125" style="459" customWidth="1"/>
    <col min="11270" max="11270" width="20.42578125" style="459" customWidth="1"/>
    <col min="11271" max="11271" width="36" style="459" customWidth="1"/>
    <col min="11272" max="11274" width="9.140625" style="459"/>
    <col min="11275" max="11276" width="9.5703125" style="459" customWidth="1"/>
    <col min="11277" max="11277" width="9.42578125" style="459" customWidth="1"/>
    <col min="11278" max="11278" width="9.140625" style="459"/>
    <col min="11279" max="11280" width="10.5703125" style="459" customWidth="1"/>
    <col min="11281" max="11281" width="9.42578125" style="459" customWidth="1"/>
    <col min="11282" max="11520" width="9.140625" style="459"/>
    <col min="11521" max="11521" width="5" style="459" customWidth="1"/>
    <col min="11522" max="11522" width="40.7109375" style="459" customWidth="1"/>
    <col min="11523" max="11523" width="10.140625" style="459" customWidth="1"/>
    <col min="11524" max="11524" width="41.7109375" style="459" customWidth="1"/>
    <col min="11525" max="11525" width="34.5703125" style="459" customWidth="1"/>
    <col min="11526" max="11526" width="20.42578125" style="459" customWidth="1"/>
    <col min="11527" max="11527" width="36" style="459" customWidth="1"/>
    <col min="11528" max="11530" width="9.140625" style="459"/>
    <col min="11531" max="11532" width="9.5703125" style="459" customWidth="1"/>
    <col min="11533" max="11533" width="9.42578125" style="459" customWidth="1"/>
    <col min="11534" max="11534" width="9.140625" style="459"/>
    <col min="11535" max="11536" width="10.5703125" style="459" customWidth="1"/>
    <col min="11537" max="11537" width="9.42578125" style="459" customWidth="1"/>
    <col min="11538" max="11776" width="9.140625" style="459"/>
    <col min="11777" max="11777" width="5" style="459" customWidth="1"/>
    <col min="11778" max="11778" width="40.7109375" style="459" customWidth="1"/>
    <col min="11779" max="11779" width="10.140625" style="459" customWidth="1"/>
    <col min="11780" max="11780" width="41.7109375" style="459" customWidth="1"/>
    <col min="11781" max="11781" width="34.5703125" style="459" customWidth="1"/>
    <col min="11782" max="11782" width="20.42578125" style="459" customWidth="1"/>
    <col min="11783" max="11783" width="36" style="459" customWidth="1"/>
    <col min="11784" max="11786" width="9.140625" style="459"/>
    <col min="11787" max="11788" width="9.5703125" style="459" customWidth="1"/>
    <col min="11789" max="11789" width="9.42578125" style="459" customWidth="1"/>
    <col min="11790" max="11790" width="9.140625" style="459"/>
    <col min="11791" max="11792" width="10.5703125" style="459" customWidth="1"/>
    <col min="11793" max="11793" width="9.42578125" style="459" customWidth="1"/>
    <col min="11794" max="12032" width="9.140625" style="459"/>
    <col min="12033" max="12033" width="5" style="459" customWidth="1"/>
    <col min="12034" max="12034" width="40.7109375" style="459" customWidth="1"/>
    <col min="12035" max="12035" width="10.140625" style="459" customWidth="1"/>
    <col min="12036" max="12036" width="41.7109375" style="459" customWidth="1"/>
    <col min="12037" max="12037" width="34.5703125" style="459" customWidth="1"/>
    <col min="12038" max="12038" width="20.42578125" style="459" customWidth="1"/>
    <col min="12039" max="12039" width="36" style="459" customWidth="1"/>
    <col min="12040" max="12042" width="9.140625" style="459"/>
    <col min="12043" max="12044" width="9.5703125" style="459" customWidth="1"/>
    <col min="12045" max="12045" width="9.42578125" style="459" customWidth="1"/>
    <col min="12046" max="12046" width="9.140625" style="459"/>
    <col min="12047" max="12048" width="10.5703125" style="459" customWidth="1"/>
    <col min="12049" max="12049" width="9.42578125" style="459" customWidth="1"/>
    <col min="12050" max="12288" width="9.140625" style="459"/>
    <col min="12289" max="12289" width="5" style="459" customWidth="1"/>
    <col min="12290" max="12290" width="40.7109375" style="459" customWidth="1"/>
    <col min="12291" max="12291" width="10.140625" style="459" customWidth="1"/>
    <col min="12292" max="12292" width="41.7109375" style="459" customWidth="1"/>
    <col min="12293" max="12293" width="34.5703125" style="459" customWidth="1"/>
    <col min="12294" max="12294" width="20.42578125" style="459" customWidth="1"/>
    <col min="12295" max="12295" width="36" style="459" customWidth="1"/>
    <col min="12296" max="12298" width="9.140625" style="459"/>
    <col min="12299" max="12300" width="9.5703125" style="459" customWidth="1"/>
    <col min="12301" max="12301" width="9.42578125" style="459" customWidth="1"/>
    <col min="12302" max="12302" width="9.140625" style="459"/>
    <col min="12303" max="12304" width="10.5703125" style="459" customWidth="1"/>
    <col min="12305" max="12305" width="9.42578125" style="459" customWidth="1"/>
    <col min="12306" max="12544" width="9.140625" style="459"/>
    <col min="12545" max="12545" width="5" style="459" customWidth="1"/>
    <col min="12546" max="12546" width="40.7109375" style="459" customWidth="1"/>
    <col min="12547" max="12547" width="10.140625" style="459" customWidth="1"/>
    <col min="12548" max="12548" width="41.7109375" style="459" customWidth="1"/>
    <col min="12549" max="12549" width="34.5703125" style="459" customWidth="1"/>
    <col min="12550" max="12550" width="20.42578125" style="459" customWidth="1"/>
    <col min="12551" max="12551" width="36" style="459" customWidth="1"/>
    <col min="12552" max="12554" width="9.140625" style="459"/>
    <col min="12555" max="12556" width="9.5703125" style="459" customWidth="1"/>
    <col min="12557" max="12557" width="9.42578125" style="459" customWidth="1"/>
    <col min="12558" max="12558" width="9.140625" style="459"/>
    <col min="12559" max="12560" width="10.5703125" style="459" customWidth="1"/>
    <col min="12561" max="12561" width="9.42578125" style="459" customWidth="1"/>
    <col min="12562" max="12800" width="9.140625" style="459"/>
    <col min="12801" max="12801" width="5" style="459" customWidth="1"/>
    <col min="12802" max="12802" width="40.7109375" style="459" customWidth="1"/>
    <col min="12803" max="12803" width="10.140625" style="459" customWidth="1"/>
    <col min="12804" max="12804" width="41.7109375" style="459" customWidth="1"/>
    <col min="12805" max="12805" width="34.5703125" style="459" customWidth="1"/>
    <col min="12806" max="12806" width="20.42578125" style="459" customWidth="1"/>
    <col min="12807" max="12807" width="36" style="459" customWidth="1"/>
    <col min="12808" max="12810" width="9.140625" style="459"/>
    <col min="12811" max="12812" width="9.5703125" style="459" customWidth="1"/>
    <col min="12813" max="12813" width="9.42578125" style="459" customWidth="1"/>
    <col min="12814" max="12814" width="9.140625" style="459"/>
    <col min="12815" max="12816" width="10.5703125" style="459" customWidth="1"/>
    <col min="12817" max="12817" width="9.42578125" style="459" customWidth="1"/>
    <col min="12818" max="13056" width="9.140625" style="459"/>
    <col min="13057" max="13057" width="5" style="459" customWidth="1"/>
    <col min="13058" max="13058" width="40.7109375" style="459" customWidth="1"/>
    <col min="13059" max="13059" width="10.140625" style="459" customWidth="1"/>
    <col min="13060" max="13060" width="41.7109375" style="459" customWidth="1"/>
    <col min="13061" max="13061" width="34.5703125" style="459" customWidth="1"/>
    <col min="13062" max="13062" width="20.42578125" style="459" customWidth="1"/>
    <col min="13063" max="13063" width="36" style="459" customWidth="1"/>
    <col min="13064" max="13066" width="9.140625" style="459"/>
    <col min="13067" max="13068" width="9.5703125" style="459" customWidth="1"/>
    <col min="13069" max="13069" width="9.42578125" style="459" customWidth="1"/>
    <col min="13070" max="13070" width="9.140625" style="459"/>
    <col min="13071" max="13072" width="10.5703125" style="459" customWidth="1"/>
    <col min="13073" max="13073" width="9.42578125" style="459" customWidth="1"/>
    <col min="13074" max="13312" width="9.140625" style="459"/>
    <col min="13313" max="13313" width="5" style="459" customWidth="1"/>
    <col min="13314" max="13314" width="40.7109375" style="459" customWidth="1"/>
    <col min="13315" max="13315" width="10.140625" style="459" customWidth="1"/>
    <col min="13316" max="13316" width="41.7109375" style="459" customWidth="1"/>
    <col min="13317" max="13317" width="34.5703125" style="459" customWidth="1"/>
    <col min="13318" max="13318" width="20.42578125" style="459" customWidth="1"/>
    <col min="13319" max="13319" width="36" style="459" customWidth="1"/>
    <col min="13320" max="13322" width="9.140625" style="459"/>
    <col min="13323" max="13324" width="9.5703125" style="459" customWidth="1"/>
    <col min="13325" max="13325" width="9.42578125" style="459" customWidth="1"/>
    <col min="13326" max="13326" width="9.140625" style="459"/>
    <col min="13327" max="13328" width="10.5703125" style="459" customWidth="1"/>
    <col min="13329" max="13329" width="9.42578125" style="459" customWidth="1"/>
    <col min="13330" max="13568" width="9.140625" style="459"/>
    <col min="13569" max="13569" width="5" style="459" customWidth="1"/>
    <col min="13570" max="13570" width="40.7109375" style="459" customWidth="1"/>
    <col min="13571" max="13571" width="10.140625" style="459" customWidth="1"/>
    <col min="13572" max="13572" width="41.7109375" style="459" customWidth="1"/>
    <col min="13573" max="13573" width="34.5703125" style="459" customWidth="1"/>
    <col min="13574" max="13574" width="20.42578125" style="459" customWidth="1"/>
    <col min="13575" max="13575" width="36" style="459" customWidth="1"/>
    <col min="13576" max="13578" width="9.140625" style="459"/>
    <col min="13579" max="13580" width="9.5703125" style="459" customWidth="1"/>
    <col min="13581" max="13581" width="9.42578125" style="459" customWidth="1"/>
    <col min="13582" max="13582" width="9.140625" style="459"/>
    <col min="13583" max="13584" width="10.5703125" style="459" customWidth="1"/>
    <col min="13585" max="13585" width="9.42578125" style="459" customWidth="1"/>
    <col min="13586" max="13824" width="9.140625" style="459"/>
    <col min="13825" max="13825" width="5" style="459" customWidth="1"/>
    <col min="13826" max="13826" width="40.7109375" style="459" customWidth="1"/>
    <col min="13827" max="13827" width="10.140625" style="459" customWidth="1"/>
    <col min="13828" max="13828" width="41.7109375" style="459" customWidth="1"/>
    <col min="13829" max="13829" width="34.5703125" style="459" customWidth="1"/>
    <col min="13830" max="13830" width="20.42578125" style="459" customWidth="1"/>
    <col min="13831" max="13831" width="36" style="459" customWidth="1"/>
    <col min="13832" max="13834" width="9.140625" style="459"/>
    <col min="13835" max="13836" width="9.5703125" style="459" customWidth="1"/>
    <col min="13837" max="13837" width="9.42578125" style="459" customWidth="1"/>
    <col min="13838" max="13838" width="9.140625" style="459"/>
    <col min="13839" max="13840" width="10.5703125" style="459" customWidth="1"/>
    <col min="13841" max="13841" width="9.42578125" style="459" customWidth="1"/>
    <col min="13842" max="14080" width="9.140625" style="459"/>
    <col min="14081" max="14081" width="5" style="459" customWidth="1"/>
    <col min="14082" max="14082" width="40.7109375" style="459" customWidth="1"/>
    <col min="14083" max="14083" width="10.140625" style="459" customWidth="1"/>
    <col min="14084" max="14084" width="41.7109375" style="459" customWidth="1"/>
    <col min="14085" max="14085" width="34.5703125" style="459" customWidth="1"/>
    <col min="14086" max="14086" width="20.42578125" style="459" customWidth="1"/>
    <col min="14087" max="14087" width="36" style="459" customWidth="1"/>
    <col min="14088" max="14090" width="9.140625" style="459"/>
    <col min="14091" max="14092" width="9.5703125" style="459" customWidth="1"/>
    <col min="14093" max="14093" width="9.42578125" style="459" customWidth="1"/>
    <col min="14094" max="14094" width="9.140625" style="459"/>
    <col min="14095" max="14096" width="10.5703125" style="459" customWidth="1"/>
    <col min="14097" max="14097" width="9.42578125" style="459" customWidth="1"/>
    <col min="14098" max="14336" width="9.140625" style="459"/>
    <col min="14337" max="14337" width="5" style="459" customWidth="1"/>
    <col min="14338" max="14338" width="40.7109375" style="459" customWidth="1"/>
    <col min="14339" max="14339" width="10.140625" style="459" customWidth="1"/>
    <col min="14340" max="14340" width="41.7109375" style="459" customWidth="1"/>
    <col min="14341" max="14341" width="34.5703125" style="459" customWidth="1"/>
    <col min="14342" max="14342" width="20.42578125" style="459" customWidth="1"/>
    <col min="14343" max="14343" width="36" style="459" customWidth="1"/>
    <col min="14344" max="14346" width="9.140625" style="459"/>
    <col min="14347" max="14348" width="9.5703125" style="459" customWidth="1"/>
    <col min="14349" max="14349" width="9.42578125" style="459" customWidth="1"/>
    <col min="14350" max="14350" width="9.140625" style="459"/>
    <col min="14351" max="14352" width="10.5703125" style="459" customWidth="1"/>
    <col min="14353" max="14353" width="9.42578125" style="459" customWidth="1"/>
    <col min="14354" max="14592" width="9.140625" style="459"/>
    <col min="14593" max="14593" width="5" style="459" customWidth="1"/>
    <col min="14594" max="14594" width="40.7109375" style="459" customWidth="1"/>
    <col min="14595" max="14595" width="10.140625" style="459" customWidth="1"/>
    <col min="14596" max="14596" width="41.7109375" style="459" customWidth="1"/>
    <col min="14597" max="14597" width="34.5703125" style="459" customWidth="1"/>
    <col min="14598" max="14598" width="20.42578125" style="459" customWidth="1"/>
    <col min="14599" max="14599" width="36" style="459" customWidth="1"/>
    <col min="14600" max="14602" width="9.140625" style="459"/>
    <col min="14603" max="14604" width="9.5703125" style="459" customWidth="1"/>
    <col min="14605" max="14605" width="9.42578125" style="459" customWidth="1"/>
    <col min="14606" max="14606" width="9.140625" style="459"/>
    <col min="14607" max="14608" width="10.5703125" style="459" customWidth="1"/>
    <col min="14609" max="14609" width="9.42578125" style="459" customWidth="1"/>
    <col min="14610" max="14848" width="9.140625" style="459"/>
    <col min="14849" max="14849" width="5" style="459" customWidth="1"/>
    <col min="14850" max="14850" width="40.7109375" style="459" customWidth="1"/>
    <col min="14851" max="14851" width="10.140625" style="459" customWidth="1"/>
    <col min="14852" max="14852" width="41.7109375" style="459" customWidth="1"/>
    <col min="14853" max="14853" width="34.5703125" style="459" customWidth="1"/>
    <col min="14854" max="14854" width="20.42578125" style="459" customWidth="1"/>
    <col min="14855" max="14855" width="36" style="459" customWidth="1"/>
    <col min="14856" max="14858" width="9.140625" style="459"/>
    <col min="14859" max="14860" width="9.5703125" style="459" customWidth="1"/>
    <col min="14861" max="14861" width="9.42578125" style="459" customWidth="1"/>
    <col min="14862" max="14862" width="9.140625" style="459"/>
    <col min="14863" max="14864" width="10.5703125" style="459" customWidth="1"/>
    <col min="14865" max="14865" width="9.42578125" style="459" customWidth="1"/>
    <col min="14866" max="15104" width="9.140625" style="459"/>
    <col min="15105" max="15105" width="5" style="459" customWidth="1"/>
    <col min="15106" max="15106" width="40.7109375" style="459" customWidth="1"/>
    <col min="15107" max="15107" width="10.140625" style="459" customWidth="1"/>
    <col min="15108" max="15108" width="41.7109375" style="459" customWidth="1"/>
    <col min="15109" max="15109" width="34.5703125" style="459" customWidth="1"/>
    <col min="15110" max="15110" width="20.42578125" style="459" customWidth="1"/>
    <col min="15111" max="15111" width="36" style="459" customWidth="1"/>
    <col min="15112" max="15114" width="9.140625" style="459"/>
    <col min="15115" max="15116" width="9.5703125" style="459" customWidth="1"/>
    <col min="15117" max="15117" width="9.42578125" style="459" customWidth="1"/>
    <col min="15118" max="15118" width="9.140625" style="459"/>
    <col min="15119" max="15120" width="10.5703125" style="459" customWidth="1"/>
    <col min="15121" max="15121" width="9.42578125" style="459" customWidth="1"/>
    <col min="15122" max="15360" width="9.140625" style="459"/>
    <col min="15361" max="15361" width="5" style="459" customWidth="1"/>
    <col min="15362" max="15362" width="40.7109375" style="459" customWidth="1"/>
    <col min="15363" max="15363" width="10.140625" style="459" customWidth="1"/>
    <col min="15364" max="15364" width="41.7109375" style="459" customWidth="1"/>
    <col min="15365" max="15365" width="34.5703125" style="459" customWidth="1"/>
    <col min="15366" max="15366" width="20.42578125" style="459" customWidth="1"/>
    <col min="15367" max="15367" width="36" style="459" customWidth="1"/>
    <col min="15368" max="15370" width="9.140625" style="459"/>
    <col min="15371" max="15372" width="9.5703125" style="459" customWidth="1"/>
    <col min="15373" max="15373" width="9.42578125" style="459" customWidth="1"/>
    <col min="15374" max="15374" width="9.140625" style="459"/>
    <col min="15375" max="15376" width="10.5703125" style="459" customWidth="1"/>
    <col min="15377" max="15377" width="9.42578125" style="459" customWidth="1"/>
    <col min="15378" max="15616" width="9.140625" style="459"/>
    <col min="15617" max="15617" width="5" style="459" customWidth="1"/>
    <col min="15618" max="15618" width="40.7109375" style="459" customWidth="1"/>
    <col min="15619" max="15619" width="10.140625" style="459" customWidth="1"/>
    <col min="15620" max="15620" width="41.7109375" style="459" customWidth="1"/>
    <col min="15621" max="15621" width="34.5703125" style="459" customWidth="1"/>
    <col min="15622" max="15622" width="20.42578125" style="459" customWidth="1"/>
    <col min="15623" max="15623" width="36" style="459" customWidth="1"/>
    <col min="15624" max="15626" width="9.140625" style="459"/>
    <col min="15627" max="15628" width="9.5703125" style="459" customWidth="1"/>
    <col min="15629" max="15629" width="9.42578125" style="459" customWidth="1"/>
    <col min="15630" max="15630" width="9.140625" style="459"/>
    <col min="15631" max="15632" width="10.5703125" style="459" customWidth="1"/>
    <col min="15633" max="15633" width="9.42578125" style="459" customWidth="1"/>
    <col min="15634" max="15872" width="9.140625" style="459"/>
    <col min="15873" max="15873" width="5" style="459" customWidth="1"/>
    <col min="15874" max="15874" width="40.7109375" style="459" customWidth="1"/>
    <col min="15875" max="15875" width="10.140625" style="459" customWidth="1"/>
    <col min="15876" max="15876" width="41.7109375" style="459" customWidth="1"/>
    <col min="15877" max="15877" width="34.5703125" style="459" customWidth="1"/>
    <col min="15878" max="15878" width="20.42578125" style="459" customWidth="1"/>
    <col min="15879" max="15879" width="36" style="459" customWidth="1"/>
    <col min="15880" max="15882" width="9.140625" style="459"/>
    <col min="15883" max="15884" width="9.5703125" style="459" customWidth="1"/>
    <col min="15885" max="15885" width="9.42578125" style="459" customWidth="1"/>
    <col min="15886" max="15886" width="9.140625" style="459"/>
    <col min="15887" max="15888" width="10.5703125" style="459" customWidth="1"/>
    <col min="15889" max="15889" width="9.42578125" style="459" customWidth="1"/>
    <col min="15890" max="16128" width="9.140625" style="459"/>
    <col min="16129" max="16129" width="5" style="459" customWidth="1"/>
    <col min="16130" max="16130" width="40.7109375" style="459" customWidth="1"/>
    <col min="16131" max="16131" width="10.140625" style="459" customWidth="1"/>
    <col min="16132" max="16132" width="41.7109375" style="459" customWidth="1"/>
    <col min="16133" max="16133" width="34.5703125" style="459" customWidth="1"/>
    <col min="16134" max="16134" width="20.42578125" style="459" customWidth="1"/>
    <col min="16135" max="16135" width="36" style="459" customWidth="1"/>
    <col min="16136" max="16138" width="9.140625" style="459"/>
    <col min="16139" max="16140" width="9.5703125" style="459" customWidth="1"/>
    <col min="16141" max="16141" width="9.42578125" style="459" customWidth="1"/>
    <col min="16142" max="16142" width="9.140625" style="459"/>
    <col min="16143" max="16144" width="10.5703125" style="459" customWidth="1"/>
    <col min="16145" max="16145" width="9.42578125" style="459" customWidth="1"/>
    <col min="16146" max="16384" width="9.140625" style="459"/>
  </cols>
  <sheetData>
    <row r="1" spans="1:252" ht="127.5" x14ac:dyDescent="0.2">
      <c r="A1" s="494"/>
      <c r="B1" s="495"/>
      <c r="C1" s="495"/>
      <c r="D1" s="495"/>
      <c r="E1" s="495"/>
      <c r="F1" s="495"/>
      <c r="G1" s="495"/>
      <c r="H1" s="495"/>
      <c r="I1" s="495"/>
      <c r="J1" s="495"/>
      <c r="K1" s="496"/>
      <c r="L1" s="496"/>
      <c r="M1" s="496"/>
      <c r="N1" s="495"/>
      <c r="O1" s="523" t="s">
        <v>15</v>
      </c>
      <c r="P1" s="523"/>
      <c r="Q1" s="523"/>
      <c r="R1" s="524"/>
      <c r="S1" s="524"/>
      <c r="T1" s="524"/>
      <c r="U1" s="524"/>
      <c r="V1" s="524"/>
      <c r="W1" s="524"/>
      <c r="X1" s="524"/>
      <c r="Y1" s="524"/>
      <c r="Z1" s="524"/>
      <c r="AA1" s="524"/>
      <c r="AB1" s="524"/>
      <c r="AC1" s="524"/>
      <c r="AD1" s="524"/>
      <c r="AE1" s="524"/>
      <c r="AF1" s="524"/>
      <c r="AG1" s="524"/>
      <c r="AH1" s="524"/>
      <c r="AI1" s="524"/>
      <c r="AJ1" s="524"/>
      <c r="AK1" s="524"/>
      <c r="AL1" s="524"/>
      <c r="AM1" s="524"/>
      <c r="AN1" s="524"/>
      <c r="AO1" s="524"/>
      <c r="AP1" s="524"/>
      <c r="AQ1" s="524"/>
      <c r="AR1" s="524"/>
      <c r="AS1" s="524"/>
      <c r="AT1" s="524"/>
      <c r="AU1" s="524"/>
      <c r="AV1" s="524"/>
      <c r="AW1" s="524"/>
      <c r="AX1" s="524"/>
      <c r="AY1" s="524"/>
      <c r="AZ1" s="524"/>
      <c r="BA1" s="524"/>
      <c r="BB1" s="524"/>
      <c r="BC1" s="524"/>
      <c r="BD1" s="524"/>
      <c r="BE1" s="524"/>
      <c r="BF1" s="524"/>
      <c r="BG1" s="524"/>
      <c r="BH1" s="524"/>
      <c r="BI1" s="524"/>
      <c r="BJ1" s="524"/>
      <c r="BK1" s="524"/>
      <c r="BL1" s="524"/>
      <c r="BM1" s="524"/>
      <c r="BN1" s="524"/>
      <c r="BO1" s="524"/>
      <c r="BP1" s="524"/>
      <c r="BQ1" s="524"/>
      <c r="BR1" s="524"/>
      <c r="BS1" s="524"/>
      <c r="BT1" s="524"/>
      <c r="BU1" s="524"/>
      <c r="BV1" s="524"/>
      <c r="BW1" s="524"/>
      <c r="BX1" s="524"/>
      <c r="BY1" s="524"/>
      <c r="BZ1" s="524"/>
      <c r="CA1" s="524"/>
      <c r="CB1" s="524"/>
      <c r="CC1" s="524"/>
      <c r="CD1" s="524"/>
      <c r="CE1" s="524"/>
      <c r="CF1" s="524"/>
      <c r="CG1" s="524"/>
      <c r="CH1" s="524"/>
      <c r="CI1" s="524"/>
      <c r="CJ1" s="524"/>
      <c r="CK1" s="524"/>
      <c r="CL1" s="524"/>
      <c r="CM1" s="524"/>
      <c r="CN1" s="524"/>
      <c r="CO1" s="524"/>
      <c r="CP1" s="524"/>
      <c r="CQ1" s="524"/>
      <c r="CR1" s="524"/>
      <c r="CS1" s="524"/>
      <c r="CT1" s="524"/>
      <c r="CU1" s="524"/>
      <c r="CV1" s="524"/>
      <c r="CW1" s="524"/>
      <c r="CX1" s="524"/>
      <c r="CY1" s="524"/>
      <c r="CZ1" s="524"/>
      <c r="DA1" s="524"/>
      <c r="DB1" s="524"/>
      <c r="DC1" s="524"/>
      <c r="DD1" s="524"/>
      <c r="DE1" s="524"/>
      <c r="DF1" s="524"/>
      <c r="DG1" s="524"/>
      <c r="DH1" s="524"/>
      <c r="DI1" s="524"/>
      <c r="DJ1" s="524"/>
      <c r="DK1" s="524"/>
      <c r="DL1" s="524"/>
      <c r="DM1" s="524"/>
      <c r="DN1" s="524"/>
      <c r="DO1" s="524"/>
      <c r="DP1" s="524"/>
      <c r="DQ1" s="524"/>
      <c r="DR1" s="524"/>
      <c r="DS1" s="524"/>
      <c r="DT1" s="524"/>
      <c r="DU1" s="524"/>
      <c r="DV1" s="524"/>
      <c r="DW1" s="524"/>
      <c r="DX1" s="524"/>
      <c r="DY1" s="524"/>
      <c r="DZ1" s="524"/>
      <c r="EA1" s="524"/>
      <c r="EB1" s="524"/>
      <c r="EC1" s="524"/>
      <c r="ED1" s="524"/>
      <c r="EE1" s="524"/>
      <c r="EF1" s="524"/>
      <c r="EG1" s="524"/>
      <c r="EH1" s="524"/>
      <c r="EI1" s="524"/>
      <c r="EJ1" s="524"/>
      <c r="EK1" s="524"/>
      <c r="EL1" s="524"/>
      <c r="EM1" s="524"/>
      <c r="EN1" s="524"/>
      <c r="EO1" s="524"/>
      <c r="EP1" s="524"/>
      <c r="EQ1" s="524"/>
      <c r="ER1" s="524"/>
      <c r="ES1" s="524"/>
      <c r="ET1" s="524"/>
      <c r="EU1" s="524"/>
      <c r="EV1" s="524"/>
      <c r="EW1" s="524"/>
      <c r="EX1" s="524"/>
      <c r="EY1" s="524"/>
      <c r="EZ1" s="524"/>
      <c r="FA1" s="524"/>
      <c r="FB1" s="524"/>
      <c r="FC1" s="524"/>
      <c r="FD1" s="524"/>
      <c r="FE1" s="524"/>
      <c r="FF1" s="524"/>
      <c r="FG1" s="524"/>
      <c r="FH1" s="524"/>
      <c r="FI1" s="524"/>
      <c r="FJ1" s="524"/>
      <c r="FK1" s="524"/>
      <c r="FL1" s="524"/>
      <c r="FM1" s="524"/>
      <c r="FN1" s="524"/>
      <c r="FO1" s="524"/>
      <c r="FP1" s="524"/>
      <c r="FQ1" s="524"/>
      <c r="FR1" s="524"/>
      <c r="FS1" s="524"/>
      <c r="FT1" s="524"/>
      <c r="FU1" s="524"/>
      <c r="FV1" s="524"/>
      <c r="FW1" s="524"/>
      <c r="FX1" s="524"/>
      <c r="FY1" s="524"/>
      <c r="FZ1" s="524"/>
      <c r="GA1" s="524"/>
      <c r="GB1" s="524"/>
      <c r="GC1" s="524"/>
      <c r="GD1" s="524"/>
      <c r="GE1" s="524"/>
      <c r="GF1" s="524"/>
      <c r="GG1" s="524"/>
      <c r="GH1" s="524"/>
      <c r="GI1" s="524"/>
      <c r="GJ1" s="524"/>
      <c r="GK1" s="524"/>
      <c r="GL1" s="524"/>
      <c r="GM1" s="524"/>
      <c r="GN1" s="524"/>
      <c r="GO1" s="524"/>
      <c r="GP1" s="524"/>
      <c r="GQ1" s="524"/>
      <c r="GR1" s="524"/>
      <c r="GS1" s="524"/>
      <c r="GT1" s="524"/>
      <c r="GU1" s="524"/>
      <c r="GV1" s="524"/>
      <c r="GW1" s="524"/>
      <c r="GX1" s="524"/>
      <c r="GY1" s="524"/>
      <c r="GZ1" s="524"/>
      <c r="HA1" s="524"/>
      <c r="HB1" s="524"/>
      <c r="HC1" s="524"/>
      <c r="HD1" s="524"/>
      <c r="HE1" s="524"/>
      <c r="HF1" s="524"/>
      <c r="HG1" s="524"/>
      <c r="HH1" s="524"/>
      <c r="HI1" s="524"/>
      <c r="HJ1" s="524"/>
      <c r="HK1" s="524"/>
      <c r="HL1" s="524"/>
      <c r="HM1" s="524"/>
      <c r="HN1" s="524"/>
      <c r="HO1" s="524"/>
      <c r="HP1" s="524"/>
      <c r="HQ1" s="524"/>
      <c r="HR1" s="524"/>
      <c r="HS1" s="524"/>
      <c r="HT1" s="524"/>
      <c r="HU1" s="524"/>
      <c r="HV1" s="524"/>
      <c r="HW1" s="524"/>
      <c r="HX1" s="524"/>
      <c r="HY1" s="524"/>
      <c r="HZ1" s="524"/>
      <c r="IA1" s="524"/>
      <c r="IB1" s="524"/>
      <c r="IC1" s="524"/>
      <c r="ID1" s="524"/>
      <c r="IE1" s="524"/>
      <c r="IF1" s="524"/>
      <c r="IG1" s="524"/>
      <c r="IH1" s="524"/>
      <c r="II1" s="524"/>
      <c r="IJ1" s="524"/>
      <c r="IK1" s="524"/>
      <c r="IL1" s="524"/>
      <c r="IM1" s="524"/>
      <c r="IN1" s="524"/>
      <c r="IO1" s="524"/>
      <c r="IP1" s="524"/>
      <c r="IQ1" s="524"/>
      <c r="IR1" s="524"/>
    </row>
    <row r="2" spans="1:252" x14ac:dyDescent="0.2">
      <c r="A2" s="494"/>
      <c r="B2" s="495"/>
      <c r="C2" s="495"/>
      <c r="D2" s="495"/>
      <c r="E2" s="495"/>
      <c r="F2" s="495"/>
      <c r="G2" s="495"/>
      <c r="H2" s="495"/>
      <c r="I2" s="495"/>
      <c r="J2" s="495"/>
      <c r="K2" s="496"/>
      <c r="L2" s="496"/>
      <c r="M2" s="496"/>
      <c r="N2" s="495"/>
      <c r="O2" s="496"/>
      <c r="P2" s="496"/>
      <c r="Q2" s="496"/>
      <c r="R2" s="524"/>
      <c r="S2" s="524"/>
      <c r="T2" s="524"/>
      <c r="U2" s="524"/>
      <c r="V2" s="524"/>
      <c r="W2" s="524"/>
      <c r="X2" s="524"/>
      <c r="Y2" s="524"/>
      <c r="Z2" s="524"/>
      <c r="AA2" s="524"/>
      <c r="AB2" s="524"/>
      <c r="AC2" s="524"/>
      <c r="AD2" s="524"/>
      <c r="AE2" s="524"/>
      <c r="AF2" s="524"/>
      <c r="AG2" s="524"/>
      <c r="AH2" s="524"/>
      <c r="AI2" s="524"/>
      <c r="AJ2" s="524"/>
      <c r="AK2" s="524"/>
      <c r="AL2" s="524"/>
      <c r="AM2" s="524"/>
      <c r="AN2" s="524"/>
      <c r="AO2" s="524"/>
      <c r="AP2" s="524"/>
      <c r="AQ2" s="524"/>
      <c r="AR2" s="524"/>
      <c r="AS2" s="524"/>
      <c r="AT2" s="524"/>
      <c r="AU2" s="524"/>
      <c r="AV2" s="524"/>
      <c r="AW2" s="524"/>
      <c r="AX2" s="524"/>
      <c r="AY2" s="524"/>
      <c r="AZ2" s="524"/>
      <c r="BA2" s="524"/>
      <c r="BB2" s="524"/>
      <c r="BC2" s="524"/>
      <c r="BD2" s="524"/>
      <c r="BE2" s="524"/>
      <c r="BF2" s="524"/>
      <c r="BG2" s="524"/>
      <c r="BH2" s="524"/>
      <c r="BI2" s="524"/>
      <c r="BJ2" s="524"/>
      <c r="BK2" s="524"/>
      <c r="BL2" s="524"/>
      <c r="BM2" s="524"/>
      <c r="BN2" s="524"/>
      <c r="BO2" s="524"/>
      <c r="BP2" s="524"/>
      <c r="BQ2" s="524"/>
      <c r="BR2" s="524"/>
      <c r="BS2" s="524"/>
      <c r="BT2" s="524"/>
      <c r="BU2" s="524"/>
      <c r="BV2" s="524"/>
      <c r="BW2" s="524"/>
      <c r="BX2" s="524"/>
      <c r="BY2" s="524"/>
      <c r="BZ2" s="524"/>
      <c r="CA2" s="524"/>
      <c r="CB2" s="524"/>
      <c r="CC2" s="524"/>
      <c r="CD2" s="524"/>
      <c r="CE2" s="524"/>
      <c r="CF2" s="524"/>
      <c r="CG2" s="524"/>
      <c r="CH2" s="524"/>
      <c r="CI2" s="524"/>
      <c r="CJ2" s="524"/>
      <c r="CK2" s="524"/>
      <c r="CL2" s="524"/>
      <c r="CM2" s="524"/>
      <c r="CN2" s="524"/>
      <c r="CO2" s="524"/>
      <c r="CP2" s="524"/>
      <c r="CQ2" s="524"/>
      <c r="CR2" s="524"/>
      <c r="CS2" s="524"/>
      <c r="CT2" s="524"/>
      <c r="CU2" s="524"/>
      <c r="CV2" s="524"/>
      <c r="CW2" s="524"/>
      <c r="CX2" s="524"/>
      <c r="CY2" s="524"/>
      <c r="CZ2" s="524"/>
      <c r="DA2" s="524"/>
      <c r="DB2" s="524"/>
      <c r="DC2" s="524"/>
      <c r="DD2" s="524"/>
      <c r="DE2" s="524"/>
      <c r="DF2" s="524"/>
      <c r="DG2" s="524"/>
      <c r="DH2" s="524"/>
      <c r="DI2" s="524"/>
      <c r="DJ2" s="524"/>
      <c r="DK2" s="524"/>
      <c r="DL2" s="524"/>
      <c r="DM2" s="524"/>
      <c r="DN2" s="524"/>
      <c r="DO2" s="524"/>
      <c r="DP2" s="524"/>
      <c r="DQ2" s="524"/>
      <c r="DR2" s="524"/>
      <c r="DS2" s="524"/>
      <c r="DT2" s="524"/>
      <c r="DU2" s="524"/>
      <c r="DV2" s="524"/>
      <c r="DW2" s="524"/>
      <c r="DX2" s="524"/>
      <c r="DY2" s="524"/>
      <c r="DZ2" s="524"/>
      <c r="EA2" s="524"/>
      <c r="EB2" s="524"/>
      <c r="EC2" s="524"/>
      <c r="ED2" s="524"/>
      <c r="EE2" s="524"/>
      <c r="EF2" s="524"/>
      <c r="EG2" s="524"/>
      <c r="EH2" s="524"/>
      <c r="EI2" s="524"/>
      <c r="EJ2" s="524"/>
      <c r="EK2" s="524"/>
      <c r="EL2" s="524"/>
      <c r="EM2" s="524"/>
      <c r="EN2" s="524"/>
      <c r="EO2" s="524"/>
      <c r="EP2" s="524"/>
      <c r="EQ2" s="524"/>
      <c r="ER2" s="524"/>
      <c r="ES2" s="524"/>
      <c r="ET2" s="524"/>
      <c r="EU2" s="524"/>
      <c r="EV2" s="524"/>
      <c r="EW2" s="524"/>
      <c r="EX2" s="524"/>
      <c r="EY2" s="524"/>
      <c r="EZ2" s="524"/>
      <c r="FA2" s="524"/>
      <c r="FB2" s="524"/>
      <c r="FC2" s="524"/>
      <c r="FD2" s="524"/>
      <c r="FE2" s="524"/>
      <c r="FF2" s="524"/>
      <c r="FG2" s="524"/>
      <c r="FH2" s="524"/>
      <c r="FI2" s="524"/>
      <c r="FJ2" s="524"/>
      <c r="FK2" s="524"/>
      <c r="FL2" s="524"/>
      <c r="FM2" s="524"/>
      <c r="FN2" s="524"/>
      <c r="FO2" s="524"/>
      <c r="FP2" s="524"/>
      <c r="FQ2" s="524"/>
      <c r="FR2" s="524"/>
      <c r="FS2" s="524"/>
      <c r="FT2" s="524"/>
      <c r="FU2" s="524"/>
      <c r="FV2" s="524"/>
      <c r="FW2" s="524"/>
      <c r="FX2" s="524"/>
      <c r="FY2" s="524"/>
      <c r="FZ2" s="524"/>
      <c r="GA2" s="524"/>
      <c r="GB2" s="524"/>
      <c r="GC2" s="524"/>
      <c r="GD2" s="524"/>
      <c r="GE2" s="524"/>
      <c r="GF2" s="524"/>
      <c r="GG2" s="524"/>
      <c r="GH2" s="524"/>
      <c r="GI2" s="524"/>
      <c r="GJ2" s="524"/>
      <c r="GK2" s="524"/>
      <c r="GL2" s="524"/>
      <c r="GM2" s="524"/>
      <c r="GN2" s="524"/>
      <c r="GO2" s="524"/>
      <c r="GP2" s="524"/>
      <c r="GQ2" s="524"/>
      <c r="GR2" s="524"/>
      <c r="GS2" s="524"/>
      <c r="GT2" s="524"/>
      <c r="GU2" s="524"/>
      <c r="GV2" s="524"/>
      <c r="GW2" s="524"/>
      <c r="GX2" s="524"/>
      <c r="GY2" s="524"/>
      <c r="GZ2" s="524"/>
      <c r="HA2" s="524"/>
      <c r="HB2" s="524"/>
      <c r="HC2" s="524"/>
      <c r="HD2" s="524"/>
      <c r="HE2" s="524"/>
      <c r="HF2" s="524"/>
      <c r="HG2" s="524"/>
      <c r="HH2" s="524"/>
      <c r="HI2" s="524"/>
      <c r="HJ2" s="524"/>
      <c r="HK2" s="524"/>
      <c r="HL2" s="524"/>
      <c r="HM2" s="524"/>
      <c r="HN2" s="524"/>
      <c r="HO2" s="524"/>
      <c r="HP2" s="524"/>
      <c r="HQ2" s="524"/>
      <c r="HR2" s="524"/>
      <c r="HS2" s="524"/>
      <c r="HT2" s="524"/>
      <c r="HU2" s="524"/>
      <c r="HV2" s="524"/>
      <c r="HW2" s="524"/>
      <c r="HX2" s="524"/>
      <c r="HY2" s="524"/>
      <c r="HZ2" s="524"/>
      <c r="IA2" s="524"/>
      <c r="IB2" s="524"/>
      <c r="IC2" s="524"/>
      <c r="ID2" s="524"/>
      <c r="IE2" s="524"/>
      <c r="IF2" s="524"/>
      <c r="IG2" s="524"/>
      <c r="IH2" s="524"/>
      <c r="II2" s="524"/>
      <c r="IJ2" s="524"/>
      <c r="IK2" s="524"/>
      <c r="IL2" s="524"/>
      <c r="IM2" s="524"/>
      <c r="IN2" s="524"/>
      <c r="IO2" s="524"/>
      <c r="IP2" s="524"/>
      <c r="IQ2" s="524"/>
      <c r="IR2" s="524"/>
    </row>
    <row r="3" spans="1:252" ht="15" x14ac:dyDescent="0.2">
      <c r="A3" s="497" t="s">
        <v>669</v>
      </c>
      <c r="B3" s="497"/>
      <c r="C3" s="497"/>
      <c r="D3" s="497"/>
      <c r="E3" s="497"/>
      <c r="F3" s="497"/>
      <c r="G3" s="497"/>
      <c r="H3" s="497"/>
      <c r="I3" s="497"/>
      <c r="J3" s="497"/>
      <c r="K3" s="497"/>
      <c r="L3" s="497"/>
      <c r="M3" s="497"/>
      <c r="N3" s="497"/>
      <c r="O3" s="497"/>
      <c r="P3" s="497"/>
      <c r="Q3" s="497"/>
      <c r="R3" s="524"/>
      <c r="S3" s="524"/>
      <c r="T3" s="524"/>
      <c r="U3" s="524"/>
      <c r="V3" s="524"/>
      <c r="W3" s="524"/>
      <c r="X3" s="524"/>
      <c r="Y3" s="524"/>
      <c r="Z3" s="524"/>
      <c r="AA3" s="524"/>
      <c r="AB3" s="524"/>
      <c r="AC3" s="524"/>
      <c r="AD3" s="524"/>
      <c r="AE3" s="524"/>
      <c r="AF3" s="524"/>
      <c r="AG3" s="524"/>
      <c r="AH3" s="524"/>
      <c r="AI3" s="524"/>
      <c r="AJ3" s="524"/>
      <c r="AK3" s="524"/>
      <c r="AL3" s="524"/>
      <c r="AM3" s="524"/>
      <c r="AN3" s="524"/>
      <c r="AO3" s="524"/>
      <c r="AP3" s="524"/>
      <c r="AQ3" s="524"/>
      <c r="AR3" s="524"/>
      <c r="AS3" s="524"/>
      <c r="AT3" s="524"/>
      <c r="AU3" s="524"/>
      <c r="AV3" s="524"/>
      <c r="AW3" s="524"/>
      <c r="AX3" s="524"/>
      <c r="AY3" s="524"/>
      <c r="AZ3" s="524"/>
      <c r="BA3" s="524"/>
      <c r="BB3" s="524"/>
      <c r="BC3" s="524"/>
      <c r="BD3" s="524"/>
      <c r="BE3" s="524"/>
      <c r="BF3" s="524"/>
      <c r="BG3" s="524"/>
      <c r="BH3" s="524"/>
      <c r="BI3" s="524"/>
      <c r="BJ3" s="524"/>
      <c r="BK3" s="524"/>
      <c r="BL3" s="524"/>
      <c r="BM3" s="524"/>
      <c r="BN3" s="524"/>
      <c r="BO3" s="524"/>
      <c r="BP3" s="524"/>
      <c r="BQ3" s="524"/>
      <c r="BR3" s="524"/>
      <c r="BS3" s="524"/>
      <c r="BT3" s="524"/>
      <c r="BU3" s="524"/>
      <c r="BV3" s="524"/>
      <c r="BW3" s="524"/>
      <c r="BX3" s="524"/>
      <c r="BY3" s="524"/>
      <c r="BZ3" s="524"/>
      <c r="CA3" s="524"/>
      <c r="CB3" s="524"/>
      <c r="CC3" s="524"/>
      <c r="CD3" s="524"/>
      <c r="CE3" s="524"/>
      <c r="CF3" s="524"/>
      <c r="CG3" s="524"/>
      <c r="CH3" s="524"/>
      <c r="CI3" s="524"/>
      <c r="CJ3" s="524"/>
      <c r="CK3" s="524"/>
      <c r="CL3" s="524"/>
      <c r="CM3" s="524"/>
      <c r="CN3" s="524"/>
      <c r="CO3" s="524"/>
      <c r="CP3" s="524"/>
      <c r="CQ3" s="524"/>
      <c r="CR3" s="524"/>
      <c r="CS3" s="524"/>
      <c r="CT3" s="524"/>
      <c r="CU3" s="524"/>
      <c r="CV3" s="524"/>
      <c r="CW3" s="524"/>
      <c r="CX3" s="524"/>
      <c r="CY3" s="524"/>
      <c r="CZ3" s="524"/>
      <c r="DA3" s="524"/>
      <c r="DB3" s="524"/>
      <c r="DC3" s="524"/>
      <c r="DD3" s="524"/>
      <c r="DE3" s="524"/>
      <c r="DF3" s="524"/>
      <c r="DG3" s="524"/>
      <c r="DH3" s="524"/>
      <c r="DI3" s="524"/>
      <c r="DJ3" s="524"/>
      <c r="DK3" s="524"/>
      <c r="DL3" s="524"/>
      <c r="DM3" s="524"/>
      <c r="DN3" s="524"/>
      <c r="DO3" s="524"/>
      <c r="DP3" s="524"/>
      <c r="DQ3" s="524"/>
      <c r="DR3" s="524"/>
      <c r="DS3" s="524"/>
      <c r="DT3" s="524"/>
      <c r="DU3" s="524"/>
      <c r="DV3" s="524"/>
      <c r="DW3" s="524"/>
      <c r="DX3" s="524"/>
      <c r="DY3" s="524"/>
      <c r="DZ3" s="524"/>
      <c r="EA3" s="524"/>
      <c r="EB3" s="524"/>
      <c r="EC3" s="524"/>
      <c r="ED3" s="524"/>
      <c r="EE3" s="524"/>
      <c r="EF3" s="524"/>
      <c r="EG3" s="524"/>
      <c r="EH3" s="524"/>
      <c r="EI3" s="524"/>
      <c r="EJ3" s="524"/>
      <c r="EK3" s="524"/>
      <c r="EL3" s="524"/>
      <c r="EM3" s="524"/>
      <c r="EN3" s="524"/>
      <c r="EO3" s="524"/>
      <c r="EP3" s="524"/>
      <c r="EQ3" s="524"/>
      <c r="ER3" s="524"/>
      <c r="ES3" s="524"/>
      <c r="ET3" s="524"/>
      <c r="EU3" s="524"/>
      <c r="EV3" s="524"/>
      <c r="EW3" s="524"/>
      <c r="EX3" s="524"/>
      <c r="EY3" s="524"/>
      <c r="EZ3" s="524"/>
      <c r="FA3" s="524"/>
      <c r="FB3" s="524"/>
      <c r="FC3" s="524"/>
      <c r="FD3" s="524"/>
      <c r="FE3" s="524"/>
      <c r="FF3" s="524"/>
      <c r="FG3" s="524"/>
      <c r="FH3" s="524"/>
      <c r="FI3" s="524"/>
      <c r="FJ3" s="524"/>
      <c r="FK3" s="524"/>
      <c r="FL3" s="524"/>
      <c r="FM3" s="524"/>
      <c r="FN3" s="524"/>
      <c r="FO3" s="524"/>
      <c r="FP3" s="524"/>
      <c r="FQ3" s="524"/>
      <c r="FR3" s="524"/>
      <c r="FS3" s="524"/>
      <c r="FT3" s="524"/>
      <c r="FU3" s="524"/>
      <c r="FV3" s="524"/>
      <c r="FW3" s="524"/>
      <c r="FX3" s="524"/>
      <c r="FY3" s="524"/>
      <c r="FZ3" s="524"/>
      <c r="GA3" s="524"/>
      <c r="GB3" s="524"/>
      <c r="GC3" s="524"/>
      <c r="GD3" s="524"/>
      <c r="GE3" s="524"/>
      <c r="GF3" s="524"/>
      <c r="GG3" s="524"/>
      <c r="GH3" s="524"/>
      <c r="GI3" s="524"/>
      <c r="GJ3" s="524"/>
      <c r="GK3" s="524"/>
      <c r="GL3" s="524"/>
      <c r="GM3" s="524"/>
      <c r="GN3" s="524"/>
      <c r="GO3" s="524"/>
      <c r="GP3" s="524"/>
      <c r="GQ3" s="524"/>
      <c r="GR3" s="524"/>
      <c r="GS3" s="524"/>
      <c r="GT3" s="524"/>
      <c r="GU3" s="524"/>
      <c r="GV3" s="524"/>
      <c r="GW3" s="524"/>
      <c r="GX3" s="524"/>
      <c r="GY3" s="524"/>
      <c r="GZ3" s="524"/>
      <c r="HA3" s="524"/>
      <c r="HB3" s="524"/>
      <c r="HC3" s="524"/>
      <c r="HD3" s="524"/>
      <c r="HE3" s="524"/>
      <c r="HF3" s="524"/>
      <c r="HG3" s="524"/>
      <c r="HH3" s="524"/>
      <c r="HI3" s="524"/>
      <c r="HJ3" s="524"/>
      <c r="HK3" s="524"/>
      <c r="HL3" s="524"/>
      <c r="HM3" s="524"/>
      <c r="HN3" s="524"/>
      <c r="HO3" s="524"/>
      <c r="HP3" s="524"/>
      <c r="HQ3" s="524"/>
      <c r="HR3" s="524"/>
      <c r="HS3" s="524"/>
      <c r="HT3" s="524"/>
      <c r="HU3" s="524"/>
      <c r="HV3" s="524"/>
      <c r="HW3" s="524"/>
      <c r="HX3" s="524"/>
      <c r="HY3" s="524"/>
      <c r="HZ3" s="524"/>
      <c r="IA3" s="524"/>
      <c r="IB3" s="524"/>
      <c r="IC3" s="524"/>
      <c r="ID3" s="524"/>
      <c r="IE3" s="524"/>
      <c r="IF3" s="524"/>
      <c r="IG3" s="524"/>
      <c r="IH3" s="524"/>
      <c r="II3" s="524"/>
      <c r="IJ3" s="524"/>
      <c r="IK3" s="524"/>
      <c r="IL3" s="524"/>
      <c r="IM3" s="524"/>
      <c r="IN3" s="524"/>
      <c r="IO3" s="524"/>
      <c r="IP3" s="524"/>
      <c r="IQ3" s="524"/>
      <c r="IR3" s="524"/>
    </row>
    <row r="4" spans="1:252" ht="18.75" x14ac:dyDescent="0.2">
      <c r="A4" s="498" t="s">
        <v>16</v>
      </c>
      <c r="B4" s="498"/>
      <c r="C4" s="498"/>
      <c r="D4" s="498"/>
      <c r="E4" s="498"/>
      <c r="F4" s="498"/>
      <c r="G4" s="498"/>
      <c r="H4" s="498"/>
      <c r="I4" s="498"/>
      <c r="J4" s="498"/>
      <c r="K4" s="498"/>
      <c r="L4" s="498"/>
      <c r="M4" s="498"/>
      <c r="N4" s="498"/>
      <c r="O4" s="498"/>
      <c r="P4" s="498"/>
      <c r="Q4" s="498"/>
      <c r="R4" s="524"/>
      <c r="S4" s="524"/>
      <c r="T4" s="524"/>
      <c r="U4" s="524"/>
      <c r="V4" s="524"/>
      <c r="W4" s="524"/>
      <c r="X4" s="524"/>
      <c r="Y4" s="524"/>
      <c r="Z4" s="524"/>
      <c r="AA4" s="524"/>
      <c r="AB4" s="524"/>
      <c r="AC4" s="524"/>
      <c r="AD4" s="524"/>
      <c r="AE4" s="524"/>
      <c r="AF4" s="524"/>
      <c r="AG4" s="524"/>
      <c r="AH4" s="524"/>
      <c r="AI4" s="524"/>
      <c r="AJ4" s="524"/>
      <c r="AK4" s="524"/>
      <c r="AL4" s="524"/>
      <c r="AM4" s="524"/>
      <c r="AN4" s="524"/>
      <c r="AO4" s="524"/>
      <c r="AP4" s="524"/>
      <c r="AQ4" s="524"/>
      <c r="AR4" s="524"/>
      <c r="AS4" s="524"/>
      <c r="AT4" s="524"/>
      <c r="AU4" s="524"/>
      <c r="AV4" s="524"/>
      <c r="AW4" s="524"/>
      <c r="AX4" s="524"/>
      <c r="AY4" s="524"/>
      <c r="AZ4" s="524"/>
      <c r="BA4" s="524"/>
      <c r="BB4" s="524"/>
      <c r="BC4" s="524"/>
      <c r="BD4" s="524"/>
      <c r="BE4" s="524"/>
      <c r="BF4" s="524"/>
      <c r="BG4" s="524"/>
      <c r="BH4" s="524"/>
      <c r="BI4" s="524"/>
      <c r="BJ4" s="524"/>
      <c r="BK4" s="524"/>
      <c r="BL4" s="524"/>
      <c r="BM4" s="524"/>
      <c r="BN4" s="524"/>
      <c r="BO4" s="524"/>
      <c r="BP4" s="524"/>
      <c r="BQ4" s="524"/>
      <c r="BR4" s="524"/>
      <c r="BS4" s="524"/>
      <c r="BT4" s="524"/>
      <c r="BU4" s="524"/>
      <c r="BV4" s="524"/>
      <c r="BW4" s="524"/>
      <c r="BX4" s="524"/>
      <c r="BY4" s="524"/>
      <c r="BZ4" s="524"/>
      <c r="CA4" s="524"/>
      <c r="CB4" s="524"/>
      <c r="CC4" s="524"/>
      <c r="CD4" s="524"/>
      <c r="CE4" s="524"/>
      <c r="CF4" s="524"/>
      <c r="CG4" s="524"/>
      <c r="CH4" s="524"/>
      <c r="CI4" s="524"/>
      <c r="CJ4" s="524"/>
      <c r="CK4" s="524"/>
      <c r="CL4" s="524"/>
      <c r="CM4" s="524"/>
      <c r="CN4" s="524"/>
      <c r="CO4" s="524"/>
      <c r="CP4" s="524"/>
      <c r="CQ4" s="524"/>
      <c r="CR4" s="524"/>
      <c r="CS4" s="524"/>
      <c r="CT4" s="524"/>
      <c r="CU4" s="524"/>
      <c r="CV4" s="524"/>
      <c r="CW4" s="524"/>
      <c r="CX4" s="524"/>
      <c r="CY4" s="524"/>
      <c r="CZ4" s="524"/>
      <c r="DA4" s="524"/>
      <c r="DB4" s="524"/>
      <c r="DC4" s="524"/>
      <c r="DD4" s="524"/>
      <c r="DE4" s="524"/>
      <c r="DF4" s="524"/>
      <c r="DG4" s="524"/>
      <c r="DH4" s="524"/>
      <c r="DI4" s="524"/>
      <c r="DJ4" s="524"/>
      <c r="DK4" s="524"/>
      <c r="DL4" s="524"/>
      <c r="DM4" s="524"/>
      <c r="DN4" s="524"/>
      <c r="DO4" s="524"/>
      <c r="DP4" s="524"/>
      <c r="DQ4" s="524"/>
      <c r="DR4" s="524"/>
      <c r="DS4" s="524"/>
      <c r="DT4" s="524"/>
      <c r="DU4" s="524"/>
      <c r="DV4" s="524"/>
      <c r="DW4" s="524"/>
      <c r="DX4" s="524"/>
      <c r="DY4" s="524"/>
      <c r="DZ4" s="524"/>
      <c r="EA4" s="524"/>
      <c r="EB4" s="524"/>
      <c r="EC4" s="524"/>
      <c r="ED4" s="524"/>
      <c r="EE4" s="524"/>
      <c r="EF4" s="524"/>
      <c r="EG4" s="524"/>
      <c r="EH4" s="524"/>
      <c r="EI4" s="524"/>
      <c r="EJ4" s="524"/>
      <c r="EK4" s="524"/>
      <c r="EL4" s="524"/>
      <c r="EM4" s="524"/>
      <c r="EN4" s="524"/>
      <c r="EO4" s="524"/>
      <c r="EP4" s="524"/>
      <c r="EQ4" s="524"/>
      <c r="ER4" s="524"/>
      <c r="ES4" s="524"/>
      <c r="ET4" s="524"/>
      <c r="EU4" s="524"/>
      <c r="EV4" s="524"/>
      <c r="EW4" s="524"/>
      <c r="EX4" s="524"/>
      <c r="EY4" s="524"/>
      <c r="EZ4" s="524"/>
      <c r="FA4" s="524"/>
      <c r="FB4" s="524"/>
      <c r="FC4" s="524"/>
      <c r="FD4" s="524"/>
      <c r="FE4" s="524"/>
      <c r="FF4" s="524"/>
      <c r="FG4" s="524"/>
      <c r="FH4" s="524"/>
      <c r="FI4" s="524"/>
      <c r="FJ4" s="524"/>
      <c r="FK4" s="524"/>
      <c r="FL4" s="524"/>
      <c r="FM4" s="524"/>
      <c r="FN4" s="524"/>
      <c r="FO4" s="524"/>
      <c r="FP4" s="524"/>
      <c r="FQ4" s="524"/>
      <c r="FR4" s="524"/>
      <c r="FS4" s="524"/>
      <c r="FT4" s="524"/>
      <c r="FU4" s="524"/>
      <c r="FV4" s="524"/>
      <c r="FW4" s="524"/>
      <c r="FX4" s="524"/>
      <c r="FY4" s="524"/>
      <c r="FZ4" s="524"/>
      <c r="GA4" s="524"/>
      <c r="GB4" s="524"/>
      <c r="GC4" s="524"/>
      <c r="GD4" s="524"/>
      <c r="GE4" s="524"/>
      <c r="GF4" s="524"/>
      <c r="GG4" s="524"/>
      <c r="GH4" s="524"/>
      <c r="GI4" s="524"/>
      <c r="GJ4" s="524"/>
      <c r="GK4" s="524"/>
      <c r="GL4" s="524"/>
      <c r="GM4" s="524"/>
      <c r="GN4" s="524"/>
      <c r="GO4" s="524"/>
      <c r="GP4" s="524"/>
      <c r="GQ4" s="524"/>
      <c r="GR4" s="524"/>
      <c r="GS4" s="524"/>
      <c r="GT4" s="524"/>
      <c r="GU4" s="524"/>
      <c r="GV4" s="524"/>
      <c r="GW4" s="524"/>
      <c r="GX4" s="524"/>
      <c r="GY4" s="524"/>
      <c r="GZ4" s="524"/>
      <c r="HA4" s="524"/>
      <c r="HB4" s="524"/>
      <c r="HC4" s="524"/>
      <c r="HD4" s="524"/>
      <c r="HE4" s="524"/>
      <c r="HF4" s="524"/>
      <c r="HG4" s="524"/>
      <c r="HH4" s="524"/>
      <c r="HI4" s="524"/>
      <c r="HJ4" s="524"/>
      <c r="HK4" s="524"/>
      <c r="HL4" s="524"/>
      <c r="HM4" s="524"/>
      <c r="HN4" s="524"/>
      <c r="HO4" s="524"/>
      <c r="HP4" s="524"/>
      <c r="HQ4" s="524"/>
      <c r="HR4" s="524"/>
      <c r="HS4" s="524"/>
      <c r="HT4" s="524"/>
      <c r="HU4" s="524"/>
      <c r="HV4" s="524"/>
      <c r="HW4" s="524"/>
      <c r="HX4" s="524"/>
      <c r="HY4" s="524"/>
      <c r="HZ4" s="524"/>
      <c r="IA4" s="524"/>
      <c r="IB4" s="524"/>
      <c r="IC4" s="524"/>
      <c r="ID4" s="524"/>
      <c r="IE4" s="524"/>
      <c r="IF4" s="524"/>
      <c r="IG4" s="524"/>
      <c r="IH4" s="524"/>
      <c r="II4" s="524"/>
      <c r="IJ4" s="524"/>
      <c r="IK4" s="524"/>
      <c r="IL4" s="524"/>
      <c r="IM4" s="524"/>
      <c r="IN4" s="524"/>
      <c r="IO4" s="524"/>
      <c r="IP4" s="524"/>
      <c r="IQ4" s="524"/>
      <c r="IR4" s="524"/>
    </row>
    <row r="5" spans="1:252" x14ac:dyDescent="0.2">
      <c r="A5" s="499" t="s">
        <v>14</v>
      </c>
      <c r="B5" s="499"/>
      <c r="C5" s="499"/>
      <c r="D5" s="499"/>
      <c r="E5" s="499"/>
      <c r="F5" s="499"/>
      <c r="G5" s="499"/>
      <c r="H5" s="499"/>
      <c r="I5" s="499"/>
      <c r="J5" s="499"/>
      <c r="K5" s="499"/>
      <c r="L5" s="499"/>
      <c r="M5" s="499"/>
      <c r="N5" s="499"/>
      <c r="O5" s="499"/>
      <c r="P5" s="499"/>
      <c r="Q5" s="499"/>
      <c r="R5" s="524"/>
      <c r="S5" s="524"/>
      <c r="T5" s="524"/>
      <c r="U5" s="524"/>
      <c r="V5" s="524"/>
      <c r="W5" s="524"/>
      <c r="X5" s="524"/>
      <c r="Y5" s="524"/>
      <c r="Z5" s="524"/>
      <c r="AA5" s="524"/>
      <c r="AB5" s="524"/>
      <c r="AC5" s="524"/>
      <c r="AD5" s="524"/>
      <c r="AE5" s="524"/>
      <c r="AF5" s="524"/>
      <c r="AG5" s="524"/>
      <c r="AH5" s="524"/>
      <c r="AI5" s="524"/>
      <c r="AJ5" s="524"/>
      <c r="AK5" s="524"/>
      <c r="AL5" s="524"/>
      <c r="AM5" s="524"/>
      <c r="AN5" s="524"/>
      <c r="AO5" s="524"/>
      <c r="AP5" s="524"/>
      <c r="AQ5" s="524"/>
      <c r="AR5" s="524"/>
      <c r="AS5" s="524"/>
      <c r="AT5" s="524"/>
      <c r="AU5" s="524"/>
      <c r="AV5" s="524"/>
      <c r="AW5" s="524"/>
      <c r="AX5" s="524"/>
      <c r="AY5" s="524"/>
      <c r="AZ5" s="524"/>
      <c r="BA5" s="524"/>
      <c r="BB5" s="524"/>
      <c r="BC5" s="524"/>
      <c r="BD5" s="524"/>
      <c r="BE5" s="524"/>
      <c r="BF5" s="524"/>
      <c r="BG5" s="524"/>
      <c r="BH5" s="524"/>
      <c r="BI5" s="524"/>
      <c r="BJ5" s="524"/>
      <c r="BK5" s="524"/>
      <c r="BL5" s="524"/>
      <c r="BM5" s="524"/>
      <c r="BN5" s="524"/>
      <c r="BO5" s="524"/>
      <c r="BP5" s="524"/>
      <c r="BQ5" s="524"/>
      <c r="BR5" s="524"/>
      <c r="BS5" s="524"/>
      <c r="BT5" s="524"/>
      <c r="BU5" s="524"/>
      <c r="BV5" s="524"/>
      <c r="BW5" s="524"/>
      <c r="BX5" s="524"/>
      <c r="BY5" s="524"/>
      <c r="BZ5" s="524"/>
      <c r="CA5" s="524"/>
      <c r="CB5" s="524"/>
      <c r="CC5" s="524"/>
      <c r="CD5" s="524"/>
      <c r="CE5" s="524"/>
      <c r="CF5" s="524"/>
      <c r="CG5" s="524"/>
      <c r="CH5" s="524"/>
      <c r="CI5" s="524"/>
      <c r="CJ5" s="524"/>
      <c r="CK5" s="524"/>
      <c r="CL5" s="524"/>
      <c r="CM5" s="524"/>
      <c r="CN5" s="524"/>
      <c r="CO5" s="524"/>
      <c r="CP5" s="524"/>
      <c r="CQ5" s="524"/>
      <c r="CR5" s="524"/>
      <c r="CS5" s="524"/>
      <c r="CT5" s="524"/>
      <c r="CU5" s="524"/>
      <c r="CV5" s="524"/>
      <c r="CW5" s="524"/>
      <c r="CX5" s="524"/>
      <c r="CY5" s="524"/>
      <c r="CZ5" s="524"/>
      <c r="DA5" s="524"/>
      <c r="DB5" s="524"/>
      <c r="DC5" s="524"/>
      <c r="DD5" s="524"/>
      <c r="DE5" s="524"/>
      <c r="DF5" s="524"/>
      <c r="DG5" s="524"/>
      <c r="DH5" s="524"/>
      <c r="DI5" s="524"/>
      <c r="DJ5" s="524"/>
      <c r="DK5" s="524"/>
      <c r="DL5" s="524"/>
      <c r="DM5" s="524"/>
      <c r="DN5" s="524"/>
      <c r="DO5" s="524"/>
      <c r="DP5" s="524"/>
      <c r="DQ5" s="524"/>
      <c r="DR5" s="524"/>
      <c r="DS5" s="524"/>
      <c r="DT5" s="524"/>
      <c r="DU5" s="524"/>
      <c r="DV5" s="524"/>
      <c r="DW5" s="524"/>
      <c r="DX5" s="524"/>
      <c r="DY5" s="524"/>
      <c r="DZ5" s="524"/>
      <c r="EA5" s="524"/>
      <c r="EB5" s="524"/>
      <c r="EC5" s="524"/>
      <c r="ED5" s="524"/>
      <c r="EE5" s="524"/>
      <c r="EF5" s="524"/>
      <c r="EG5" s="524"/>
      <c r="EH5" s="524"/>
      <c r="EI5" s="524"/>
      <c r="EJ5" s="524"/>
      <c r="EK5" s="524"/>
      <c r="EL5" s="524"/>
      <c r="EM5" s="524"/>
      <c r="EN5" s="524"/>
      <c r="EO5" s="524"/>
      <c r="EP5" s="524"/>
      <c r="EQ5" s="524"/>
      <c r="ER5" s="524"/>
      <c r="ES5" s="524"/>
      <c r="ET5" s="524"/>
      <c r="EU5" s="524"/>
      <c r="EV5" s="524"/>
      <c r="EW5" s="524"/>
      <c r="EX5" s="524"/>
      <c r="EY5" s="524"/>
      <c r="EZ5" s="524"/>
      <c r="FA5" s="524"/>
      <c r="FB5" s="524"/>
      <c r="FC5" s="524"/>
      <c r="FD5" s="524"/>
      <c r="FE5" s="524"/>
      <c r="FF5" s="524"/>
      <c r="FG5" s="524"/>
      <c r="FH5" s="524"/>
      <c r="FI5" s="524"/>
      <c r="FJ5" s="524"/>
      <c r="FK5" s="524"/>
      <c r="FL5" s="524"/>
      <c r="FM5" s="524"/>
      <c r="FN5" s="524"/>
      <c r="FO5" s="524"/>
      <c r="FP5" s="524"/>
      <c r="FQ5" s="524"/>
      <c r="FR5" s="524"/>
      <c r="FS5" s="524"/>
      <c r="FT5" s="524"/>
      <c r="FU5" s="524"/>
      <c r="FV5" s="524"/>
      <c r="FW5" s="524"/>
      <c r="FX5" s="524"/>
      <c r="FY5" s="524"/>
      <c r="FZ5" s="524"/>
      <c r="GA5" s="524"/>
      <c r="GB5" s="524"/>
      <c r="GC5" s="524"/>
      <c r="GD5" s="524"/>
      <c r="GE5" s="524"/>
      <c r="GF5" s="524"/>
      <c r="GG5" s="524"/>
      <c r="GH5" s="524"/>
      <c r="GI5" s="524"/>
      <c r="GJ5" s="524"/>
      <c r="GK5" s="524"/>
      <c r="GL5" s="524"/>
      <c r="GM5" s="524"/>
      <c r="GN5" s="524"/>
      <c r="GO5" s="524"/>
      <c r="GP5" s="524"/>
      <c r="GQ5" s="524"/>
      <c r="GR5" s="524"/>
      <c r="GS5" s="524"/>
      <c r="GT5" s="524"/>
      <c r="GU5" s="524"/>
      <c r="GV5" s="524"/>
      <c r="GW5" s="524"/>
      <c r="GX5" s="524"/>
      <c r="GY5" s="524"/>
      <c r="GZ5" s="524"/>
      <c r="HA5" s="524"/>
      <c r="HB5" s="524"/>
      <c r="HC5" s="524"/>
      <c r="HD5" s="524"/>
      <c r="HE5" s="524"/>
      <c r="HF5" s="524"/>
      <c r="HG5" s="524"/>
      <c r="HH5" s="524"/>
      <c r="HI5" s="524"/>
      <c r="HJ5" s="524"/>
      <c r="HK5" s="524"/>
      <c r="HL5" s="524"/>
      <c r="HM5" s="524"/>
      <c r="HN5" s="524"/>
      <c r="HO5" s="524"/>
      <c r="HP5" s="524"/>
      <c r="HQ5" s="524"/>
      <c r="HR5" s="524"/>
      <c r="HS5" s="524"/>
      <c r="HT5" s="524"/>
      <c r="HU5" s="524"/>
      <c r="HV5" s="524"/>
      <c r="HW5" s="524"/>
      <c r="HX5" s="524"/>
      <c r="HY5" s="524"/>
      <c r="HZ5" s="524"/>
      <c r="IA5" s="524"/>
      <c r="IB5" s="524"/>
      <c r="IC5" s="524"/>
      <c r="ID5" s="524"/>
      <c r="IE5" s="524"/>
      <c r="IF5" s="524"/>
      <c r="IG5" s="524"/>
      <c r="IH5" s="524"/>
      <c r="II5" s="524"/>
      <c r="IJ5" s="524"/>
      <c r="IK5" s="524"/>
      <c r="IL5" s="524"/>
      <c r="IM5" s="524"/>
      <c r="IN5" s="524"/>
      <c r="IO5" s="524"/>
      <c r="IP5" s="524"/>
      <c r="IQ5" s="524"/>
      <c r="IR5" s="524"/>
    </row>
    <row r="6" spans="1:252" ht="21" x14ac:dyDescent="0.2">
      <c r="A6" s="525" t="s">
        <v>17</v>
      </c>
      <c r="B6" s="525"/>
      <c r="C6" s="525"/>
      <c r="D6" s="525"/>
      <c r="E6" s="525"/>
      <c r="F6" s="525"/>
      <c r="G6" s="525"/>
      <c r="H6" s="525"/>
      <c r="I6" s="525"/>
      <c r="J6" s="525"/>
      <c r="K6" s="525"/>
      <c r="L6" s="525"/>
      <c r="M6" s="525"/>
      <c r="N6" s="525"/>
      <c r="O6" s="525"/>
      <c r="P6" s="525"/>
      <c r="Q6" s="525"/>
      <c r="R6" s="524"/>
      <c r="S6" s="524"/>
      <c r="T6" s="524"/>
      <c r="U6" s="524"/>
      <c r="V6" s="524"/>
      <c r="W6" s="524"/>
      <c r="X6" s="524"/>
      <c r="Y6" s="524"/>
      <c r="Z6" s="524"/>
      <c r="AA6" s="524"/>
      <c r="AB6" s="524"/>
      <c r="AC6" s="524"/>
      <c r="AD6" s="524"/>
      <c r="AE6" s="524"/>
      <c r="AF6" s="524"/>
      <c r="AG6" s="524"/>
      <c r="AH6" s="524"/>
      <c r="AI6" s="524"/>
      <c r="AJ6" s="524"/>
      <c r="AK6" s="524"/>
      <c r="AL6" s="524"/>
      <c r="AM6" s="524"/>
      <c r="AN6" s="524"/>
      <c r="AO6" s="524"/>
      <c r="AP6" s="524"/>
      <c r="AQ6" s="524"/>
      <c r="AR6" s="524"/>
      <c r="AS6" s="524"/>
      <c r="AT6" s="524"/>
      <c r="AU6" s="524"/>
      <c r="AV6" s="524"/>
      <c r="AW6" s="524"/>
      <c r="AX6" s="524"/>
      <c r="AY6" s="524"/>
      <c r="AZ6" s="524"/>
      <c r="BA6" s="524"/>
      <c r="BB6" s="524"/>
      <c r="BC6" s="524"/>
      <c r="BD6" s="524"/>
      <c r="BE6" s="524"/>
      <c r="BF6" s="524"/>
      <c r="BG6" s="524"/>
      <c r="BH6" s="524"/>
      <c r="BI6" s="524"/>
      <c r="BJ6" s="524"/>
      <c r="BK6" s="524"/>
      <c r="BL6" s="524"/>
      <c r="BM6" s="524"/>
      <c r="BN6" s="524"/>
      <c r="BO6" s="524"/>
      <c r="BP6" s="524"/>
      <c r="BQ6" s="524"/>
      <c r="BR6" s="524"/>
      <c r="BS6" s="524"/>
      <c r="BT6" s="524"/>
      <c r="BU6" s="524"/>
      <c r="BV6" s="524"/>
      <c r="BW6" s="524"/>
      <c r="BX6" s="524"/>
      <c r="BY6" s="524"/>
      <c r="BZ6" s="524"/>
      <c r="CA6" s="524"/>
      <c r="CB6" s="524"/>
      <c r="CC6" s="524"/>
      <c r="CD6" s="524"/>
      <c r="CE6" s="524"/>
      <c r="CF6" s="524"/>
      <c r="CG6" s="524"/>
      <c r="CH6" s="524"/>
      <c r="CI6" s="524"/>
      <c r="CJ6" s="524"/>
      <c r="CK6" s="524"/>
      <c r="CL6" s="524"/>
      <c r="CM6" s="524"/>
      <c r="CN6" s="524"/>
      <c r="CO6" s="524"/>
      <c r="CP6" s="524"/>
      <c r="CQ6" s="524"/>
      <c r="CR6" s="524"/>
      <c r="CS6" s="524"/>
      <c r="CT6" s="524"/>
      <c r="CU6" s="524"/>
      <c r="CV6" s="524"/>
      <c r="CW6" s="524"/>
      <c r="CX6" s="524"/>
      <c r="CY6" s="524"/>
      <c r="CZ6" s="524"/>
      <c r="DA6" s="524"/>
      <c r="DB6" s="524"/>
      <c r="DC6" s="524"/>
      <c r="DD6" s="524"/>
      <c r="DE6" s="524"/>
      <c r="DF6" s="524"/>
      <c r="DG6" s="524"/>
      <c r="DH6" s="524"/>
      <c r="DI6" s="524"/>
      <c r="DJ6" s="524"/>
      <c r="DK6" s="524"/>
      <c r="DL6" s="524"/>
      <c r="DM6" s="524"/>
      <c r="DN6" s="524"/>
      <c r="DO6" s="524"/>
      <c r="DP6" s="524"/>
      <c r="DQ6" s="524"/>
      <c r="DR6" s="524"/>
      <c r="DS6" s="524"/>
      <c r="DT6" s="524"/>
      <c r="DU6" s="524"/>
      <c r="DV6" s="524"/>
      <c r="DW6" s="524"/>
      <c r="DX6" s="524"/>
      <c r="DY6" s="524"/>
      <c r="DZ6" s="524"/>
      <c r="EA6" s="524"/>
      <c r="EB6" s="524"/>
      <c r="EC6" s="524"/>
      <c r="ED6" s="524"/>
      <c r="EE6" s="524"/>
      <c r="EF6" s="524"/>
      <c r="EG6" s="524"/>
      <c r="EH6" s="524"/>
      <c r="EI6" s="524"/>
      <c r="EJ6" s="524"/>
      <c r="EK6" s="524"/>
      <c r="EL6" s="524"/>
      <c r="EM6" s="524"/>
      <c r="EN6" s="524"/>
      <c r="EO6" s="524"/>
      <c r="EP6" s="524"/>
      <c r="EQ6" s="524"/>
      <c r="ER6" s="524"/>
      <c r="ES6" s="524"/>
      <c r="ET6" s="524"/>
      <c r="EU6" s="524"/>
      <c r="EV6" s="524"/>
      <c r="EW6" s="524"/>
      <c r="EX6" s="524"/>
      <c r="EY6" s="524"/>
      <c r="EZ6" s="524"/>
      <c r="FA6" s="524"/>
      <c r="FB6" s="524"/>
      <c r="FC6" s="524"/>
      <c r="FD6" s="524"/>
      <c r="FE6" s="524"/>
      <c r="FF6" s="524"/>
      <c r="FG6" s="524"/>
      <c r="FH6" s="524"/>
      <c r="FI6" s="524"/>
      <c r="FJ6" s="524"/>
      <c r="FK6" s="524"/>
      <c r="FL6" s="524"/>
      <c r="FM6" s="524"/>
      <c r="FN6" s="524"/>
      <c r="FO6" s="524"/>
      <c r="FP6" s="524"/>
      <c r="FQ6" s="524"/>
      <c r="FR6" s="524"/>
      <c r="FS6" s="524"/>
      <c r="FT6" s="524"/>
      <c r="FU6" s="524"/>
      <c r="FV6" s="524"/>
      <c r="FW6" s="524"/>
      <c r="FX6" s="524"/>
      <c r="FY6" s="524"/>
      <c r="FZ6" s="524"/>
      <c r="GA6" s="524"/>
      <c r="GB6" s="524"/>
      <c r="GC6" s="524"/>
      <c r="GD6" s="524"/>
      <c r="GE6" s="524"/>
      <c r="GF6" s="524"/>
      <c r="GG6" s="524"/>
      <c r="GH6" s="524"/>
      <c r="GI6" s="524"/>
      <c r="GJ6" s="524"/>
      <c r="GK6" s="524"/>
      <c r="GL6" s="524"/>
      <c r="GM6" s="524"/>
      <c r="GN6" s="524"/>
      <c r="GO6" s="524"/>
      <c r="GP6" s="524"/>
      <c r="GQ6" s="524"/>
      <c r="GR6" s="524"/>
      <c r="GS6" s="524"/>
      <c r="GT6" s="524"/>
      <c r="GU6" s="524"/>
      <c r="GV6" s="524"/>
      <c r="GW6" s="524"/>
      <c r="GX6" s="524"/>
      <c r="GY6" s="524"/>
      <c r="GZ6" s="524"/>
      <c r="HA6" s="524"/>
      <c r="HB6" s="524"/>
      <c r="HC6" s="524"/>
      <c r="HD6" s="524"/>
      <c r="HE6" s="524"/>
      <c r="HF6" s="524"/>
      <c r="HG6" s="524"/>
      <c r="HH6" s="524"/>
      <c r="HI6" s="524"/>
      <c r="HJ6" s="524"/>
      <c r="HK6" s="524"/>
      <c r="HL6" s="524"/>
      <c r="HM6" s="524"/>
      <c r="HN6" s="524"/>
      <c r="HO6" s="524"/>
      <c r="HP6" s="524"/>
      <c r="HQ6" s="524"/>
      <c r="HR6" s="524"/>
      <c r="HS6" s="524"/>
      <c r="HT6" s="524"/>
      <c r="HU6" s="524"/>
      <c r="HV6" s="524"/>
      <c r="HW6" s="524"/>
      <c r="HX6" s="524"/>
      <c r="HY6" s="524"/>
      <c r="HZ6" s="524"/>
      <c r="IA6" s="524"/>
      <c r="IB6" s="524"/>
      <c r="IC6" s="524"/>
      <c r="ID6" s="524"/>
      <c r="IE6" s="524"/>
      <c r="IF6" s="524"/>
      <c r="IG6" s="524"/>
      <c r="IH6" s="524"/>
      <c r="II6" s="524"/>
      <c r="IJ6" s="524"/>
      <c r="IK6" s="524"/>
      <c r="IL6" s="524"/>
      <c r="IM6" s="524"/>
      <c r="IN6" s="524"/>
      <c r="IO6" s="524"/>
      <c r="IP6" s="524"/>
      <c r="IQ6" s="524"/>
      <c r="IR6" s="524"/>
    </row>
    <row r="7" spans="1:252" ht="51" x14ac:dyDescent="0.2">
      <c r="A7" s="501" t="s">
        <v>0</v>
      </c>
      <c r="B7" s="502" t="s">
        <v>10</v>
      </c>
      <c r="C7" s="503"/>
      <c r="D7" s="503"/>
      <c r="E7" s="503"/>
      <c r="F7" s="503"/>
      <c r="G7" s="504"/>
      <c r="H7" s="502" t="s">
        <v>322</v>
      </c>
      <c r="I7" s="503"/>
      <c r="J7" s="503"/>
      <c r="K7" s="503"/>
      <c r="L7" s="503"/>
      <c r="M7" s="503"/>
      <c r="N7" s="502" t="s">
        <v>324</v>
      </c>
      <c r="O7" s="503"/>
      <c r="P7" s="503"/>
      <c r="Q7" s="504"/>
      <c r="R7" s="524"/>
      <c r="S7" s="524"/>
      <c r="T7" s="524"/>
      <c r="U7" s="524"/>
      <c r="V7" s="524"/>
      <c r="W7" s="524"/>
      <c r="X7" s="524"/>
      <c r="Y7" s="524"/>
      <c r="Z7" s="524"/>
      <c r="AA7" s="524"/>
      <c r="AB7" s="524"/>
      <c r="AC7" s="524"/>
      <c r="AD7" s="524"/>
      <c r="AE7" s="524"/>
      <c r="AF7" s="524"/>
      <c r="AG7" s="524"/>
      <c r="AH7" s="524"/>
      <c r="AI7" s="524"/>
      <c r="AJ7" s="524"/>
      <c r="AK7" s="524"/>
      <c r="AL7" s="524"/>
      <c r="AM7" s="524"/>
      <c r="AN7" s="524"/>
      <c r="AO7" s="524"/>
      <c r="AP7" s="524"/>
      <c r="AQ7" s="524"/>
      <c r="AR7" s="524"/>
      <c r="AS7" s="524"/>
      <c r="AT7" s="524"/>
      <c r="AU7" s="524"/>
      <c r="AV7" s="524"/>
      <c r="AW7" s="524"/>
      <c r="AX7" s="524"/>
      <c r="AY7" s="524"/>
      <c r="AZ7" s="524"/>
      <c r="BA7" s="524"/>
      <c r="BB7" s="524"/>
      <c r="BC7" s="524"/>
      <c r="BD7" s="524"/>
      <c r="BE7" s="524"/>
      <c r="BF7" s="524"/>
      <c r="BG7" s="524"/>
      <c r="BH7" s="524"/>
      <c r="BI7" s="524"/>
      <c r="BJ7" s="524"/>
      <c r="BK7" s="524"/>
      <c r="BL7" s="524"/>
      <c r="BM7" s="524"/>
      <c r="BN7" s="524"/>
      <c r="BO7" s="524"/>
      <c r="BP7" s="524"/>
      <c r="BQ7" s="524"/>
      <c r="BR7" s="524"/>
      <c r="BS7" s="524"/>
      <c r="BT7" s="524"/>
      <c r="BU7" s="524"/>
      <c r="BV7" s="524"/>
      <c r="BW7" s="524"/>
      <c r="BX7" s="524"/>
      <c r="BY7" s="524"/>
      <c r="BZ7" s="524"/>
      <c r="CA7" s="524"/>
      <c r="CB7" s="524"/>
      <c r="CC7" s="524"/>
      <c r="CD7" s="524"/>
      <c r="CE7" s="524"/>
      <c r="CF7" s="524"/>
      <c r="CG7" s="524"/>
      <c r="CH7" s="524"/>
      <c r="CI7" s="524"/>
      <c r="CJ7" s="524"/>
      <c r="CK7" s="524"/>
      <c r="CL7" s="524"/>
      <c r="CM7" s="524"/>
      <c r="CN7" s="524"/>
      <c r="CO7" s="524"/>
      <c r="CP7" s="524"/>
      <c r="CQ7" s="524"/>
      <c r="CR7" s="524"/>
      <c r="CS7" s="524"/>
      <c r="CT7" s="524"/>
      <c r="CU7" s="524"/>
      <c r="CV7" s="524"/>
      <c r="CW7" s="524"/>
      <c r="CX7" s="524"/>
      <c r="CY7" s="524"/>
      <c r="CZ7" s="524"/>
      <c r="DA7" s="524"/>
      <c r="DB7" s="524"/>
      <c r="DC7" s="524"/>
      <c r="DD7" s="524"/>
      <c r="DE7" s="524"/>
      <c r="DF7" s="524"/>
      <c r="DG7" s="524"/>
      <c r="DH7" s="524"/>
      <c r="DI7" s="524"/>
      <c r="DJ7" s="524"/>
      <c r="DK7" s="524"/>
      <c r="DL7" s="524"/>
      <c r="DM7" s="524"/>
      <c r="DN7" s="524"/>
      <c r="DO7" s="524"/>
      <c r="DP7" s="524"/>
      <c r="DQ7" s="524"/>
      <c r="DR7" s="524"/>
      <c r="DS7" s="524"/>
      <c r="DT7" s="524"/>
      <c r="DU7" s="524"/>
      <c r="DV7" s="524"/>
      <c r="DW7" s="524"/>
      <c r="DX7" s="524"/>
      <c r="DY7" s="524"/>
      <c r="DZ7" s="524"/>
      <c r="EA7" s="524"/>
      <c r="EB7" s="524"/>
      <c r="EC7" s="524"/>
      <c r="ED7" s="524"/>
      <c r="EE7" s="524"/>
      <c r="EF7" s="524"/>
      <c r="EG7" s="524"/>
      <c r="EH7" s="524"/>
      <c r="EI7" s="524"/>
      <c r="EJ7" s="524"/>
      <c r="EK7" s="524"/>
      <c r="EL7" s="524"/>
      <c r="EM7" s="524"/>
      <c r="EN7" s="524"/>
      <c r="EO7" s="524"/>
      <c r="EP7" s="524"/>
      <c r="EQ7" s="524"/>
      <c r="ER7" s="524"/>
      <c r="ES7" s="524"/>
      <c r="ET7" s="524"/>
      <c r="EU7" s="524"/>
      <c r="EV7" s="524"/>
      <c r="EW7" s="524"/>
      <c r="EX7" s="524"/>
      <c r="EY7" s="524"/>
      <c r="EZ7" s="524"/>
      <c r="FA7" s="524"/>
      <c r="FB7" s="524"/>
      <c r="FC7" s="524"/>
      <c r="FD7" s="524"/>
      <c r="FE7" s="524"/>
      <c r="FF7" s="524"/>
      <c r="FG7" s="524"/>
      <c r="FH7" s="524"/>
      <c r="FI7" s="524"/>
      <c r="FJ7" s="524"/>
      <c r="FK7" s="524"/>
      <c r="FL7" s="524"/>
      <c r="FM7" s="524"/>
      <c r="FN7" s="524"/>
      <c r="FO7" s="524"/>
      <c r="FP7" s="524"/>
      <c r="FQ7" s="524"/>
      <c r="FR7" s="524"/>
      <c r="FS7" s="524"/>
      <c r="FT7" s="524"/>
      <c r="FU7" s="524"/>
      <c r="FV7" s="524"/>
      <c r="FW7" s="524"/>
      <c r="FX7" s="524"/>
      <c r="FY7" s="524"/>
      <c r="FZ7" s="524"/>
      <c r="GA7" s="524"/>
      <c r="GB7" s="524"/>
      <c r="GC7" s="524"/>
      <c r="GD7" s="524"/>
      <c r="GE7" s="524"/>
      <c r="GF7" s="524"/>
      <c r="GG7" s="524"/>
      <c r="GH7" s="524"/>
      <c r="GI7" s="524"/>
      <c r="GJ7" s="524"/>
      <c r="GK7" s="524"/>
      <c r="GL7" s="524"/>
      <c r="GM7" s="524"/>
      <c r="GN7" s="524"/>
      <c r="GO7" s="524"/>
      <c r="GP7" s="524"/>
      <c r="GQ7" s="524"/>
      <c r="GR7" s="524"/>
      <c r="GS7" s="524"/>
      <c r="GT7" s="524"/>
      <c r="GU7" s="524"/>
      <c r="GV7" s="524"/>
      <c r="GW7" s="524"/>
      <c r="GX7" s="524"/>
      <c r="GY7" s="524"/>
      <c r="GZ7" s="524"/>
      <c r="HA7" s="524"/>
      <c r="HB7" s="524"/>
      <c r="HC7" s="524"/>
      <c r="HD7" s="524"/>
      <c r="HE7" s="524"/>
      <c r="HF7" s="524"/>
      <c r="HG7" s="524"/>
      <c r="HH7" s="524"/>
      <c r="HI7" s="524"/>
      <c r="HJ7" s="524"/>
      <c r="HK7" s="524"/>
      <c r="HL7" s="524"/>
      <c r="HM7" s="524"/>
      <c r="HN7" s="524"/>
      <c r="HO7" s="524"/>
      <c r="HP7" s="524"/>
      <c r="HQ7" s="524"/>
      <c r="HR7" s="524"/>
      <c r="HS7" s="524"/>
      <c r="HT7" s="524"/>
      <c r="HU7" s="524"/>
      <c r="HV7" s="524"/>
      <c r="HW7" s="524"/>
      <c r="HX7" s="524"/>
      <c r="HY7" s="524"/>
      <c r="HZ7" s="524"/>
      <c r="IA7" s="524"/>
      <c r="IB7" s="524"/>
      <c r="IC7" s="524"/>
      <c r="ID7" s="524"/>
      <c r="IE7" s="524"/>
      <c r="IF7" s="524"/>
      <c r="IG7" s="524"/>
      <c r="IH7" s="524"/>
      <c r="II7" s="524"/>
      <c r="IJ7" s="524"/>
      <c r="IK7" s="524"/>
      <c r="IL7" s="524"/>
      <c r="IM7" s="524"/>
      <c r="IN7" s="524"/>
      <c r="IO7" s="524"/>
      <c r="IP7" s="524"/>
      <c r="IQ7" s="524"/>
      <c r="IR7" s="524"/>
    </row>
    <row r="8" spans="1:252" ht="204" x14ac:dyDescent="0.2">
      <c r="A8" s="505"/>
      <c r="B8" s="506" t="s">
        <v>4</v>
      </c>
      <c r="C8" s="506" t="s">
        <v>1</v>
      </c>
      <c r="D8" s="506" t="s">
        <v>3</v>
      </c>
      <c r="E8" s="506" t="s">
        <v>2</v>
      </c>
      <c r="F8" s="506" t="s">
        <v>6</v>
      </c>
      <c r="G8" s="506" t="s">
        <v>5</v>
      </c>
      <c r="H8" s="506" t="s">
        <v>7</v>
      </c>
      <c r="I8" s="507" t="s">
        <v>8</v>
      </c>
      <c r="J8" s="507" t="s">
        <v>9</v>
      </c>
      <c r="K8" s="508" t="s">
        <v>11</v>
      </c>
      <c r="L8" s="508" t="s">
        <v>12</v>
      </c>
      <c r="M8" s="508" t="s">
        <v>13</v>
      </c>
      <c r="N8" s="507" t="s">
        <v>9</v>
      </c>
      <c r="O8" s="508" t="s">
        <v>11</v>
      </c>
      <c r="P8" s="508" t="s">
        <v>12</v>
      </c>
      <c r="Q8" s="509" t="s">
        <v>13</v>
      </c>
      <c r="R8" s="524"/>
      <c r="S8" s="524"/>
      <c r="T8" s="524"/>
      <c r="U8" s="524"/>
      <c r="V8" s="524"/>
      <c r="W8" s="524"/>
      <c r="X8" s="524"/>
      <c r="Y8" s="524"/>
      <c r="Z8" s="524"/>
      <c r="AA8" s="524"/>
      <c r="AB8" s="524"/>
      <c r="AC8" s="524"/>
      <c r="AD8" s="524"/>
      <c r="AE8" s="524"/>
      <c r="AF8" s="524"/>
      <c r="AG8" s="524"/>
      <c r="AH8" s="524"/>
      <c r="AI8" s="524"/>
      <c r="AJ8" s="524"/>
      <c r="AK8" s="524"/>
      <c r="AL8" s="524"/>
      <c r="AM8" s="524"/>
      <c r="AN8" s="524"/>
      <c r="AO8" s="524"/>
      <c r="AP8" s="524"/>
      <c r="AQ8" s="524"/>
      <c r="AR8" s="524"/>
      <c r="AS8" s="524"/>
      <c r="AT8" s="524"/>
      <c r="AU8" s="524"/>
      <c r="AV8" s="524"/>
      <c r="AW8" s="524"/>
      <c r="AX8" s="524"/>
      <c r="AY8" s="524"/>
      <c r="AZ8" s="524"/>
      <c r="BA8" s="524"/>
      <c r="BB8" s="524"/>
      <c r="BC8" s="524"/>
      <c r="BD8" s="524"/>
      <c r="BE8" s="524"/>
      <c r="BF8" s="524"/>
      <c r="BG8" s="524"/>
      <c r="BH8" s="524"/>
      <c r="BI8" s="524"/>
      <c r="BJ8" s="524"/>
      <c r="BK8" s="524"/>
      <c r="BL8" s="524"/>
      <c r="BM8" s="524"/>
      <c r="BN8" s="524"/>
      <c r="BO8" s="524"/>
      <c r="BP8" s="524"/>
      <c r="BQ8" s="524"/>
      <c r="BR8" s="524"/>
      <c r="BS8" s="524"/>
      <c r="BT8" s="524"/>
      <c r="BU8" s="524"/>
      <c r="BV8" s="524"/>
      <c r="BW8" s="524"/>
      <c r="BX8" s="524"/>
      <c r="BY8" s="524"/>
      <c r="BZ8" s="524"/>
      <c r="CA8" s="524"/>
      <c r="CB8" s="524"/>
      <c r="CC8" s="524"/>
      <c r="CD8" s="524"/>
      <c r="CE8" s="524"/>
      <c r="CF8" s="524"/>
      <c r="CG8" s="524"/>
      <c r="CH8" s="524"/>
      <c r="CI8" s="524"/>
      <c r="CJ8" s="524"/>
      <c r="CK8" s="524"/>
      <c r="CL8" s="524"/>
      <c r="CM8" s="524"/>
      <c r="CN8" s="524"/>
      <c r="CO8" s="524"/>
      <c r="CP8" s="524"/>
      <c r="CQ8" s="524"/>
      <c r="CR8" s="524"/>
      <c r="CS8" s="524"/>
      <c r="CT8" s="524"/>
      <c r="CU8" s="524"/>
      <c r="CV8" s="524"/>
      <c r="CW8" s="524"/>
      <c r="CX8" s="524"/>
      <c r="CY8" s="524"/>
      <c r="CZ8" s="524"/>
      <c r="DA8" s="524"/>
      <c r="DB8" s="524"/>
      <c r="DC8" s="524"/>
      <c r="DD8" s="524"/>
      <c r="DE8" s="524"/>
      <c r="DF8" s="524"/>
      <c r="DG8" s="524"/>
      <c r="DH8" s="524"/>
      <c r="DI8" s="524"/>
      <c r="DJ8" s="524"/>
      <c r="DK8" s="524"/>
      <c r="DL8" s="524"/>
      <c r="DM8" s="524"/>
      <c r="DN8" s="524"/>
      <c r="DO8" s="524"/>
      <c r="DP8" s="524"/>
      <c r="DQ8" s="524"/>
      <c r="DR8" s="524"/>
      <c r="DS8" s="524"/>
      <c r="DT8" s="524"/>
      <c r="DU8" s="524"/>
      <c r="DV8" s="524"/>
      <c r="DW8" s="524"/>
      <c r="DX8" s="524"/>
      <c r="DY8" s="524"/>
      <c r="DZ8" s="524"/>
      <c r="EA8" s="524"/>
      <c r="EB8" s="524"/>
      <c r="EC8" s="524"/>
      <c r="ED8" s="524"/>
      <c r="EE8" s="524"/>
      <c r="EF8" s="524"/>
      <c r="EG8" s="524"/>
      <c r="EH8" s="524"/>
      <c r="EI8" s="524"/>
      <c r="EJ8" s="524"/>
      <c r="EK8" s="524"/>
      <c r="EL8" s="524"/>
      <c r="EM8" s="524"/>
      <c r="EN8" s="524"/>
      <c r="EO8" s="524"/>
      <c r="EP8" s="524"/>
      <c r="EQ8" s="524"/>
      <c r="ER8" s="524"/>
      <c r="ES8" s="524"/>
      <c r="ET8" s="524"/>
      <c r="EU8" s="524"/>
      <c r="EV8" s="524"/>
      <c r="EW8" s="524"/>
      <c r="EX8" s="524"/>
      <c r="EY8" s="524"/>
      <c r="EZ8" s="524"/>
      <c r="FA8" s="524"/>
      <c r="FB8" s="524"/>
      <c r="FC8" s="524"/>
      <c r="FD8" s="524"/>
      <c r="FE8" s="524"/>
      <c r="FF8" s="524"/>
      <c r="FG8" s="524"/>
      <c r="FH8" s="524"/>
      <c r="FI8" s="524"/>
      <c r="FJ8" s="524"/>
      <c r="FK8" s="524"/>
      <c r="FL8" s="524"/>
      <c r="FM8" s="524"/>
      <c r="FN8" s="524"/>
      <c r="FO8" s="524"/>
      <c r="FP8" s="524"/>
      <c r="FQ8" s="524"/>
      <c r="FR8" s="524"/>
      <c r="FS8" s="524"/>
      <c r="FT8" s="524"/>
      <c r="FU8" s="524"/>
      <c r="FV8" s="524"/>
      <c r="FW8" s="524"/>
      <c r="FX8" s="524"/>
      <c r="FY8" s="524"/>
      <c r="FZ8" s="524"/>
      <c r="GA8" s="524"/>
      <c r="GB8" s="524"/>
      <c r="GC8" s="524"/>
      <c r="GD8" s="524"/>
      <c r="GE8" s="524"/>
      <c r="GF8" s="524"/>
      <c r="GG8" s="524"/>
      <c r="GH8" s="524"/>
      <c r="GI8" s="524"/>
      <c r="GJ8" s="524"/>
      <c r="GK8" s="524"/>
      <c r="GL8" s="524"/>
      <c r="GM8" s="524"/>
      <c r="GN8" s="524"/>
      <c r="GO8" s="524"/>
      <c r="GP8" s="524"/>
      <c r="GQ8" s="524"/>
      <c r="GR8" s="524"/>
      <c r="GS8" s="524"/>
      <c r="GT8" s="524"/>
      <c r="GU8" s="524"/>
      <c r="GV8" s="524"/>
      <c r="GW8" s="524"/>
      <c r="GX8" s="524"/>
      <c r="GY8" s="524"/>
      <c r="GZ8" s="524"/>
      <c r="HA8" s="524"/>
      <c r="HB8" s="524"/>
      <c r="HC8" s="524"/>
      <c r="HD8" s="524"/>
      <c r="HE8" s="524"/>
      <c r="HF8" s="524"/>
      <c r="HG8" s="524"/>
      <c r="HH8" s="524"/>
      <c r="HI8" s="524"/>
      <c r="HJ8" s="524"/>
      <c r="HK8" s="524"/>
      <c r="HL8" s="524"/>
      <c r="HM8" s="524"/>
      <c r="HN8" s="524"/>
      <c r="HO8" s="524"/>
      <c r="HP8" s="524"/>
      <c r="HQ8" s="524"/>
      <c r="HR8" s="524"/>
      <c r="HS8" s="524"/>
      <c r="HT8" s="524"/>
      <c r="HU8" s="524"/>
      <c r="HV8" s="524"/>
      <c r="HW8" s="524"/>
      <c r="HX8" s="524"/>
      <c r="HY8" s="524"/>
      <c r="HZ8" s="524"/>
      <c r="IA8" s="524"/>
      <c r="IB8" s="524"/>
      <c r="IC8" s="524"/>
      <c r="ID8" s="524"/>
      <c r="IE8" s="524"/>
      <c r="IF8" s="524"/>
      <c r="IG8" s="524"/>
      <c r="IH8" s="524"/>
      <c r="II8" s="524"/>
      <c r="IJ8" s="524"/>
      <c r="IK8" s="524"/>
      <c r="IL8" s="524"/>
      <c r="IM8" s="524"/>
      <c r="IN8" s="524"/>
      <c r="IO8" s="524"/>
      <c r="IP8" s="524"/>
      <c r="IQ8" s="524"/>
      <c r="IR8" s="524"/>
    </row>
    <row r="9" spans="1:252" ht="15.75" customHeight="1" x14ac:dyDescent="0.2">
      <c r="A9" s="484">
        <v>1</v>
      </c>
      <c r="B9" s="526" t="s">
        <v>159</v>
      </c>
      <c r="C9" s="527" t="s">
        <v>62</v>
      </c>
      <c r="D9" s="526"/>
      <c r="E9" s="526" t="s">
        <v>121</v>
      </c>
      <c r="F9" s="526" t="s">
        <v>160</v>
      </c>
      <c r="G9" s="510" t="s">
        <v>670</v>
      </c>
      <c r="H9" s="526">
        <v>3</v>
      </c>
      <c r="I9" s="526">
        <v>3</v>
      </c>
      <c r="J9" s="526">
        <v>3</v>
      </c>
      <c r="K9" s="526">
        <v>1493.3</v>
      </c>
      <c r="L9" s="526">
        <v>1493.3</v>
      </c>
      <c r="M9" s="526">
        <v>0</v>
      </c>
      <c r="N9" s="526">
        <v>9</v>
      </c>
      <c r="O9" s="526">
        <v>26421.62</v>
      </c>
      <c r="P9" s="528">
        <v>26421.62</v>
      </c>
      <c r="Q9" s="526">
        <v>0</v>
      </c>
    </row>
    <row r="10" spans="1:252" ht="15.75" customHeight="1" x14ac:dyDescent="0.2">
      <c r="A10" s="484">
        <v>2</v>
      </c>
      <c r="B10" s="526" t="s">
        <v>95</v>
      </c>
      <c r="C10" s="527" t="s">
        <v>62</v>
      </c>
      <c r="D10" s="526" t="s">
        <v>63</v>
      </c>
      <c r="E10" s="526" t="s">
        <v>74</v>
      </c>
      <c r="F10" s="526" t="s">
        <v>161</v>
      </c>
      <c r="G10" s="510" t="s">
        <v>670</v>
      </c>
      <c r="H10" s="526">
        <v>54</v>
      </c>
      <c r="I10" s="526">
        <v>49</v>
      </c>
      <c r="J10" s="526">
        <v>66</v>
      </c>
      <c r="K10" s="526">
        <v>77731.58</v>
      </c>
      <c r="L10" s="526">
        <v>71567.899999999994</v>
      </c>
      <c r="M10" s="526">
        <v>6163.68</v>
      </c>
      <c r="N10" s="526">
        <v>31</v>
      </c>
      <c r="O10" s="526">
        <v>98356.77</v>
      </c>
      <c r="P10" s="528">
        <v>93401.69</v>
      </c>
      <c r="Q10" s="526">
        <v>4955.08</v>
      </c>
    </row>
    <row r="11" spans="1:252" ht="26.25" customHeight="1" x14ac:dyDescent="0.2">
      <c r="A11" s="484">
        <v>3</v>
      </c>
      <c r="B11" s="529" t="s">
        <v>684</v>
      </c>
      <c r="C11" s="516" t="s">
        <v>64</v>
      </c>
      <c r="D11" s="456" t="s">
        <v>747</v>
      </c>
      <c r="E11" s="529" t="s">
        <v>174</v>
      </c>
      <c r="F11" s="529" t="s">
        <v>685</v>
      </c>
      <c r="G11" s="510" t="s">
        <v>670</v>
      </c>
      <c r="H11" s="529">
        <v>8</v>
      </c>
      <c r="I11" s="529">
        <v>4</v>
      </c>
      <c r="J11" s="529">
        <v>4</v>
      </c>
      <c r="K11" s="529">
        <v>0</v>
      </c>
      <c r="L11" s="529">
        <v>0</v>
      </c>
      <c r="M11" s="529">
        <v>0</v>
      </c>
      <c r="N11" s="529">
        <v>0</v>
      </c>
      <c r="O11" s="529">
        <v>0</v>
      </c>
      <c r="P11" s="530">
        <v>0</v>
      </c>
      <c r="Q11" s="529">
        <v>0</v>
      </c>
    </row>
    <row r="12" spans="1:252" ht="15.75" customHeight="1" x14ac:dyDescent="0.2">
      <c r="A12" s="484">
        <f t="shared" ref="A12:A75" si="0">A11+1</f>
        <v>4</v>
      </c>
      <c r="B12" s="529" t="s">
        <v>541</v>
      </c>
      <c r="C12" s="516" t="s">
        <v>62</v>
      </c>
      <c r="D12" s="529"/>
      <c r="E12" s="529" t="s">
        <v>177</v>
      </c>
      <c r="F12" s="529" t="s">
        <v>542</v>
      </c>
      <c r="G12" s="510" t="s">
        <v>670</v>
      </c>
      <c r="H12" s="529">
        <v>30</v>
      </c>
      <c r="I12" s="529">
        <v>22</v>
      </c>
      <c r="J12" s="529">
        <v>30</v>
      </c>
      <c r="K12" s="529">
        <v>16190.58</v>
      </c>
      <c r="L12" s="529">
        <v>16190.58</v>
      </c>
      <c r="M12" s="529">
        <v>0</v>
      </c>
      <c r="N12" s="529">
        <v>0</v>
      </c>
      <c r="O12" s="529">
        <v>0</v>
      </c>
      <c r="P12" s="530">
        <v>0</v>
      </c>
      <c r="Q12" s="529">
        <v>0</v>
      </c>
    </row>
    <row r="13" spans="1:252" ht="15.75" customHeight="1" x14ac:dyDescent="0.2">
      <c r="A13" s="484">
        <f t="shared" si="0"/>
        <v>5</v>
      </c>
      <c r="B13" s="529" t="s">
        <v>628</v>
      </c>
      <c r="C13" s="516" t="s">
        <v>62</v>
      </c>
      <c r="D13" s="529"/>
      <c r="E13" s="529" t="s">
        <v>174</v>
      </c>
      <c r="F13" s="529" t="s">
        <v>653</v>
      </c>
      <c r="G13" s="510" t="s">
        <v>670</v>
      </c>
      <c r="H13" s="529">
        <v>9</v>
      </c>
      <c r="I13" s="529">
        <v>6</v>
      </c>
      <c r="J13" s="529">
        <v>6</v>
      </c>
      <c r="K13" s="529">
        <v>0</v>
      </c>
      <c r="L13" s="529">
        <v>0</v>
      </c>
      <c r="M13" s="529">
        <v>0</v>
      </c>
      <c r="N13" s="529">
        <v>0</v>
      </c>
      <c r="O13" s="529">
        <v>0</v>
      </c>
      <c r="P13" s="530">
        <v>0</v>
      </c>
      <c r="Q13" s="529">
        <v>0</v>
      </c>
    </row>
    <row r="14" spans="1:252" ht="15.75" customHeight="1" x14ac:dyDescent="0.2">
      <c r="A14" s="484">
        <f t="shared" si="0"/>
        <v>6</v>
      </c>
      <c r="B14" s="529" t="s">
        <v>18</v>
      </c>
      <c r="C14" s="516" t="s">
        <v>62</v>
      </c>
      <c r="D14" s="529" t="s">
        <v>63</v>
      </c>
      <c r="E14" s="529" t="s">
        <v>70</v>
      </c>
      <c r="F14" s="529" t="s">
        <v>565</v>
      </c>
      <c r="G14" s="510" t="s">
        <v>670</v>
      </c>
      <c r="H14" s="529">
        <v>5</v>
      </c>
      <c r="I14" s="529">
        <v>1</v>
      </c>
      <c r="J14" s="529">
        <v>1</v>
      </c>
      <c r="K14" s="529">
        <v>3936.79</v>
      </c>
      <c r="L14" s="529">
        <v>3936.79</v>
      </c>
      <c r="M14" s="529">
        <v>0</v>
      </c>
      <c r="N14" s="529">
        <v>2</v>
      </c>
      <c r="O14" s="529">
        <v>3205.88</v>
      </c>
      <c r="P14" s="530">
        <v>3205.88</v>
      </c>
      <c r="Q14" s="529">
        <v>0</v>
      </c>
    </row>
    <row r="15" spans="1:252" ht="15.75" customHeight="1" x14ac:dyDescent="0.2">
      <c r="A15" s="484">
        <f t="shared" si="0"/>
        <v>7</v>
      </c>
      <c r="B15" s="529" t="s">
        <v>672</v>
      </c>
      <c r="C15" s="516" t="s">
        <v>62</v>
      </c>
      <c r="D15" s="529"/>
      <c r="E15" s="529" t="s">
        <v>74</v>
      </c>
      <c r="F15" s="529" t="s">
        <v>673</v>
      </c>
      <c r="G15" s="510" t="s">
        <v>670</v>
      </c>
      <c r="H15" s="529"/>
      <c r="I15" s="529"/>
      <c r="J15" s="529"/>
      <c r="K15" s="529">
        <v>5462.2</v>
      </c>
      <c r="L15" s="529">
        <v>5462.2</v>
      </c>
      <c r="M15" s="529"/>
      <c r="N15" s="529"/>
      <c r="O15" s="529"/>
      <c r="P15" s="530"/>
      <c r="Q15" s="529"/>
    </row>
    <row r="16" spans="1:252" ht="15.75" customHeight="1" x14ac:dyDescent="0.2">
      <c r="A16" s="484">
        <f t="shared" si="0"/>
        <v>8</v>
      </c>
      <c r="B16" s="529" t="s">
        <v>19</v>
      </c>
      <c r="C16" s="516" t="s">
        <v>62</v>
      </c>
      <c r="D16" s="529" t="s">
        <v>63</v>
      </c>
      <c r="E16" s="529" t="s">
        <v>71</v>
      </c>
      <c r="F16" s="529" t="s">
        <v>162</v>
      </c>
      <c r="G16" s="510" t="s">
        <v>670</v>
      </c>
      <c r="H16" s="529">
        <v>117</v>
      </c>
      <c r="I16" s="529">
        <v>104</v>
      </c>
      <c r="J16" s="529">
        <v>137</v>
      </c>
      <c r="K16" s="529">
        <v>139338.73000000001</v>
      </c>
      <c r="L16" s="529">
        <v>119810.63</v>
      </c>
      <c r="M16" s="529">
        <v>19528.099999999999</v>
      </c>
      <c r="N16" s="529">
        <v>27</v>
      </c>
      <c r="O16" s="529">
        <v>69550.97</v>
      </c>
      <c r="P16" s="530">
        <v>63609.98</v>
      </c>
      <c r="Q16" s="529">
        <v>5940.99</v>
      </c>
    </row>
    <row r="17" spans="1:17" ht="15.75" customHeight="1" x14ac:dyDescent="0.2">
      <c r="A17" s="484">
        <f t="shared" si="0"/>
        <v>9</v>
      </c>
      <c r="B17" s="529" t="s">
        <v>20</v>
      </c>
      <c r="C17" s="516" t="s">
        <v>62</v>
      </c>
      <c r="D17" s="529" t="s">
        <v>63</v>
      </c>
      <c r="E17" s="529" t="s">
        <v>72</v>
      </c>
      <c r="F17" s="529" t="s">
        <v>163</v>
      </c>
      <c r="G17" s="510" t="s">
        <v>670</v>
      </c>
      <c r="H17" s="529">
        <v>0</v>
      </c>
      <c r="I17" s="529">
        <v>0</v>
      </c>
      <c r="J17" s="529">
        <v>0</v>
      </c>
      <c r="K17" s="529">
        <v>0</v>
      </c>
      <c r="L17" s="529">
        <v>0</v>
      </c>
      <c r="M17" s="529">
        <v>0</v>
      </c>
      <c r="N17" s="529">
        <v>0</v>
      </c>
      <c r="O17" s="529">
        <v>6138.73</v>
      </c>
      <c r="P17" s="530">
        <v>6138.73</v>
      </c>
      <c r="Q17" s="529">
        <v>0</v>
      </c>
    </row>
    <row r="18" spans="1:17" ht="15.75" customHeight="1" x14ac:dyDescent="0.2">
      <c r="A18" s="484">
        <f t="shared" si="0"/>
        <v>10</v>
      </c>
      <c r="B18" s="529" t="s">
        <v>100</v>
      </c>
      <c r="C18" s="516" t="s">
        <v>62</v>
      </c>
      <c r="D18" s="529" t="s">
        <v>63</v>
      </c>
      <c r="E18" s="529" t="s">
        <v>101</v>
      </c>
      <c r="F18" s="529" t="s">
        <v>164</v>
      </c>
      <c r="G18" s="510" t="s">
        <v>670</v>
      </c>
      <c r="H18" s="529">
        <v>18</v>
      </c>
      <c r="I18" s="529">
        <v>14</v>
      </c>
      <c r="J18" s="529">
        <v>18</v>
      </c>
      <c r="K18" s="529">
        <v>28264.3</v>
      </c>
      <c r="L18" s="529">
        <v>28264.3</v>
      </c>
      <c r="M18" s="529">
        <v>0</v>
      </c>
      <c r="N18" s="529">
        <v>13</v>
      </c>
      <c r="O18" s="529">
        <v>40273.43</v>
      </c>
      <c r="P18" s="530">
        <v>40273.43</v>
      </c>
      <c r="Q18" s="529">
        <v>0</v>
      </c>
    </row>
    <row r="19" spans="1:17" ht="15.75" customHeight="1" x14ac:dyDescent="0.2">
      <c r="A19" s="484">
        <f t="shared" si="0"/>
        <v>11</v>
      </c>
      <c r="B19" s="529" t="s">
        <v>86</v>
      </c>
      <c r="C19" s="516" t="s">
        <v>62</v>
      </c>
      <c r="D19" s="529" t="s">
        <v>63</v>
      </c>
      <c r="E19" s="529" t="s">
        <v>74</v>
      </c>
      <c r="F19" s="529" t="s">
        <v>165</v>
      </c>
      <c r="G19" s="510" t="s">
        <v>670</v>
      </c>
      <c r="H19" s="529">
        <v>52</v>
      </c>
      <c r="I19" s="529">
        <v>31</v>
      </c>
      <c r="J19" s="529">
        <v>33</v>
      </c>
      <c r="K19" s="529">
        <v>26897.93</v>
      </c>
      <c r="L19" s="529">
        <v>26897.93</v>
      </c>
      <c r="M19" s="529">
        <v>0</v>
      </c>
      <c r="N19" s="529">
        <v>20</v>
      </c>
      <c r="O19" s="529">
        <v>58714.67</v>
      </c>
      <c r="P19" s="530">
        <v>58714.67</v>
      </c>
      <c r="Q19" s="529">
        <v>0</v>
      </c>
    </row>
    <row r="20" spans="1:17" ht="15.75" customHeight="1" x14ac:dyDescent="0.2">
      <c r="A20" s="484">
        <f t="shared" si="0"/>
        <v>12</v>
      </c>
      <c r="B20" s="529" t="s">
        <v>166</v>
      </c>
      <c r="C20" s="516" t="s">
        <v>62</v>
      </c>
      <c r="D20" s="529" t="s">
        <v>63</v>
      </c>
      <c r="E20" s="529" t="s">
        <v>74</v>
      </c>
      <c r="F20" s="529" t="s">
        <v>167</v>
      </c>
      <c r="G20" s="510" t="s">
        <v>670</v>
      </c>
      <c r="H20" s="529">
        <v>20</v>
      </c>
      <c r="I20" s="529">
        <v>16</v>
      </c>
      <c r="J20" s="529">
        <v>17</v>
      </c>
      <c r="K20" s="529">
        <v>12377.17</v>
      </c>
      <c r="L20" s="529">
        <v>12377.17</v>
      </c>
      <c r="M20" s="529">
        <v>0</v>
      </c>
      <c r="N20" s="529">
        <v>0</v>
      </c>
      <c r="O20" s="529">
        <v>0</v>
      </c>
      <c r="P20" s="530">
        <v>0</v>
      </c>
      <c r="Q20" s="529">
        <v>0</v>
      </c>
    </row>
    <row r="21" spans="1:17" ht="15.75" customHeight="1" x14ac:dyDescent="0.2">
      <c r="A21" s="484">
        <f t="shared" si="0"/>
        <v>13</v>
      </c>
      <c r="B21" s="529" t="s">
        <v>168</v>
      </c>
      <c r="C21" s="516" t="s">
        <v>62</v>
      </c>
      <c r="D21" s="529" t="s">
        <v>63</v>
      </c>
      <c r="E21" s="529" t="s">
        <v>74</v>
      </c>
      <c r="F21" s="529" t="s">
        <v>169</v>
      </c>
      <c r="G21" s="510" t="s">
        <v>670</v>
      </c>
      <c r="H21" s="529">
        <v>46</v>
      </c>
      <c r="I21" s="529">
        <v>38</v>
      </c>
      <c r="J21" s="529">
        <v>45</v>
      </c>
      <c r="K21" s="529">
        <v>35849.160000000003</v>
      </c>
      <c r="L21" s="529">
        <v>35849.160000000003</v>
      </c>
      <c r="M21" s="529">
        <v>0</v>
      </c>
      <c r="N21" s="529">
        <v>0</v>
      </c>
      <c r="O21" s="529">
        <v>0</v>
      </c>
      <c r="P21" s="530">
        <v>0</v>
      </c>
      <c r="Q21" s="529">
        <v>0</v>
      </c>
    </row>
    <row r="22" spans="1:17" ht="15.75" customHeight="1" x14ac:dyDescent="0.2">
      <c r="A22" s="484">
        <f t="shared" si="0"/>
        <v>14</v>
      </c>
      <c r="B22" s="529" t="s">
        <v>21</v>
      </c>
      <c r="C22" s="516" t="s">
        <v>62</v>
      </c>
      <c r="D22" s="529" t="s">
        <v>63</v>
      </c>
      <c r="E22" s="529" t="s">
        <v>73</v>
      </c>
      <c r="F22" s="529" t="s">
        <v>170</v>
      </c>
      <c r="G22" s="510" t="s">
        <v>670</v>
      </c>
      <c r="H22" s="529">
        <v>54</v>
      </c>
      <c r="I22" s="529">
        <v>51</v>
      </c>
      <c r="J22" s="529">
        <v>60</v>
      </c>
      <c r="K22" s="529">
        <v>63779.16</v>
      </c>
      <c r="L22" s="529">
        <v>63779.16</v>
      </c>
      <c r="M22" s="529">
        <v>0</v>
      </c>
      <c r="N22" s="529">
        <v>42</v>
      </c>
      <c r="O22" s="529">
        <v>148889.4</v>
      </c>
      <c r="P22" s="530">
        <v>148889.4</v>
      </c>
      <c r="Q22" s="529">
        <v>0</v>
      </c>
    </row>
    <row r="23" spans="1:17" ht="15.75" customHeight="1" x14ac:dyDescent="0.2">
      <c r="A23" s="484">
        <f t="shared" si="0"/>
        <v>15</v>
      </c>
      <c r="B23" s="529" t="s">
        <v>22</v>
      </c>
      <c r="C23" s="516" t="s">
        <v>62</v>
      </c>
      <c r="D23" s="529" t="s">
        <v>63</v>
      </c>
      <c r="E23" s="529" t="s">
        <v>74</v>
      </c>
      <c r="F23" s="529" t="s">
        <v>171</v>
      </c>
      <c r="G23" s="510" t="s">
        <v>670</v>
      </c>
      <c r="H23" s="529">
        <v>47</v>
      </c>
      <c r="I23" s="529">
        <v>36</v>
      </c>
      <c r="J23" s="529">
        <v>49</v>
      </c>
      <c r="K23" s="529">
        <v>53100.33</v>
      </c>
      <c r="L23" s="529">
        <v>53100.33</v>
      </c>
      <c r="M23" s="529">
        <v>0</v>
      </c>
      <c r="N23" s="529">
        <v>45</v>
      </c>
      <c r="O23" s="529">
        <v>101080.14</v>
      </c>
      <c r="P23" s="530">
        <v>101080.14</v>
      </c>
      <c r="Q23" s="529">
        <v>0</v>
      </c>
    </row>
    <row r="24" spans="1:17" ht="15.75" customHeight="1" x14ac:dyDescent="0.2">
      <c r="A24" s="484">
        <f t="shared" si="0"/>
        <v>16</v>
      </c>
      <c r="B24" s="529" t="s">
        <v>24</v>
      </c>
      <c r="C24" s="516" t="s">
        <v>62</v>
      </c>
      <c r="D24" s="529" t="s">
        <v>63</v>
      </c>
      <c r="E24" s="529" t="s">
        <v>74</v>
      </c>
      <c r="F24" s="529" t="s">
        <v>172</v>
      </c>
      <c r="G24" s="510" t="s">
        <v>670</v>
      </c>
      <c r="H24" s="529">
        <v>62</v>
      </c>
      <c r="I24" s="529">
        <v>50</v>
      </c>
      <c r="J24" s="529">
        <v>64</v>
      </c>
      <c r="K24" s="529">
        <v>43142.82</v>
      </c>
      <c r="L24" s="529">
        <v>43142.82</v>
      </c>
      <c r="M24" s="529">
        <v>0</v>
      </c>
      <c r="N24" s="529">
        <v>34</v>
      </c>
      <c r="O24" s="529">
        <v>91426.1</v>
      </c>
      <c r="P24" s="530">
        <v>91426.1</v>
      </c>
      <c r="Q24" s="529">
        <v>0</v>
      </c>
    </row>
    <row r="25" spans="1:17" ht="15.75" customHeight="1" x14ac:dyDescent="0.2">
      <c r="A25" s="484">
        <f t="shared" si="0"/>
        <v>17</v>
      </c>
      <c r="B25" s="529" t="s">
        <v>102</v>
      </c>
      <c r="C25" s="516" t="s">
        <v>67</v>
      </c>
      <c r="D25" s="529" t="s">
        <v>594</v>
      </c>
      <c r="E25" s="529" t="s">
        <v>74</v>
      </c>
      <c r="F25" s="529" t="s">
        <v>477</v>
      </c>
      <c r="G25" s="510" t="s">
        <v>670</v>
      </c>
      <c r="H25" s="529">
        <v>5</v>
      </c>
      <c r="I25" s="529">
        <v>1</v>
      </c>
      <c r="J25" s="529">
        <v>1</v>
      </c>
      <c r="K25" s="529">
        <v>528.6</v>
      </c>
      <c r="L25" s="529">
        <v>528.6</v>
      </c>
      <c r="M25" s="529">
        <v>0</v>
      </c>
      <c r="N25" s="529">
        <v>4</v>
      </c>
      <c r="O25" s="529">
        <v>9770.18</v>
      </c>
      <c r="P25" s="530">
        <v>9770.18</v>
      </c>
      <c r="Q25" s="529">
        <v>0</v>
      </c>
    </row>
    <row r="26" spans="1:17" ht="15.75" customHeight="1" x14ac:dyDescent="0.2">
      <c r="A26" s="484">
        <f t="shared" si="0"/>
        <v>18</v>
      </c>
      <c r="B26" s="529" t="s">
        <v>173</v>
      </c>
      <c r="C26" s="516" t="s">
        <v>67</v>
      </c>
      <c r="D26" s="529" t="s">
        <v>478</v>
      </c>
      <c r="E26" s="529" t="s">
        <v>174</v>
      </c>
      <c r="F26" s="529" t="s">
        <v>175</v>
      </c>
      <c r="G26" s="510" t="s">
        <v>670</v>
      </c>
      <c r="H26" s="529">
        <v>32</v>
      </c>
      <c r="I26" s="529">
        <v>24</v>
      </c>
      <c r="J26" s="529">
        <v>28</v>
      </c>
      <c r="K26" s="529">
        <v>19933.77</v>
      </c>
      <c r="L26" s="529">
        <v>14928.42</v>
      </c>
      <c r="M26" s="529">
        <v>5005.3500000000004</v>
      </c>
      <c r="N26" s="529">
        <v>0</v>
      </c>
      <c r="O26" s="529">
        <v>0</v>
      </c>
      <c r="P26" s="530">
        <v>0</v>
      </c>
      <c r="Q26" s="529">
        <v>0</v>
      </c>
    </row>
    <row r="27" spans="1:17" ht="15.75" customHeight="1" x14ac:dyDescent="0.2">
      <c r="A27" s="484">
        <f t="shared" si="0"/>
        <v>19</v>
      </c>
      <c r="B27" s="529" t="s">
        <v>25</v>
      </c>
      <c r="C27" s="516" t="s">
        <v>62</v>
      </c>
      <c r="D27" s="529" t="s">
        <v>63</v>
      </c>
      <c r="E27" s="529" t="s">
        <v>76</v>
      </c>
      <c r="F27" s="529" t="s">
        <v>584</v>
      </c>
      <c r="G27" s="510" t="s">
        <v>670</v>
      </c>
      <c r="H27" s="529">
        <v>62</v>
      </c>
      <c r="I27" s="529">
        <v>0</v>
      </c>
      <c r="J27" s="529">
        <v>0</v>
      </c>
      <c r="K27" s="529">
        <v>0</v>
      </c>
      <c r="L27" s="529">
        <v>0</v>
      </c>
      <c r="M27" s="529">
        <v>0</v>
      </c>
      <c r="N27" s="529">
        <v>0</v>
      </c>
      <c r="O27" s="529">
        <v>0</v>
      </c>
      <c r="P27" s="530">
        <v>0</v>
      </c>
      <c r="Q27" s="529">
        <v>0</v>
      </c>
    </row>
    <row r="28" spans="1:17" ht="15.75" customHeight="1" x14ac:dyDescent="0.2">
      <c r="A28" s="484">
        <f t="shared" si="0"/>
        <v>20</v>
      </c>
      <c r="B28" s="529" t="s">
        <v>600</v>
      </c>
      <c r="C28" s="516" t="s">
        <v>62</v>
      </c>
      <c r="D28" s="529" t="s">
        <v>63</v>
      </c>
      <c r="E28" s="529" t="s">
        <v>75</v>
      </c>
      <c r="F28" s="529" t="s">
        <v>103</v>
      </c>
      <c r="G28" s="510" t="s">
        <v>670</v>
      </c>
      <c r="H28" s="529">
        <v>0</v>
      </c>
      <c r="I28" s="529">
        <v>0</v>
      </c>
      <c r="J28" s="529">
        <v>0</v>
      </c>
      <c r="K28" s="529">
        <v>0</v>
      </c>
      <c r="L28" s="529">
        <v>0</v>
      </c>
      <c r="M28" s="529">
        <v>0</v>
      </c>
      <c r="N28" s="529">
        <v>18</v>
      </c>
      <c r="O28" s="529">
        <v>62481.86</v>
      </c>
      <c r="P28" s="530">
        <v>62481.86</v>
      </c>
      <c r="Q28" s="529">
        <v>0</v>
      </c>
    </row>
    <row r="29" spans="1:17" ht="15.75" customHeight="1" x14ac:dyDescent="0.2">
      <c r="A29" s="484">
        <f t="shared" si="0"/>
        <v>21</v>
      </c>
      <c r="B29" s="529" t="s">
        <v>479</v>
      </c>
      <c r="C29" s="516" t="s">
        <v>67</v>
      </c>
      <c r="D29" s="529" t="s">
        <v>480</v>
      </c>
      <c r="E29" s="529" t="s">
        <v>271</v>
      </c>
      <c r="F29" s="529" t="s">
        <v>481</v>
      </c>
      <c r="G29" s="510" t="s">
        <v>670</v>
      </c>
      <c r="H29" s="529">
        <v>16</v>
      </c>
      <c r="I29" s="529">
        <v>12</v>
      </c>
      <c r="J29" s="529">
        <v>7</v>
      </c>
      <c r="K29" s="529">
        <v>3449.4</v>
      </c>
      <c r="L29" s="529">
        <v>3449.4</v>
      </c>
      <c r="M29" s="529">
        <v>0</v>
      </c>
      <c r="N29" s="529">
        <v>0</v>
      </c>
      <c r="O29" s="529">
        <v>0</v>
      </c>
      <c r="P29" s="530">
        <v>0</v>
      </c>
      <c r="Q29" s="529">
        <v>0</v>
      </c>
    </row>
    <row r="30" spans="1:17" ht="15.75" customHeight="1" x14ac:dyDescent="0.2">
      <c r="A30" s="484">
        <f t="shared" si="0"/>
        <v>22</v>
      </c>
      <c r="B30" s="529" t="s">
        <v>176</v>
      </c>
      <c r="C30" s="516" t="s">
        <v>62</v>
      </c>
      <c r="D30" s="529"/>
      <c r="E30" s="529" t="s">
        <v>177</v>
      </c>
      <c r="F30" s="529" t="s">
        <v>178</v>
      </c>
      <c r="G30" s="510" t="s">
        <v>670</v>
      </c>
      <c r="H30" s="529">
        <v>20</v>
      </c>
      <c r="I30" s="529">
        <v>15</v>
      </c>
      <c r="J30" s="529">
        <v>16</v>
      </c>
      <c r="K30" s="529">
        <v>14354.65</v>
      </c>
      <c r="L30" s="529">
        <v>9284.5400000000009</v>
      </c>
      <c r="M30" s="529">
        <v>5070.1099999999997</v>
      </c>
      <c r="N30" s="529">
        <v>0</v>
      </c>
      <c r="O30" s="529">
        <v>0</v>
      </c>
      <c r="P30" s="530">
        <v>0</v>
      </c>
      <c r="Q30" s="529">
        <v>0</v>
      </c>
    </row>
    <row r="31" spans="1:17" ht="15.75" customHeight="1" x14ac:dyDescent="0.2">
      <c r="A31" s="484">
        <f t="shared" si="0"/>
        <v>23</v>
      </c>
      <c r="B31" s="529" t="s">
        <v>152</v>
      </c>
      <c r="C31" s="516" t="s">
        <v>62</v>
      </c>
      <c r="D31" s="529" t="s">
        <v>63</v>
      </c>
      <c r="E31" s="529" t="s">
        <v>74</v>
      </c>
      <c r="F31" s="529" t="s">
        <v>179</v>
      </c>
      <c r="G31" s="510" t="s">
        <v>670</v>
      </c>
      <c r="H31" s="529">
        <v>31</v>
      </c>
      <c r="I31" s="529">
        <v>19</v>
      </c>
      <c r="J31" s="529">
        <v>18</v>
      </c>
      <c r="K31" s="529">
        <v>38119.06</v>
      </c>
      <c r="L31" s="529">
        <v>38119.06</v>
      </c>
      <c r="M31" s="529">
        <v>0</v>
      </c>
      <c r="N31" s="529">
        <v>16</v>
      </c>
      <c r="O31" s="529">
        <v>10875.99</v>
      </c>
      <c r="P31" s="530">
        <v>10875.99</v>
      </c>
      <c r="Q31" s="529">
        <v>0</v>
      </c>
    </row>
    <row r="32" spans="1:17" ht="15.75" customHeight="1" x14ac:dyDescent="0.2">
      <c r="A32" s="484">
        <f t="shared" si="0"/>
        <v>24</v>
      </c>
      <c r="B32" s="529" t="s">
        <v>88</v>
      </c>
      <c r="C32" s="516" t="s">
        <v>62</v>
      </c>
      <c r="D32" s="529" t="s">
        <v>63</v>
      </c>
      <c r="E32" s="529" t="s">
        <v>74</v>
      </c>
      <c r="F32" s="529" t="s">
        <v>180</v>
      </c>
      <c r="G32" s="510" t="s">
        <v>670</v>
      </c>
      <c r="H32" s="529">
        <v>9</v>
      </c>
      <c r="I32" s="529">
        <v>5</v>
      </c>
      <c r="J32" s="529">
        <v>5</v>
      </c>
      <c r="K32" s="529">
        <v>7768.25</v>
      </c>
      <c r="L32" s="529">
        <v>3921.49</v>
      </c>
      <c r="M32" s="529">
        <v>3846.76</v>
      </c>
      <c r="N32" s="529">
        <v>2</v>
      </c>
      <c r="O32" s="529">
        <v>22884.99</v>
      </c>
      <c r="P32" s="530">
        <v>22884.99</v>
      </c>
      <c r="Q32" s="529">
        <v>0</v>
      </c>
    </row>
    <row r="33" spans="1:17" ht="15.75" customHeight="1" x14ac:dyDescent="0.2">
      <c r="A33" s="484">
        <f t="shared" si="0"/>
        <v>25</v>
      </c>
      <c r="B33" s="529" t="s">
        <v>26</v>
      </c>
      <c r="C33" s="516" t="s">
        <v>62</v>
      </c>
      <c r="D33" s="529" t="s">
        <v>63</v>
      </c>
      <c r="E33" s="529" t="s">
        <v>74</v>
      </c>
      <c r="F33" s="529" t="s">
        <v>181</v>
      </c>
      <c r="G33" s="510" t="s">
        <v>670</v>
      </c>
      <c r="H33" s="529">
        <v>31</v>
      </c>
      <c r="I33" s="529">
        <v>27</v>
      </c>
      <c r="J33" s="529">
        <v>35</v>
      </c>
      <c r="K33" s="529">
        <v>65045.440000000002</v>
      </c>
      <c r="L33" s="529">
        <v>65045.440000000002</v>
      </c>
      <c r="M33" s="529">
        <v>0</v>
      </c>
      <c r="N33" s="529">
        <v>18</v>
      </c>
      <c r="O33" s="529">
        <v>27881.98</v>
      </c>
      <c r="P33" s="530">
        <v>27881.98</v>
      </c>
      <c r="Q33" s="529">
        <v>0</v>
      </c>
    </row>
    <row r="34" spans="1:17" ht="15.75" customHeight="1" x14ac:dyDescent="0.2">
      <c r="A34" s="484">
        <f t="shared" si="0"/>
        <v>26</v>
      </c>
      <c r="B34" s="529" t="s">
        <v>182</v>
      </c>
      <c r="C34" s="516" t="s">
        <v>62</v>
      </c>
      <c r="D34" s="529" t="s">
        <v>63</v>
      </c>
      <c r="E34" s="529" t="s">
        <v>174</v>
      </c>
      <c r="F34" s="529" t="s">
        <v>183</v>
      </c>
      <c r="G34" s="510" t="s">
        <v>670</v>
      </c>
      <c r="H34" s="529">
        <v>43</v>
      </c>
      <c r="I34" s="529">
        <v>23</v>
      </c>
      <c r="J34" s="529">
        <v>28</v>
      </c>
      <c r="K34" s="529">
        <v>23283.040000000001</v>
      </c>
      <c r="L34" s="529">
        <v>23283.040000000001</v>
      </c>
      <c r="M34" s="529">
        <v>0</v>
      </c>
      <c r="N34" s="529">
        <v>0</v>
      </c>
      <c r="O34" s="529">
        <v>0</v>
      </c>
      <c r="P34" s="530">
        <v>0</v>
      </c>
      <c r="Q34" s="529">
        <v>0</v>
      </c>
    </row>
    <row r="35" spans="1:17" ht="15.75" customHeight="1" x14ac:dyDescent="0.2">
      <c r="A35" s="484">
        <f t="shared" si="0"/>
        <v>27</v>
      </c>
      <c r="B35" s="529" t="s">
        <v>601</v>
      </c>
      <c r="C35" s="516" t="s">
        <v>62</v>
      </c>
      <c r="D35" s="529" t="s">
        <v>63</v>
      </c>
      <c r="E35" s="529" t="s">
        <v>366</v>
      </c>
      <c r="F35" s="529" t="s">
        <v>602</v>
      </c>
      <c r="G35" s="510" t="s">
        <v>670</v>
      </c>
      <c r="H35" s="529">
        <v>4</v>
      </c>
      <c r="I35" s="529">
        <v>0</v>
      </c>
      <c r="J35" s="529">
        <v>0</v>
      </c>
      <c r="K35" s="529">
        <v>0</v>
      </c>
      <c r="L35" s="529">
        <v>0</v>
      </c>
      <c r="M35" s="529">
        <v>0</v>
      </c>
      <c r="N35" s="529">
        <v>0</v>
      </c>
      <c r="O35" s="529">
        <v>0</v>
      </c>
      <c r="P35" s="530">
        <v>0</v>
      </c>
      <c r="Q35" s="529">
        <v>0</v>
      </c>
    </row>
    <row r="36" spans="1:17" ht="15.75" customHeight="1" x14ac:dyDescent="0.2">
      <c r="A36" s="484">
        <f t="shared" si="0"/>
        <v>28</v>
      </c>
      <c r="B36" s="529" t="s">
        <v>137</v>
      </c>
      <c r="C36" s="516" t="s">
        <v>62</v>
      </c>
      <c r="D36" s="529" t="s">
        <v>63</v>
      </c>
      <c r="E36" s="529" t="s">
        <v>78</v>
      </c>
      <c r="F36" s="529" t="s">
        <v>184</v>
      </c>
      <c r="G36" s="510" t="s">
        <v>670</v>
      </c>
      <c r="H36" s="529">
        <v>11</v>
      </c>
      <c r="I36" s="529">
        <v>6</v>
      </c>
      <c r="J36" s="529">
        <v>6</v>
      </c>
      <c r="K36" s="529">
        <v>8691.83</v>
      </c>
      <c r="L36" s="529">
        <v>8691.83</v>
      </c>
      <c r="M36" s="529">
        <v>0</v>
      </c>
      <c r="N36" s="529">
        <v>5</v>
      </c>
      <c r="O36" s="529">
        <v>9148.83</v>
      </c>
      <c r="P36" s="530">
        <v>9148.83</v>
      </c>
      <c r="Q36" s="529">
        <v>0</v>
      </c>
    </row>
    <row r="37" spans="1:17" ht="15.75" customHeight="1" x14ac:dyDescent="0.2">
      <c r="A37" s="484">
        <f t="shared" si="0"/>
        <v>29</v>
      </c>
      <c r="B37" s="529" t="s">
        <v>335</v>
      </c>
      <c r="C37" s="516" t="s">
        <v>62</v>
      </c>
      <c r="D37" s="529" t="s">
        <v>63</v>
      </c>
      <c r="E37" s="529" t="s">
        <v>74</v>
      </c>
      <c r="F37" s="529" t="s">
        <v>748</v>
      </c>
      <c r="G37" s="510" t="s">
        <v>670</v>
      </c>
      <c r="H37" s="529">
        <v>1</v>
      </c>
      <c r="I37" s="529">
        <v>0</v>
      </c>
      <c r="J37" s="529">
        <v>0</v>
      </c>
      <c r="K37" s="529">
        <v>0</v>
      </c>
      <c r="L37" s="529">
        <v>0</v>
      </c>
      <c r="M37" s="529">
        <v>0</v>
      </c>
      <c r="N37" s="529">
        <v>0</v>
      </c>
      <c r="O37" s="529">
        <v>0</v>
      </c>
      <c r="P37" s="530">
        <v>0</v>
      </c>
      <c r="Q37" s="529">
        <v>0</v>
      </c>
    </row>
    <row r="38" spans="1:17" ht="15.75" customHeight="1" x14ac:dyDescent="0.2">
      <c r="A38" s="484">
        <f t="shared" si="0"/>
        <v>30</v>
      </c>
      <c r="B38" s="529" t="s">
        <v>185</v>
      </c>
      <c r="C38" s="516" t="s">
        <v>62</v>
      </c>
      <c r="D38" s="529" t="s">
        <v>63</v>
      </c>
      <c r="E38" s="529" t="s">
        <v>186</v>
      </c>
      <c r="F38" s="529" t="s">
        <v>463</v>
      </c>
      <c r="G38" s="510" t="s">
        <v>670</v>
      </c>
      <c r="H38" s="529">
        <v>15</v>
      </c>
      <c r="I38" s="529">
        <v>10</v>
      </c>
      <c r="J38" s="529">
        <v>12</v>
      </c>
      <c r="K38" s="529">
        <v>2746.17</v>
      </c>
      <c r="L38" s="529">
        <v>2746.17</v>
      </c>
      <c r="M38" s="529"/>
      <c r="N38" s="529">
        <v>0</v>
      </c>
      <c r="O38" s="529">
        <v>0</v>
      </c>
      <c r="P38" s="530">
        <v>0</v>
      </c>
      <c r="Q38" s="529">
        <v>0</v>
      </c>
    </row>
    <row r="39" spans="1:17" ht="15.75" customHeight="1" x14ac:dyDescent="0.2">
      <c r="A39" s="484">
        <f t="shared" si="0"/>
        <v>31</v>
      </c>
      <c r="B39" s="529" t="s">
        <v>27</v>
      </c>
      <c r="C39" s="516" t="s">
        <v>62</v>
      </c>
      <c r="D39" s="529" t="s">
        <v>63</v>
      </c>
      <c r="E39" s="529" t="s">
        <v>74</v>
      </c>
      <c r="F39" s="529" t="s">
        <v>187</v>
      </c>
      <c r="G39" s="510" t="s">
        <v>670</v>
      </c>
      <c r="H39" s="529">
        <v>19</v>
      </c>
      <c r="I39" s="529">
        <v>13</v>
      </c>
      <c r="J39" s="529">
        <v>14</v>
      </c>
      <c r="K39" s="529">
        <v>11368.12</v>
      </c>
      <c r="L39" s="529">
        <v>11368.12</v>
      </c>
      <c r="M39" s="529">
        <v>0</v>
      </c>
      <c r="N39" s="529">
        <v>7</v>
      </c>
      <c r="O39" s="529">
        <v>35186.089999999997</v>
      </c>
      <c r="P39" s="530">
        <v>35186.089999999997</v>
      </c>
      <c r="Q39" s="529">
        <v>0</v>
      </c>
    </row>
    <row r="40" spans="1:17" ht="15.75" customHeight="1" x14ac:dyDescent="0.2">
      <c r="A40" s="484">
        <f t="shared" si="0"/>
        <v>32</v>
      </c>
      <c r="B40" s="529" t="s">
        <v>654</v>
      </c>
      <c r="C40" s="516" t="s">
        <v>67</v>
      </c>
      <c r="D40" s="529" t="s">
        <v>680</v>
      </c>
      <c r="E40" s="529" t="s">
        <v>655</v>
      </c>
      <c r="F40" s="529" t="s">
        <v>656</v>
      </c>
      <c r="G40" s="510" t="s">
        <v>670</v>
      </c>
      <c r="H40" s="529">
        <v>7</v>
      </c>
      <c r="I40" s="529">
        <v>0</v>
      </c>
      <c r="J40" s="529">
        <v>0</v>
      </c>
      <c r="K40" s="529">
        <v>0</v>
      </c>
      <c r="L40" s="529">
        <v>0</v>
      </c>
      <c r="M40" s="529">
        <v>0</v>
      </c>
      <c r="N40" s="529">
        <v>0</v>
      </c>
      <c r="O40" s="529">
        <v>0</v>
      </c>
      <c r="P40" s="530">
        <v>0</v>
      </c>
      <c r="Q40" s="529">
        <v>0</v>
      </c>
    </row>
    <row r="41" spans="1:17" ht="15.75" customHeight="1" x14ac:dyDescent="0.2">
      <c r="A41" s="484">
        <f t="shared" si="0"/>
        <v>33</v>
      </c>
      <c r="B41" s="529" t="s">
        <v>482</v>
      </c>
      <c r="C41" s="516" t="s">
        <v>64</v>
      </c>
      <c r="D41" s="529" t="s">
        <v>483</v>
      </c>
      <c r="E41" s="529" t="s">
        <v>313</v>
      </c>
      <c r="F41" s="529" t="s">
        <v>484</v>
      </c>
      <c r="G41" s="510" t="s">
        <v>670</v>
      </c>
      <c r="H41" s="529">
        <v>12</v>
      </c>
      <c r="I41" s="529">
        <v>1</v>
      </c>
      <c r="J41" s="529">
        <v>1</v>
      </c>
      <c r="K41" s="529">
        <v>0</v>
      </c>
      <c r="L41" s="529">
        <v>0</v>
      </c>
      <c r="M41" s="529">
        <v>0</v>
      </c>
      <c r="N41" s="529">
        <v>0</v>
      </c>
      <c r="O41" s="529">
        <v>0</v>
      </c>
      <c r="P41" s="530">
        <v>0</v>
      </c>
      <c r="Q41" s="529">
        <v>0</v>
      </c>
    </row>
    <row r="42" spans="1:17" ht="15.75" customHeight="1" x14ac:dyDescent="0.2">
      <c r="A42" s="484">
        <f t="shared" si="0"/>
        <v>34</v>
      </c>
      <c r="B42" s="529" t="s">
        <v>104</v>
      </c>
      <c r="C42" s="516" t="s">
        <v>62</v>
      </c>
      <c r="D42" s="529" t="s">
        <v>63</v>
      </c>
      <c r="E42" s="529" t="s">
        <v>105</v>
      </c>
      <c r="F42" s="529" t="s">
        <v>188</v>
      </c>
      <c r="G42" s="510" t="s">
        <v>670</v>
      </c>
      <c r="H42" s="529">
        <v>9</v>
      </c>
      <c r="I42" s="529">
        <v>7</v>
      </c>
      <c r="J42" s="529">
        <v>9</v>
      </c>
      <c r="K42" s="529">
        <v>25507.49</v>
      </c>
      <c r="L42" s="529">
        <v>25507.49</v>
      </c>
      <c r="M42" s="529">
        <v>0</v>
      </c>
      <c r="N42" s="529">
        <v>26</v>
      </c>
      <c r="O42" s="529">
        <v>49255.29</v>
      </c>
      <c r="P42" s="530">
        <v>49255.29</v>
      </c>
      <c r="Q42" s="529">
        <v>0</v>
      </c>
    </row>
    <row r="43" spans="1:17" ht="15.75" customHeight="1" x14ac:dyDescent="0.2">
      <c r="A43" s="484">
        <f t="shared" si="0"/>
        <v>35</v>
      </c>
      <c r="B43" s="529" t="s">
        <v>517</v>
      </c>
      <c r="C43" s="516" t="s">
        <v>62</v>
      </c>
      <c r="D43" s="529" t="s">
        <v>63</v>
      </c>
      <c r="E43" s="529" t="s">
        <v>239</v>
      </c>
      <c r="F43" s="529" t="s">
        <v>567</v>
      </c>
      <c r="G43" s="510" t="s">
        <v>670</v>
      </c>
      <c r="H43" s="529">
        <v>22</v>
      </c>
      <c r="I43" s="529">
        <v>16</v>
      </c>
      <c r="J43" s="529">
        <v>17</v>
      </c>
      <c r="K43" s="529">
        <v>8593.74</v>
      </c>
      <c r="L43" s="529">
        <v>8593.74</v>
      </c>
      <c r="M43" s="529"/>
      <c r="N43" s="529">
        <v>0</v>
      </c>
      <c r="O43" s="529">
        <v>0</v>
      </c>
      <c r="P43" s="530">
        <v>0</v>
      </c>
      <c r="Q43" s="529">
        <v>0</v>
      </c>
    </row>
    <row r="44" spans="1:17" ht="15.75" customHeight="1" x14ac:dyDescent="0.2">
      <c r="A44" s="484">
        <f t="shared" si="0"/>
        <v>36</v>
      </c>
      <c r="B44" s="529" t="s">
        <v>28</v>
      </c>
      <c r="C44" s="516" t="s">
        <v>62</v>
      </c>
      <c r="D44" s="529" t="s">
        <v>63</v>
      </c>
      <c r="E44" s="529" t="s">
        <v>74</v>
      </c>
      <c r="F44" s="529" t="s">
        <v>189</v>
      </c>
      <c r="G44" s="510" t="s">
        <v>670</v>
      </c>
      <c r="H44" s="529">
        <v>14</v>
      </c>
      <c r="I44" s="529">
        <v>10</v>
      </c>
      <c r="J44" s="529">
        <v>11</v>
      </c>
      <c r="K44" s="529">
        <v>13276.34</v>
      </c>
      <c r="L44" s="529">
        <v>13276.34</v>
      </c>
      <c r="M44" s="529">
        <v>0</v>
      </c>
      <c r="N44" s="529">
        <v>8</v>
      </c>
      <c r="O44" s="529">
        <v>18393.25</v>
      </c>
      <c r="P44" s="530">
        <v>18393.25</v>
      </c>
      <c r="Q44" s="529">
        <v>0</v>
      </c>
    </row>
    <row r="45" spans="1:17" ht="15.75" customHeight="1" x14ac:dyDescent="0.2">
      <c r="A45" s="484">
        <f t="shared" si="0"/>
        <v>37</v>
      </c>
      <c r="B45" s="529" t="s">
        <v>190</v>
      </c>
      <c r="C45" s="516" t="s">
        <v>62</v>
      </c>
      <c r="D45" s="529" t="s">
        <v>63</v>
      </c>
      <c r="E45" s="529" t="s">
        <v>749</v>
      </c>
      <c r="F45" s="529" t="s">
        <v>191</v>
      </c>
      <c r="G45" s="510" t="s">
        <v>670</v>
      </c>
      <c r="H45" s="529">
        <v>20</v>
      </c>
      <c r="I45" s="529">
        <v>17</v>
      </c>
      <c r="J45" s="529">
        <v>17</v>
      </c>
      <c r="K45" s="529">
        <v>15430.42</v>
      </c>
      <c r="L45" s="529">
        <v>15430.42</v>
      </c>
      <c r="M45" s="529">
        <v>0</v>
      </c>
      <c r="N45" s="529">
        <v>0</v>
      </c>
      <c r="O45" s="529">
        <v>0</v>
      </c>
      <c r="P45" s="530">
        <v>0</v>
      </c>
      <c r="Q45" s="529">
        <v>0</v>
      </c>
    </row>
    <row r="46" spans="1:17" ht="15.75" customHeight="1" x14ac:dyDescent="0.2">
      <c r="A46" s="484">
        <f t="shared" si="0"/>
        <v>38</v>
      </c>
      <c r="B46" s="529" t="s">
        <v>89</v>
      </c>
      <c r="C46" s="516" t="s">
        <v>62</v>
      </c>
      <c r="D46" s="529" t="s">
        <v>63</v>
      </c>
      <c r="E46" s="529" t="s">
        <v>74</v>
      </c>
      <c r="F46" s="529" t="s">
        <v>195</v>
      </c>
      <c r="G46" s="510" t="s">
        <v>670</v>
      </c>
      <c r="H46" s="529">
        <v>39</v>
      </c>
      <c r="I46" s="529">
        <v>36</v>
      </c>
      <c r="J46" s="529">
        <v>38</v>
      </c>
      <c r="K46" s="529">
        <v>34420.629999999997</v>
      </c>
      <c r="L46" s="529">
        <v>34420.629999999997</v>
      </c>
      <c r="M46" s="529">
        <v>0</v>
      </c>
      <c r="N46" s="529">
        <v>7</v>
      </c>
      <c r="O46" s="529">
        <v>39298.120000000003</v>
      </c>
      <c r="P46" s="530">
        <v>39298.120000000003</v>
      </c>
      <c r="Q46" s="529">
        <v>0</v>
      </c>
    </row>
    <row r="47" spans="1:17" ht="15.75" customHeight="1" x14ac:dyDescent="0.2">
      <c r="A47" s="484">
        <f t="shared" si="0"/>
        <v>39</v>
      </c>
      <c r="B47" s="529" t="s">
        <v>196</v>
      </c>
      <c r="C47" s="516" t="s">
        <v>62</v>
      </c>
      <c r="D47" s="529" t="s">
        <v>63</v>
      </c>
      <c r="E47" s="529" t="s">
        <v>197</v>
      </c>
      <c r="F47" s="529" t="s">
        <v>198</v>
      </c>
      <c r="G47" s="510" t="s">
        <v>670</v>
      </c>
      <c r="H47" s="529">
        <v>27</v>
      </c>
      <c r="I47" s="529">
        <v>18</v>
      </c>
      <c r="J47" s="529">
        <v>19</v>
      </c>
      <c r="K47" s="529">
        <v>29345.31</v>
      </c>
      <c r="L47" s="529">
        <v>20605.830000000002</v>
      </c>
      <c r="M47" s="529">
        <v>8739.48</v>
      </c>
      <c r="N47" s="529">
        <v>0</v>
      </c>
      <c r="O47" s="529">
        <v>0</v>
      </c>
      <c r="P47" s="530">
        <v>0</v>
      </c>
      <c r="Q47" s="529">
        <v>0</v>
      </c>
    </row>
    <row r="48" spans="1:17" ht="15.75" customHeight="1" x14ac:dyDescent="0.2">
      <c r="A48" s="484">
        <f t="shared" si="0"/>
        <v>40</v>
      </c>
      <c r="B48" s="529" t="s">
        <v>106</v>
      </c>
      <c r="C48" s="516" t="s">
        <v>62</v>
      </c>
      <c r="D48" s="529" t="s">
        <v>63</v>
      </c>
      <c r="E48" s="529" t="s">
        <v>74</v>
      </c>
      <c r="F48" s="529" t="s">
        <v>199</v>
      </c>
      <c r="G48" s="510" t="s">
        <v>670</v>
      </c>
      <c r="H48" s="529">
        <v>53</v>
      </c>
      <c r="I48" s="529">
        <v>47</v>
      </c>
      <c r="J48" s="529">
        <v>68</v>
      </c>
      <c r="K48" s="529">
        <v>86009.18</v>
      </c>
      <c r="L48" s="529">
        <v>86009.18</v>
      </c>
      <c r="M48" s="529">
        <v>0</v>
      </c>
      <c r="N48" s="529">
        <v>28</v>
      </c>
      <c r="O48" s="529">
        <v>150774.95000000001</v>
      </c>
      <c r="P48" s="530">
        <v>150774.95000000001</v>
      </c>
      <c r="Q48" s="529">
        <v>0</v>
      </c>
    </row>
    <row r="49" spans="1:17" ht="15.75" customHeight="1" x14ac:dyDescent="0.2">
      <c r="A49" s="484">
        <f t="shared" si="0"/>
        <v>41</v>
      </c>
      <c r="B49" s="529" t="s">
        <v>750</v>
      </c>
      <c r="C49" s="516" t="s">
        <v>62</v>
      </c>
      <c r="D49" s="529" t="s">
        <v>63</v>
      </c>
      <c r="E49" s="529" t="s">
        <v>74</v>
      </c>
      <c r="F49" s="531" t="s">
        <v>751</v>
      </c>
      <c r="G49" s="510" t="s">
        <v>670</v>
      </c>
      <c r="H49" s="529"/>
      <c r="I49" s="529"/>
      <c r="J49" s="529"/>
      <c r="K49" s="529">
        <v>0</v>
      </c>
      <c r="L49" s="529">
        <v>0</v>
      </c>
      <c r="M49" s="529">
        <v>0</v>
      </c>
      <c r="N49" s="529"/>
      <c r="O49" s="529">
        <v>0</v>
      </c>
      <c r="P49" s="530">
        <v>0</v>
      </c>
      <c r="Q49" s="529"/>
    </row>
    <row r="50" spans="1:17" ht="15.75" customHeight="1" x14ac:dyDescent="0.2">
      <c r="A50" s="484">
        <f t="shared" si="0"/>
        <v>42</v>
      </c>
      <c r="B50" s="529" t="s">
        <v>107</v>
      </c>
      <c r="C50" s="516" t="s">
        <v>62</v>
      </c>
      <c r="D50" s="529" t="s">
        <v>63</v>
      </c>
      <c r="E50" s="529" t="s">
        <v>74</v>
      </c>
      <c r="F50" s="529" t="s">
        <v>752</v>
      </c>
      <c r="G50" s="510" t="s">
        <v>670</v>
      </c>
      <c r="H50" s="529">
        <v>10</v>
      </c>
      <c r="I50" s="529">
        <v>0</v>
      </c>
      <c r="J50" s="529">
        <v>0</v>
      </c>
      <c r="K50" s="529">
        <v>0</v>
      </c>
      <c r="L50" s="529">
        <v>0</v>
      </c>
      <c r="M50" s="529">
        <v>0</v>
      </c>
      <c r="N50" s="529">
        <v>1</v>
      </c>
      <c r="O50" s="529">
        <v>0</v>
      </c>
      <c r="P50" s="530">
        <v>0</v>
      </c>
      <c r="Q50" s="529">
        <v>0</v>
      </c>
    </row>
    <row r="51" spans="1:17" ht="15.75" customHeight="1" x14ac:dyDescent="0.2">
      <c r="A51" s="484">
        <f t="shared" si="0"/>
        <v>43</v>
      </c>
      <c r="B51" s="529" t="s">
        <v>29</v>
      </c>
      <c r="C51" s="516" t="s">
        <v>62</v>
      </c>
      <c r="D51" s="529" t="s">
        <v>63</v>
      </c>
      <c r="E51" s="529" t="s">
        <v>74</v>
      </c>
      <c r="F51" s="529" t="s">
        <v>200</v>
      </c>
      <c r="G51" s="510" t="s">
        <v>670</v>
      </c>
      <c r="H51" s="529">
        <v>29</v>
      </c>
      <c r="I51" s="529">
        <v>25</v>
      </c>
      <c r="J51" s="529">
        <v>39</v>
      </c>
      <c r="K51" s="529">
        <v>40540.85</v>
      </c>
      <c r="L51" s="529">
        <v>40540.85</v>
      </c>
      <c r="M51" s="529">
        <v>0</v>
      </c>
      <c r="N51" s="529">
        <v>21</v>
      </c>
      <c r="O51" s="529">
        <v>29336.76</v>
      </c>
      <c r="P51" s="530">
        <v>29336.76</v>
      </c>
      <c r="Q51" s="529">
        <v>0</v>
      </c>
    </row>
    <row r="52" spans="1:17" ht="15.75" customHeight="1" x14ac:dyDescent="0.2">
      <c r="A52" s="484">
        <f t="shared" si="0"/>
        <v>44</v>
      </c>
      <c r="B52" s="529" t="s">
        <v>201</v>
      </c>
      <c r="C52" s="516" t="s">
        <v>67</v>
      </c>
      <c r="D52" s="529" t="s">
        <v>485</v>
      </c>
      <c r="E52" s="529" t="s">
        <v>74</v>
      </c>
      <c r="F52" s="529" t="s">
        <v>202</v>
      </c>
      <c r="G52" s="510" t="s">
        <v>670</v>
      </c>
      <c r="H52" s="529">
        <v>32</v>
      </c>
      <c r="I52" s="529">
        <v>26</v>
      </c>
      <c r="J52" s="529">
        <v>29</v>
      </c>
      <c r="K52" s="529">
        <v>42330.61</v>
      </c>
      <c r="L52" s="529">
        <v>42330.61</v>
      </c>
      <c r="M52" s="529">
        <v>0</v>
      </c>
      <c r="N52" s="529">
        <v>1</v>
      </c>
      <c r="O52" s="529">
        <v>1717.95</v>
      </c>
      <c r="P52" s="530">
        <v>1717.95</v>
      </c>
      <c r="Q52" s="529">
        <v>0</v>
      </c>
    </row>
    <row r="53" spans="1:17" ht="15.75" customHeight="1" x14ac:dyDescent="0.2">
      <c r="A53" s="484">
        <f t="shared" si="0"/>
        <v>45</v>
      </c>
      <c r="B53" s="529" t="s">
        <v>30</v>
      </c>
      <c r="C53" s="516" t="s">
        <v>62</v>
      </c>
      <c r="D53" s="529" t="s">
        <v>63</v>
      </c>
      <c r="E53" s="529" t="s">
        <v>203</v>
      </c>
      <c r="F53" s="529" t="s">
        <v>204</v>
      </c>
      <c r="G53" s="510" t="s">
        <v>670</v>
      </c>
      <c r="H53" s="529">
        <v>26</v>
      </c>
      <c r="I53" s="529">
        <v>19</v>
      </c>
      <c r="J53" s="529">
        <v>27</v>
      </c>
      <c r="K53" s="529">
        <v>63238.57</v>
      </c>
      <c r="L53" s="529">
        <v>63238.57</v>
      </c>
      <c r="M53" s="529"/>
      <c r="N53" s="529">
        <v>20</v>
      </c>
      <c r="O53" s="529">
        <v>87105.46</v>
      </c>
      <c r="P53" s="530">
        <v>87105.46</v>
      </c>
      <c r="Q53" s="529">
        <v>0</v>
      </c>
    </row>
    <row r="54" spans="1:17" ht="15.75" customHeight="1" x14ac:dyDescent="0.2">
      <c r="A54" s="484">
        <f t="shared" si="0"/>
        <v>46</v>
      </c>
      <c r="B54" s="529" t="s">
        <v>90</v>
      </c>
      <c r="C54" s="516" t="s">
        <v>62</v>
      </c>
      <c r="D54" s="529" t="s">
        <v>63</v>
      </c>
      <c r="E54" s="529" t="s">
        <v>205</v>
      </c>
      <c r="F54" s="529" t="s">
        <v>464</v>
      </c>
      <c r="G54" s="510" t="s">
        <v>670</v>
      </c>
      <c r="H54" s="529">
        <v>28</v>
      </c>
      <c r="I54" s="529">
        <v>18</v>
      </c>
      <c r="J54" s="529">
        <v>25</v>
      </c>
      <c r="K54" s="529">
        <v>36149.81</v>
      </c>
      <c r="L54" s="529">
        <v>36149.81</v>
      </c>
      <c r="M54" s="529">
        <v>0</v>
      </c>
      <c r="N54" s="529">
        <v>18</v>
      </c>
      <c r="O54" s="529">
        <v>23475.1</v>
      </c>
      <c r="P54" s="530">
        <v>23475.1</v>
      </c>
      <c r="Q54" s="529">
        <v>0</v>
      </c>
    </row>
    <row r="55" spans="1:17" ht="15.75" customHeight="1" x14ac:dyDescent="0.2">
      <c r="A55" s="484">
        <f t="shared" si="0"/>
        <v>47</v>
      </c>
      <c r="B55" s="529" t="s">
        <v>31</v>
      </c>
      <c r="C55" s="516" t="s">
        <v>62</v>
      </c>
      <c r="D55" s="529" t="s">
        <v>63</v>
      </c>
      <c r="E55" s="529" t="s">
        <v>74</v>
      </c>
      <c r="F55" s="529" t="s">
        <v>206</v>
      </c>
      <c r="G55" s="510" t="s">
        <v>670</v>
      </c>
      <c r="H55" s="529">
        <v>63</v>
      </c>
      <c r="I55" s="529">
        <v>54</v>
      </c>
      <c r="J55" s="529">
        <v>64</v>
      </c>
      <c r="K55" s="529">
        <v>112192.49</v>
      </c>
      <c r="L55" s="529">
        <v>109795.51</v>
      </c>
      <c r="M55" s="529">
        <v>2396.98</v>
      </c>
      <c r="N55" s="529">
        <v>22</v>
      </c>
      <c r="O55" s="529">
        <v>88399.12</v>
      </c>
      <c r="P55" s="530">
        <v>88399.12</v>
      </c>
      <c r="Q55" s="529">
        <v>0</v>
      </c>
    </row>
    <row r="56" spans="1:17" ht="15.75" customHeight="1" x14ac:dyDescent="0.2">
      <c r="A56" s="484">
        <f t="shared" si="0"/>
        <v>48</v>
      </c>
      <c r="B56" s="529" t="s">
        <v>631</v>
      </c>
      <c r="C56" s="516" t="s">
        <v>62</v>
      </c>
      <c r="D56" s="529" t="s">
        <v>63</v>
      </c>
      <c r="E56" s="529" t="s">
        <v>753</v>
      </c>
      <c r="F56" s="529" t="s">
        <v>732</v>
      </c>
      <c r="G56" s="510" t="s">
        <v>670</v>
      </c>
      <c r="H56" s="529">
        <v>11</v>
      </c>
      <c r="I56" s="529">
        <v>5</v>
      </c>
      <c r="J56" s="529">
        <v>5</v>
      </c>
      <c r="K56" s="529">
        <v>589.12</v>
      </c>
      <c r="L56" s="529">
        <v>589.12</v>
      </c>
      <c r="M56" s="529">
        <v>0</v>
      </c>
      <c r="N56" s="529">
        <v>0</v>
      </c>
      <c r="O56" s="529">
        <v>0</v>
      </c>
      <c r="P56" s="530">
        <v>0</v>
      </c>
      <c r="Q56" s="529">
        <v>0</v>
      </c>
    </row>
    <row r="57" spans="1:17" ht="15.75" customHeight="1" x14ac:dyDescent="0.2">
      <c r="A57" s="484">
        <f t="shared" si="0"/>
        <v>49</v>
      </c>
      <c r="B57" s="529" t="s">
        <v>605</v>
      </c>
      <c r="C57" s="516" t="s">
        <v>62</v>
      </c>
      <c r="D57" s="529" t="s">
        <v>63</v>
      </c>
      <c r="E57" s="529" t="s">
        <v>108</v>
      </c>
      <c r="F57" s="529" t="s">
        <v>619</v>
      </c>
      <c r="G57" s="510" t="s">
        <v>670</v>
      </c>
      <c r="H57" s="529">
        <v>5</v>
      </c>
      <c r="I57" s="529">
        <v>0</v>
      </c>
      <c r="J57" s="529">
        <v>0</v>
      </c>
      <c r="K57" s="529">
        <v>0</v>
      </c>
      <c r="L57" s="529">
        <v>0</v>
      </c>
      <c r="M57" s="529">
        <v>0</v>
      </c>
      <c r="N57" s="529">
        <v>0</v>
      </c>
      <c r="O57" s="529">
        <v>1200.69</v>
      </c>
      <c r="P57" s="530">
        <v>1200.69</v>
      </c>
      <c r="Q57" s="529">
        <v>0</v>
      </c>
    </row>
    <row r="58" spans="1:17" ht="15.75" customHeight="1" x14ac:dyDescent="0.2">
      <c r="A58" s="484">
        <f t="shared" si="0"/>
        <v>50</v>
      </c>
      <c r="B58" s="529" t="s">
        <v>32</v>
      </c>
      <c r="C58" s="516" t="s">
        <v>62</v>
      </c>
      <c r="D58" s="529" t="s">
        <v>63</v>
      </c>
      <c r="E58" s="529" t="s">
        <v>74</v>
      </c>
      <c r="F58" s="529" t="s">
        <v>207</v>
      </c>
      <c r="G58" s="510" t="s">
        <v>670</v>
      </c>
      <c r="H58" s="529">
        <v>55</v>
      </c>
      <c r="I58" s="529">
        <v>46</v>
      </c>
      <c r="J58" s="529">
        <v>51</v>
      </c>
      <c r="K58" s="529">
        <v>34934.46</v>
      </c>
      <c r="L58" s="529">
        <v>34934.46</v>
      </c>
      <c r="M58" s="529">
        <v>0</v>
      </c>
      <c r="N58" s="529">
        <v>38</v>
      </c>
      <c r="O58" s="529">
        <v>99653.31</v>
      </c>
      <c r="P58" s="530">
        <v>99653.31</v>
      </c>
      <c r="Q58" s="529">
        <v>0</v>
      </c>
    </row>
    <row r="59" spans="1:17" ht="15.75" customHeight="1" x14ac:dyDescent="0.2">
      <c r="A59" s="484">
        <f t="shared" si="0"/>
        <v>51</v>
      </c>
      <c r="B59" s="529" t="s">
        <v>91</v>
      </c>
      <c r="C59" s="516" t="s">
        <v>62</v>
      </c>
      <c r="D59" s="529" t="s">
        <v>63</v>
      </c>
      <c r="E59" s="529" t="s">
        <v>74</v>
      </c>
      <c r="F59" s="529" t="s">
        <v>208</v>
      </c>
      <c r="G59" s="510" t="s">
        <v>670</v>
      </c>
      <c r="H59" s="529">
        <v>20</v>
      </c>
      <c r="I59" s="529">
        <v>13</v>
      </c>
      <c r="J59" s="529">
        <v>13</v>
      </c>
      <c r="K59" s="529">
        <v>7911.39</v>
      </c>
      <c r="L59" s="529">
        <v>7911.39</v>
      </c>
      <c r="M59" s="529">
        <v>0</v>
      </c>
      <c r="N59" s="529">
        <v>2</v>
      </c>
      <c r="O59" s="529">
        <v>17381.23</v>
      </c>
      <c r="P59" s="530">
        <v>17381.23</v>
      </c>
      <c r="Q59" s="529">
        <v>0</v>
      </c>
    </row>
    <row r="60" spans="1:17" ht="15.75" customHeight="1" x14ac:dyDescent="0.2">
      <c r="A60" s="484">
        <f t="shared" si="0"/>
        <v>52</v>
      </c>
      <c r="B60" s="529" t="s">
        <v>33</v>
      </c>
      <c r="C60" s="516" t="s">
        <v>62</v>
      </c>
      <c r="D60" s="529" t="s">
        <v>63</v>
      </c>
      <c r="E60" s="529" t="s">
        <v>74</v>
      </c>
      <c r="F60" s="529" t="s">
        <v>209</v>
      </c>
      <c r="G60" s="510" t="s">
        <v>670</v>
      </c>
      <c r="H60" s="529">
        <v>42</v>
      </c>
      <c r="I60" s="529">
        <v>35</v>
      </c>
      <c r="J60" s="529">
        <v>50</v>
      </c>
      <c r="K60" s="529">
        <v>87605.8</v>
      </c>
      <c r="L60" s="529">
        <v>87605.8</v>
      </c>
      <c r="M60" s="529"/>
      <c r="N60" s="529">
        <v>42</v>
      </c>
      <c r="O60" s="529">
        <v>103361.98</v>
      </c>
      <c r="P60" s="530">
        <v>103361.98</v>
      </c>
      <c r="Q60" s="529">
        <v>0</v>
      </c>
    </row>
    <row r="61" spans="1:17" ht="15.75" customHeight="1" x14ac:dyDescent="0.2">
      <c r="A61" s="484">
        <f t="shared" si="0"/>
        <v>53</v>
      </c>
      <c r="B61" s="529" t="s">
        <v>153</v>
      </c>
      <c r="C61" s="516" t="s">
        <v>62</v>
      </c>
      <c r="D61" s="529" t="s">
        <v>63</v>
      </c>
      <c r="E61" s="529" t="s">
        <v>74</v>
      </c>
      <c r="F61" s="529" t="s">
        <v>210</v>
      </c>
      <c r="G61" s="510" t="s">
        <v>670</v>
      </c>
      <c r="H61" s="529">
        <v>0</v>
      </c>
      <c r="I61" s="529">
        <v>0</v>
      </c>
      <c r="J61" s="529">
        <v>0</v>
      </c>
      <c r="K61" s="529">
        <v>0</v>
      </c>
      <c r="L61" s="529">
        <v>0</v>
      </c>
      <c r="M61" s="529">
        <v>0</v>
      </c>
      <c r="N61" s="529">
        <v>3</v>
      </c>
      <c r="O61" s="529">
        <v>35991.79</v>
      </c>
      <c r="P61" s="530">
        <v>35991.79</v>
      </c>
      <c r="Q61" s="529">
        <v>0</v>
      </c>
    </row>
    <row r="62" spans="1:17" ht="15.75" customHeight="1" x14ac:dyDescent="0.2">
      <c r="A62" s="484">
        <f t="shared" si="0"/>
        <v>54</v>
      </c>
      <c r="B62" s="529" t="s">
        <v>34</v>
      </c>
      <c r="C62" s="516" t="s">
        <v>62</v>
      </c>
      <c r="D62" s="529" t="s">
        <v>63</v>
      </c>
      <c r="E62" s="529" t="s">
        <v>74</v>
      </c>
      <c r="F62" s="529" t="s">
        <v>211</v>
      </c>
      <c r="G62" s="510" t="s">
        <v>670</v>
      </c>
      <c r="H62" s="529">
        <v>23</v>
      </c>
      <c r="I62" s="529">
        <v>18</v>
      </c>
      <c r="J62" s="529">
        <v>21</v>
      </c>
      <c r="K62" s="529">
        <v>7566.68</v>
      </c>
      <c r="L62" s="529">
        <v>7566.68</v>
      </c>
      <c r="M62" s="529">
        <v>0</v>
      </c>
      <c r="N62" s="529">
        <v>26</v>
      </c>
      <c r="O62" s="529">
        <v>106055.76</v>
      </c>
      <c r="P62" s="530">
        <v>106055.76</v>
      </c>
      <c r="Q62" s="529">
        <v>0</v>
      </c>
    </row>
    <row r="63" spans="1:17" ht="15.75" customHeight="1" x14ac:dyDescent="0.2">
      <c r="A63" s="484">
        <f t="shared" si="0"/>
        <v>55</v>
      </c>
      <c r="B63" s="529" t="s">
        <v>154</v>
      </c>
      <c r="C63" s="516" t="s">
        <v>62</v>
      </c>
      <c r="D63" s="529" t="s">
        <v>63</v>
      </c>
      <c r="E63" s="529" t="s">
        <v>72</v>
      </c>
      <c r="F63" s="529" t="s">
        <v>212</v>
      </c>
      <c r="G63" s="510" t="s">
        <v>670</v>
      </c>
      <c r="H63" s="529">
        <v>6</v>
      </c>
      <c r="I63" s="529">
        <v>2</v>
      </c>
      <c r="J63" s="529">
        <v>2</v>
      </c>
      <c r="K63" s="529">
        <v>5344.37</v>
      </c>
      <c r="L63" s="529">
        <v>5344.37</v>
      </c>
      <c r="M63" s="529">
        <v>0</v>
      </c>
      <c r="N63" s="529">
        <v>2</v>
      </c>
      <c r="O63" s="529">
        <v>6845.37</v>
      </c>
      <c r="P63" s="530">
        <v>6845.37</v>
      </c>
      <c r="Q63" s="529">
        <v>0</v>
      </c>
    </row>
    <row r="64" spans="1:17" ht="15.75" customHeight="1" x14ac:dyDescent="0.2">
      <c r="A64" s="484">
        <f t="shared" si="0"/>
        <v>56</v>
      </c>
      <c r="B64" s="529" t="s">
        <v>109</v>
      </c>
      <c r="C64" s="516" t="s">
        <v>62</v>
      </c>
      <c r="D64" s="529" t="s">
        <v>63</v>
      </c>
      <c r="E64" s="529" t="s">
        <v>74</v>
      </c>
      <c r="F64" s="529" t="s">
        <v>213</v>
      </c>
      <c r="G64" s="510" t="s">
        <v>670</v>
      </c>
      <c r="H64" s="529">
        <v>0</v>
      </c>
      <c r="I64" s="529">
        <v>0</v>
      </c>
      <c r="J64" s="529">
        <v>0</v>
      </c>
      <c r="K64" s="529">
        <v>0</v>
      </c>
      <c r="L64" s="529">
        <v>0</v>
      </c>
      <c r="M64" s="529">
        <v>0</v>
      </c>
      <c r="N64" s="529">
        <v>2</v>
      </c>
      <c r="O64" s="529">
        <v>3812.68</v>
      </c>
      <c r="P64" s="530">
        <v>3812.68</v>
      </c>
      <c r="Q64" s="529">
        <v>0</v>
      </c>
    </row>
    <row r="65" spans="1:17" ht="15.75" customHeight="1" x14ac:dyDescent="0.2">
      <c r="A65" s="484">
        <f t="shared" si="0"/>
        <v>57</v>
      </c>
      <c r="B65" s="529" t="s">
        <v>110</v>
      </c>
      <c r="C65" s="516" t="s">
        <v>62</v>
      </c>
      <c r="D65" s="529" t="s">
        <v>63</v>
      </c>
      <c r="E65" s="529" t="s">
        <v>74</v>
      </c>
      <c r="F65" s="529" t="s">
        <v>214</v>
      </c>
      <c r="G65" s="510" t="s">
        <v>670</v>
      </c>
      <c r="H65" s="529">
        <v>0</v>
      </c>
      <c r="I65" s="529">
        <v>0</v>
      </c>
      <c r="J65" s="529">
        <v>0</v>
      </c>
      <c r="K65" s="529">
        <v>0</v>
      </c>
      <c r="L65" s="529">
        <v>0</v>
      </c>
      <c r="M65" s="529">
        <v>0</v>
      </c>
      <c r="N65" s="529">
        <v>0</v>
      </c>
      <c r="O65" s="529">
        <v>12489.14</v>
      </c>
      <c r="P65" s="530">
        <v>12489.14</v>
      </c>
      <c r="Q65" s="529">
        <v>0</v>
      </c>
    </row>
    <row r="66" spans="1:17" ht="15.75" customHeight="1" x14ac:dyDescent="0.2">
      <c r="A66" s="484">
        <f t="shared" si="0"/>
        <v>58</v>
      </c>
      <c r="B66" s="529" t="s">
        <v>92</v>
      </c>
      <c r="C66" s="516" t="s">
        <v>62</v>
      </c>
      <c r="D66" s="529" t="s">
        <v>63</v>
      </c>
      <c r="E66" s="529" t="s">
        <v>74</v>
      </c>
      <c r="F66" s="529" t="s">
        <v>215</v>
      </c>
      <c r="G66" s="510" t="s">
        <v>670</v>
      </c>
      <c r="H66" s="529">
        <v>41</v>
      </c>
      <c r="I66" s="529">
        <v>37</v>
      </c>
      <c r="J66" s="529">
        <v>43</v>
      </c>
      <c r="K66" s="529">
        <v>55173.48</v>
      </c>
      <c r="L66" s="529">
        <v>55173.48</v>
      </c>
      <c r="M66" s="529">
        <v>0</v>
      </c>
      <c r="N66" s="529">
        <v>13</v>
      </c>
      <c r="O66" s="529">
        <v>47264.21</v>
      </c>
      <c r="P66" s="530">
        <v>47264.21</v>
      </c>
      <c r="Q66" s="529">
        <v>0</v>
      </c>
    </row>
    <row r="67" spans="1:17" ht="15.75" customHeight="1" x14ac:dyDescent="0.2">
      <c r="A67" s="484">
        <f t="shared" si="0"/>
        <v>59</v>
      </c>
      <c r="B67" s="529" t="s">
        <v>216</v>
      </c>
      <c r="C67" s="516" t="s">
        <v>67</v>
      </c>
      <c r="D67" s="529" t="s">
        <v>436</v>
      </c>
      <c r="E67" s="529" t="s">
        <v>217</v>
      </c>
      <c r="F67" s="529" t="s">
        <v>218</v>
      </c>
      <c r="G67" s="510" t="s">
        <v>670</v>
      </c>
      <c r="H67" s="529">
        <v>15</v>
      </c>
      <c r="I67" s="529">
        <v>11</v>
      </c>
      <c r="J67" s="529">
        <v>11</v>
      </c>
      <c r="K67" s="529">
        <v>8808.74</v>
      </c>
      <c r="L67" s="529">
        <v>8808.74</v>
      </c>
      <c r="M67" s="529"/>
      <c r="N67" s="529">
        <v>0</v>
      </c>
      <c r="O67" s="529">
        <v>0</v>
      </c>
      <c r="P67" s="530">
        <v>0</v>
      </c>
      <c r="Q67" s="529">
        <v>0</v>
      </c>
    </row>
    <row r="68" spans="1:17" ht="15.75" customHeight="1" x14ac:dyDescent="0.2">
      <c r="A68" s="484">
        <f t="shared" si="0"/>
        <v>60</v>
      </c>
      <c r="B68" s="529" t="s">
        <v>35</v>
      </c>
      <c r="C68" s="516" t="s">
        <v>62</v>
      </c>
      <c r="D68" s="529" t="s">
        <v>63</v>
      </c>
      <c r="E68" s="529" t="s">
        <v>219</v>
      </c>
      <c r="F68" s="529" t="s">
        <v>220</v>
      </c>
      <c r="G68" s="510" t="s">
        <v>670</v>
      </c>
      <c r="H68" s="529">
        <v>58</v>
      </c>
      <c r="I68" s="529">
        <v>55</v>
      </c>
      <c r="J68" s="529">
        <v>62</v>
      </c>
      <c r="K68" s="529">
        <v>82511.28</v>
      </c>
      <c r="L68" s="529">
        <v>82511.28</v>
      </c>
      <c r="M68" s="529">
        <v>0</v>
      </c>
      <c r="N68" s="529">
        <v>34</v>
      </c>
      <c r="O68" s="529">
        <v>88743.22</v>
      </c>
      <c r="P68" s="530">
        <v>88743.22</v>
      </c>
      <c r="Q68" s="529">
        <v>0</v>
      </c>
    </row>
    <row r="69" spans="1:17" ht="15.75" customHeight="1" x14ac:dyDescent="0.2">
      <c r="A69" s="484">
        <f t="shared" si="0"/>
        <v>61</v>
      </c>
      <c r="B69" s="529" t="s">
        <v>114</v>
      </c>
      <c r="C69" s="516" t="s">
        <v>62</v>
      </c>
      <c r="D69" s="529" t="s">
        <v>63</v>
      </c>
      <c r="E69" s="529" t="s">
        <v>115</v>
      </c>
      <c r="F69" s="529" t="s">
        <v>221</v>
      </c>
      <c r="G69" s="510" t="s">
        <v>670</v>
      </c>
      <c r="H69" s="529">
        <v>17</v>
      </c>
      <c r="I69" s="529">
        <v>11</v>
      </c>
      <c r="J69" s="529">
        <v>11</v>
      </c>
      <c r="K69" s="529">
        <v>10059.370000000001</v>
      </c>
      <c r="L69" s="529">
        <v>5199.13</v>
      </c>
      <c r="M69" s="529">
        <v>4860.24</v>
      </c>
      <c r="N69" s="529">
        <v>1</v>
      </c>
      <c r="O69" s="529">
        <v>12547.55</v>
      </c>
      <c r="P69" s="530">
        <v>1108.48</v>
      </c>
      <c r="Q69" s="529">
        <v>11439.07</v>
      </c>
    </row>
    <row r="70" spans="1:17" ht="15.75" customHeight="1" x14ac:dyDescent="0.2">
      <c r="A70" s="484">
        <f t="shared" si="0"/>
        <v>62</v>
      </c>
      <c r="B70" s="529" t="s">
        <v>222</v>
      </c>
      <c r="C70" s="516" t="s">
        <v>64</v>
      </c>
      <c r="D70" s="529" t="s">
        <v>486</v>
      </c>
      <c r="E70" s="529" t="s">
        <v>223</v>
      </c>
      <c r="F70" s="529" t="s">
        <v>224</v>
      </c>
      <c r="G70" s="510" t="s">
        <v>670</v>
      </c>
      <c r="H70" s="529">
        <v>22</v>
      </c>
      <c r="I70" s="529">
        <v>19</v>
      </c>
      <c r="J70" s="529">
        <v>23</v>
      </c>
      <c r="K70" s="529">
        <v>31179.34</v>
      </c>
      <c r="L70" s="529">
        <v>31179.34</v>
      </c>
      <c r="M70" s="529"/>
      <c r="N70" s="529">
        <v>0</v>
      </c>
      <c r="O70" s="529">
        <v>0</v>
      </c>
      <c r="P70" s="530">
        <v>0</v>
      </c>
      <c r="Q70" s="529">
        <v>0</v>
      </c>
    </row>
    <row r="71" spans="1:17" ht="15.75" customHeight="1" x14ac:dyDescent="0.2">
      <c r="A71" s="484">
        <f t="shared" si="0"/>
        <v>63</v>
      </c>
      <c r="B71" s="529" t="s">
        <v>93</v>
      </c>
      <c r="C71" s="516" t="s">
        <v>62</v>
      </c>
      <c r="D71" s="529" t="s">
        <v>63</v>
      </c>
      <c r="E71" s="529" t="s">
        <v>74</v>
      </c>
      <c r="F71" s="529" t="s">
        <v>225</v>
      </c>
      <c r="G71" s="510" t="s">
        <v>670</v>
      </c>
      <c r="H71" s="529">
        <v>14</v>
      </c>
      <c r="I71" s="529">
        <v>6</v>
      </c>
      <c r="J71" s="529">
        <v>7</v>
      </c>
      <c r="K71" s="529">
        <v>11798.3</v>
      </c>
      <c r="L71" s="529">
        <v>11798.3</v>
      </c>
      <c r="M71" s="529">
        <v>0</v>
      </c>
      <c r="N71" s="529">
        <v>7</v>
      </c>
      <c r="O71" s="529">
        <v>10672.71</v>
      </c>
      <c r="P71" s="530">
        <v>10672.71</v>
      </c>
      <c r="Q71" s="529">
        <v>0</v>
      </c>
    </row>
    <row r="72" spans="1:17" ht="15.75" customHeight="1" x14ac:dyDescent="0.2">
      <c r="A72" s="484">
        <f t="shared" si="0"/>
        <v>64</v>
      </c>
      <c r="B72" s="529" t="s">
        <v>226</v>
      </c>
      <c r="C72" s="516" t="s">
        <v>62</v>
      </c>
      <c r="D72" s="529" t="s">
        <v>63</v>
      </c>
      <c r="E72" s="529" t="s">
        <v>174</v>
      </c>
      <c r="F72" s="529" t="s">
        <v>227</v>
      </c>
      <c r="G72" s="510" t="s">
        <v>670</v>
      </c>
      <c r="H72" s="529">
        <v>42</v>
      </c>
      <c r="I72" s="529">
        <v>17</v>
      </c>
      <c r="J72" s="529">
        <v>20</v>
      </c>
      <c r="K72" s="529">
        <v>59599.24</v>
      </c>
      <c r="L72" s="529">
        <v>55425.88</v>
      </c>
      <c r="M72" s="529">
        <v>4173.3599999999997</v>
      </c>
      <c r="N72" s="529">
        <v>0</v>
      </c>
      <c r="O72" s="529">
        <v>0</v>
      </c>
      <c r="P72" s="530">
        <v>0</v>
      </c>
      <c r="Q72" s="529">
        <v>0</v>
      </c>
    </row>
    <row r="73" spans="1:17" ht="15.75" customHeight="1" x14ac:dyDescent="0.2">
      <c r="A73" s="484">
        <f t="shared" si="0"/>
        <v>65</v>
      </c>
      <c r="B73" s="529" t="s">
        <v>228</v>
      </c>
      <c r="C73" s="516" t="s">
        <v>62</v>
      </c>
      <c r="D73" s="529" t="s">
        <v>63</v>
      </c>
      <c r="E73" s="529" t="s">
        <v>229</v>
      </c>
      <c r="F73" s="529" t="s">
        <v>230</v>
      </c>
      <c r="G73" s="510" t="s">
        <v>670</v>
      </c>
      <c r="H73" s="529">
        <v>48</v>
      </c>
      <c r="I73" s="529">
        <v>23</v>
      </c>
      <c r="J73" s="529">
        <v>29</v>
      </c>
      <c r="K73" s="529">
        <v>34002.400000000001</v>
      </c>
      <c r="L73" s="529">
        <v>34002.400000000001</v>
      </c>
      <c r="M73" s="529"/>
      <c r="N73" s="529">
        <v>0</v>
      </c>
      <c r="O73" s="529">
        <v>0</v>
      </c>
      <c r="P73" s="530">
        <v>0</v>
      </c>
      <c r="Q73" s="529">
        <v>0</v>
      </c>
    </row>
    <row r="74" spans="1:17" ht="15.75" customHeight="1" x14ac:dyDescent="0.2">
      <c r="A74" s="484">
        <f t="shared" si="0"/>
        <v>66</v>
      </c>
      <c r="B74" s="529" t="s">
        <v>116</v>
      </c>
      <c r="C74" s="516" t="s">
        <v>62</v>
      </c>
      <c r="D74" s="529" t="s">
        <v>63</v>
      </c>
      <c r="E74" s="529" t="s">
        <v>74</v>
      </c>
      <c r="F74" s="529" t="s">
        <v>231</v>
      </c>
      <c r="G74" s="510" t="s">
        <v>670</v>
      </c>
      <c r="H74" s="529">
        <v>38</v>
      </c>
      <c r="I74" s="529">
        <v>30</v>
      </c>
      <c r="J74" s="529">
        <v>36</v>
      </c>
      <c r="K74" s="529">
        <v>42164.54</v>
      </c>
      <c r="L74" s="529">
        <v>42164.54</v>
      </c>
      <c r="M74" s="529">
        <v>0</v>
      </c>
      <c r="N74" s="529">
        <v>3</v>
      </c>
      <c r="O74" s="529">
        <v>5058.49</v>
      </c>
      <c r="P74" s="530">
        <v>5058.49</v>
      </c>
      <c r="Q74" s="529">
        <v>0</v>
      </c>
    </row>
    <row r="75" spans="1:17" ht="15.75" customHeight="1" x14ac:dyDescent="0.2">
      <c r="A75" s="484">
        <f t="shared" si="0"/>
        <v>67</v>
      </c>
      <c r="B75" s="529" t="s">
        <v>232</v>
      </c>
      <c r="C75" s="516" t="s">
        <v>62</v>
      </c>
      <c r="D75" s="529" t="s">
        <v>63</v>
      </c>
      <c r="E75" s="529" t="s">
        <v>174</v>
      </c>
      <c r="F75" s="529" t="s">
        <v>233</v>
      </c>
      <c r="G75" s="510" t="s">
        <v>670</v>
      </c>
      <c r="H75" s="529">
        <v>18</v>
      </c>
      <c r="I75" s="529">
        <v>14</v>
      </c>
      <c r="J75" s="529">
        <v>15</v>
      </c>
      <c r="K75" s="529">
        <v>9716.0300000000007</v>
      </c>
      <c r="L75" s="529">
        <v>9716.0300000000007</v>
      </c>
      <c r="M75" s="529"/>
      <c r="N75" s="529">
        <v>0</v>
      </c>
      <c r="O75" s="529">
        <v>0</v>
      </c>
      <c r="P75" s="530">
        <v>0</v>
      </c>
      <c r="Q75" s="529">
        <v>0</v>
      </c>
    </row>
    <row r="76" spans="1:17" ht="15.75" customHeight="1" x14ac:dyDescent="0.2">
      <c r="A76" s="484">
        <f t="shared" ref="A76:A139" si="1">A75+1</f>
        <v>68</v>
      </c>
      <c r="B76" s="529" t="s">
        <v>487</v>
      </c>
      <c r="C76" s="516" t="s">
        <v>62</v>
      </c>
      <c r="D76" s="529" t="s">
        <v>63</v>
      </c>
      <c r="E76" s="529" t="s">
        <v>282</v>
      </c>
      <c r="F76" s="529" t="s">
        <v>488</v>
      </c>
      <c r="G76" s="510" t="s">
        <v>670</v>
      </c>
      <c r="H76" s="529">
        <v>10</v>
      </c>
      <c r="I76" s="529">
        <v>3</v>
      </c>
      <c r="J76" s="529">
        <v>3</v>
      </c>
      <c r="K76" s="529">
        <v>1999.87</v>
      </c>
      <c r="L76" s="529">
        <v>1999.87</v>
      </c>
      <c r="M76" s="529">
        <v>0</v>
      </c>
      <c r="N76" s="529">
        <v>0</v>
      </c>
      <c r="O76" s="529">
        <v>0</v>
      </c>
      <c r="P76" s="530">
        <v>0</v>
      </c>
      <c r="Q76" s="529">
        <v>0</v>
      </c>
    </row>
    <row r="77" spans="1:17" ht="15.75" customHeight="1" x14ac:dyDescent="0.2">
      <c r="A77" s="484">
        <f t="shared" si="1"/>
        <v>69</v>
      </c>
      <c r="B77" s="529" t="s">
        <v>357</v>
      </c>
      <c r="C77" s="516" t="s">
        <v>64</v>
      </c>
      <c r="D77" s="529" t="s">
        <v>585</v>
      </c>
      <c r="E77" s="529" t="s">
        <v>74</v>
      </c>
      <c r="F77" s="529" t="s">
        <v>586</v>
      </c>
      <c r="G77" s="510" t="s">
        <v>670</v>
      </c>
      <c r="H77" s="529">
        <v>6</v>
      </c>
      <c r="I77" s="529">
        <v>0</v>
      </c>
      <c r="J77" s="529">
        <v>0</v>
      </c>
      <c r="K77" s="529">
        <v>0</v>
      </c>
      <c r="L77" s="529">
        <v>0</v>
      </c>
      <c r="M77" s="529">
        <v>0</v>
      </c>
      <c r="N77" s="529">
        <v>1</v>
      </c>
      <c r="O77" s="529">
        <v>6753.85</v>
      </c>
      <c r="P77" s="530">
        <v>6753.85</v>
      </c>
      <c r="Q77" s="529">
        <v>0</v>
      </c>
    </row>
    <row r="78" spans="1:17" ht="15.75" customHeight="1" x14ac:dyDescent="0.2">
      <c r="A78" s="484">
        <f t="shared" si="1"/>
        <v>70</v>
      </c>
      <c r="B78" s="529" t="s">
        <v>36</v>
      </c>
      <c r="C78" s="516" t="s">
        <v>62</v>
      </c>
      <c r="D78" s="529" t="s">
        <v>63</v>
      </c>
      <c r="E78" s="529" t="s">
        <v>74</v>
      </c>
      <c r="F78" s="529" t="s">
        <v>465</v>
      </c>
      <c r="G78" s="510" t="s">
        <v>670</v>
      </c>
      <c r="H78" s="529">
        <v>8</v>
      </c>
      <c r="I78" s="529">
        <v>4</v>
      </c>
      <c r="J78" s="529">
        <v>4</v>
      </c>
      <c r="K78" s="529">
        <v>969.1</v>
      </c>
      <c r="L78" s="529">
        <v>969.1</v>
      </c>
      <c r="M78" s="529"/>
      <c r="N78" s="529">
        <v>7</v>
      </c>
      <c r="O78" s="529">
        <v>17817.939999999999</v>
      </c>
      <c r="P78" s="530">
        <v>17817.939999999999</v>
      </c>
      <c r="Q78" s="529"/>
    </row>
    <row r="79" spans="1:17" ht="15.75" customHeight="1" x14ac:dyDescent="0.2">
      <c r="A79" s="484">
        <f t="shared" si="1"/>
        <v>71</v>
      </c>
      <c r="B79" s="529" t="s">
        <v>658</v>
      </c>
      <c r="C79" s="516" t="s">
        <v>62</v>
      </c>
      <c r="D79" s="529" t="s">
        <v>63</v>
      </c>
      <c r="E79" s="529" t="s">
        <v>223</v>
      </c>
      <c r="F79" s="529" t="s">
        <v>659</v>
      </c>
      <c r="G79" s="510" t="s">
        <v>670</v>
      </c>
      <c r="H79" s="529">
        <v>13</v>
      </c>
      <c r="I79" s="529">
        <v>0</v>
      </c>
      <c r="J79" s="529">
        <v>0</v>
      </c>
      <c r="K79" s="529">
        <v>0</v>
      </c>
      <c r="L79" s="529">
        <v>0</v>
      </c>
      <c r="M79" s="529">
        <v>0</v>
      </c>
      <c r="N79" s="529">
        <v>0</v>
      </c>
      <c r="O79" s="529">
        <v>0</v>
      </c>
      <c r="P79" s="530">
        <v>0</v>
      </c>
      <c r="Q79" s="529">
        <v>0</v>
      </c>
    </row>
    <row r="80" spans="1:17" ht="15.75" customHeight="1" x14ac:dyDescent="0.2">
      <c r="A80" s="484">
        <f t="shared" si="1"/>
        <v>72</v>
      </c>
      <c r="B80" s="529" t="s">
        <v>37</v>
      </c>
      <c r="C80" s="516" t="s">
        <v>62</v>
      </c>
      <c r="D80" s="529" t="s">
        <v>63</v>
      </c>
      <c r="E80" s="529" t="s">
        <v>70</v>
      </c>
      <c r="F80" s="529" t="s">
        <v>234</v>
      </c>
      <c r="G80" s="510" t="s">
        <v>670</v>
      </c>
      <c r="H80" s="529">
        <v>17</v>
      </c>
      <c r="I80" s="529">
        <v>9</v>
      </c>
      <c r="J80" s="529">
        <v>9</v>
      </c>
      <c r="K80" s="529">
        <v>11914.75</v>
      </c>
      <c r="L80" s="529">
        <v>11914.75</v>
      </c>
      <c r="M80" s="529">
        <v>0</v>
      </c>
      <c r="N80" s="529">
        <v>3</v>
      </c>
      <c r="O80" s="529">
        <v>19390.900000000001</v>
      </c>
      <c r="P80" s="530">
        <v>19390.900000000001</v>
      </c>
      <c r="Q80" s="529">
        <v>0</v>
      </c>
    </row>
    <row r="81" spans="1:17" ht="15.75" customHeight="1" x14ac:dyDescent="0.2">
      <c r="A81" s="484">
        <f t="shared" si="1"/>
        <v>73</v>
      </c>
      <c r="B81" s="529" t="s">
        <v>235</v>
      </c>
      <c r="C81" s="516" t="s">
        <v>62</v>
      </c>
      <c r="D81" s="529" t="s">
        <v>63</v>
      </c>
      <c r="E81" s="529" t="s">
        <v>236</v>
      </c>
      <c r="F81" s="529" t="s">
        <v>237</v>
      </c>
      <c r="G81" s="510" t="s">
        <v>670</v>
      </c>
      <c r="H81" s="529">
        <v>14</v>
      </c>
      <c r="I81" s="529">
        <v>8</v>
      </c>
      <c r="J81" s="529">
        <v>11</v>
      </c>
      <c r="K81" s="529">
        <v>23840.49</v>
      </c>
      <c r="L81" s="529">
        <v>22503.919999999998</v>
      </c>
      <c r="M81" s="529">
        <v>1336.57</v>
      </c>
      <c r="N81" s="529">
        <v>0</v>
      </c>
      <c r="O81" s="529">
        <v>0</v>
      </c>
      <c r="P81" s="530">
        <v>0</v>
      </c>
      <c r="Q81" s="529">
        <v>0</v>
      </c>
    </row>
    <row r="82" spans="1:17" ht="15.75" customHeight="1" x14ac:dyDescent="0.2">
      <c r="A82" s="484">
        <f t="shared" si="1"/>
        <v>74</v>
      </c>
      <c r="B82" s="529" t="s">
        <v>238</v>
      </c>
      <c r="C82" s="516" t="s">
        <v>62</v>
      </c>
      <c r="D82" s="529" t="s">
        <v>63</v>
      </c>
      <c r="E82" s="529" t="s">
        <v>239</v>
      </c>
      <c r="F82" s="529" t="s">
        <v>240</v>
      </c>
      <c r="G82" s="510" t="s">
        <v>670</v>
      </c>
      <c r="H82" s="529">
        <v>16</v>
      </c>
      <c r="I82" s="529">
        <v>11</v>
      </c>
      <c r="J82" s="529">
        <v>13</v>
      </c>
      <c r="K82" s="529">
        <v>9410.77</v>
      </c>
      <c r="L82" s="529">
        <v>9410.77</v>
      </c>
      <c r="M82" s="529">
        <v>0</v>
      </c>
      <c r="N82" s="529">
        <v>0</v>
      </c>
      <c r="O82" s="529">
        <v>0</v>
      </c>
      <c r="P82" s="530">
        <v>0</v>
      </c>
      <c r="Q82" s="529">
        <v>0</v>
      </c>
    </row>
    <row r="83" spans="1:17" ht="15.75" customHeight="1" x14ac:dyDescent="0.2">
      <c r="A83" s="484">
        <f t="shared" si="1"/>
        <v>75</v>
      </c>
      <c r="B83" s="529" t="s">
        <v>587</v>
      </c>
      <c r="C83" s="516" t="s">
        <v>62</v>
      </c>
      <c r="D83" s="529" t="s">
        <v>63</v>
      </c>
      <c r="E83" s="529" t="s">
        <v>74</v>
      </c>
      <c r="F83" s="529" t="s">
        <v>609</v>
      </c>
      <c r="G83" s="510" t="s">
        <v>670</v>
      </c>
      <c r="H83" s="529">
        <v>0</v>
      </c>
      <c r="I83" s="529">
        <v>0</v>
      </c>
      <c r="J83" s="529">
        <v>0</v>
      </c>
      <c r="K83" s="529">
        <v>0</v>
      </c>
      <c r="L83" s="529">
        <v>0</v>
      </c>
      <c r="M83" s="529">
        <v>0</v>
      </c>
      <c r="N83" s="529">
        <v>1</v>
      </c>
      <c r="O83" s="529">
        <v>3658.79</v>
      </c>
      <c r="P83" s="530">
        <v>3658.79</v>
      </c>
      <c r="Q83" s="529">
        <v>0</v>
      </c>
    </row>
    <row r="84" spans="1:17" ht="15.75" customHeight="1" x14ac:dyDescent="0.2">
      <c r="A84" s="484">
        <f t="shared" si="1"/>
        <v>76</v>
      </c>
      <c r="B84" s="529" t="s">
        <v>241</v>
      </c>
      <c r="C84" s="516" t="s">
        <v>62</v>
      </c>
      <c r="D84" s="529" t="s">
        <v>63</v>
      </c>
      <c r="E84" s="529" t="s">
        <v>242</v>
      </c>
      <c r="F84" s="529" t="s">
        <v>243</v>
      </c>
      <c r="G84" s="510" t="s">
        <v>670</v>
      </c>
      <c r="H84" s="529">
        <v>9</v>
      </c>
      <c r="I84" s="529">
        <v>9</v>
      </c>
      <c r="J84" s="529">
        <v>14</v>
      </c>
      <c r="K84" s="529">
        <v>26884.58</v>
      </c>
      <c r="L84" s="529">
        <v>26884.58</v>
      </c>
      <c r="M84" s="529">
        <v>0</v>
      </c>
      <c r="N84" s="529">
        <v>0</v>
      </c>
      <c r="O84" s="529">
        <v>0</v>
      </c>
      <c r="P84" s="530">
        <v>0</v>
      </c>
      <c r="Q84" s="529">
        <v>0</v>
      </c>
    </row>
    <row r="85" spans="1:17" ht="15.75" customHeight="1" x14ac:dyDescent="0.2">
      <c r="A85" s="484">
        <f t="shared" si="1"/>
        <v>77</v>
      </c>
      <c r="B85" s="529" t="s">
        <v>38</v>
      </c>
      <c r="C85" s="516" t="s">
        <v>62</v>
      </c>
      <c r="D85" s="529" t="s">
        <v>63</v>
      </c>
      <c r="E85" s="529" t="s">
        <v>244</v>
      </c>
      <c r="F85" s="529" t="s">
        <v>245</v>
      </c>
      <c r="G85" s="510" t="s">
        <v>670</v>
      </c>
      <c r="H85" s="529">
        <v>113</v>
      </c>
      <c r="I85" s="529">
        <v>101</v>
      </c>
      <c r="J85" s="529">
        <v>157</v>
      </c>
      <c r="K85" s="529">
        <v>177826.79</v>
      </c>
      <c r="L85" s="529">
        <v>177826.79</v>
      </c>
      <c r="M85" s="529">
        <v>0</v>
      </c>
      <c r="N85" s="529">
        <v>96</v>
      </c>
      <c r="O85" s="529">
        <v>272452.59000000003</v>
      </c>
      <c r="P85" s="530">
        <v>272452.59000000003</v>
      </c>
      <c r="Q85" s="529">
        <v>0</v>
      </c>
    </row>
    <row r="86" spans="1:17" ht="15.75" customHeight="1" x14ac:dyDescent="0.2">
      <c r="A86" s="484">
        <f t="shared" si="1"/>
        <v>78</v>
      </c>
      <c r="B86" s="529" t="s">
        <v>246</v>
      </c>
      <c r="C86" s="516" t="s">
        <v>62</v>
      </c>
      <c r="D86" s="529" t="s">
        <v>63</v>
      </c>
      <c r="E86" s="529" t="s">
        <v>247</v>
      </c>
      <c r="F86" s="529" t="s">
        <v>248</v>
      </c>
      <c r="G86" s="510" t="s">
        <v>670</v>
      </c>
      <c r="H86" s="529">
        <v>47</v>
      </c>
      <c r="I86" s="529">
        <v>34</v>
      </c>
      <c r="J86" s="529">
        <v>40</v>
      </c>
      <c r="K86" s="529">
        <v>26416.06</v>
      </c>
      <c r="L86" s="529">
        <v>17274.560000000001</v>
      </c>
      <c r="M86" s="529">
        <v>9141.5</v>
      </c>
      <c r="N86" s="529">
        <v>0</v>
      </c>
      <c r="O86" s="529">
        <v>0</v>
      </c>
      <c r="P86" s="530">
        <v>0</v>
      </c>
      <c r="Q86" s="529">
        <v>0</v>
      </c>
    </row>
    <row r="87" spans="1:17" ht="15.75" customHeight="1" x14ac:dyDescent="0.2">
      <c r="A87" s="484">
        <f t="shared" si="1"/>
        <v>79</v>
      </c>
      <c r="B87" s="529" t="s">
        <v>39</v>
      </c>
      <c r="C87" s="516" t="s">
        <v>62</v>
      </c>
      <c r="D87" s="529" t="s">
        <v>63</v>
      </c>
      <c r="E87" s="529" t="s">
        <v>77</v>
      </c>
      <c r="F87" s="529" t="s">
        <v>466</v>
      </c>
      <c r="G87" s="510" t="s">
        <v>670</v>
      </c>
      <c r="H87" s="529">
        <v>123</v>
      </c>
      <c r="I87" s="529">
        <v>95</v>
      </c>
      <c r="J87" s="529">
        <v>102</v>
      </c>
      <c r="K87" s="529">
        <v>62619.199999999997</v>
      </c>
      <c r="L87" s="529">
        <v>62619.199999999997</v>
      </c>
      <c r="M87" s="529">
        <v>0</v>
      </c>
      <c r="N87" s="529">
        <v>11</v>
      </c>
      <c r="O87" s="529">
        <v>18898.939999999999</v>
      </c>
      <c r="P87" s="530">
        <v>18898.939999999999</v>
      </c>
      <c r="Q87" s="529">
        <v>0</v>
      </c>
    </row>
    <row r="88" spans="1:17" ht="15.75" customHeight="1" x14ac:dyDescent="0.2">
      <c r="A88" s="484">
        <f t="shared" si="1"/>
        <v>80</v>
      </c>
      <c r="B88" s="529" t="s">
        <v>40</v>
      </c>
      <c r="C88" s="516" t="s">
        <v>62</v>
      </c>
      <c r="D88" s="529" t="s">
        <v>63</v>
      </c>
      <c r="E88" s="529" t="s">
        <v>249</v>
      </c>
      <c r="F88" s="529" t="s">
        <v>250</v>
      </c>
      <c r="G88" s="510" t="s">
        <v>670</v>
      </c>
      <c r="H88" s="529">
        <v>33</v>
      </c>
      <c r="I88" s="529">
        <v>30</v>
      </c>
      <c r="J88" s="529">
        <v>47</v>
      </c>
      <c r="K88" s="529">
        <v>77676.240000000005</v>
      </c>
      <c r="L88" s="529">
        <v>77676.240000000005</v>
      </c>
      <c r="M88" s="529">
        <v>0</v>
      </c>
      <c r="N88" s="529">
        <v>19</v>
      </c>
      <c r="O88" s="529">
        <v>51901.91</v>
      </c>
      <c r="P88" s="530">
        <v>51901.91</v>
      </c>
      <c r="Q88" s="529">
        <v>0</v>
      </c>
    </row>
    <row r="89" spans="1:17" ht="15.75" customHeight="1" x14ac:dyDescent="0.2">
      <c r="A89" s="484">
        <f t="shared" si="1"/>
        <v>81</v>
      </c>
      <c r="B89" s="529" t="s">
        <v>660</v>
      </c>
      <c r="C89" s="516" t="s">
        <v>67</v>
      </c>
      <c r="D89" s="529" t="s">
        <v>661</v>
      </c>
      <c r="E89" s="529" t="s">
        <v>313</v>
      </c>
      <c r="F89" s="529" t="s">
        <v>662</v>
      </c>
      <c r="G89" s="510" t="s">
        <v>670</v>
      </c>
      <c r="H89" s="529">
        <v>6</v>
      </c>
      <c r="I89" s="529">
        <v>0</v>
      </c>
      <c r="J89" s="529">
        <v>0</v>
      </c>
      <c r="K89" s="529">
        <v>0</v>
      </c>
      <c r="L89" s="529">
        <v>0</v>
      </c>
      <c r="M89" s="529">
        <v>0</v>
      </c>
      <c r="N89" s="529">
        <v>0</v>
      </c>
      <c r="O89" s="529">
        <v>0</v>
      </c>
      <c r="P89" s="530">
        <v>0</v>
      </c>
      <c r="Q89" s="529">
        <v>0</v>
      </c>
    </row>
    <row r="90" spans="1:17" ht="15.75" customHeight="1" x14ac:dyDescent="0.2">
      <c r="A90" s="484">
        <f t="shared" si="1"/>
        <v>82</v>
      </c>
      <c r="B90" s="529" t="s">
        <v>251</v>
      </c>
      <c r="C90" s="516" t="s">
        <v>62</v>
      </c>
      <c r="D90" s="529"/>
      <c r="E90" s="529" t="s">
        <v>177</v>
      </c>
      <c r="F90" s="529" t="s">
        <v>252</v>
      </c>
      <c r="G90" s="510" t="s">
        <v>670</v>
      </c>
      <c r="H90" s="529">
        <v>55</v>
      </c>
      <c r="I90" s="529">
        <v>45</v>
      </c>
      <c r="J90" s="529">
        <v>68</v>
      </c>
      <c r="K90" s="529">
        <v>85263.69</v>
      </c>
      <c r="L90" s="529">
        <v>67469.440000000002</v>
      </c>
      <c r="M90" s="529">
        <v>17794.25</v>
      </c>
      <c r="N90" s="529">
        <v>0</v>
      </c>
      <c r="O90" s="529">
        <v>0</v>
      </c>
      <c r="P90" s="530">
        <v>0</v>
      </c>
      <c r="Q90" s="529">
        <v>0</v>
      </c>
    </row>
    <row r="91" spans="1:17" ht="15.75" customHeight="1" x14ac:dyDescent="0.2">
      <c r="A91" s="484">
        <f t="shared" si="1"/>
        <v>83</v>
      </c>
      <c r="B91" s="529" t="s">
        <v>117</v>
      </c>
      <c r="C91" s="516" t="s">
        <v>62</v>
      </c>
      <c r="D91" s="529" t="s">
        <v>63</v>
      </c>
      <c r="E91" s="529" t="s">
        <v>74</v>
      </c>
      <c r="F91" s="529" t="s">
        <v>520</v>
      </c>
      <c r="G91" s="510" t="s">
        <v>670</v>
      </c>
      <c r="H91" s="529">
        <v>7</v>
      </c>
      <c r="I91" s="529">
        <v>2</v>
      </c>
      <c r="J91" s="529">
        <v>2</v>
      </c>
      <c r="K91" s="529">
        <v>3618.99</v>
      </c>
      <c r="L91" s="529">
        <v>3618.99</v>
      </c>
      <c r="M91" s="529">
        <v>0</v>
      </c>
      <c r="N91" s="529">
        <v>3</v>
      </c>
      <c r="O91" s="529">
        <v>9677.56</v>
      </c>
      <c r="P91" s="530">
        <v>9677.56</v>
      </c>
      <c r="Q91" s="529">
        <v>0</v>
      </c>
    </row>
    <row r="92" spans="1:17" ht="15.75" customHeight="1" x14ac:dyDescent="0.2">
      <c r="A92" s="484">
        <f t="shared" si="1"/>
        <v>84</v>
      </c>
      <c r="B92" s="529" t="s">
        <v>41</v>
      </c>
      <c r="C92" s="516" t="s">
        <v>64</v>
      </c>
      <c r="D92" s="529" t="s">
        <v>65</v>
      </c>
      <c r="E92" s="529" t="s">
        <v>72</v>
      </c>
      <c r="F92" s="529" t="s">
        <v>253</v>
      </c>
      <c r="G92" s="510" t="s">
        <v>670</v>
      </c>
      <c r="H92" s="529">
        <v>2</v>
      </c>
      <c r="I92" s="529">
        <v>2</v>
      </c>
      <c r="J92" s="529">
        <v>2</v>
      </c>
      <c r="K92" s="529">
        <v>1575.23</v>
      </c>
      <c r="L92" s="529">
        <v>1575.23</v>
      </c>
      <c r="M92" s="529">
        <v>0</v>
      </c>
      <c r="N92" s="529">
        <v>12</v>
      </c>
      <c r="O92" s="529">
        <v>33315.620000000003</v>
      </c>
      <c r="P92" s="530">
        <v>33315.620000000003</v>
      </c>
      <c r="Q92" s="529">
        <v>0</v>
      </c>
    </row>
    <row r="93" spans="1:17" ht="15.75" customHeight="1" x14ac:dyDescent="0.2">
      <c r="A93" s="484">
        <f t="shared" si="1"/>
        <v>85</v>
      </c>
      <c r="B93" s="529" t="s">
        <v>118</v>
      </c>
      <c r="C93" s="516" t="s">
        <v>62</v>
      </c>
      <c r="D93" s="529" t="s">
        <v>63</v>
      </c>
      <c r="E93" s="529" t="s">
        <v>749</v>
      </c>
      <c r="F93" s="529" t="s">
        <v>467</v>
      </c>
      <c r="G93" s="510" t="s">
        <v>670</v>
      </c>
      <c r="H93" s="529">
        <v>7</v>
      </c>
      <c r="I93" s="529">
        <v>2</v>
      </c>
      <c r="J93" s="529">
        <v>2</v>
      </c>
      <c r="K93" s="529">
        <v>939.94</v>
      </c>
      <c r="L93" s="529">
        <v>939.94</v>
      </c>
      <c r="M93" s="529">
        <v>0</v>
      </c>
      <c r="N93" s="529">
        <v>2</v>
      </c>
      <c r="O93" s="529">
        <v>23833.22</v>
      </c>
      <c r="P93" s="530">
        <v>15601.16</v>
      </c>
      <c r="Q93" s="529">
        <v>8232.06</v>
      </c>
    </row>
    <row r="94" spans="1:17" ht="15.75" customHeight="1" x14ac:dyDescent="0.2">
      <c r="A94" s="484">
        <f t="shared" si="1"/>
        <v>86</v>
      </c>
      <c r="B94" s="529" t="s">
        <v>548</v>
      </c>
      <c r="C94" s="516" t="s">
        <v>62</v>
      </c>
      <c r="D94" s="529" t="s">
        <v>63</v>
      </c>
      <c r="E94" s="529" t="s">
        <v>549</v>
      </c>
      <c r="F94" s="529" t="s">
        <v>550</v>
      </c>
      <c r="G94" s="510" t="s">
        <v>670</v>
      </c>
      <c r="H94" s="529">
        <v>5</v>
      </c>
      <c r="I94" s="529">
        <v>4</v>
      </c>
      <c r="J94" s="529">
        <v>4</v>
      </c>
      <c r="K94" s="529">
        <v>0</v>
      </c>
      <c r="L94" s="529">
        <v>0</v>
      </c>
      <c r="M94" s="529">
        <v>0</v>
      </c>
      <c r="N94" s="529">
        <v>0</v>
      </c>
      <c r="O94" s="529">
        <v>0</v>
      </c>
      <c r="P94" s="530">
        <v>0</v>
      </c>
      <c r="Q94" s="529">
        <v>0</v>
      </c>
    </row>
    <row r="95" spans="1:17" ht="15.75" customHeight="1" x14ac:dyDescent="0.2">
      <c r="A95" s="484">
        <f t="shared" si="1"/>
        <v>87</v>
      </c>
      <c r="B95" s="529" t="s">
        <v>254</v>
      </c>
      <c r="C95" s="516" t="s">
        <v>62</v>
      </c>
      <c r="D95" s="529" t="s">
        <v>63</v>
      </c>
      <c r="E95" s="529" t="s">
        <v>239</v>
      </c>
      <c r="F95" s="529" t="s">
        <v>255</v>
      </c>
      <c r="G95" s="510" t="s">
        <v>670</v>
      </c>
      <c r="H95" s="529">
        <v>11</v>
      </c>
      <c r="I95" s="529">
        <v>9</v>
      </c>
      <c r="J95" s="529">
        <v>11</v>
      </c>
      <c r="K95" s="529">
        <v>11766.59</v>
      </c>
      <c r="L95" s="529">
        <v>11766.59</v>
      </c>
      <c r="M95" s="529">
        <v>0</v>
      </c>
      <c r="N95" s="529">
        <v>0</v>
      </c>
      <c r="O95" s="529">
        <v>0</v>
      </c>
      <c r="P95" s="530">
        <v>0</v>
      </c>
      <c r="Q95" s="529">
        <v>0</v>
      </c>
    </row>
    <row r="96" spans="1:17" ht="15.75" customHeight="1" x14ac:dyDescent="0.2">
      <c r="A96" s="484">
        <f t="shared" si="1"/>
        <v>88</v>
      </c>
      <c r="B96" s="529" t="s">
        <v>256</v>
      </c>
      <c r="C96" s="516" t="s">
        <v>62</v>
      </c>
      <c r="D96" s="529" t="s">
        <v>63</v>
      </c>
      <c r="E96" s="529" t="s">
        <v>158</v>
      </c>
      <c r="F96" s="529" t="s">
        <v>257</v>
      </c>
      <c r="G96" s="510" t="s">
        <v>670</v>
      </c>
      <c r="H96" s="529">
        <v>17</v>
      </c>
      <c r="I96" s="529">
        <v>7</v>
      </c>
      <c r="J96" s="529">
        <v>7</v>
      </c>
      <c r="K96" s="529">
        <v>7885.09</v>
      </c>
      <c r="L96" s="529">
        <v>7885.09</v>
      </c>
      <c r="M96" s="529">
        <v>0</v>
      </c>
      <c r="N96" s="529">
        <v>0</v>
      </c>
      <c r="O96" s="529">
        <v>0</v>
      </c>
      <c r="P96" s="530">
        <v>0</v>
      </c>
      <c r="Q96" s="529">
        <v>0</v>
      </c>
    </row>
    <row r="97" spans="1:17" ht="15.75" customHeight="1" x14ac:dyDescent="0.2">
      <c r="A97" s="484">
        <f t="shared" si="1"/>
        <v>89</v>
      </c>
      <c r="B97" s="529" t="s">
        <v>643</v>
      </c>
      <c r="C97" s="516" t="s">
        <v>62</v>
      </c>
      <c r="D97" s="529" t="s">
        <v>63</v>
      </c>
      <c r="E97" s="529" t="s">
        <v>313</v>
      </c>
      <c r="F97" s="529" t="s">
        <v>663</v>
      </c>
      <c r="G97" s="510" t="s">
        <v>670</v>
      </c>
      <c r="H97" s="529">
        <v>6</v>
      </c>
      <c r="I97" s="529">
        <v>5</v>
      </c>
      <c r="J97" s="529">
        <v>5</v>
      </c>
      <c r="K97" s="529">
        <v>1723.18</v>
      </c>
      <c r="L97" s="529">
        <v>1723.18</v>
      </c>
      <c r="M97" s="529">
        <v>0</v>
      </c>
      <c r="N97" s="529">
        <v>0</v>
      </c>
      <c r="O97" s="529">
        <v>0</v>
      </c>
      <c r="P97" s="530">
        <v>0</v>
      </c>
      <c r="Q97" s="529">
        <v>0</v>
      </c>
    </row>
    <row r="98" spans="1:17" ht="15.75" customHeight="1" x14ac:dyDescent="0.2">
      <c r="A98" s="484">
        <f t="shared" si="1"/>
        <v>90</v>
      </c>
      <c r="B98" s="529" t="s">
        <v>258</v>
      </c>
      <c r="C98" s="516" t="s">
        <v>62</v>
      </c>
      <c r="D98" s="529" t="s">
        <v>63</v>
      </c>
      <c r="E98" s="529" t="s">
        <v>239</v>
      </c>
      <c r="F98" s="529" t="s">
        <v>259</v>
      </c>
      <c r="G98" s="510" t="s">
        <v>670</v>
      </c>
      <c r="H98" s="529">
        <v>38</v>
      </c>
      <c r="I98" s="529">
        <v>30</v>
      </c>
      <c r="J98" s="529">
        <v>32</v>
      </c>
      <c r="K98" s="529">
        <v>42977.760000000002</v>
      </c>
      <c r="L98" s="529">
        <v>40483.9</v>
      </c>
      <c r="M98" s="529">
        <v>2493.86</v>
      </c>
      <c r="N98" s="529">
        <v>0</v>
      </c>
      <c r="O98" s="529">
        <v>0</v>
      </c>
      <c r="P98" s="530">
        <v>0</v>
      </c>
      <c r="Q98" s="529">
        <v>0</v>
      </c>
    </row>
    <row r="99" spans="1:17" ht="15.75" customHeight="1" x14ac:dyDescent="0.2">
      <c r="A99" s="484">
        <f t="shared" si="1"/>
        <v>91</v>
      </c>
      <c r="B99" s="529" t="s">
        <v>42</v>
      </c>
      <c r="C99" s="516" t="s">
        <v>62</v>
      </c>
      <c r="D99" s="529" t="s">
        <v>63</v>
      </c>
      <c r="E99" s="529" t="s">
        <v>78</v>
      </c>
      <c r="F99" s="529" t="s">
        <v>260</v>
      </c>
      <c r="G99" s="510" t="s">
        <v>670</v>
      </c>
      <c r="H99" s="529">
        <v>51</v>
      </c>
      <c r="I99" s="529">
        <v>42</v>
      </c>
      <c r="J99" s="529">
        <v>52</v>
      </c>
      <c r="K99" s="529">
        <v>105749.62</v>
      </c>
      <c r="L99" s="529">
        <v>93525.27</v>
      </c>
      <c r="M99" s="529">
        <v>12224.35</v>
      </c>
      <c r="N99" s="529">
        <v>36</v>
      </c>
      <c r="O99" s="529">
        <v>157669.39000000001</v>
      </c>
      <c r="P99" s="530">
        <v>157669.39000000001</v>
      </c>
      <c r="Q99" s="529">
        <v>0</v>
      </c>
    </row>
    <row r="100" spans="1:17" ht="15.75" customHeight="1" x14ac:dyDescent="0.2">
      <c r="A100" s="484">
        <f t="shared" si="1"/>
        <v>92</v>
      </c>
      <c r="B100" s="529" t="s">
        <v>43</v>
      </c>
      <c r="C100" s="516" t="s">
        <v>62</v>
      </c>
      <c r="D100" s="529" t="s">
        <v>63</v>
      </c>
      <c r="E100" s="529" t="s">
        <v>72</v>
      </c>
      <c r="F100" s="529" t="s">
        <v>261</v>
      </c>
      <c r="G100" s="510" t="s">
        <v>670</v>
      </c>
      <c r="H100" s="529">
        <v>30</v>
      </c>
      <c r="I100" s="529">
        <v>22</v>
      </c>
      <c r="J100" s="529">
        <v>28</v>
      </c>
      <c r="K100" s="529">
        <v>40764.050000000003</v>
      </c>
      <c r="L100" s="529">
        <v>40764.050000000003</v>
      </c>
      <c r="M100" s="529">
        <v>0</v>
      </c>
      <c r="N100" s="529">
        <v>51</v>
      </c>
      <c r="O100" s="529">
        <v>199828.54</v>
      </c>
      <c r="P100" s="530">
        <v>199828.54</v>
      </c>
      <c r="Q100" s="529">
        <v>0</v>
      </c>
    </row>
    <row r="101" spans="1:17" ht="15.75" customHeight="1" x14ac:dyDescent="0.2">
      <c r="A101" s="484">
        <f t="shared" si="1"/>
        <v>93</v>
      </c>
      <c r="B101" s="529" t="s">
        <v>44</v>
      </c>
      <c r="C101" s="516" t="s">
        <v>62</v>
      </c>
      <c r="D101" s="529" t="s">
        <v>63</v>
      </c>
      <c r="E101" s="529" t="s">
        <v>74</v>
      </c>
      <c r="F101" s="529" t="s">
        <v>262</v>
      </c>
      <c r="G101" s="510" t="s">
        <v>670</v>
      </c>
      <c r="H101" s="529">
        <v>52</v>
      </c>
      <c r="I101" s="529">
        <v>38</v>
      </c>
      <c r="J101" s="529">
        <v>44</v>
      </c>
      <c r="K101" s="529">
        <v>33316.980000000003</v>
      </c>
      <c r="L101" s="529">
        <v>33316.980000000003</v>
      </c>
      <c r="M101" s="529"/>
      <c r="N101" s="529">
        <v>42</v>
      </c>
      <c r="O101" s="529">
        <v>147210.87</v>
      </c>
      <c r="P101" s="530">
        <v>147210.87</v>
      </c>
      <c r="Q101" s="529"/>
    </row>
    <row r="102" spans="1:17" ht="15.75" customHeight="1" x14ac:dyDescent="0.2">
      <c r="A102" s="484">
        <f t="shared" si="1"/>
        <v>94</v>
      </c>
      <c r="B102" s="529" t="s">
        <v>45</v>
      </c>
      <c r="C102" s="516" t="s">
        <v>62</v>
      </c>
      <c r="D102" s="529" t="s">
        <v>63</v>
      </c>
      <c r="E102" s="529" t="s">
        <v>79</v>
      </c>
      <c r="F102" s="529" t="s">
        <v>263</v>
      </c>
      <c r="G102" s="510" t="s">
        <v>670</v>
      </c>
      <c r="H102" s="529">
        <v>16</v>
      </c>
      <c r="I102" s="529">
        <v>12</v>
      </c>
      <c r="J102" s="529">
        <v>19</v>
      </c>
      <c r="K102" s="529">
        <v>32539.22</v>
      </c>
      <c r="L102" s="529">
        <v>32539.22</v>
      </c>
      <c r="M102" s="529">
        <v>0</v>
      </c>
      <c r="N102" s="529">
        <v>4</v>
      </c>
      <c r="O102" s="529">
        <v>25980.78</v>
      </c>
      <c r="P102" s="530">
        <v>25980.78</v>
      </c>
      <c r="Q102" s="529">
        <v>0</v>
      </c>
    </row>
    <row r="103" spans="1:17" ht="15.75" customHeight="1" x14ac:dyDescent="0.2">
      <c r="A103" s="484">
        <f t="shared" si="1"/>
        <v>95</v>
      </c>
      <c r="B103" s="529" t="s">
        <v>264</v>
      </c>
      <c r="C103" s="516" t="s">
        <v>62</v>
      </c>
      <c r="D103" s="529" t="s">
        <v>63</v>
      </c>
      <c r="E103" s="529" t="s">
        <v>74</v>
      </c>
      <c r="F103" s="529" t="s">
        <v>265</v>
      </c>
      <c r="G103" s="510" t="s">
        <v>670</v>
      </c>
      <c r="H103" s="529">
        <v>27</v>
      </c>
      <c r="I103" s="529">
        <v>21</v>
      </c>
      <c r="J103" s="529">
        <v>25</v>
      </c>
      <c r="K103" s="529">
        <v>18935.36</v>
      </c>
      <c r="L103" s="529">
        <v>18935.36</v>
      </c>
      <c r="M103" s="529"/>
      <c r="N103" s="529">
        <v>0</v>
      </c>
      <c r="O103" s="529">
        <v>0</v>
      </c>
      <c r="P103" s="530">
        <v>0</v>
      </c>
      <c r="Q103" s="529">
        <v>0</v>
      </c>
    </row>
    <row r="104" spans="1:17" ht="15.75" customHeight="1" x14ac:dyDescent="0.2">
      <c r="A104" s="484">
        <f t="shared" si="1"/>
        <v>96</v>
      </c>
      <c r="B104" s="529" t="s">
        <v>119</v>
      </c>
      <c r="C104" s="516" t="s">
        <v>62</v>
      </c>
      <c r="D104" s="529" t="s">
        <v>63</v>
      </c>
      <c r="E104" s="529" t="s">
        <v>108</v>
      </c>
      <c r="F104" s="529" t="s">
        <v>266</v>
      </c>
      <c r="G104" s="510" t="s">
        <v>670</v>
      </c>
      <c r="H104" s="529">
        <v>22</v>
      </c>
      <c r="I104" s="529">
        <v>16</v>
      </c>
      <c r="J104" s="529">
        <v>18</v>
      </c>
      <c r="K104" s="529">
        <v>20121.990000000002</v>
      </c>
      <c r="L104" s="529">
        <v>20121.990000000002</v>
      </c>
      <c r="M104" s="529">
        <v>0</v>
      </c>
      <c r="N104" s="529">
        <v>6</v>
      </c>
      <c r="O104" s="529">
        <v>1881.62</v>
      </c>
      <c r="P104" s="530">
        <v>1881.62</v>
      </c>
      <c r="Q104" s="529">
        <v>0</v>
      </c>
    </row>
    <row r="105" spans="1:17" ht="15.75" customHeight="1" x14ac:dyDescent="0.2">
      <c r="A105" s="484">
        <f t="shared" si="1"/>
        <v>97</v>
      </c>
      <c r="B105" s="529" t="s">
        <v>46</v>
      </c>
      <c r="C105" s="516" t="s">
        <v>62</v>
      </c>
      <c r="D105" s="529" t="s">
        <v>63</v>
      </c>
      <c r="E105" s="529" t="s">
        <v>267</v>
      </c>
      <c r="F105" s="529" t="s">
        <v>268</v>
      </c>
      <c r="G105" s="510" t="s">
        <v>670</v>
      </c>
      <c r="H105" s="529">
        <v>28</v>
      </c>
      <c r="I105" s="529">
        <v>21</v>
      </c>
      <c r="J105" s="529">
        <v>33</v>
      </c>
      <c r="K105" s="529">
        <v>60965.35</v>
      </c>
      <c r="L105" s="529">
        <v>60965.35</v>
      </c>
      <c r="M105" s="529">
        <v>0</v>
      </c>
      <c r="N105" s="529">
        <v>28</v>
      </c>
      <c r="O105" s="529">
        <v>125896.58</v>
      </c>
      <c r="P105" s="530">
        <v>125896.58</v>
      </c>
      <c r="Q105" s="529">
        <v>0</v>
      </c>
    </row>
    <row r="106" spans="1:17" ht="15.75" customHeight="1" x14ac:dyDescent="0.2">
      <c r="A106" s="484">
        <f t="shared" si="1"/>
        <v>98</v>
      </c>
      <c r="B106" s="529" t="s">
        <v>47</v>
      </c>
      <c r="C106" s="516" t="s">
        <v>62</v>
      </c>
      <c r="D106" s="529" t="s">
        <v>63</v>
      </c>
      <c r="E106" s="529" t="s">
        <v>80</v>
      </c>
      <c r="F106" s="529" t="s">
        <v>269</v>
      </c>
      <c r="G106" s="510" t="s">
        <v>670</v>
      </c>
      <c r="H106" s="529">
        <v>93</v>
      </c>
      <c r="I106" s="529">
        <v>73</v>
      </c>
      <c r="J106" s="529">
        <v>113</v>
      </c>
      <c r="K106" s="529">
        <v>191322.19</v>
      </c>
      <c r="L106" s="529">
        <v>132578.76</v>
      </c>
      <c r="M106" s="529">
        <v>58743.43</v>
      </c>
      <c r="N106" s="529">
        <v>125</v>
      </c>
      <c r="O106" s="529">
        <v>524795.69999999995</v>
      </c>
      <c r="P106" s="530">
        <v>439929.29</v>
      </c>
      <c r="Q106" s="529">
        <v>84866.41</v>
      </c>
    </row>
    <row r="107" spans="1:17" ht="15.75" customHeight="1" x14ac:dyDescent="0.2">
      <c r="A107" s="484">
        <f t="shared" si="1"/>
        <v>99</v>
      </c>
      <c r="B107" s="529" t="s">
        <v>270</v>
      </c>
      <c r="C107" s="516" t="s">
        <v>62</v>
      </c>
      <c r="D107" s="529" t="s">
        <v>63</v>
      </c>
      <c r="E107" s="529" t="s">
        <v>271</v>
      </c>
      <c r="F107" s="529" t="s">
        <v>272</v>
      </c>
      <c r="G107" s="510" t="s">
        <v>670</v>
      </c>
      <c r="H107" s="529">
        <v>17</v>
      </c>
      <c r="I107" s="529">
        <v>11</v>
      </c>
      <c r="J107" s="529">
        <v>17</v>
      </c>
      <c r="K107" s="529">
        <v>23603.22</v>
      </c>
      <c r="L107" s="529">
        <v>23603.22</v>
      </c>
      <c r="M107" s="529">
        <v>0</v>
      </c>
      <c r="N107" s="529">
        <v>0</v>
      </c>
      <c r="O107" s="529">
        <v>0</v>
      </c>
      <c r="P107" s="530">
        <v>0</v>
      </c>
      <c r="Q107" s="529">
        <v>0</v>
      </c>
    </row>
    <row r="108" spans="1:17" ht="15.75" customHeight="1" x14ac:dyDescent="0.2">
      <c r="A108" s="484">
        <f t="shared" si="1"/>
        <v>100</v>
      </c>
      <c r="B108" s="529" t="s">
        <v>621</v>
      </c>
      <c r="C108" s="516" t="s">
        <v>62</v>
      </c>
      <c r="D108" s="529" t="s">
        <v>63</v>
      </c>
      <c r="E108" s="529" t="s">
        <v>239</v>
      </c>
      <c r="F108" s="529" t="s">
        <v>664</v>
      </c>
      <c r="G108" s="510" t="s">
        <v>670</v>
      </c>
      <c r="H108" s="529">
        <v>13</v>
      </c>
      <c r="I108" s="529">
        <v>11</v>
      </c>
      <c r="J108" s="529">
        <v>11</v>
      </c>
      <c r="K108" s="529">
        <v>0</v>
      </c>
      <c r="L108" s="529">
        <v>0</v>
      </c>
      <c r="M108" s="529">
        <v>0</v>
      </c>
      <c r="N108" s="529">
        <v>0</v>
      </c>
      <c r="O108" s="529">
        <v>0</v>
      </c>
      <c r="P108" s="530">
        <v>0</v>
      </c>
      <c r="Q108" s="529">
        <v>0</v>
      </c>
    </row>
    <row r="109" spans="1:17" ht="15.75" customHeight="1" x14ac:dyDescent="0.2">
      <c r="A109" s="484">
        <f t="shared" si="1"/>
        <v>101</v>
      </c>
      <c r="B109" s="529" t="s">
        <v>273</v>
      </c>
      <c r="C109" s="516" t="s">
        <v>62</v>
      </c>
      <c r="D109" s="529" t="s">
        <v>63</v>
      </c>
      <c r="E109" s="529" t="s">
        <v>186</v>
      </c>
      <c r="F109" s="529" t="s">
        <v>511</v>
      </c>
      <c r="G109" s="510" t="s">
        <v>670</v>
      </c>
      <c r="H109" s="529">
        <v>11</v>
      </c>
      <c r="I109" s="529">
        <v>0</v>
      </c>
      <c r="J109" s="529">
        <v>0</v>
      </c>
      <c r="K109" s="529">
        <v>0</v>
      </c>
      <c r="L109" s="529">
        <v>0</v>
      </c>
      <c r="M109" s="529">
        <v>0</v>
      </c>
      <c r="N109" s="529">
        <v>0</v>
      </c>
      <c r="O109" s="529">
        <v>0</v>
      </c>
      <c r="P109" s="530">
        <v>0</v>
      </c>
      <c r="Q109" s="529">
        <v>0</v>
      </c>
    </row>
    <row r="110" spans="1:17" ht="15.75" customHeight="1" x14ac:dyDescent="0.2">
      <c r="A110" s="484">
        <f t="shared" si="1"/>
        <v>102</v>
      </c>
      <c r="B110" s="529" t="s">
        <v>490</v>
      </c>
      <c r="C110" s="516" t="s">
        <v>62</v>
      </c>
      <c r="D110" s="529" t="s">
        <v>63</v>
      </c>
      <c r="E110" s="529" t="s">
        <v>491</v>
      </c>
      <c r="F110" s="529" t="s">
        <v>492</v>
      </c>
      <c r="G110" s="510" t="s">
        <v>670</v>
      </c>
      <c r="H110" s="529">
        <v>18</v>
      </c>
      <c r="I110" s="529">
        <v>10</v>
      </c>
      <c r="J110" s="529">
        <v>12</v>
      </c>
      <c r="K110" s="529">
        <v>10195.18</v>
      </c>
      <c r="L110" s="529">
        <v>10195.18</v>
      </c>
      <c r="M110" s="529"/>
      <c r="N110" s="529">
        <v>0</v>
      </c>
      <c r="O110" s="529">
        <v>0</v>
      </c>
      <c r="P110" s="530">
        <v>0</v>
      </c>
      <c r="Q110" s="529">
        <v>0</v>
      </c>
    </row>
    <row r="111" spans="1:17" ht="15.75" customHeight="1" x14ac:dyDescent="0.2">
      <c r="A111" s="484">
        <f t="shared" si="1"/>
        <v>103</v>
      </c>
      <c r="B111" s="529" t="s">
        <v>94</v>
      </c>
      <c r="C111" s="516" t="s">
        <v>62</v>
      </c>
      <c r="D111" s="529" t="s">
        <v>63</v>
      </c>
      <c r="E111" s="529" t="s">
        <v>74</v>
      </c>
      <c r="F111" s="529" t="s">
        <v>274</v>
      </c>
      <c r="G111" s="510" t="s">
        <v>670</v>
      </c>
      <c r="H111" s="529">
        <v>20</v>
      </c>
      <c r="I111" s="529">
        <v>7</v>
      </c>
      <c r="J111" s="529">
        <v>7</v>
      </c>
      <c r="K111" s="529">
        <v>7580.9</v>
      </c>
      <c r="L111" s="529">
        <v>7580.9</v>
      </c>
      <c r="M111" s="529">
        <v>0</v>
      </c>
      <c r="N111" s="529">
        <v>7</v>
      </c>
      <c r="O111" s="529">
        <v>9361.67</v>
      </c>
      <c r="P111" s="530">
        <v>9361.67</v>
      </c>
      <c r="Q111" s="529">
        <v>0</v>
      </c>
    </row>
    <row r="112" spans="1:17" ht="15.75" customHeight="1" x14ac:dyDescent="0.2">
      <c r="A112" s="484">
        <f t="shared" si="1"/>
        <v>104</v>
      </c>
      <c r="B112" s="529" t="s">
        <v>120</v>
      </c>
      <c r="C112" s="516" t="s">
        <v>67</v>
      </c>
      <c r="D112" s="529" t="s">
        <v>493</v>
      </c>
      <c r="E112" s="529" t="s">
        <v>121</v>
      </c>
      <c r="F112" s="529" t="s">
        <v>468</v>
      </c>
      <c r="G112" s="510" t="s">
        <v>670</v>
      </c>
      <c r="H112" s="529">
        <v>14</v>
      </c>
      <c r="I112" s="529">
        <v>11</v>
      </c>
      <c r="J112" s="529">
        <v>12</v>
      </c>
      <c r="K112" s="529">
        <v>11996.24</v>
      </c>
      <c r="L112" s="529">
        <v>11996.24</v>
      </c>
      <c r="M112" s="529"/>
      <c r="N112" s="529">
        <v>0</v>
      </c>
      <c r="O112" s="529">
        <v>0</v>
      </c>
      <c r="P112" s="530">
        <v>0</v>
      </c>
      <c r="Q112" s="529">
        <v>0</v>
      </c>
    </row>
    <row r="113" spans="1:17" ht="15.75" customHeight="1" x14ac:dyDescent="0.2">
      <c r="A113" s="484">
        <f t="shared" si="1"/>
        <v>105</v>
      </c>
      <c r="B113" s="529" t="s">
        <v>407</v>
      </c>
      <c r="C113" s="516" t="s">
        <v>62</v>
      </c>
      <c r="D113" s="529"/>
      <c r="E113" s="529" t="s">
        <v>186</v>
      </c>
      <c r="F113" s="529" t="s">
        <v>512</v>
      </c>
      <c r="G113" s="510" t="s">
        <v>670</v>
      </c>
      <c r="H113" s="529">
        <v>9</v>
      </c>
      <c r="I113" s="529">
        <v>5</v>
      </c>
      <c r="J113" s="529">
        <v>6</v>
      </c>
      <c r="K113" s="529">
        <v>4577.1000000000004</v>
      </c>
      <c r="L113" s="529">
        <v>4577.1000000000004</v>
      </c>
      <c r="M113" s="529">
        <v>0</v>
      </c>
      <c r="N113" s="529">
        <v>0</v>
      </c>
      <c r="O113" s="529">
        <v>0</v>
      </c>
      <c r="P113" s="530">
        <v>0</v>
      </c>
      <c r="Q113" s="529">
        <v>0</v>
      </c>
    </row>
    <row r="114" spans="1:17" ht="15.75" customHeight="1" x14ac:dyDescent="0.2">
      <c r="A114" s="484">
        <f t="shared" si="1"/>
        <v>106</v>
      </c>
      <c r="B114" s="529" t="s">
        <v>122</v>
      </c>
      <c r="C114" s="516" t="s">
        <v>62</v>
      </c>
      <c r="D114" s="529" t="s">
        <v>63</v>
      </c>
      <c r="E114" s="529" t="s">
        <v>275</v>
      </c>
      <c r="F114" s="529" t="s">
        <v>276</v>
      </c>
      <c r="G114" s="510" t="s">
        <v>670</v>
      </c>
      <c r="H114" s="529">
        <v>15</v>
      </c>
      <c r="I114" s="529">
        <v>11</v>
      </c>
      <c r="J114" s="529">
        <v>18</v>
      </c>
      <c r="K114" s="529">
        <v>18022.7</v>
      </c>
      <c r="L114" s="529">
        <v>18022.7</v>
      </c>
      <c r="M114" s="529">
        <v>0</v>
      </c>
      <c r="N114" s="529">
        <v>5</v>
      </c>
      <c r="O114" s="529">
        <v>9159.1299999999992</v>
      </c>
      <c r="P114" s="530">
        <v>9159.1299999999992</v>
      </c>
      <c r="Q114" s="529">
        <v>0</v>
      </c>
    </row>
    <row r="115" spans="1:17" ht="15.75" customHeight="1" x14ac:dyDescent="0.2">
      <c r="A115" s="484">
        <f t="shared" si="1"/>
        <v>107</v>
      </c>
      <c r="B115" s="529" t="s">
        <v>754</v>
      </c>
      <c r="C115" s="516" t="s">
        <v>62</v>
      </c>
      <c r="D115" s="529" t="s">
        <v>63</v>
      </c>
      <c r="E115" s="529" t="s">
        <v>74</v>
      </c>
      <c r="F115" s="529" t="s">
        <v>755</v>
      </c>
      <c r="G115" s="510" t="s">
        <v>670</v>
      </c>
      <c r="H115" s="529"/>
      <c r="I115" s="529"/>
      <c r="J115" s="529"/>
      <c r="K115" s="529"/>
      <c r="L115" s="529"/>
      <c r="M115" s="529"/>
      <c r="N115" s="529"/>
      <c r="O115" s="529"/>
      <c r="P115" s="530"/>
      <c r="Q115" s="529"/>
    </row>
    <row r="116" spans="1:17" ht="15.75" customHeight="1" x14ac:dyDescent="0.2">
      <c r="A116" s="484">
        <f t="shared" si="1"/>
        <v>108</v>
      </c>
      <c r="B116" s="529" t="s">
        <v>133</v>
      </c>
      <c r="C116" s="516" t="s">
        <v>67</v>
      </c>
      <c r="D116" s="529" t="s">
        <v>494</v>
      </c>
      <c r="E116" s="529" t="s">
        <v>74</v>
      </c>
      <c r="F116" s="529" t="s">
        <v>577</v>
      </c>
      <c r="G116" s="510" t="s">
        <v>670</v>
      </c>
      <c r="H116" s="529">
        <v>14</v>
      </c>
      <c r="I116" s="529">
        <v>10</v>
      </c>
      <c r="J116" s="529">
        <v>10</v>
      </c>
      <c r="K116" s="529">
        <v>24017.200000000001</v>
      </c>
      <c r="L116" s="529">
        <v>24017.200000000001</v>
      </c>
      <c r="M116" s="529">
        <v>0</v>
      </c>
      <c r="N116" s="529">
        <v>0</v>
      </c>
      <c r="O116" s="529">
        <v>0</v>
      </c>
      <c r="P116" s="530">
        <v>0</v>
      </c>
      <c r="Q116" s="529">
        <v>0</v>
      </c>
    </row>
    <row r="117" spans="1:17" ht="15.75" customHeight="1" x14ac:dyDescent="0.2">
      <c r="A117" s="484">
        <f t="shared" si="1"/>
        <v>109</v>
      </c>
      <c r="B117" s="529" t="s">
        <v>96</v>
      </c>
      <c r="C117" s="516" t="s">
        <v>62</v>
      </c>
      <c r="D117" s="529" t="s">
        <v>63</v>
      </c>
      <c r="E117" s="529" t="s">
        <v>98</v>
      </c>
      <c r="F117" s="529" t="s">
        <v>277</v>
      </c>
      <c r="G117" s="510" t="s">
        <v>670</v>
      </c>
      <c r="H117" s="529">
        <v>41</v>
      </c>
      <c r="I117" s="529">
        <v>10</v>
      </c>
      <c r="J117" s="529">
        <v>12</v>
      </c>
      <c r="K117" s="529">
        <v>22080.639999999999</v>
      </c>
      <c r="L117" s="529">
        <v>22080.639999999999</v>
      </c>
      <c r="M117" s="529">
        <v>0</v>
      </c>
      <c r="N117" s="529">
        <v>11</v>
      </c>
      <c r="O117" s="529">
        <v>47171.47</v>
      </c>
      <c r="P117" s="530">
        <v>47171.47</v>
      </c>
      <c r="Q117" s="529">
        <v>0</v>
      </c>
    </row>
    <row r="118" spans="1:17" ht="15.75" customHeight="1" x14ac:dyDescent="0.2">
      <c r="A118" s="484">
        <f t="shared" si="1"/>
        <v>110</v>
      </c>
      <c r="B118" s="529" t="s">
        <v>48</v>
      </c>
      <c r="C118" s="516" t="s">
        <v>62</v>
      </c>
      <c r="D118" s="529" t="s">
        <v>63</v>
      </c>
      <c r="E118" s="529" t="s">
        <v>81</v>
      </c>
      <c r="F118" s="529" t="s">
        <v>278</v>
      </c>
      <c r="G118" s="510" t="s">
        <v>670</v>
      </c>
      <c r="H118" s="529">
        <v>59</v>
      </c>
      <c r="I118" s="529">
        <v>41</v>
      </c>
      <c r="J118" s="529">
        <v>65</v>
      </c>
      <c r="K118" s="529">
        <v>87897.82</v>
      </c>
      <c r="L118" s="529">
        <v>87897.82</v>
      </c>
      <c r="M118" s="529">
        <v>0</v>
      </c>
      <c r="N118" s="529">
        <v>19</v>
      </c>
      <c r="O118" s="529">
        <v>79680.25</v>
      </c>
      <c r="P118" s="530">
        <v>79680.25</v>
      </c>
      <c r="Q118" s="529">
        <v>0</v>
      </c>
    </row>
    <row r="119" spans="1:17" ht="15.75" customHeight="1" x14ac:dyDescent="0.2">
      <c r="A119" s="484">
        <f t="shared" si="1"/>
        <v>111</v>
      </c>
      <c r="B119" s="529" t="s">
        <v>49</v>
      </c>
      <c r="C119" s="516" t="s">
        <v>62</v>
      </c>
      <c r="D119" s="529" t="s">
        <v>63</v>
      </c>
      <c r="E119" s="529" t="s">
        <v>74</v>
      </c>
      <c r="F119" s="529" t="s">
        <v>279</v>
      </c>
      <c r="G119" s="510" t="s">
        <v>670</v>
      </c>
      <c r="H119" s="529">
        <v>27</v>
      </c>
      <c r="I119" s="529">
        <v>22</v>
      </c>
      <c r="J119" s="529">
        <v>25</v>
      </c>
      <c r="K119" s="529">
        <v>46657.4</v>
      </c>
      <c r="L119" s="529">
        <v>46657.4</v>
      </c>
      <c r="M119" s="529">
        <v>0</v>
      </c>
      <c r="N119" s="529">
        <v>7</v>
      </c>
      <c r="O119" s="529">
        <v>37590.26</v>
      </c>
      <c r="P119" s="530">
        <v>37590.26</v>
      </c>
      <c r="Q119" s="529">
        <v>0</v>
      </c>
    </row>
    <row r="120" spans="1:17" ht="15.75" customHeight="1" x14ac:dyDescent="0.2">
      <c r="A120" s="484">
        <f t="shared" si="1"/>
        <v>112</v>
      </c>
      <c r="B120" s="529" t="s">
        <v>50</v>
      </c>
      <c r="C120" s="516" t="s">
        <v>67</v>
      </c>
      <c r="D120" s="529" t="s">
        <v>123</v>
      </c>
      <c r="E120" s="529" t="s">
        <v>82</v>
      </c>
      <c r="F120" s="529" t="s">
        <v>280</v>
      </c>
      <c r="G120" s="510" t="s">
        <v>670</v>
      </c>
      <c r="H120" s="529">
        <v>8</v>
      </c>
      <c r="I120" s="529">
        <v>4</v>
      </c>
      <c r="J120" s="529">
        <v>4</v>
      </c>
      <c r="K120" s="529">
        <v>12811.52</v>
      </c>
      <c r="L120" s="529">
        <v>12811.52</v>
      </c>
      <c r="M120" s="529">
        <v>0</v>
      </c>
      <c r="N120" s="529">
        <v>5</v>
      </c>
      <c r="O120" s="529">
        <v>21689.57</v>
      </c>
      <c r="P120" s="530">
        <v>21689.57</v>
      </c>
      <c r="Q120" s="529">
        <v>0</v>
      </c>
    </row>
    <row r="121" spans="1:17" ht="15.75" customHeight="1" x14ac:dyDescent="0.2">
      <c r="A121" s="484">
        <f t="shared" si="1"/>
        <v>113</v>
      </c>
      <c r="B121" s="529" t="s">
        <v>281</v>
      </c>
      <c r="C121" s="516" t="s">
        <v>62</v>
      </c>
      <c r="D121" s="529"/>
      <c r="E121" s="529" t="s">
        <v>282</v>
      </c>
      <c r="F121" s="529" t="s">
        <v>283</v>
      </c>
      <c r="G121" s="510" t="s">
        <v>670</v>
      </c>
      <c r="H121" s="529">
        <v>27</v>
      </c>
      <c r="I121" s="529">
        <v>5</v>
      </c>
      <c r="J121" s="529">
        <v>5</v>
      </c>
      <c r="K121" s="529">
        <v>2685.29</v>
      </c>
      <c r="L121" s="529">
        <v>2685.29</v>
      </c>
      <c r="M121" s="529">
        <v>0</v>
      </c>
      <c r="N121" s="529">
        <v>0</v>
      </c>
      <c r="O121" s="529">
        <v>0</v>
      </c>
      <c r="P121" s="530">
        <v>0</v>
      </c>
      <c r="Q121" s="529">
        <v>0</v>
      </c>
    </row>
    <row r="122" spans="1:17" ht="15.75" customHeight="1" x14ac:dyDescent="0.2">
      <c r="A122" s="484">
        <f t="shared" si="1"/>
        <v>114</v>
      </c>
      <c r="B122" s="529" t="s">
        <v>124</v>
      </c>
      <c r="C122" s="516" t="s">
        <v>62</v>
      </c>
      <c r="D122" s="529" t="s">
        <v>63</v>
      </c>
      <c r="E122" s="529" t="s">
        <v>74</v>
      </c>
      <c r="F122" s="529" t="s">
        <v>284</v>
      </c>
      <c r="G122" s="510" t="s">
        <v>670</v>
      </c>
      <c r="H122" s="529">
        <v>36</v>
      </c>
      <c r="I122" s="529">
        <v>33</v>
      </c>
      <c r="J122" s="529">
        <v>46</v>
      </c>
      <c r="K122" s="529">
        <v>56018.86</v>
      </c>
      <c r="L122" s="529">
        <v>56018.86</v>
      </c>
      <c r="M122" s="529">
        <v>0</v>
      </c>
      <c r="N122" s="529">
        <v>17</v>
      </c>
      <c r="O122" s="529">
        <v>23266.29</v>
      </c>
      <c r="P122" s="530">
        <v>23266.29</v>
      </c>
      <c r="Q122" s="529">
        <v>0</v>
      </c>
    </row>
    <row r="123" spans="1:17" ht="15.75" customHeight="1" x14ac:dyDescent="0.2">
      <c r="A123" s="484">
        <f t="shared" si="1"/>
        <v>115</v>
      </c>
      <c r="B123" s="529" t="s">
        <v>51</v>
      </c>
      <c r="C123" s="516" t="s">
        <v>62</v>
      </c>
      <c r="D123" s="529" t="s">
        <v>63</v>
      </c>
      <c r="E123" s="529" t="s">
        <v>74</v>
      </c>
      <c r="F123" s="529" t="s">
        <v>285</v>
      </c>
      <c r="G123" s="510" t="s">
        <v>670</v>
      </c>
      <c r="H123" s="529">
        <v>20</v>
      </c>
      <c r="I123" s="529">
        <v>15</v>
      </c>
      <c r="J123" s="529">
        <v>15</v>
      </c>
      <c r="K123" s="529">
        <v>5873.82</v>
      </c>
      <c r="L123" s="529">
        <v>5873.82</v>
      </c>
      <c r="M123" s="529">
        <v>0</v>
      </c>
      <c r="N123" s="529">
        <v>10</v>
      </c>
      <c r="O123" s="529">
        <v>1797.24</v>
      </c>
      <c r="P123" s="530">
        <v>1797.24</v>
      </c>
      <c r="Q123" s="529">
        <v>0</v>
      </c>
    </row>
    <row r="124" spans="1:17" ht="15.75" customHeight="1" x14ac:dyDescent="0.2">
      <c r="A124" s="484">
        <f t="shared" si="1"/>
        <v>116</v>
      </c>
      <c r="B124" s="529" t="s">
        <v>756</v>
      </c>
      <c r="C124" s="516" t="s">
        <v>62</v>
      </c>
      <c r="D124" s="529" t="s">
        <v>63</v>
      </c>
      <c r="E124" s="529" t="s">
        <v>74</v>
      </c>
      <c r="F124" s="529" t="s">
        <v>666</v>
      </c>
      <c r="G124" s="510" t="s">
        <v>670</v>
      </c>
      <c r="H124" s="529">
        <v>0</v>
      </c>
      <c r="I124" s="529">
        <v>0</v>
      </c>
      <c r="J124" s="529">
        <v>0</v>
      </c>
      <c r="K124" s="529">
        <v>0</v>
      </c>
      <c r="L124" s="529">
        <v>0</v>
      </c>
      <c r="M124" s="529">
        <v>0</v>
      </c>
      <c r="N124" s="529">
        <v>1</v>
      </c>
      <c r="O124" s="529">
        <v>1516.12</v>
      </c>
      <c r="P124" s="530">
        <v>1516.12</v>
      </c>
      <c r="Q124" s="529">
        <v>0</v>
      </c>
    </row>
    <row r="125" spans="1:17" ht="15.75" customHeight="1" x14ac:dyDescent="0.2">
      <c r="A125" s="484">
        <f t="shared" si="1"/>
        <v>117</v>
      </c>
      <c r="B125" s="529" t="s">
        <v>286</v>
      </c>
      <c r="C125" s="516" t="s">
        <v>62</v>
      </c>
      <c r="D125" s="529" t="s">
        <v>63</v>
      </c>
      <c r="E125" s="529" t="s">
        <v>174</v>
      </c>
      <c r="F125" s="529" t="s">
        <v>287</v>
      </c>
      <c r="G125" s="510" t="s">
        <v>670</v>
      </c>
      <c r="H125" s="529">
        <v>19</v>
      </c>
      <c r="I125" s="529">
        <v>14</v>
      </c>
      <c r="J125" s="529">
        <v>17</v>
      </c>
      <c r="K125" s="529">
        <v>16457.87</v>
      </c>
      <c r="L125" s="529">
        <v>16457.87</v>
      </c>
      <c r="M125" s="529">
        <v>0</v>
      </c>
      <c r="N125" s="529">
        <v>0</v>
      </c>
      <c r="O125" s="529">
        <v>0</v>
      </c>
      <c r="P125" s="530">
        <v>0</v>
      </c>
      <c r="Q125" s="529">
        <v>0</v>
      </c>
    </row>
    <row r="126" spans="1:17" ht="15.75" customHeight="1" x14ac:dyDescent="0.2">
      <c r="A126" s="484">
        <f t="shared" si="1"/>
        <v>118</v>
      </c>
      <c r="B126" s="529" t="s">
        <v>469</v>
      </c>
      <c r="C126" s="516" t="s">
        <v>62</v>
      </c>
      <c r="D126" s="529" t="s">
        <v>63</v>
      </c>
      <c r="E126" s="529" t="s">
        <v>74</v>
      </c>
      <c r="F126" s="529" t="s">
        <v>470</v>
      </c>
      <c r="G126" s="510" t="s">
        <v>670</v>
      </c>
      <c r="H126" s="529">
        <v>1</v>
      </c>
      <c r="I126" s="529">
        <v>0</v>
      </c>
      <c r="J126" s="529">
        <v>0</v>
      </c>
      <c r="K126" s="529">
        <v>0</v>
      </c>
      <c r="L126" s="529">
        <v>0</v>
      </c>
      <c r="M126" s="529">
        <v>0</v>
      </c>
      <c r="N126" s="529">
        <v>0</v>
      </c>
      <c r="O126" s="529">
        <v>0</v>
      </c>
      <c r="P126" s="530">
        <v>0</v>
      </c>
      <c r="Q126" s="529">
        <v>0</v>
      </c>
    </row>
    <row r="127" spans="1:17" ht="15.75" customHeight="1" x14ac:dyDescent="0.2">
      <c r="A127" s="484">
        <f t="shared" si="1"/>
        <v>119</v>
      </c>
      <c r="B127" s="529" t="s">
        <v>151</v>
      </c>
      <c r="C127" s="516" t="s">
        <v>62</v>
      </c>
      <c r="D127" s="529" t="s">
        <v>63</v>
      </c>
      <c r="E127" s="529" t="s">
        <v>74</v>
      </c>
      <c r="F127" s="529" t="s">
        <v>288</v>
      </c>
      <c r="G127" s="510" t="s">
        <v>670</v>
      </c>
      <c r="H127" s="529">
        <v>10</v>
      </c>
      <c r="I127" s="529">
        <v>8</v>
      </c>
      <c r="J127" s="529">
        <v>10</v>
      </c>
      <c r="K127" s="529">
        <v>15560.06</v>
      </c>
      <c r="L127" s="529">
        <v>15560.06</v>
      </c>
      <c r="M127" s="529">
        <v>0</v>
      </c>
      <c r="N127" s="529">
        <v>6</v>
      </c>
      <c r="O127" s="529">
        <v>14253.5</v>
      </c>
      <c r="P127" s="530">
        <v>14253.5</v>
      </c>
      <c r="Q127" s="529">
        <v>0</v>
      </c>
    </row>
    <row r="128" spans="1:17" ht="15.75" customHeight="1" x14ac:dyDescent="0.2">
      <c r="A128" s="484">
        <f t="shared" si="1"/>
        <v>120</v>
      </c>
      <c r="B128" s="529" t="s">
        <v>155</v>
      </c>
      <c r="C128" s="516" t="s">
        <v>62</v>
      </c>
      <c r="D128" s="529" t="s">
        <v>63</v>
      </c>
      <c r="E128" s="529" t="s">
        <v>74</v>
      </c>
      <c r="F128" s="529" t="s">
        <v>289</v>
      </c>
      <c r="G128" s="510" t="s">
        <v>670</v>
      </c>
      <c r="H128" s="529">
        <v>16</v>
      </c>
      <c r="I128" s="529">
        <v>10</v>
      </c>
      <c r="J128" s="529">
        <v>16</v>
      </c>
      <c r="K128" s="529">
        <v>38355.85</v>
      </c>
      <c r="L128" s="529">
        <v>38355.85</v>
      </c>
      <c r="M128" s="529">
        <v>0</v>
      </c>
      <c r="N128" s="529">
        <v>4</v>
      </c>
      <c r="O128" s="529">
        <v>28262.06</v>
      </c>
      <c r="P128" s="530">
        <v>28262.06</v>
      </c>
      <c r="Q128" s="529">
        <v>0</v>
      </c>
    </row>
    <row r="129" spans="1:17" ht="15.75" customHeight="1" x14ac:dyDescent="0.2">
      <c r="A129" s="484">
        <f t="shared" si="1"/>
        <v>121</v>
      </c>
      <c r="B129" s="529" t="s">
        <v>290</v>
      </c>
      <c r="C129" s="516" t="s">
        <v>62</v>
      </c>
      <c r="D129" s="529" t="s">
        <v>63</v>
      </c>
      <c r="E129" s="529" t="s">
        <v>291</v>
      </c>
      <c r="F129" s="529" t="s">
        <v>292</v>
      </c>
      <c r="G129" s="510" t="s">
        <v>670</v>
      </c>
      <c r="H129" s="529">
        <v>40</v>
      </c>
      <c r="I129" s="529">
        <v>28</v>
      </c>
      <c r="J129" s="529">
        <v>36</v>
      </c>
      <c r="K129" s="529">
        <v>34384.86</v>
      </c>
      <c r="L129" s="529">
        <v>34384.86</v>
      </c>
      <c r="M129" s="529">
        <v>0</v>
      </c>
      <c r="N129" s="529">
        <v>0</v>
      </c>
      <c r="O129" s="529">
        <v>0</v>
      </c>
      <c r="P129" s="530">
        <v>0</v>
      </c>
      <c r="Q129" s="529">
        <v>0</v>
      </c>
    </row>
    <row r="130" spans="1:17" ht="15.75" customHeight="1" x14ac:dyDescent="0.2">
      <c r="A130" s="484">
        <f t="shared" si="1"/>
        <v>122</v>
      </c>
      <c r="B130" s="529" t="s">
        <v>495</v>
      </c>
      <c r="C130" s="516" t="s">
        <v>62</v>
      </c>
      <c r="D130" s="529" t="s">
        <v>63</v>
      </c>
      <c r="E130" s="529" t="s">
        <v>313</v>
      </c>
      <c r="F130" s="529" t="s">
        <v>496</v>
      </c>
      <c r="G130" s="510" t="s">
        <v>670</v>
      </c>
      <c r="H130" s="529">
        <v>31</v>
      </c>
      <c r="I130" s="529">
        <v>7</v>
      </c>
      <c r="J130" s="529">
        <v>7</v>
      </c>
      <c r="K130" s="529">
        <v>9234.7099999999991</v>
      </c>
      <c r="L130" s="529">
        <v>9234.7099999999991</v>
      </c>
      <c r="M130" s="529">
        <v>0</v>
      </c>
      <c r="N130" s="529">
        <v>0</v>
      </c>
      <c r="O130" s="529">
        <v>0</v>
      </c>
      <c r="P130" s="530">
        <v>0</v>
      </c>
      <c r="Q130" s="529">
        <v>0</v>
      </c>
    </row>
    <row r="131" spans="1:17" ht="15.75" customHeight="1" x14ac:dyDescent="0.2">
      <c r="A131" s="484">
        <f t="shared" si="1"/>
        <v>123</v>
      </c>
      <c r="B131" s="529" t="s">
        <v>134</v>
      </c>
      <c r="C131" s="516" t="s">
        <v>62</v>
      </c>
      <c r="D131" s="529" t="s">
        <v>63</v>
      </c>
      <c r="E131" s="529" t="s">
        <v>74</v>
      </c>
      <c r="F131" s="529" t="s">
        <v>293</v>
      </c>
      <c r="G131" s="510" t="s">
        <v>670</v>
      </c>
      <c r="H131" s="529">
        <v>8</v>
      </c>
      <c r="I131" s="529">
        <v>6</v>
      </c>
      <c r="J131" s="529">
        <v>7</v>
      </c>
      <c r="K131" s="529">
        <v>10480.76</v>
      </c>
      <c r="L131" s="529">
        <v>10480.76</v>
      </c>
      <c r="M131" s="529">
        <v>0</v>
      </c>
      <c r="N131" s="529">
        <v>2</v>
      </c>
      <c r="O131" s="529">
        <v>10990.78</v>
      </c>
      <c r="P131" s="530">
        <v>10990.78</v>
      </c>
      <c r="Q131" s="529">
        <v>0</v>
      </c>
    </row>
    <row r="132" spans="1:17" ht="15.75" customHeight="1" x14ac:dyDescent="0.2">
      <c r="A132" s="484">
        <f t="shared" si="1"/>
        <v>124</v>
      </c>
      <c r="B132" s="529" t="s">
        <v>127</v>
      </c>
      <c r="C132" s="516" t="s">
        <v>62</v>
      </c>
      <c r="D132" s="529" t="s">
        <v>63</v>
      </c>
      <c r="E132" s="529" t="s">
        <v>74</v>
      </c>
      <c r="F132" s="529" t="s">
        <v>294</v>
      </c>
      <c r="G132" s="510" t="s">
        <v>670</v>
      </c>
      <c r="H132" s="529">
        <v>9</v>
      </c>
      <c r="I132" s="529">
        <v>6</v>
      </c>
      <c r="J132" s="529">
        <v>7</v>
      </c>
      <c r="K132" s="529">
        <v>5794.74</v>
      </c>
      <c r="L132" s="529">
        <v>5794.74</v>
      </c>
      <c r="M132" s="529">
        <v>0</v>
      </c>
      <c r="N132" s="529">
        <v>2</v>
      </c>
      <c r="O132" s="529">
        <v>3267.6</v>
      </c>
      <c r="P132" s="530">
        <v>3267.6</v>
      </c>
      <c r="Q132" s="529">
        <v>0</v>
      </c>
    </row>
    <row r="133" spans="1:17" ht="15.75" customHeight="1" x14ac:dyDescent="0.2">
      <c r="A133" s="484">
        <f t="shared" si="1"/>
        <v>125</v>
      </c>
      <c r="B133" s="529" t="s">
        <v>55</v>
      </c>
      <c r="C133" s="516" t="s">
        <v>64</v>
      </c>
      <c r="D133" s="529" t="s">
        <v>66</v>
      </c>
      <c r="E133" s="529" t="s">
        <v>80</v>
      </c>
      <c r="F133" s="529" t="s">
        <v>295</v>
      </c>
      <c r="G133" s="510" t="s">
        <v>670</v>
      </c>
      <c r="H133" s="529">
        <v>9</v>
      </c>
      <c r="I133" s="529">
        <v>6</v>
      </c>
      <c r="J133" s="529">
        <v>5</v>
      </c>
      <c r="K133" s="529">
        <v>1989.43</v>
      </c>
      <c r="L133" s="529">
        <v>1989.43</v>
      </c>
      <c r="M133" s="529">
        <v>0</v>
      </c>
      <c r="N133" s="529">
        <v>3</v>
      </c>
      <c r="O133" s="529">
        <v>17287.61</v>
      </c>
      <c r="P133" s="530">
        <v>17287.61</v>
      </c>
      <c r="Q133" s="529">
        <v>0</v>
      </c>
    </row>
    <row r="134" spans="1:17" ht="15.75" customHeight="1" x14ac:dyDescent="0.2">
      <c r="A134" s="484">
        <f t="shared" si="1"/>
        <v>126</v>
      </c>
      <c r="B134" s="529" t="s">
        <v>135</v>
      </c>
      <c r="C134" s="516" t="s">
        <v>62</v>
      </c>
      <c r="D134" s="529" t="s">
        <v>63</v>
      </c>
      <c r="E134" s="529" t="s">
        <v>74</v>
      </c>
      <c r="F134" s="529" t="s">
        <v>296</v>
      </c>
      <c r="G134" s="510" t="s">
        <v>670</v>
      </c>
      <c r="H134" s="529">
        <v>7</v>
      </c>
      <c r="I134" s="529">
        <v>3</v>
      </c>
      <c r="J134" s="529">
        <v>3</v>
      </c>
      <c r="K134" s="529">
        <v>1786.07</v>
      </c>
      <c r="L134" s="529">
        <v>1786.07</v>
      </c>
      <c r="M134" s="529">
        <v>0</v>
      </c>
      <c r="N134" s="529">
        <v>10</v>
      </c>
      <c r="O134" s="529">
        <v>18103.34</v>
      </c>
      <c r="P134" s="530">
        <v>18103.34</v>
      </c>
      <c r="Q134" s="529">
        <v>0</v>
      </c>
    </row>
    <row r="135" spans="1:17" ht="15.75" customHeight="1" x14ac:dyDescent="0.2">
      <c r="A135" s="484">
        <f t="shared" si="1"/>
        <v>127</v>
      </c>
      <c r="B135" s="529" t="s">
        <v>128</v>
      </c>
      <c r="C135" s="516" t="s">
        <v>62</v>
      </c>
      <c r="D135" s="529" t="s">
        <v>63</v>
      </c>
      <c r="E135" s="529" t="s">
        <v>74</v>
      </c>
      <c r="F135" s="529" t="s">
        <v>297</v>
      </c>
      <c r="G135" s="510" t="s">
        <v>670</v>
      </c>
      <c r="H135" s="529">
        <v>2</v>
      </c>
      <c r="I135" s="529">
        <v>2</v>
      </c>
      <c r="J135" s="529">
        <v>2</v>
      </c>
      <c r="K135" s="529">
        <v>1303.8499999999999</v>
      </c>
      <c r="L135" s="529">
        <v>1303.8499999999999</v>
      </c>
      <c r="M135" s="529">
        <v>0</v>
      </c>
      <c r="N135" s="529">
        <v>1</v>
      </c>
      <c r="O135" s="529">
        <v>264.3</v>
      </c>
      <c r="P135" s="530">
        <v>264.3</v>
      </c>
      <c r="Q135" s="529">
        <v>0</v>
      </c>
    </row>
    <row r="136" spans="1:17" ht="15.75" customHeight="1" x14ac:dyDescent="0.2">
      <c r="A136" s="484">
        <f t="shared" si="1"/>
        <v>128</v>
      </c>
      <c r="B136" s="529" t="s">
        <v>508</v>
      </c>
      <c r="C136" s="516" t="s">
        <v>64</v>
      </c>
      <c r="D136" s="529" t="s">
        <v>551</v>
      </c>
      <c r="E136" s="529" t="s">
        <v>313</v>
      </c>
      <c r="F136" s="529" t="s">
        <v>552</v>
      </c>
      <c r="G136" s="510" t="s">
        <v>670</v>
      </c>
      <c r="H136" s="529">
        <v>31</v>
      </c>
      <c r="I136" s="529">
        <v>17</v>
      </c>
      <c r="J136" s="529">
        <v>18</v>
      </c>
      <c r="K136" s="529">
        <v>11219.42</v>
      </c>
      <c r="L136" s="529">
        <v>11219.42</v>
      </c>
      <c r="M136" s="529">
        <v>0</v>
      </c>
      <c r="N136" s="529">
        <v>0</v>
      </c>
      <c r="O136" s="529">
        <v>0</v>
      </c>
      <c r="P136" s="530">
        <v>0</v>
      </c>
      <c r="Q136" s="529">
        <v>0</v>
      </c>
    </row>
    <row r="137" spans="1:17" ht="15.75" customHeight="1" x14ac:dyDescent="0.2">
      <c r="A137" s="484">
        <f t="shared" si="1"/>
        <v>129</v>
      </c>
      <c r="B137" s="529" t="s">
        <v>497</v>
      </c>
      <c r="C137" s="516" t="s">
        <v>62</v>
      </c>
      <c r="D137" s="529"/>
      <c r="E137" s="529" t="s">
        <v>313</v>
      </c>
      <c r="F137" s="529" t="s">
        <v>498</v>
      </c>
      <c r="G137" s="510" t="s">
        <v>670</v>
      </c>
      <c r="H137" s="529">
        <v>65</v>
      </c>
      <c r="I137" s="529">
        <v>44</v>
      </c>
      <c r="J137" s="529">
        <v>46</v>
      </c>
      <c r="K137" s="529">
        <v>29545.75</v>
      </c>
      <c r="L137" s="529">
        <v>29545.75</v>
      </c>
      <c r="M137" s="529">
        <v>0</v>
      </c>
      <c r="N137" s="529">
        <v>0</v>
      </c>
      <c r="O137" s="529">
        <v>0</v>
      </c>
      <c r="P137" s="530">
        <v>0</v>
      </c>
      <c r="Q137" s="529">
        <v>0</v>
      </c>
    </row>
    <row r="138" spans="1:17" ht="15.75" customHeight="1" x14ac:dyDescent="0.2">
      <c r="A138" s="484">
        <f t="shared" si="1"/>
        <v>130</v>
      </c>
      <c r="B138" s="529" t="s">
        <v>646</v>
      </c>
      <c r="C138" s="516" t="s">
        <v>62</v>
      </c>
      <c r="D138" s="529" t="s">
        <v>63</v>
      </c>
      <c r="E138" s="529" t="s">
        <v>74</v>
      </c>
      <c r="F138" s="529" t="s">
        <v>757</v>
      </c>
      <c r="G138" s="510" t="s">
        <v>670</v>
      </c>
      <c r="H138" s="529">
        <v>4</v>
      </c>
      <c r="I138" s="529">
        <v>0</v>
      </c>
      <c r="J138" s="529">
        <v>0</v>
      </c>
      <c r="K138" s="529">
        <v>0</v>
      </c>
      <c r="L138" s="529">
        <v>0</v>
      </c>
      <c r="M138" s="529">
        <v>0</v>
      </c>
      <c r="N138" s="529">
        <v>0</v>
      </c>
      <c r="O138" s="529">
        <v>0</v>
      </c>
      <c r="P138" s="530">
        <v>0</v>
      </c>
      <c r="Q138" s="529">
        <v>0</v>
      </c>
    </row>
    <row r="139" spans="1:17" ht="15.75" customHeight="1" x14ac:dyDescent="0.2">
      <c r="A139" s="484">
        <f t="shared" si="1"/>
        <v>131</v>
      </c>
      <c r="B139" s="529" t="s">
        <v>56</v>
      </c>
      <c r="C139" s="516" t="s">
        <v>62</v>
      </c>
      <c r="D139" s="529" t="s">
        <v>63</v>
      </c>
      <c r="E139" s="529" t="s">
        <v>83</v>
      </c>
      <c r="F139" s="529" t="s">
        <v>298</v>
      </c>
      <c r="G139" s="510" t="s">
        <v>670</v>
      </c>
      <c r="H139" s="529">
        <v>99</v>
      </c>
      <c r="I139" s="529">
        <v>86</v>
      </c>
      <c r="J139" s="529">
        <v>128</v>
      </c>
      <c r="K139" s="529">
        <v>140627.04</v>
      </c>
      <c r="L139" s="529">
        <v>125776.29</v>
      </c>
      <c r="M139" s="529">
        <v>14850.75</v>
      </c>
      <c r="N139" s="529">
        <v>32</v>
      </c>
      <c r="O139" s="529">
        <v>97693.16</v>
      </c>
      <c r="P139" s="530">
        <v>96660.36</v>
      </c>
      <c r="Q139" s="529">
        <v>1032.8</v>
      </c>
    </row>
    <row r="140" spans="1:17" ht="15.75" customHeight="1" x14ac:dyDescent="0.2">
      <c r="A140" s="484">
        <f t="shared" ref="A140:A203" si="2">A139+1</f>
        <v>132</v>
      </c>
      <c r="B140" s="529" t="s">
        <v>638</v>
      </c>
      <c r="C140" s="516" t="s">
        <v>67</v>
      </c>
      <c r="D140" s="529" t="s">
        <v>639</v>
      </c>
      <c r="E140" s="529" t="s">
        <v>640</v>
      </c>
      <c r="F140" s="529" t="s">
        <v>641</v>
      </c>
      <c r="G140" s="510" t="s">
        <v>670</v>
      </c>
      <c r="H140" s="529">
        <v>8</v>
      </c>
      <c r="I140" s="529">
        <v>1</v>
      </c>
      <c r="J140" s="529">
        <v>1</v>
      </c>
      <c r="K140" s="529">
        <v>0</v>
      </c>
      <c r="L140" s="529">
        <v>0</v>
      </c>
      <c r="M140" s="529">
        <v>0</v>
      </c>
      <c r="N140" s="529">
        <v>0</v>
      </c>
      <c r="O140" s="529">
        <v>0</v>
      </c>
      <c r="P140" s="530">
        <v>0</v>
      </c>
      <c r="Q140" s="529">
        <v>0</v>
      </c>
    </row>
    <row r="141" spans="1:17" ht="15.75" customHeight="1" x14ac:dyDescent="0.2">
      <c r="A141" s="484">
        <f t="shared" si="2"/>
        <v>133</v>
      </c>
      <c r="B141" s="529" t="s">
        <v>299</v>
      </c>
      <c r="C141" s="516" t="s">
        <v>62</v>
      </c>
      <c r="D141" s="529"/>
      <c r="E141" s="529" t="s">
        <v>174</v>
      </c>
      <c r="F141" s="529" t="s">
        <v>300</v>
      </c>
      <c r="G141" s="510" t="s">
        <v>670</v>
      </c>
      <c r="H141" s="529">
        <v>23</v>
      </c>
      <c r="I141" s="529">
        <v>20</v>
      </c>
      <c r="J141" s="529">
        <v>24</v>
      </c>
      <c r="K141" s="529">
        <v>18541.13</v>
      </c>
      <c r="L141" s="529">
        <v>18541.13</v>
      </c>
      <c r="M141" s="529">
        <v>0</v>
      </c>
      <c r="N141" s="529">
        <v>0</v>
      </c>
      <c r="O141" s="529">
        <v>0</v>
      </c>
      <c r="P141" s="530">
        <v>0</v>
      </c>
      <c r="Q141" s="529">
        <v>0</v>
      </c>
    </row>
    <row r="142" spans="1:17" ht="15.75" customHeight="1" x14ac:dyDescent="0.2">
      <c r="A142" s="484">
        <f t="shared" si="2"/>
        <v>134</v>
      </c>
      <c r="B142" s="529" t="s">
        <v>156</v>
      </c>
      <c r="C142" s="516" t="s">
        <v>67</v>
      </c>
      <c r="D142" s="529" t="s">
        <v>499</v>
      </c>
      <c r="E142" s="529" t="s">
        <v>74</v>
      </c>
      <c r="F142" s="529" t="s">
        <v>301</v>
      </c>
      <c r="G142" s="510" t="s">
        <v>670</v>
      </c>
      <c r="H142" s="529">
        <v>40</v>
      </c>
      <c r="I142" s="529">
        <v>32</v>
      </c>
      <c r="J142" s="529">
        <v>38</v>
      </c>
      <c r="K142" s="529">
        <v>36129.29</v>
      </c>
      <c r="L142" s="529">
        <v>36129.29</v>
      </c>
      <c r="M142" s="529">
        <v>0</v>
      </c>
      <c r="N142" s="529">
        <v>37</v>
      </c>
      <c r="O142" s="529">
        <v>66837.119999999995</v>
      </c>
      <c r="P142" s="530">
        <v>66837.119999999995</v>
      </c>
      <c r="Q142" s="529">
        <v>0</v>
      </c>
    </row>
    <row r="143" spans="1:17" ht="15.75" customHeight="1" x14ac:dyDescent="0.2">
      <c r="A143" s="484">
        <f t="shared" si="2"/>
        <v>135</v>
      </c>
      <c r="B143" s="529" t="s">
        <v>302</v>
      </c>
      <c r="C143" s="516" t="s">
        <v>62</v>
      </c>
      <c r="D143" s="529"/>
      <c r="E143" s="529" t="s">
        <v>758</v>
      </c>
      <c r="F143" s="529" t="s">
        <v>303</v>
      </c>
      <c r="G143" s="510" t="s">
        <v>670</v>
      </c>
      <c r="H143" s="529">
        <v>18</v>
      </c>
      <c r="I143" s="529">
        <v>16</v>
      </c>
      <c r="J143" s="529">
        <v>20</v>
      </c>
      <c r="K143" s="529">
        <v>9697.18</v>
      </c>
      <c r="L143" s="529">
        <v>9697.18</v>
      </c>
      <c r="M143" s="529">
        <v>0</v>
      </c>
      <c r="N143" s="529">
        <v>0</v>
      </c>
      <c r="O143" s="529">
        <v>0</v>
      </c>
      <c r="P143" s="530">
        <v>0</v>
      </c>
      <c r="Q143" s="529">
        <v>0</v>
      </c>
    </row>
    <row r="144" spans="1:17" ht="15.75" customHeight="1" x14ac:dyDescent="0.2">
      <c r="A144" s="484">
        <f t="shared" si="2"/>
        <v>136</v>
      </c>
      <c r="B144" s="529" t="s">
        <v>140</v>
      </c>
      <c r="C144" s="516" t="s">
        <v>62</v>
      </c>
      <c r="D144" s="529" t="s">
        <v>63</v>
      </c>
      <c r="E144" s="529" t="s">
        <v>74</v>
      </c>
      <c r="F144" s="529" t="s">
        <v>304</v>
      </c>
      <c r="G144" s="510" t="s">
        <v>670</v>
      </c>
      <c r="H144" s="529">
        <v>69</v>
      </c>
      <c r="I144" s="529">
        <v>59</v>
      </c>
      <c r="J144" s="529">
        <v>63</v>
      </c>
      <c r="K144" s="529">
        <v>49113.38</v>
      </c>
      <c r="L144" s="529">
        <v>49113.38</v>
      </c>
      <c r="M144" s="529"/>
      <c r="N144" s="529">
        <v>19</v>
      </c>
      <c r="O144" s="529">
        <v>43411.7</v>
      </c>
      <c r="P144" s="530">
        <v>43411.7</v>
      </c>
      <c r="Q144" s="529">
        <v>0</v>
      </c>
    </row>
    <row r="145" spans="1:17" ht="15.75" customHeight="1" x14ac:dyDescent="0.2">
      <c r="A145" s="484">
        <f t="shared" si="2"/>
        <v>137</v>
      </c>
      <c r="B145" s="529" t="s">
        <v>305</v>
      </c>
      <c r="C145" s="516" t="s">
        <v>62</v>
      </c>
      <c r="D145" s="529" t="s">
        <v>63</v>
      </c>
      <c r="E145" s="529" t="s">
        <v>186</v>
      </c>
      <c r="F145" s="529" t="s">
        <v>513</v>
      </c>
      <c r="G145" s="510" t="s">
        <v>670</v>
      </c>
      <c r="H145" s="529">
        <v>17</v>
      </c>
      <c r="I145" s="529">
        <v>12</v>
      </c>
      <c r="J145" s="529">
        <v>13</v>
      </c>
      <c r="K145" s="529">
        <v>6542.9</v>
      </c>
      <c r="L145" s="529">
        <v>6542.9</v>
      </c>
      <c r="M145" s="529">
        <v>0</v>
      </c>
      <c r="N145" s="529">
        <v>0</v>
      </c>
      <c r="O145" s="529">
        <v>0</v>
      </c>
      <c r="P145" s="530">
        <v>0</v>
      </c>
      <c r="Q145" s="529">
        <v>0</v>
      </c>
    </row>
    <row r="146" spans="1:17" ht="15.75" customHeight="1" x14ac:dyDescent="0.2">
      <c r="A146" s="484">
        <f t="shared" si="2"/>
        <v>138</v>
      </c>
      <c r="B146" s="529" t="s">
        <v>702</v>
      </c>
      <c r="C146" s="516" t="s">
        <v>62</v>
      </c>
      <c r="D146" s="529" t="s">
        <v>63</v>
      </c>
      <c r="E146" s="529" t="s">
        <v>239</v>
      </c>
      <c r="F146" s="529" t="s">
        <v>733</v>
      </c>
      <c r="G146" s="510" t="s">
        <v>670</v>
      </c>
      <c r="H146" s="529">
        <v>2</v>
      </c>
      <c r="I146" s="529">
        <v>1</v>
      </c>
      <c r="J146" s="529">
        <v>1</v>
      </c>
      <c r="K146" s="529">
        <v>649.87</v>
      </c>
      <c r="L146" s="529">
        <v>649.87</v>
      </c>
      <c r="M146" s="529">
        <v>0</v>
      </c>
      <c r="N146" s="529">
        <v>0</v>
      </c>
      <c r="O146" s="529">
        <v>0</v>
      </c>
      <c r="P146" s="530">
        <v>0</v>
      </c>
      <c r="Q146" s="529">
        <v>0</v>
      </c>
    </row>
    <row r="147" spans="1:17" ht="15.75" customHeight="1" x14ac:dyDescent="0.2">
      <c r="A147" s="484">
        <f t="shared" si="2"/>
        <v>139</v>
      </c>
      <c r="B147" s="529" t="s">
        <v>471</v>
      </c>
      <c r="C147" s="516" t="s">
        <v>64</v>
      </c>
      <c r="D147" s="529" t="s">
        <v>65</v>
      </c>
      <c r="E147" s="529" t="s">
        <v>74</v>
      </c>
      <c r="F147" s="529" t="s">
        <v>472</v>
      </c>
      <c r="G147" s="510" t="s">
        <v>670</v>
      </c>
      <c r="H147" s="529">
        <v>0</v>
      </c>
      <c r="I147" s="529">
        <v>0</v>
      </c>
      <c r="J147" s="529">
        <v>0</v>
      </c>
      <c r="K147" s="529">
        <v>0</v>
      </c>
      <c r="L147" s="529">
        <v>0</v>
      </c>
      <c r="M147" s="529">
        <v>0</v>
      </c>
      <c r="N147" s="529">
        <v>1</v>
      </c>
      <c r="O147" s="529">
        <v>0</v>
      </c>
      <c r="P147" s="530">
        <v>0</v>
      </c>
      <c r="Q147" s="529">
        <v>0</v>
      </c>
    </row>
    <row r="148" spans="1:17" ht="15.75" customHeight="1" x14ac:dyDescent="0.2">
      <c r="A148" s="484">
        <f t="shared" si="2"/>
        <v>140</v>
      </c>
      <c r="B148" s="529" t="s">
        <v>57</v>
      </c>
      <c r="C148" s="516" t="s">
        <v>62</v>
      </c>
      <c r="D148" s="529" t="s">
        <v>63</v>
      </c>
      <c r="E148" s="529" t="s">
        <v>244</v>
      </c>
      <c r="F148" s="529" t="s">
        <v>306</v>
      </c>
      <c r="G148" s="510" t="s">
        <v>670</v>
      </c>
      <c r="H148" s="529">
        <v>39</v>
      </c>
      <c r="I148" s="529">
        <v>18</v>
      </c>
      <c r="J148" s="529">
        <v>21</v>
      </c>
      <c r="K148" s="529">
        <v>19342.23</v>
      </c>
      <c r="L148" s="529">
        <v>19342.23</v>
      </c>
      <c r="M148" s="529">
        <v>0</v>
      </c>
      <c r="N148" s="529">
        <v>21</v>
      </c>
      <c r="O148" s="529">
        <v>109281.48</v>
      </c>
      <c r="P148" s="530">
        <v>95362.92</v>
      </c>
      <c r="Q148" s="529">
        <v>13918.56</v>
      </c>
    </row>
    <row r="149" spans="1:17" ht="15.75" customHeight="1" x14ac:dyDescent="0.2">
      <c r="A149" s="484">
        <f t="shared" si="2"/>
        <v>141</v>
      </c>
      <c r="B149" s="529" t="s">
        <v>648</v>
      </c>
      <c r="C149" s="516" t="s">
        <v>62</v>
      </c>
      <c r="D149" s="529" t="s">
        <v>63</v>
      </c>
      <c r="E149" s="529" t="s">
        <v>313</v>
      </c>
      <c r="F149" s="529" t="s">
        <v>650</v>
      </c>
      <c r="G149" s="510" t="s">
        <v>670</v>
      </c>
      <c r="H149" s="529">
        <v>12</v>
      </c>
      <c r="I149" s="529">
        <v>8</v>
      </c>
      <c r="J149" s="529">
        <v>9</v>
      </c>
      <c r="K149" s="529">
        <v>4135.99</v>
      </c>
      <c r="L149" s="529">
        <v>1233.47</v>
      </c>
      <c r="M149" s="529">
        <v>2902.52</v>
      </c>
      <c r="N149" s="529">
        <v>0</v>
      </c>
      <c r="O149" s="529">
        <v>0</v>
      </c>
      <c r="P149" s="530">
        <v>0</v>
      </c>
      <c r="Q149" s="529">
        <v>0</v>
      </c>
    </row>
    <row r="150" spans="1:17" ht="15.75" customHeight="1" x14ac:dyDescent="0.2">
      <c r="A150" s="484">
        <f t="shared" si="2"/>
        <v>142</v>
      </c>
      <c r="B150" s="529" t="s">
        <v>473</v>
      </c>
      <c r="C150" s="516" t="s">
        <v>62</v>
      </c>
      <c r="D150" s="529" t="s">
        <v>63</v>
      </c>
      <c r="E150" s="529" t="s">
        <v>74</v>
      </c>
      <c r="F150" s="529" t="s">
        <v>500</v>
      </c>
      <c r="G150" s="510" t="s">
        <v>670</v>
      </c>
      <c r="H150" s="529">
        <v>18</v>
      </c>
      <c r="I150" s="529">
        <v>12</v>
      </c>
      <c r="J150" s="529">
        <v>14</v>
      </c>
      <c r="K150" s="529">
        <v>9948.68</v>
      </c>
      <c r="L150" s="529">
        <v>9948.68</v>
      </c>
      <c r="M150" s="529">
        <v>0</v>
      </c>
      <c r="N150" s="529">
        <v>4</v>
      </c>
      <c r="O150" s="529">
        <v>22242.99</v>
      </c>
      <c r="P150" s="530">
        <v>22242.99</v>
      </c>
      <c r="Q150" s="529">
        <v>0</v>
      </c>
    </row>
    <row r="151" spans="1:17" ht="15.75" customHeight="1" x14ac:dyDescent="0.2">
      <c r="A151" s="484">
        <f t="shared" si="2"/>
        <v>143</v>
      </c>
      <c r="B151" s="529" t="s">
        <v>129</v>
      </c>
      <c r="C151" s="516" t="s">
        <v>62</v>
      </c>
      <c r="D151" s="529" t="s">
        <v>63</v>
      </c>
      <c r="E151" s="529" t="s">
        <v>74</v>
      </c>
      <c r="F151" s="529" t="s">
        <v>307</v>
      </c>
      <c r="G151" s="510" t="s">
        <v>670</v>
      </c>
      <c r="H151" s="529">
        <v>0</v>
      </c>
      <c r="I151" s="529">
        <v>0</v>
      </c>
      <c r="J151" s="529">
        <v>0</v>
      </c>
      <c r="K151" s="529">
        <v>0</v>
      </c>
      <c r="L151" s="529">
        <v>0</v>
      </c>
      <c r="M151" s="529">
        <v>0</v>
      </c>
      <c r="N151" s="529">
        <v>2</v>
      </c>
      <c r="O151" s="529">
        <v>12997.88</v>
      </c>
      <c r="P151" s="530">
        <v>12997.88</v>
      </c>
      <c r="Q151" s="529">
        <v>0</v>
      </c>
    </row>
    <row r="152" spans="1:17" ht="15.75" customHeight="1" x14ac:dyDescent="0.2">
      <c r="A152" s="484">
        <f t="shared" si="2"/>
        <v>144</v>
      </c>
      <c r="B152" s="529" t="s">
        <v>58</v>
      </c>
      <c r="C152" s="516" t="s">
        <v>62</v>
      </c>
      <c r="D152" s="529" t="s">
        <v>63</v>
      </c>
      <c r="E152" s="529" t="s">
        <v>84</v>
      </c>
      <c r="F152" s="529" t="s">
        <v>308</v>
      </c>
      <c r="G152" s="510" t="s">
        <v>670</v>
      </c>
      <c r="H152" s="529">
        <v>244</v>
      </c>
      <c r="I152" s="529">
        <v>225</v>
      </c>
      <c r="J152" s="529">
        <v>256</v>
      </c>
      <c r="K152" s="529">
        <v>246573.61</v>
      </c>
      <c r="L152" s="529">
        <v>221253.85</v>
      </c>
      <c r="M152" s="529">
        <v>25319.759999999998</v>
      </c>
      <c r="N152" s="529">
        <v>62</v>
      </c>
      <c r="O152" s="529">
        <v>217678.14</v>
      </c>
      <c r="P152" s="530">
        <v>216301.07</v>
      </c>
      <c r="Q152" s="529">
        <v>1377.07</v>
      </c>
    </row>
    <row r="153" spans="1:17" ht="15.75" customHeight="1" x14ac:dyDescent="0.2">
      <c r="A153" s="484">
        <f t="shared" si="2"/>
        <v>145</v>
      </c>
      <c r="B153" s="529" t="s">
        <v>59</v>
      </c>
      <c r="C153" s="516" t="s">
        <v>64</v>
      </c>
      <c r="D153" s="529" t="s">
        <v>66</v>
      </c>
      <c r="E153" s="529" t="s">
        <v>80</v>
      </c>
      <c r="F153" s="529" t="s">
        <v>309</v>
      </c>
      <c r="G153" s="510" t="s">
        <v>670</v>
      </c>
      <c r="H153" s="529">
        <v>42</v>
      </c>
      <c r="I153" s="529">
        <v>34</v>
      </c>
      <c r="J153" s="529">
        <v>53</v>
      </c>
      <c r="K153" s="529">
        <v>90310.61</v>
      </c>
      <c r="L153" s="529">
        <v>83144.350000000006</v>
      </c>
      <c r="M153" s="529">
        <v>7166.26</v>
      </c>
      <c r="N153" s="529">
        <v>32</v>
      </c>
      <c r="O153" s="529">
        <v>128048.16</v>
      </c>
      <c r="P153" s="530">
        <v>111860.27</v>
      </c>
      <c r="Q153" s="529">
        <v>16187.89</v>
      </c>
    </row>
    <row r="154" spans="1:17" ht="15.75" customHeight="1" x14ac:dyDescent="0.2">
      <c r="A154" s="484">
        <f t="shared" si="2"/>
        <v>146</v>
      </c>
      <c r="B154" s="529" t="s">
        <v>130</v>
      </c>
      <c r="C154" s="516" t="s">
        <v>62</v>
      </c>
      <c r="D154" s="529" t="s">
        <v>63</v>
      </c>
      <c r="E154" s="529" t="s">
        <v>74</v>
      </c>
      <c r="F154" s="529" t="s">
        <v>553</v>
      </c>
      <c r="G154" s="510" t="s">
        <v>670</v>
      </c>
      <c r="H154" s="529">
        <v>7</v>
      </c>
      <c r="I154" s="529">
        <v>2</v>
      </c>
      <c r="J154" s="529">
        <v>2</v>
      </c>
      <c r="K154" s="529">
        <v>299.54000000000002</v>
      </c>
      <c r="L154" s="529">
        <v>299.54000000000002</v>
      </c>
      <c r="M154" s="529">
        <v>0</v>
      </c>
      <c r="N154" s="529">
        <v>4</v>
      </c>
      <c r="O154" s="529">
        <v>20018.759999999998</v>
      </c>
      <c r="P154" s="530">
        <v>20018.759999999998</v>
      </c>
      <c r="Q154" s="529">
        <v>0</v>
      </c>
    </row>
    <row r="155" spans="1:17" ht="15.75" customHeight="1" x14ac:dyDescent="0.2">
      <c r="A155" s="484">
        <f t="shared" si="2"/>
        <v>147</v>
      </c>
      <c r="B155" s="529" t="s">
        <v>97</v>
      </c>
      <c r="C155" s="516" t="s">
        <v>62</v>
      </c>
      <c r="D155" s="529" t="s">
        <v>63</v>
      </c>
      <c r="E155" s="529" t="s">
        <v>74</v>
      </c>
      <c r="F155" s="529" t="s">
        <v>310</v>
      </c>
      <c r="G155" s="510" t="s">
        <v>670</v>
      </c>
      <c r="H155" s="529">
        <v>7</v>
      </c>
      <c r="I155" s="529">
        <v>4</v>
      </c>
      <c r="J155" s="529">
        <v>4</v>
      </c>
      <c r="K155" s="529">
        <v>5524.96</v>
      </c>
      <c r="L155" s="529">
        <v>5524.96</v>
      </c>
      <c r="M155" s="529">
        <v>0</v>
      </c>
      <c r="N155" s="529">
        <v>1</v>
      </c>
      <c r="O155" s="529">
        <v>3782.14</v>
      </c>
      <c r="P155" s="530">
        <v>3782.14</v>
      </c>
      <c r="Q155" s="529">
        <v>0</v>
      </c>
    </row>
    <row r="156" spans="1:17" ht="15.75" customHeight="1" x14ac:dyDescent="0.2">
      <c r="A156" s="484">
        <f t="shared" si="2"/>
        <v>148</v>
      </c>
      <c r="B156" s="529" t="s">
        <v>667</v>
      </c>
      <c r="C156" s="516" t="s">
        <v>62</v>
      </c>
      <c r="D156" s="529" t="s">
        <v>63</v>
      </c>
      <c r="E156" s="529" t="s">
        <v>174</v>
      </c>
      <c r="F156" s="529" t="s">
        <v>668</v>
      </c>
      <c r="G156" s="510" t="s">
        <v>670</v>
      </c>
      <c r="H156" s="529">
        <v>6</v>
      </c>
      <c r="I156" s="529">
        <v>3</v>
      </c>
      <c r="J156" s="529">
        <v>3</v>
      </c>
      <c r="K156" s="529">
        <v>0</v>
      </c>
      <c r="L156" s="529">
        <v>0</v>
      </c>
      <c r="M156" s="529">
        <v>0</v>
      </c>
      <c r="N156" s="529">
        <v>0</v>
      </c>
      <c r="O156" s="529">
        <v>0</v>
      </c>
      <c r="P156" s="530">
        <v>0</v>
      </c>
      <c r="Q156" s="529">
        <v>0</v>
      </c>
    </row>
    <row r="157" spans="1:17" ht="15.75" customHeight="1" x14ac:dyDescent="0.2">
      <c r="A157" s="484">
        <f t="shared" si="2"/>
        <v>149</v>
      </c>
      <c r="B157" s="529" t="s">
        <v>514</v>
      </c>
      <c r="C157" s="516" t="s">
        <v>62</v>
      </c>
      <c r="D157" s="529" t="s">
        <v>63</v>
      </c>
      <c r="E157" s="529" t="s">
        <v>223</v>
      </c>
      <c r="F157" s="529" t="s">
        <v>515</v>
      </c>
      <c r="G157" s="510" t="s">
        <v>670</v>
      </c>
      <c r="H157" s="529">
        <v>24</v>
      </c>
      <c r="I157" s="529">
        <v>17</v>
      </c>
      <c r="J157" s="529">
        <v>24</v>
      </c>
      <c r="K157" s="529">
        <v>25840.53</v>
      </c>
      <c r="L157" s="529">
        <v>23357.55</v>
      </c>
      <c r="M157" s="529">
        <v>2482.98</v>
      </c>
      <c r="N157" s="529">
        <v>0</v>
      </c>
      <c r="O157" s="529">
        <v>0</v>
      </c>
      <c r="P157" s="530">
        <v>0</v>
      </c>
      <c r="Q157" s="529">
        <v>0</v>
      </c>
    </row>
    <row r="158" spans="1:17" ht="15.75" customHeight="1" x14ac:dyDescent="0.2">
      <c r="A158" s="484">
        <f t="shared" si="2"/>
        <v>150</v>
      </c>
      <c r="B158" s="529" t="s">
        <v>132</v>
      </c>
      <c r="C158" s="516" t="s">
        <v>62</v>
      </c>
      <c r="D158" s="529" t="s">
        <v>63</v>
      </c>
      <c r="E158" s="529" t="s">
        <v>74</v>
      </c>
      <c r="F158" s="529" t="s">
        <v>311</v>
      </c>
      <c r="G158" s="510" t="s">
        <v>670</v>
      </c>
      <c r="H158" s="529">
        <v>20</v>
      </c>
      <c r="I158" s="529">
        <v>7</v>
      </c>
      <c r="J158" s="529">
        <v>8</v>
      </c>
      <c r="K158" s="529">
        <v>7071.18</v>
      </c>
      <c r="L158" s="529">
        <v>7071.18</v>
      </c>
      <c r="M158" s="529">
        <v>0</v>
      </c>
      <c r="N158" s="529">
        <v>11</v>
      </c>
      <c r="O158" s="529">
        <v>7200.72</v>
      </c>
      <c r="P158" s="530">
        <v>7200.72</v>
      </c>
      <c r="Q158" s="529">
        <v>0</v>
      </c>
    </row>
    <row r="159" spans="1:17" ht="15.75" customHeight="1" x14ac:dyDescent="0.2">
      <c r="A159" s="484">
        <f t="shared" si="2"/>
        <v>151</v>
      </c>
      <c r="B159" s="529" t="s">
        <v>312</v>
      </c>
      <c r="C159" s="516" t="s">
        <v>62</v>
      </c>
      <c r="D159" s="529" t="s">
        <v>63</v>
      </c>
      <c r="E159" s="529" t="s">
        <v>313</v>
      </c>
      <c r="F159" s="529" t="s">
        <v>314</v>
      </c>
      <c r="G159" s="510" t="s">
        <v>670</v>
      </c>
      <c r="H159" s="529">
        <v>67</v>
      </c>
      <c r="I159" s="529">
        <v>1</v>
      </c>
      <c r="J159" s="529">
        <v>1</v>
      </c>
      <c r="K159" s="529">
        <v>0</v>
      </c>
      <c r="L159" s="529">
        <v>0</v>
      </c>
      <c r="M159" s="529">
        <v>0</v>
      </c>
      <c r="N159" s="529">
        <v>0</v>
      </c>
      <c r="O159" s="529">
        <v>0</v>
      </c>
      <c r="P159" s="530">
        <v>0</v>
      </c>
      <c r="Q159" s="529">
        <v>0</v>
      </c>
    </row>
    <row r="160" spans="1:17" ht="15.75" customHeight="1" x14ac:dyDescent="0.2">
      <c r="A160" s="484">
        <f t="shared" si="2"/>
        <v>152</v>
      </c>
      <c r="B160" s="529" t="s">
        <v>505</v>
      </c>
      <c r="C160" s="516" t="s">
        <v>62</v>
      </c>
      <c r="D160" s="529" t="s">
        <v>63</v>
      </c>
      <c r="E160" s="529" t="s">
        <v>759</v>
      </c>
      <c r="F160" s="529" t="s">
        <v>704</v>
      </c>
      <c r="G160" s="510" t="s">
        <v>670</v>
      </c>
      <c r="H160" s="529">
        <v>7</v>
      </c>
      <c r="I160" s="529">
        <v>3</v>
      </c>
      <c r="J160" s="529">
        <v>3</v>
      </c>
      <c r="K160" s="529">
        <v>0</v>
      </c>
      <c r="L160" s="529">
        <v>0</v>
      </c>
      <c r="M160" s="529">
        <v>0</v>
      </c>
      <c r="N160" s="529">
        <v>0</v>
      </c>
      <c r="O160" s="529">
        <v>0</v>
      </c>
      <c r="P160" s="530">
        <v>0</v>
      </c>
      <c r="Q160" s="529">
        <v>0</v>
      </c>
    </row>
    <row r="161" spans="1:18" ht="15.75" customHeight="1" x14ac:dyDescent="0.2">
      <c r="A161" s="484">
        <f t="shared" si="2"/>
        <v>153</v>
      </c>
      <c r="B161" s="529" t="s">
        <v>315</v>
      </c>
      <c r="C161" s="516" t="s">
        <v>62</v>
      </c>
      <c r="D161" s="529" t="s">
        <v>63</v>
      </c>
      <c r="E161" s="529" t="s">
        <v>74</v>
      </c>
      <c r="F161" s="529" t="s">
        <v>316</v>
      </c>
      <c r="G161" s="510" t="s">
        <v>670</v>
      </c>
      <c r="H161" s="529">
        <v>19</v>
      </c>
      <c r="I161" s="529">
        <v>11</v>
      </c>
      <c r="J161" s="529">
        <v>13</v>
      </c>
      <c r="K161" s="529">
        <v>11020.91</v>
      </c>
      <c r="L161" s="529">
        <v>11020.91</v>
      </c>
      <c r="M161" s="529">
        <v>0</v>
      </c>
      <c r="N161" s="529">
        <v>4</v>
      </c>
      <c r="O161" s="529">
        <v>3889.02</v>
      </c>
      <c r="P161" s="530">
        <v>3889.02</v>
      </c>
      <c r="Q161" s="529">
        <v>0</v>
      </c>
    </row>
    <row r="162" spans="1:18" ht="15.75" customHeight="1" x14ac:dyDescent="0.2">
      <c r="A162" s="484">
        <f t="shared" si="2"/>
        <v>154</v>
      </c>
      <c r="B162" s="529" t="s">
        <v>317</v>
      </c>
      <c r="C162" s="516" t="s">
        <v>62</v>
      </c>
      <c r="D162" s="529" t="s">
        <v>63</v>
      </c>
      <c r="E162" s="529" t="s">
        <v>158</v>
      </c>
      <c r="F162" s="529" t="s">
        <v>474</v>
      </c>
      <c r="G162" s="510" t="s">
        <v>670</v>
      </c>
      <c r="H162" s="529">
        <v>13</v>
      </c>
      <c r="I162" s="529">
        <v>7</v>
      </c>
      <c r="J162" s="529">
        <v>8</v>
      </c>
      <c r="K162" s="529">
        <v>4210.97</v>
      </c>
      <c r="L162" s="529">
        <v>4210.97</v>
      </c>
      <c r="M162" s="529">
        <v>0</v>
      </c>
      <c r="N162" s="529">
        <v>0</v>
      </c>
      <c r="O162" s="529">
        <v>0</v>
      </c>
      <c r="P162" s="530">
        <v>0</v>
      </c>
      <c r="Q162" s="529">
        <v>0</v>
      </c>
    </row>
    <row r="163" spans="1:18" ht="15.75" customHeight="1" x14ac:dyDescent="0.2">
      <c r="A163" s="484">
        <f t="shared" si="2"/>
        <v>155</v>
      </c>
      <c r="B163" s="529" t="s">
        <v>318</v>
      </c>
      <c r="C163" s="516" t="s">
        <v>62</v>
      </c>
      <c r="D163" s="529" t="s">
        <v>63</v>
      </c>
      <c r="E163" s="529" t="s">
        <v>174</v>
      </c>
      <c r="F163" s="529" t="s">
        <v>319</v>
      </c>
      <c r="G163" s="510" t="s">
        <v>670</v>
      </c>
      <c r="H163" s="529">
        <v>32</v>
      </c>
      <c r="I163" s="529">
        <v>24</v>
      </c>
      <c r="J163" s="529">
        <v>28</v>
      </c>
      <c r="K163" s="529">
        <v>24890.68</v>
      </c>
      <c r="L163" s="529">
        <v>24890.68</v>
      </c>
      <c r="M163" s="529">
        <v>0</v>
      </c>
      <c r="N163" s="529">
        <v>0</v>
      </c>
      <c r="O163" s="529">
        <v>0</v>
      </c>
      <c r="P163" s="530">
        <v>0</v>
      </c>
      <c r="Q163" s="529">
        <v>0</v>
      </c>
    </row>
    <row r="164" spans="1:18" ht="15.75" customHeight="1" x14ac:dyDescent="0.2">
      <c r="A164" s="484">
        <f t="shared" si="2"/>
        <v>156</v>
      </c>
      <c r="B164" s="529" t="s">
        <v>60</v>
      </c>
      <c r="C164" s="516" t="s">
        <v>67</v>
      </c>
      <c r="D164" s="529" t="s">
        <v>68</v>
      </c>
      <c r="E164" s="529" t="s">
        <v>74</v>
      </c>
      <c r="F164" s="529" t="s">
        <v>320</v>
      </c>
      <c r="G164" s="510" t="s">
        <v>670</v>
      </c>
      <c r="H164" s="529">
        <v>77</v>
      </c>
      <c r="I164" s="529">
        <v>63</v>
      </c>
      <c r="J164" s="529">
        <v>92</v>
      </c>
      <c r="K164" s="529">
        <v>159674.60999999999</v>
      </c>
      <c r="L164" s="529">
        <v>159674.60999999999</v>
      </c>
      <c r="M164" s="529">
        <v>0</v>
      </c>
      <c r="N164" s="529">
        <v>44</v>
      </c>
      <c r="O164" s="529">
        <v>110859.9</v>
      </c>
      <c r="P164" s="530">
        <v>110859.9</v>
      </c>
      <c r="Q164" s="529">
        <v>0</v>
      </c>
    </row>
    <row r="165" spans="1:18" ht="15.75" customHeight="1" x14ac:dyDescent="0.2">
      <c r="A165" s="484">
        <f t="shared" si="2"/>
        <v>157</v>
      </c>
      <c r="B165" s="529" t="s">
        <v>61</v>
      </c>
      <c r="C165" s="516" t="s">
        <v>67</v>
      </c>
      <c r="D165" s="529" t="s">
        <v>69</v>
      </c>
      <c r="E165" s="529" t="s">
        <v>74</v>
      </c>
      <c r="F165" s="529" t="s">
        <v>321</v>
      </c>
      <c r="G165" s="510" t="s">
        <v>670</v>
      </c>
      <c r="H165" s="529">
        <v>11</v>
      </c>
      <c r="I165" s="529">
        <v>5</v>
      </c>
      <c r="J165" s="529">
        <v>6</v>
      </c>
      <c r="K165" s="529">
        <v>12993.1</v>
      </c>
      <c r="L165" s="529">
        <v>12993.1</v>
      </c>
      <c r="M165" s="529">
        <v>0</v>
      </c>
      <c r="N165" s="529">
        <v>7</v>
      </c>
      <c r="O165" s="529">
        <v>7602.26</v>
      </c>
      <c r="P165" s="530">
        <v>7602.26</v>
      </c>
      <c r="Q165" s="529">
        <v>0</v>
      </c>
    </row>
    <row r="166" spans="1:18" ht="15.75" customHeight="1" x14ac:dyDescent="0.2">
      <c r="A166" s="484">
        <f t="shared" si="2"/>
        <v>158</v>
      </c>
      <c r="B166" s="532" t="s">
        <v>21</v>
      </c>
      <c r="C166" s="533" t="s">
        <v>62</v>
      </c>
      <c r="D166" s="534"/>
      <c r="E166" s="532" t="s">
        <v>674</v>
      </c>
      <c r="F166" s="532" t="s">
        <v>734</v>
      </c>
      <c r="G166" s="532" t="s">
        <v>735</v>
      </c>
      <c r="H166" s="535">
        <v>1</v>
      </c>
      <c r="I166" s="535">
        <v>0</v>
      </c>
      <c r="J166" s="535">
        <v>0</v>
      </c>
      <c r="K166" s="536">
        <v>0</v>
      </c>
      <c r="L166" s="536">
        <v>0</v>
      </c>
      <c r="M166" s="536">
        <v>0</v>
      </c>
      <c r="N166" s="535">
        <v>3</v>
      </c>
      <c r="O166" s="536">
        <v>18538.8</v>
      </c>
      <c r="P166" s="536">
        <v>18538.8</v>
      </c>
      <c r="Q166" s="536">
        <v>0</v>
      </c>
    </row>
    <row r="167" spans="1:18" ht="15.75" customHeight="1" x14ac:dyDescent="0.2">
      <c r="A167" s="484">
        <f t="shared" si="2"/>
        <v>159</v>
      </c>
      <c r="B167" s="532" t="s">
        <v>147</v>
      </c>
      <c r="C167" s="533" t="s">
        <v>62</v>
      </c>
      <c r="D167" s="534"/>
      <c r="E167" s="486" t="s">
        <v>158</v>
      </c>
      <c r="F167" s="532" t="s">
        <v>736</v>
      </c>
      <c r="G167" s="532" t="s">
        <v>706</v>
      </c>
      <c r="H167" s="535">
        <v>1</v>
      </c>
      <c r="I167" s="535">
        <v>1</v>
      </c>
      <c r="J167" s="535">
        <v>1</v>
      </c>
      <c r="K167" s="536">
        <v>1762</v>
      </c>
      <c r="L167" s="536">
        <v>1762</v>
      </c>
      <c r="M167" s="536">
        <v>0</v>
      </c>
      <c r="N167" s="535">
        <v>3</v>
      </c>
      <c r="O167" s="536">
        <v>12040</v>
      </c>
      <c r="P167" s="536">
        <v>12040</v>
      </c>
      <c r="Q167" s="536">
        <v>0</v>
      </c>
    </row>
    <row r="168" spans="1:18" ht="15.75" customHeight="1" x14ac:dyDescent="0.2">
      <c r="A168" s="484">
        <f t="shared" si="2"/>
        <v>160</v>
      </c>
      <c r="B168" s="532" t="s">
        <v>526</v>
      </c>
      <c r="C168" s="533" t="s">
        <v>62</v>
      </c>
      <c r="D168" s="534"/>
      <c r="E168" s="532" t="s">
        <v>760</v>
      </c>
      <c r="F168" s="532" t="s">
        <v>738</v>
      </c>
      <c r="G168" s="532" t="s">
        <v>706</v>
      </c>
      <c r="H168" s="535">
        <v>0</v>
      </c>
      <c r="I168" s="535">
        <v>0</v>
      </c>
      <c r="J168" s="535">
        <v>0</v>
      </c>
      <c r="K168" s="536">
        <v>0</v>
      </c>
      <c r="L168" s="536">
        <v>0</v>
      </c>
      <c r="M168" s="536">
        <v>0</v>
      </c>
      <c r="N168" s="535">
        <v>0</v>
      </c>
      <c r="O168" s="537">
        <v>0</v>
      </c>
      <c r="P168" s="536">
        <v>0</v>
      </c>
      <c r="Q168" s="536">
        <v>0</v>
      </c>
    </row>
    <row r="169" spans="1:18" ht="15.75" customHeight="1" x14ac:dyDescent="0.2">
      <c r="A169" s="484">
        <f t="shared" si="2"/>
        <v>161</v>
      </c>
      <c r="B169" s="532" t="s">
        <v>305</v>
      </c>
      <c r="C169" s="533" t="s">
        <v>62</v>
      </c>
      <c r="D169" s="534"/>
      <c r="E169" s="532" t="s">
        <v>674</v>
      </c>
      <c r="F169" s="532" t="s">
        <v>739</v>
      </c>
      <c r="G169" s="532" t="s">
        <v>706</v>
      </c>
      <c r="H169" s="535">
        <v>4</v>
      </c>
      <c r="I169" s="535">
        <v>4</v>
      </c>
      <c r="J169" s="535">
        <v>4</v>
      </c>
      <c r="K169" s="536">
        <v>10545.1</v>
      </c>
      <c r="L169" s="536">
        <v>10545.1</v>
      </c>
      <c r="M169" s="536">
        <v>0</v>
      </c>
      <c r="N169" s="535">
        <v>0</v>
      </c>
      <c r="O169" s="536">
        <v>0</v>
      </c>
      <c r="P169" s="536">
        <v>0</v>
      </c>
      <c r="Q169" s="536">
        <v>0</v>
      </c>
    </row>
    <row r="170" spans="1:18" ht="15.75" customHeight="1" x14ac:dyDescent="0.2">
      <c r="A170" s="484">
        <f t="shared" si="2"/>
        <v>162</v>
      </c>
      <c r="B170" s="532" t="s">
        <v>407</v>
      </c>
      <c r="C170" s="533" t="s">
        <v>62</v>
      </c>
      <c r="D170" s="534"/>
      <c r="E170" s="532" t="s">
        <v>674</v>
      </c>
      <c r="F170" s="532" t="s">
        <v>740</v>
      </c>
      <c r="G170" s="532" t="s">
        <v>706</v>
      </c>
      <c r="H170" s="535">
        <v>4</v>
      </c>
      <c r="I170" s="535">
        <v>1</v>
      </c>
      <c r="J170" s="535">
        <v>1</v>
      </c>
      <c r="K170" s="536">
        <v>3866.1</v>
      </c>
      <c r="L170" s="536">
        <v>3866.1</v>
      </c>
      <c r="M170" s="536">
        <v>0</v>
      </c>
      <c r="N170" s="535">
        <v>0</v>
      </c>
      <c r="O170" s="536">
        <v>0</v>
      </c>
      <c r="P170" s="536">
        <v>0</v>
      </c>
      <c r="Q170" s="536">
        <v>0</v>
      </c>
    </row>
    <row r="171" spans="1:18" ht="15.75" customHeight="1" x14ac:dyDescent="0.2">
      <c r="A171" s="484">
        <f t="shared" si="2"/>
        <v>163</v>
      </c>
      <c r="B171" s="532" t="s">
        <v>185</v>
      </c>
      <c r="C171" s="533" t="s">
        <v>62</v>
      </c>
      <c r="D171" s="534"/>
      <c r="E171" s="532" t="s">
        <v>674</v>
      </c>
      <c r="F171" s="532" t="s">
        <v>741</v>
      </c>
      <c r="G171" s="532" t="s">
        <v>706</v>
      </c>
      <c r="H171" s="535">
        <v>4</v>
      </c>
      <c r="I171" s="535">
        <v>4</v>
      </c>
      <c r="J171" s="535">
        <v>4</v>
      </c>
      <c r="K171" s="536">
        <v>14698.09</v>
      </c>
      <c r="L171" s="536">
        <v>14698.09</v>
      </c>
      <c r="M171" s="536">
        <v>0</v>
      </c>
      <c r="N171" s="535">
        <v>0</v>
      </c>
      <c r="O171" s="536">
        <v>0</v>
      </c>
      <c r="P171" s="536">
        <v>0</v>
      </c>
      <c r="Q171" s="536">
        <v>0</v>
      </c>
    </row>
    <row r="172" spans="1:18" ht="15.75" customHeight="1" x14ac:dyDescent="0.2">
      <c r="A172" s="484">
        <f t="shared" si="2"/>
        <v>164</v>
      </c>
      <c r="B172" s="532" t="s">
        <v>534</v>
      </c>
      <c r="C172" s="533" t="s">
        <v>62</v>
      </c>
      <c r="D172" s="534"/>
      <c r="E172" s="532" t="s">
        <v>674</v>
      </c>
      <c r="F172" s="532" t="s">
        <v>742</v>
      </c>
      <c r="G172" s="532" t="s">
        <v>706</v>
      </c>
      <c r="H172" s="535">
        <v>1</v>
      </c>
      <c r="I172" s="535">
        <v>0</v>
      </c>
      <c r="J172" s="535">
        <v>0</v>
      </c>
      <c r="K172" s="536">
        <v>0</v>
      </c>
      <c r="L172" s="536">
        <v>0</v>
      </c>
      <c r="M172" s="536">
        <v>0</v>
      </c>
      <c r="N172" s="535">
        <v>0</v>
      </c>
      <c r="O172" s="536">
        <v>0</v>
      </c>
      <c r="P172" s="536">
        <v>0</v>
      </c>
      <c r="Q172" s="536">
        <v>0</v>
      </c>
    </row>
    <row r="173" spans="1:18" ht="15.75" customHeight="1" x14ac:dyDescent="0.2">
      <c r="A173" s="484">
        <f t="shared" si="2"/>
        <v>165</v>
      </c>
      <c r="B173" s="532" t="s">
        <v>104</v>
      </c>
      <c r="C173" s="533" t="s">
        <v>62</v>
      </c>
      <c r="D173" s="534"/>
      <c r="E173" s="490" t="s">
        <v>730</v>
      </c>
      <c r="F173" s="532" t="s">
        <v>743</v>
      </c>
      <c r="G173" s="532" t="s">
        <v>706</v>
      </c>
      <c r="H173" s="535">
        <v>0</v>
      </c>
      <c r="I173" s="535">
        <v>0</v>
      </c>
      <c r="J173" s="535">
        <v>0</v>
      </c>
      <c r="K173" s="536">
        <v>0</v>
      </c>
      <c r="L173" s="536">
        <v>0</v>
      </c>
      <c r="M173" s="536">
        <v>0</v>
      </c>
      <c r="N173" s="535">
        <v>1</v>
      </c>
      <c r="O173" s="536">
        <v>3187.89</v>
      </c>
      <c r="P173" s="536">
        <v>3187.89</v>
      </c>
      <c r="Q173" s="536">
        <v>0</v>
      </c>
    </row>
    <row r="174" spans="1:18" ht="15.75" customHeight="1" x14ac:dyDescent="0.2">
      <c r="A174" s="484">
        <f t="shared" si="2"/>
        <v>166</v>
      </c>
      <c r="B174" s="532" t="s">
        <v>621</v>
      </c>
      <c r="C174" s="533" t="s">
        <v>62</v>
      </c>
      <c r="D174" s="534"/>
      <c r="E174" s="486" t="s">
        <v>158</v>
      </c>
      <c r="F174" s="532" t="s">
        <v>744</v>
      </c>
      <c r="G174" s="532" t="s">
        <v>706</v>
      </c>
      <c r="H174" s="535">
        <v>0</v>
      </c>
      <c r="I174" s="535">
        <v>0</v>
      </c>
      <c r="J174" s="535">
        <v>0</v>
      </c>
      <c r="K174" s="536">
        <v>0</v>
      </c>
      <c r="L174" s="536">
        <v>0</v>
      </c>
      <c r="M174" s="536">
        <v>0</v>
      </c>
      <c r="N174" s="535">
        <v>0</v>
      </c>
      <c r="O174" s="536">
        <v>0</v>
      </c>
      <c r="P174" s="536">
        <v>0</v>
      </c>
      <c r="Q174" s="536">
        <v>0</v>
      </c>
    </row>
    <row r="175" spans="1:18" ht="15.75" customHeight="1" x14ac:dyDescent="0.2">
      <c r="A175" s="484">
        <f t="shared" si="2"/>
        <v>167</v>
      </c>
      <c r="B175" s="538" t="s">
        <v>47</v>
      </c>
      <c r="C175" s="539" t="s">
        <v>62</v>
      </c>
      <c r="D175" s="539"/>
      <c r="E175" s="540" t="s">
        <v>761</v>
      </c>
      <c r="F175" s="541" t="s">
        <v>448</v>
      </c>
      <c r="G175" s="540" t="s">
        <v>142</v>
      </c>
      <c r="H175" s="542">
        <v>8</v>
      </c>
      <c r="I175" s="542">
        <v>2</v>
      </c>
      <c r="J175" s="542">
        <v>2</v>
      </c>
      <c r="K175" s="543">
        <v>2522.1</v>
      </c>
      <c r="L175" s="543">
        <v>2522.1</v>
      </c>
      <c r="M175" s="543">
        <v>0</v>
      </c>
      <c r="N175" s="542">
        <v>24</v>
      </c>
      <c r="O175" s="544">
        <v>43758.62</v>
      </c>
      <c r="P175" s="543">
        <v>43758.62</v>
      </c>
      <c r="Q175" s="543">
        <v>0</v>
      </c>
    </row>
    <row r="176" spans="1:18" ht="15.75" customHeight="1" x14ac:dyDescent="0.2">
      <c r="A176" s="484">
        <f t="shared" si="2"/>
        <v>168</v>
      </c>
      <c r="B176" s="538" t="s">
        <v>55</v>
      </c>
      <c r="C176" s="539" t="s">
        <v>62</v>
      </c>
      <c r="D176" s="539"/>
      <c r="E176" s="545" t="s">
        <v>762</v>
      </c>
      <c r="F176" s="546" t="s">
        <v>449</v>
      </c>
      <c r="G176" s="545" t="s">
        <v>142</v>
      </c>
      <c r="H176" s="547">
        <v>9</v>
      </c>
      <c r="I176" s="547">
        <v>4</v>
      </c>
      <c r="J176" s="547">
        <v>4</v>
      </c>
      <c r="K176" s="548">
        <v>4284.1000000000004</v>
      </c>
      <c r="L176" s="548">
        <v>4284.1000000000004</v>
      </c>
      <c r="M176" s="548">
        <v>0</v>
      </c>
      <c r="N176" s="547">
        <v>14</v>
      </c>
      <c r="O176" s="548">
        <v>29300.9</v>
      </c>
      <c r="P176" s="548">
        <v>29300.9</v>
      </c>
      <c r="Q176" s="548">
        <v>0</v>
      </c>
      <c r="R176" s="549"/>
    </row>
    <row r="177" spans="1:18" ht="15.75" customHeight="1" x14ac:dyDescent="0.2">
      <c r="A177" s="484">
        <f t="shared" si="2"/>
        <v>169</v>
      </c>
      <c r="B177" s="538" t="s">
        <v>122</v>
      </c>
      <c r="C177" s="539" t="s">
        <v>62</v>
      </c>
      <c r="D177" s="539"/>
      <c r="E177" s="545" t="s">
        <v>763</v>
      </c>
      <c r="F177" s="546" t="s">
        <v>450</v>
      </c>
      <c r="G177" s="545" t="s">
        <v>142</v>
      </c>
      <c r="H177" s="547">
        <v>5</v>
      </c>
      <c r="I177" s="547">
        <v>2</v>
      </c>
      <c r="J177" s="547">
        <v>2</v>
      </c>
      <c r="K177" s="548">
        <v>2301.25</v>
      </c>
      <c r="L177" s="548">
        <v>2301.25</v>
      </c>
      <c r="M177" s="548">
        <v>0</v>
      </c>
      <c r="N177" s="547">
        <v>7</v>
      </c>
      <c r="O177" s="548">
        <v>14674.69</v>
      </c>
      <c r="P177" s="548">
        <v>14674.69</v>
      </c>
      <c r="Q177" s="548">
        <v>0</v>
      </c>
      <c r="R177" s="549"/>
    </row>
    <row r="178" spans="1:18" ht="15.75" customHeight="1" x14ac:dyDescent="0.2">
      <c r="A178" s="484">
        <f t="shared" si="2"/>
        <v>170</v>
      </c>
      <c r="B178" s="538" t="s">
        <v>144</v>
      </c>
      <c r="C178" s="539" t="s">
        <v>62</v>
      </c>
      <c r="D178" s="539"/>
      <c r="E178" s="545" t="s">
        <v>761</v>
      </c>
      <c r="F178" s="546" t="s">
        <v>451</v>
      </c>
      <c r="G178" s="545" t="s">
        <v>142</v>
      </c>
      <c r="H178" s="547">
        <v>8</v>
      </c>
      <c r="I178" s="547">
        <v>7</v>
      </c>
      <c r="J178" s="547">
        <v>7</v>
      </c>
      <c r="K178" s="548">
        <v>8121.62</v>
      </c>
      <c r="L178" s="548">
        <v>8121.62</v>
      </c>
      <c r="M178" s="548">
        <v>0</v>
      </c>
      <c r="N178" s="547">
        <v>3</v>
      </c>
      <c r="O178" s="548">
        <v>3595.1</v>
      </c>
      <c r="P178" s="548">
        <v>3595.1</v>
      </c>
      <c r="Q178" s="548">
        <v>0</v>
      </c>
      <c r="R178" s="549"/>
    </row>
    <row r="179" spans="1:18" ht="15.75" customHeight="1" x14ac:dyDescent="0.2">
      <c r="A179" s="484">
        <f t="shared" si="2"/>
        <v>171</v>
      </c>
      <c r="B179" s="538" t="s">
        <v>46</v>
      </c>
      <c r="C179" s="539" t="s">
        <v>62</v>
      </c>
      <c r="D179" s="539"/>
      <c r="E179" s="545" t="s">
        <v>764</v>
      </c>
      <c r="F179" s="546" t="s">
        <v>453</v>
      </c>
      <c r="G179" s="545" t="s">
        <v>142</v>
      </c>
      <c r="H179" s="547">
        <v>0</v>
      </c>
      <c r="I179" s="547">
        <v>0</v>
      </c>
      <c r="J179" s="547">
        <v>0</v>
      </c>
      <c r="K179" s="548">
        <v>0</v>
      </c>
      <c r="L179" s="548">
        <v>0</v>
      </c>
      <c r="M179" s="548">
        <v>0</v>
      </c>
      <c r="N179" s="547">
        <v>0</v>
      </c>
      <c r="O179" s="548">
        <v>0</v>
      </c>
      <c r="P179" s="548">
        <v>0</v>
      </c>
      <c r="Q179" s="548">
        <v>0</v>
      </c>
      <c r="R179" s="549"/>
    </row>
    <row r="180" spans="1:18" ht="15.75" customHeight="1" x14ac:dyDescent="0.2">
      <c r="A180" s="484">
        <f t="shared" si="2"/>
        <v>172</v>
      </c>
      <c r="B180" s="545" t="s">
        <v>133</v>
      </c>
      <c r="C180" s="546" t="s">
        <v>67</v>
      </c>
      <c r="D180" s="545" t="s">
        <v>397</v>
      </c>
      <c r="E180" s="545" t="s">
        <v>74</v>
      </c>
      <c r="F180" s="546" t="s">
        <v>593</v>
      </c>
      <c r="G180" s="545" t="s">
        <v>142</v>
      </c>
      <c r="H180" s="547">
        <v>0</v>
      </c>
      <c r="I180" s="550">
        <v>0</v>
      </c>
      <c r="J180" s="550">
        <v>0</v>
      </c>
      <c r="K180" s="551">
        <v>0</v>
      </c>
      <c r="L180" s="551">
        <v>0</v>
      </c>
      <c r="M180" s="551">
        <v>0</v>
      </c>
      <c r="N180" s="547">
        <v>0</v>
      </c>
      <c r="O180" s="548">
        <v>0</v>
      </c>
      <c r="P180" s="548">
        <v>0</v>
      </c>
      <c r="Q180" s="548">
        <v>0</v>
      </c>
      <c r="R180" s="549"/>
    </row>
    <row r="181" spans="1:18" ht="15.75" customHeight="1" x14ac:dyDescent="0.2">
      <c r="A181" s="484">
        <f t="shared" si="2"/>
        <v>173</v>
      </c>
      <c r="B181" s="545" t="s">
        <v>176</v>
      </c>
      <c r="C181" s="546" t="s">
        <v>62</v>
      </c>
      <c r="D181" s="546"/>
      <c r="E181" s="545" t="s">
        <v>765</v>
      </c>
      <c r="F181" s="546" t="s">
        <v>455</v>
      </c>
      <c r="G181" s="545" t="s">
        <v>142</v>
      </c>
      <c r="H181" s="547">
        <v>12</v>
      </c>
      <c r="I181" s="547">
        <v>10</v>
      </c>
      <c r="J181" s="547">
        <v>10</v>
      </c>
      <c r="K181" s="548">
        <v>11360.06</v>
      </c>
      <c r="L181" s="548">
        <v>11360.06</v>
      </c>
      <c r="M181" s="548">
        <v>0</v>
      </c>
      <c r="N181" s="547">
        <v>0</v>
      </c>
      <c r="O181" s="548">
        <v>0</v>
      </c>
      <c r="P181" s="548">
        <v>0</v>
      </c>
      <c r="Q181" s="548">
        <v>0</v>
      </c>
      <c r="R181" s="549"/>
    </row>
    <row r="182" spans="1:18" ht="15.75" customHeight="1" x14ac:dyDescent="0.2">
      <c r="A182" s="484">
        <f t="shared" si="2"/>
        <v>174</v>
      </c>
      <c r="B182" s="545" t="s">
        <v>235</v>
      </c>
      <c r="C182" s="546" t="s">
        <v>62</v>
      </c>
      <c r="D182" s="546"/>
      <c r="E182" s="545" t="s">
        <v>766</v>
      </c>
      <c r="F182" s="546" t="s">
        <v>457</v>
      </c>
      <c r="G182" s="545" t="s">
        <v>142</v>
      </c>
      <c r="H182" s="550">
        <v>4</v>
      </c>
      <c r="I182" s="550">
        <v>3</v>
      </c>
      <c r="J182" s="550">
        <v>3</v>
      </c>
      <c r="K182" s="551">
        <v>2269.65</v>
      </c>
      <c r="L182" s="551">
        <v>2269.65</v>
      </c>
      <c r="M182" s="551">
        <v>0</v>
      </c>
      <c r="N182" s="547">
        <v>0</v>
      </c>
      <c r="O182" s="548">
        <v>0</v>
      </c>
      <c r="P182" s="548">
        <v>0</v>
      </c>
      <c r="Q182" s="548">
        <v>0</v>
      </c>
      <c r="R182" s="549"/>
    </row>
    <row r="183" spans="1:18" ht="15.75" customHeight="1" x14ac:dyDescent="0.2">
      <c r="A183" s="484">
        <f t="shared" si="2"/>
        <v>175</v>
      </c>
      <c r="B183" s="545" t="s">
        <v>251</v>
      </c>
      <c r="C183" s="546" t="s">
        <v>62</v>
      </c>
      <c r="D183" s="546"/>
      <c r="E183" s="545" t="s">
        <v>761</v>
      </c>
      <c r="F183" s="546" t="s">
        <v>458</v>
      </c>
      <c r="G183" s="545" t="s">
        <v>142</v>
      </c>
      <c r="H183" s="547">
        <v>6</v>
      </c>
      <c r="I183" s="547">
        <v>3</v>
      </c>
      <c r="J183" s="547">
        <v>3</v>
      </c>
      <c r="K183" s="548">
        <v>3434.7</v>
      </c>
      <c r="L183" s="548">
        <v>3434.7</v>
      </c>
      <c r="M183" s="548">
        <v>0</v>
      </c>
      <c r="N183" s="547">
        <v>0</v>
      </c>
      <c r="O183" s="548">
        <v>0</v>
      </c>
      <c r="P183" s="548">
        <v>0</v>
      </c>
      <c r="Q183" s="548">
        <v>0</v>
      </c>
      <c r="R183" s="549"/>
    </row>
    <row r="184" spans="1:18" ht="15.75" customHeight="1" x14ac:dyDescent="0.2">
      <c r="A184" s="484">
        <f>A183+1</f>
        <v>176</v>
      </c>
      <c r="B184" s="545" t="s">
        <v>30</v>
      </c>
      <c r="C184" s="546" t="s">
        <v>62</v>
      </c>
      <c r="D184" s="546"/>
      <c r="E184" s="545" t="s">
        <v>767</v>
      </c>
      <c r="F184" s="546" t="s">
        <v>460</v>
      </c>
      <c r="G184" s="545" t="s">
        <v>142</v>
      </c>
      <c r="H184" s="547">
        <v>1</v>
      </c>
      <c r="I184" s="547">
        <v>0</v>
      </c>
      <c r="J184" s="547">
        <v>0</v>
      </c>
      <c r="K184" s="548">
        <v>0</v>
      </c>
      <c r="L184" s="548">
        <v>0</v>
      </c>
      <c r="M184" s="548">
        <v>0</v>
      </c>
      <c r="N184" s="547">
        <v>0</v>
      </c>
      <c r="O184" s="548">
        <v>0</v>
      </c>
      <c r="P184" s="548">
        <v>0</v>
      </c>
      <c r="Q184" s="548">
        <v>0</v>
      </c>
      <c r="R184" s="549"/>
    </row>
    <row r="185" spans="1:18" ht="15.75" customHeight="1" x14ac:dyDescent="0.2">
      <c r="A185" s="484">
        <f>A184+1</f>
        <v>177</v>
      </c>
      <c r="B185" s="545" t="s">
        <v>35</v>
      </c>
      <c r="C185" s="546" t="s">
        <v>62</v>
      </c>
      <c r="D185" s="546"/>
      <c r="E185" s="545" t="s">
        <v>768</v>
      </c>
      <c r="F185" s="546" t="s">
        <v>462</v>
      </c>
      <c r="G185" s="545" t="s">
        <v>142</v>
      </c>
      <c r="H185" s="547">
        <v>1</v>
      </c>
      <c r="I185" s="547">
        <v>0</v>
      </c>
      <c r="J185" s="547">
        <v>0</v>
      </c>
      <c r="K185" s="548">
        <v>0</v>
      </c>
      <c r="L185" s="548">
        <v>0</v>
      </c>
      <c r="M185" s="548">
        <v>0</v>
      </c>
      <c r="N185" s="547">
        <v>0</v>
      </c>
      <c r="O185" s="548">
        <v>0</v>
      </c>
      <c r="P185" s="548">
        <v>0</v>
      </c>
      <c r="Q185" s="548">
        <v>0</v>
      </c>
      <c r="R185" s="549"/>
    </row>
    <row r="186" spans="1:18" s="555" customFormat="1" ht="15.75" customHeight="1" x14ac:dyDescent="0.2">
      <c r="A186" s="484">
        <f>A185+1</f>
        <v>178</v>
      </c>
      <c r="B186" s="455" t="s">
        <v>769</v>
      </c>
      <c r="C186" s="552" t="s">
        <v>62</v>
      </c>
      <c r="D186" s="552"/>
      <c r="E186" s="455" t="s">
        <v>770</v>
      </c>
      <c r="F186" s="552" t="s">
        <v>771</v>
      </c>
      <c r="G186" s="455" t="s">
        <v>142</v>
      </c>
      <c r="H186" s="553">
        <v>1</v>
      </c>
      <c r="I186" s="553">
        <v>0</v>
      </c>
      <c r="J186" s="553">
        <v>0</v>
      </c>
      <c r="K186" s="554">
        <v>0</v>
      </c>
      <c r="L186" s="554">
        <v>0</v>
      </c>
      <c r="M186" s="554">
        <v>0</v>
      </c>
      <c r="N186" s="553">
        <v>0</v>
      </c>
      <c r="O186" s="554">
        <v>0</v>
      </c>
      <c r="P186" s="554">
        <v>0</v>
      </c>
      <c r="Q186" s="554">
        <v>0</v>
      </c>
      <c r="R186" s="456"/>
    </row>
    <row r="187" spans="1:18" ht="15.75" customHeight="1" x14ac:dyDescent="0.2">
      <c r="A187" s="484">
        <f>A186+1</f>
        <v>179</v>
      </c>
      <c r="B187" s="556" t="s">
        <v>134</v>
      </c>
      <c r="C187" s="557" t="s">
        <v>62</v>
      </c>
      <c r="D187" s="558"/>
      <c r="E187" s="559" t="s">
        <v>158</v>
      </c>
      <c r="F187" s="560" t="s">
        <v>408</v>
      </c>
      <c r="G187" s="560" t="s">
        <v>409</v>
      </c>
      <c r="H187" s="561">
        <v>28</v>
      </c>
      <c r="I187" s="561">
        <v>11</v>
      </c>
      <c r="J187" s="561">
        <v>11</v>
      </c>
      <c r="K187" s="562">
        <v>11668.56</v>
      </c>
      <c r="L187" s="562">
        <v>11668.56</v>
      </c>
      <c r="M187" s="563">
        <v>0</v>
      </c>
      <c r="N187" s="561">
        <v>10</v>
      </c>
      <c r="O187" s="562">
        <v>24976.5</v>
      </c>
      <c r="P187" s="562">
        <v>22030.9</v>
      </c>
      <c r="Q187" s="563">
        <v>2945.6</v>
      </c>
    </row>
    <row r="188" spans="1:18" ht="15.75" customHeight="1" x14ac:dyDescent="0.2">
      <c r="A188" s="484">
        <f t="shared" si="2"/>
        <v>180</v>
      </c>
      <c r="B188" s="556" t="s">
        <v>335</v>
      </c>
      <c r="C188" s="557" t="s">
        <v>62</v>
      </c>
      <c r="D188" s="558"/>
      <c r="E188" s="486" t="s">
        <v>158</v>
      </c>
      <c r="F188" s="556" t="s">
        <v>410</v>
      </c>
      <c r="G188" s="556" t="s">
        <v>409</v>
      </c>
      <c r="H188" s="550">
        <v>17</v>
      </c>
      <c r="I188" s="550">
        <v>2</v>
      </c>
      <c r="J188" s="550">
        <v>2</v>
      </c>
      <c r="K188" s="551">
        <v>8050.29</v>
      </c>
      <c r="L188" s="551">
        <v>7497.99</v>
      </c>
      <c r="M188" s="482">
        <v>552.29999999999995</v>
      </c>
      <c r="N188" s="550">
        <v>13</v>
      </c>
      <c r="O188" s="551">
        <v>20140.7</v>
      </c>
      <c r="P188" s="551">
        <v>20140.7</v>
      </c>
      <c r="Q188" s="482">
        <v>0</v>
      </c>
    </row>
    <row r="189" spans="1:18" ht="15.75" customHeight="1" x14ac:dyDescent="0.2">
      <c r="A189" s="484">
        <f t="shared" si="2"/>
        <v>181</v>
      </c>
      <c r="B189" s="556" t="s">
        <v>46</v>
      </c>
      <c r="C189" s="557" t="s">
        <v>62</v>
      </c>
      <c r="D189" s="558"/>
      <c r="E189" s="486" t="s">
        <v>678</v>
      </c>
      <c r="F189" s="556" t="s">
        <v>411</v>
      </c>
      <c r="G189" s="556" t="s">
        <v>409</v>
      </c>
      <c r="H189" s="550">
        <v>39</v>
      </c>
      <c r="I189" s="550">
        <v>25</v>
      </c>
      <c r="J189" s="550">
        <v>25</v>
      </c>
      <c r="K189" s="551">
        <v>43817.5</v>
      </c>
      <c r="L189" s="551">
        <v>42701.98</v>
      </c>
      <c r="M189" s="482">
        <v>1115.52</v>
      </c>
      <c r="N189" s="550">
        <v>22</v>
      </c>
      <c r="O189" s="551">
        <v>36901.160000000003</v>
      </c>
      <c r="P189" s="551">
        <v>32130.52</v>
      </c>
      <c r="Q189" s="482">
        <v>4770.6400000000003</v>
      </c>
    </row>
    <row r="190" spans="1:18" ht="15.75" customHeight="1" x14ac:dyDescent="0.2">
      <c r="A190" s="484">
        <f t="shared" si="2"/>
        <v>182</v>
      </c>
      <c r="B190" s="556" t="s">
        <v>36</v>
      </c>
      <c r="C190" s="557" t="s">
        <v>62</v>
      </c>
      <c r="D190" s="558"/>
      <c r="E190" s="486" t="s">
        <v>158</v>
      </c>
      <c r="F190" s="556" t="s">
        <v>412</v>
      </c>
      <c r="G190" s="556" t="s">
        <v>409</v>
      </c>
      <c r="H190" s="550">
        <v>29</v>
      </c>
      <c r="I190" s="550">
        <v>20</v>
      </c>
      <c r="J190" s="550">
        <v>20</v>
      </c>
      <c r="K190" s="551">
        <v>36461.949999999997</v>
      </c>
      <c r="L190" s="551">
        <v>33884.550000000003</v>
      </c>
      <c r="M190" s="482">
        <v>2577.4</v>
      </c>
      <c r="N190" s="550">
        <v>24</v>
      </c>
      <c r="O190" s="551">
        <v>66160.12</v>
      </c>
      <c r="P190" s="551">
        <v>61373.52</v>
      </c>
      <c r="Q190" s="482">
        <v>4786.6000000000004</v>
      </c>
    </row>
    <row r="191" spans="1:18" ht="15.75" customHeight="1" x14ac:dyDescent="0.2">
      <c r="A191" s="484">
        <f t="shared" si="2"/>
        <v>183</v>
      </c>
      <c r="B191" s="556" t="s">
        <v>27</v>
      </c>
      <c r="C191" s="557" t="s">
        <v>62</v>
      </c>
      <c r="D191" s="558"/>
      <c r="E191" s="486" t="s">
        <v>158</v>
      </c>
      <c r="F191" s="556" t="s">
        <v>413</v>
      </c>
      <c r="G191" s="556" t="s">
        <v>409</v>
      </c>
      <c r="H191" s="550">
        <v>12</v>
      </c>
      <c r="I191" s="550">
        <v>7</v>
      </c>
      <c r="J191" s="550">
        <v>7</v>
      </c>
      <c r="K191" s="551">
        <v>13369.02</v>
      </c>
      <c r="L191" s="551">
        <v>11514.02</v>
      </c>
      <c r="M191" s="482">
        <v>1855</v>
      </c>
      <c r="N191" s="550">
        <v>10</v>
      </c>
      <c r="O191" s="551">
        <v>19563.2</v>
      </c>
      <c r="P191" s="551">
        <v>19563.2</v>
      </c>
      <c r="Q191" s="482">
        <v>0</v>
      </c>
    </row>
    <row r="192" spans="1:18" ht="15.75" customHeight="1" x14ac:dyDescent="0.2">
      <c r="A192" s="484">
        <f t="shared" si="2"/>
        <v>184</v>
      </c>
      <c r="B192" s="556" t="s">
        <v>28</v>
      </c>
      <c r="C192" s="557" t="s">
        <v>62</v>
      </c>
      <c r="D192" s="558"/>
      <c r="E192" s="486" t="s">
        <v>158</v>
      </c>
      <c r="F192" s="556" t="s">
        <v>414</v>
      </c>
      <c r="G192" s="556" t="s">
        <v>409</v>
      </c>
      <c r="H192" s="550">
        <v>31</v>
      </c>
      <c r="I192" s="550">
        <v>20</v>
      </c>
      <c r="J192" s="550">
        <v>20</v>
      </c>
      <c r="K192" s="551">
        <v>30017.47</v>
      </c>
      <c r="L192" s="551">
        <v>28728.77</v>
      </c>
      <c r="M192" s="482">
        <v>1288.7</v>
      </c>
      <c r="N192" s="550">
        <v>15</v>
      </c>
      <c r="O192" s="551">
        <v>24923.55</v>
      </c>
      <c r="P192" s="551">
        <v>18572.099999999999</v>
      </c>
      <c r="Q192" s="482">
        <v>6351.45</v>
      </c>
    </row>
    <row r="193" spans="1:17" ht="15.75" customHeight="1" x14ac:dyDescent="0.2">
      <c r="A193" s="484">
        <f t="shared" si="2"/>
        <v>185</v>
      </c>
      <c r="B193" s="532" t="s">
        <v>246</v>
      </c>
      <c r="C193" s="533" t="s">
        <v>62</v>
      </c>
      <c r="D193" s="534"/>
      <c r="E193" s="486" t="s">
        <v>158</v>
      </c>
      <c r="F193" s="532" t="s">
        <v>415</v>
      </c>
      <c r="G193" s="556" t="s">
        <v>409</v>
      </c>
      <c r="H193" s="550">
        <v>27</v>
      </c>
      <c r="I193" s="550">
        <v>7</v>
      </c>
      <c r="J193" s="550">
        <v>7</v>
      </c>
      <c r="K193" s="551">
        <v>7611.84</v>
      </c>
      <c r="L193" s="551">
        <v>6907.04</v>
      </c>
      <c r="M193" s="482">
        <v>704.8</v>
      </c>
      <c r="N193" s="550">
        <v>0</v>
      </c>
      <c r="O193" s="551">
        <v>0</v>
      </c>
      <c r="P193" s="551">
        <v>0</v>
      </c>
      <c r="Q193" s="482">
        <v>0</v>
      </c>
    </row>
    <row r="194" spans="1:17" ht="15.75" customHeight="1" x14ac:dyDescent="0.2">
      <c r="A194" s="484">
        <f t="shared" si="2"/>
        <v>186</v>
      </c>
      <c r="B194" s="556" t="s">
        <v>330</v>
      </c>
      <c r="C194" s="533" t="s">
        <v>62</v>
      </c>
      <c r="D194" s="534"/>
      <c r="E194" s="486" t="s">
        <v>158</v>
      </c>
      <c r="F194" s="532" t="s">
        <v>416</v>
      </c>
      <c r="G194" s="556" t="s">
        <v>409</v>
      </c>
      <c r="H194" s="550">
        <v>9</v>
      </c>
      <c r="I194" s="550">
        <v>2</v>
      </c>
      <c r="J194" s="550">
        <v>2</v>
      </c>
      <c r="K194" s="551">
        <v>4050.2</v>
      </c>
      <c r="L194" s="551">
        <v>1841</v>
      </c>
      <c r="M194" s="482">
        <v>2209.1999999999998</v>
      </c>
      <c r="N194" s="550">
        <v>0</v>
      </c>
      <c r="O194" s="551">
        <v>0</v>
      </c>
      <c r="P194" s="551">
        <v>0</v>
      </c>
      <c r="Q194" s="482">
        <v>0</v>
      </c>
    </row>
    <row r="195" spans="1:17" ht="15.75" customHeight="1" x14ac:dyDescent="0.2">
      <c r="A195" s="484">
        <f t="shared" si="2"/>
        <v>187</v>
      </c>
      <c r="B195" s="556" t="s">
        <v>402</v>
      </c>
      <c r="C195" s="533" t="s">
        <v>62</v>
      </c>
      <c r="D195" s="534"/>
      <c r="E195" s="486" t="s">
        <v>158</v>
      </c>
      <c r="F195" s="532" t="s">
        <v>417</v>
      </c>
      <c r="G195" s="556" t="s">
        <v>409</v>
      </c>
      <c r="H195" s="550">
        <v>22</v>
      </c>
      <c r="I195" s="550">
        <v>14</v>
      </c>
      <c r="J195" s="550">
        <v>14</v>
      </c>
      <c r="K195" s="551">
        <v>28917.64</v>
      </c>
      <c r="L195" s="551">
        <v>27702.58</v>
      </c>
      <c r="M195" s="482">
        <v>1215.06</v>
      </c>
      <c r="N195" s="550">
        <v>0</v>
      </c>
      <c r="O195" s="551">
        <v>0</v>
      </c>
      <c r="P195" s="551">
        <v>0</v>
      </c>
      <c r="Q195" s="482">
        <v>0</v>
      </c>
    </row>
    <row r="196" spans="1:17" ht="15.75" customHeight="1" x14ac:dyDescent="0.2">
      <c r="A196" s="484">
        <f t="shared" si="2"/>
        <v>188</v>
      </c>
      <c r="B196" s="556" t="s">
        <v>154</v>
      </c>
      <c r="C196" s="533" t="s">
        <v>62</v>
      </c>
      <c r="D196" s="534"/>
      <c r="E196" s="556" t="s">
        <v>158</v>
      </c>
      <c r="F196" s="532" t="s">
        <v>418</v>
      </c>
      <c r="G196" s="556" t="s">
        <v>409</v>
      </c>
      <c r="H196" s="550">
        <v>10</v>
      </c>
      <c r="I196" s="550">
        <v>1</v>
      </c>
      <c r="J196" s="550">
        <v>1</v>
      </c>
      <c r="K196" s="551">
        <v>925.05</v>
      </c>
      <c r="L196" s="551">
        <v>925.05</v>
      </c>
      <c r="M196" s="482">
        <v>0</v>
      </c>
      <c r="N196" s="550">
        <v>8</v>
      </c>
      <c r="O196" s="551">
        <v>13569.2</v>
      </c>
      <c r="P196" s="551">
        <v>13569.2</v>
      </c>
      <c r="Q196" s="482">
        <v>0</v>
      </c>
    </row>
    <row r="197" spans="1:17" ht="15.75" customHeight="1" x14ac:dyDescent="0.2">
      <c r="A197" s="484">
        <f t="shared" si="2"/>
        <v>189</v>
      </c>
      <c r="B197" s="556" t="s">
        <v>153</v>
      </c>
      <c r="C197" s="533" t="s">
        <v>62</v>
      </c>
      <c r="D197" s="534"/>
      <c r="E197" s="486" t="s">
        <v>158</v>
      </c>
      <c r="F197" s="532" t="s">
        <v>419</v>
      </c>
      <c r="G197" s="556" t="s">
        <v>409</v>
      </c>
      <c r="H197" s="550">
        <v>4</v>
      </c>
      <c r="I197" s="550">
        <v>1</v>
      </c>
      <c r="J197" s="550">
        <v>1</v>
      </c>
      <c r="K197" s="551">
        <v>1635.8</v>
      </c>
      <c r="L197" s="551">
        <v>1635.8</v>
      </c>
      <c r="M197" s="482">
        <v>0</v>
      </c>
      <c r="N197" s="550">
        <v>18</v>
      </c>
      <c r="O197" s="551">
        <v>63052.81</v>
      </c>
      <c r="P197" s="551">
        <v>63052.81</v>
      </c>
      <c r="Q197" s="482">
        <v>0</v>
      </c>
    </row>
    <row r="198" spans="1:17" ht="15.75" customHeight="1" x14ac:dyDescent="0.2">
      <c r="A198" s="484">
        <f t="shared" si="2"/>
        <v>190</v>
      </c>
      <c r="B198" s="556" t="s">
        <v>89</v>
      </c>
      <c r="C198" s="533" t="s">
        <v>62</v>
      </c>
      <c r="D198" s="534"/>
      <c r="E198" s="486" t="s">
        <v>158</v>
      </c>
      <c r="F198" s="532" t="s">
        <v>420</v>
      </c>
      <c r="G198" s="556" t="s">
        <v>409</v>
      </c>
      <c r="H198" s="550">
        <v>14</v>
      </c>
      <c r="I198" s="550">
        <v>7</v>
      </c>
      <c r="J198" s="550">
        <v>7</v>
      </c>
      <c r="K198" s="551">
        <v>11093.25</v>
      </c>
      <c r="L198" s="551">
        <v>9804.5499999999993</v>
      </c>
      <c r="M198" s="482">
        <v>1288.7</v>
      </c>
      <c r="N198" s="550">
        <v>4</v>
      </c>
      <c r="O198" s="551">
        <v>12828.6</v>
      </c>
      <c r="P198" s="551">
        <v>12828.6</v>
      </c>
      <c r="Q198" s="482">
        <v>0</v>
      </c>
    </row>
    <row r="199" spans="1:17" ht="15.75" customHeight="1" x14ac:dyDescent="0.2">
      <c r="A199" s="484">
        <f t="shared" si="2"/>
        <v>191</v>
      </c>
      <c r="B199" s="556" t="s">
        <v>379</v>
      </c>
      <c r="C199" s="533" t="s">
        <v>62</v>
      </c>
      <c r="D199" s="534"/>
      <c r="E199" s="486" t="s">
        <v>158</v>
      </c>
      <c r="F199" s="532" t="s">
        <v>421</v>
      </c>
      <c r="G199" s="556" t="s">
        <v>409</v>
      </c>
      <c r="H199" s="550">
        <v>10</v>
      </c>
      <c r="I199" s="550">
        <v>5</v>
      </c>
      <c r="J199" s="550">
        <v>5</v>
      </c>
      <c r="K199" s="551">
        <v>6120.15</v>
      </c>
      <c r="L199" s="551">
        <v>6120.15</v>
      </c>
      <c r="M199" s="482">
        <v>0</v>
      </c>
      <c r="N199" s="550">
        <v>0</v>
      </c>
      <c r="O199" s="551">
        <v>0</v>
      </c>
      <c r="P199" s="551">
        <v>0</v>
      </c>
      <c r="Q199" s="482">
        <v>0</v>
      </c>
    </row>
    <row r="200" spans="1:17" ht="15.75" customHeight="1" x14ac:dyDescent="0.2">
      <c r="A200" s="484">
        <f t="shared" si="2"/>
        <v>192</v>
      </c>
      <c r="B200" s="556" t="s">
        <v>264</v>
      </c>
      <c r="C200" s="533" t="s">
        <v>62</v>
      </c>
      <c r="D200" s="534"/>
      <c r="E200" s="486" t="s">
        <v>158</v>
      </c>
      <c r="F200" s="532" t="s">
        <v>422</v>
      </c>
      <c r="G200" s="556" t="s">
        <v>409</v>
      </c>
      <c r="H200" s="550">
        <v>3</v>
      </c>
      <c r="I200" s="550">
        <v>0</v>
      </c>
      <c r="J200" s="550">
        <v>0</v>
      </c>
      <c r="K200" s="551">
        <v>0</v>
      </c>
      <c r="L200" s="551">
        <v>0</v>
      </c>
      <c r="M200" s="482">
        <v>0</v>
      </c>
      <c r="N200" s="550">
        <v>0</v>
      </c>
      <c r="O200" s="551">
        <v>0</v>
      </c>
      <c r="P200" s="551">
        <v>0</v>
      </c>
      <c r="Q200" s="482">
        <v>0</v>
      </c>
    </row>
    <row r="201" spans="1:17" ht="15.75" customHeight="1" x14ac:dyDescent="0.2">
      <c r="A201" s="484">
        <f t="shared" si="2"/>
        <v>193</v>
      </c>
      <c r="B201" s="556" t="s">
        <v>475</v>
      </c>
      <c r="C201" s="533" t="s">
        <v>67</v>
      </c>
      <c r="D201" s="558" t="s">
        <v>123</v>
      </c>
      <c r="E201" s="556" t="s">
        <v>158</v>
      </c>
      <c r="F201" s="532" t="s">
        <v>423</v>
      </c>
      <c r="G201" s="556" t="s">
        <v>409</v>
      </c>
      <c r="H201" s="550">
        <v>3</v>
      </c>
      <c r="I201" s="550">
        <v>0</v>
      </c>
      <c r="J201" s="550">
        <v>0</v>
      </c>
      <c r="K201" s="551">
        <v>0</v>
      </c>
      <c r="L201" s="551">
        <v>0</v>
      </c>
      <c r="M201" s="482">
        <v>0</v>
      </c>
      <c r="N201" s="550">
        <v>0</v>
      </c>
      <c r="O201" s="551">
        <v>0</v>
      </c>
      <c r="P201" s="551">
        <v>0</v>
      </c>
      <c r="Q201" s="482">
        <v>0</v>
      </c>
    </row>
    <row r="202" spans="1:17" ht="15.75" customHeight="1" x14ac:dyDescent="0.2">
      <c r="A202" s="484">
        <f t="shared" si="2"/>
        <v>194</v>
      </c>
      <c r="B202" s="556" t="s">
        <v>137</v>
      </c>
      <c r="C202" s="533" t="s">
        <v>62</v>
      </c>
      <c r="D202" s="534"/>
      <c r="E202" s="556" t="s">
        <v>158</v>
      </c>
      <c r="F202" s="532" t="s">
        <v>424</v>
      </c>
      <c r="G202" s="556" t="s">
        <v>409</v>
      </c>
      <c r="H202" s="550">
        <v>5</v>
      </c>
      <c r="I202" s="550">
        <v>2</v>
      </c>
      <c r="J202" s="550">
        <v>2</v>
      </c>
      <c r="K202" s="551">
        <v>2243.8200000000002</v>
      </c>
      <c r="L202" s="551">
        <v>1691.52</v>
      </c>
      <c r="M202" s="482">
        <v>552.29999999999995</v>
      </c>
      <c r="N202" s="550">
        <v>1</v>
      </c>
      <c r="O202" s="551">
        <v>2393.3000000000002</v>
      </c>
      <c r="P202" s="551">
        <v>0</v>
      </c>
      <c r="Q202" s="482">
        <v>2393.3000000000002</v>
      </c>
    </row>
    <row r="203" spans="1:17" ht="15.75" customHeight="1" x14ac:dyDescent="0.2">
      <c r="A203" s="484">
        <f t="shared" si="2"/>
        <v>195</v>
      </c>
      <c r="B203" s="556" t="s">
        <v>173</v>
      </c>
      <c r="C203" s="533" t="s">
        <v>67</v>
      </c>
      <c r="D203" s="484" t="s">
        <v>478</v>
      </c>
      <c r="E203" s="486" t="s">
        <v>158</v>
      </c>
      <c r="F203" s="532" t="s">
        <v>426</v>
      </c>
      <c r="G203" s="556" t="s">
        <v>409</v>
      </c>
      <c r="H203" s="550">
        <v>14</v>
      </c>
      <c r="I203" s="550">
        <v>8</v>
      </c>
      <c r="J203" s="550">
        <v>8</v>
      </c>
      <c r="K203" s="551">
        <v>13701.62</v>
      </c>
      <c r="L203" s="551">
        <v>13701.62</v>
      </c>
      <c r="M203" s="482">
        <v>0</v>
      </c>
      <c r="N203" s="550">
        <v>0</v>
      </c>
      <c r="O203" s="551">
        <v>0</v>
      </c>
      <c r="P203" s="551">
        <v>0</v>
      </c>
      <c r="Q203" s="482">
        <v>0</v>
      </c>
    </row>
    <row r="204" spans="1:17" ht="15.75" customHeight="1" x14ac:dyDescent="0.2">
      <c r="A204" s="484">
        <f t="shared" ref="A204:A267" si="3">A203+1</f>
        <v>196</v>
      </c>
      <c r="B204" s="556" t="s">
        <v>135</v>
      </c>
      <c r="C204" s="533" t="s">
        <v>62</v>
      </c>
      <c r="D204" s="534"/>
      <c r="E204" s="486" t="s">
        <v>158</v>
      </c>
      <c r="F204" s="532" t="s">
        <v>427</v>
      </c>
      <c r="G204" s="556" t="s">
        <v>409</v>
      </c>
      <c r="H204" s="550">
        <v>7</v>
      </c>
      <c r="I204" s="550">
        <v>2</v>
      </c>
      <c r="J204" s="550">
        <v>2</v>
      </c>
      <c r="K204" s="551">
        <v>2396.3200000000002</v>
      </c>
      <c r="L204" s="551">
        <v>2396.3200000000002</v>
      </c>
      <c r="M204" s="482">
        <v>0</v>
      </c>
      <c r="N204" s="550">
        <v>10</v>
      </c>
      <c r="O204" s="551">
        <v>21917.97</v>
      </c>
      <c r="P204" s="551">
        <v>21917.97</v>
      </c>
      <c r="Q204" s="482">
        <v>0</v>
      </c>
    </row>
    <row r="205" spans="1:17" ht="15.75" customHeight="1" x14ac:dyDescent="0.2">
      <c r="A205" s="484">
        <f t="shared" si="3"/>
        <v>197</v>
      </c>
      <c r="B205" s="556" t="s">
        <v>148</v>
      </c>
      <c r="C205" s="533" t="s">
        <v>62</v>
      </c>
      <c r="D205" s="534"/>
      <c r="E205" s="556" t="s">
        <v>719</v>
      </c>
      <c r="F205" s="532" t="s">
        <v>375</v>
      </c>
      <c r="G205" s="556" t="s">
        <v>409</v>
      </c>
      <c r="H205" s="550">
        <v>25</v>
      </c>
      <c r="I205" s="550">
        <v>20</v>
      </c>
      <c r="J205" s="550">
        <v>20</v>
      </c>
      <c r="K205" s="551">
        <v>58526.37</v>
      </c>
      <c r="L205" s="551">
        <v>49137.27</v>
      </c>
      <c r="M205" s="482">
        <v>9389.1</v>
      </c>
      <c r="N205" s="550">
        <v>30</v>
      </c>
      <c r="O205" s="551">
        <v>92970.89</v>
      </c>
      <c r="P205" s="551">
        <v>92970.89</v>
      </c>
      <c r="Q205" s="482">
        <v>0</v>
      </c>
    </row>
    <row r="206" spans="1:17" ht="15.75" customHeight="1" x14ac:dyDescent="0.2">
      <c r="A206" s="484">
        <f t="shared" si="3"/>
        <v>198</v>
      </c>
      <c r="B206" s="556" t="s">
        <v>147</v>
      </c>
      <c r="C206" s="533" t="s">
        <v>62</v>
      </c>
      <c r="D206" s="534"/>
      <c r="E206" s="486" t="s">
        <v>158</v>
      </c>
      <c r="F206" s="532" t="s">
        <v>331</v>
      </c>
      <c r="G206" s="556" t="s">
        <v>409</v>
      </c>
      <c r="H206" s="550">
        <v>9</v>
      </c>
      <c r="I206" s="550">
        <v>2</v>
      </c>
      <c r="J206" s="550">
        <v>2</v>
      </c>
      <c r="K206" s="551">
        <v>4915.3999999999996</v>
      </c>
      <c r="L206" s="551">
        <v>4915.3999999999996</v>
      </c>
      <c r="M206" s="482">
        <v>0</v>
      </c>
      <c r="N206" s="550">
        <v>10</v>
      </c>
      <c r="O206" s="551">
        <v>22395.4</v>
      </c>
      <c r="P206" s="551">
        <v>22395.4</v>
      </c>
      <c r="Q206" s="482">
        <v>0</v>
      </c>
    </row>
    <row r="207" spans="1:17" ht="15.75" customHeight="1" x14ac:dyDescent="0.2">
      <c r="A207" s="484">
        <f t="shared" si="3"/>
        <v>199</v>
      </c>
      <c r="B207" s="556" t="s">
        <v>124</v>
      </c>
      <c r="C207" s="533" t="s">
        <v>62</v>
      </c>
      <c r="D207" s="534"/>
      <c r="E207" s="556" t="s">
        <v>720</v>
      </c>
      <c r="F207" s="532" t="s">
        <v>329</v>
      </c>
      <c r="G207" s="556" t="s">
        <v>409</v>
      </c>
      <c r="H207" s="550">
        <v>17</v>
      </c>
      <c r="I207" s="550">
        <v>11</v>
      </c>
      <c r="J207" s="550">
        <v>11</v>
      </c>
      <c r="K207" s="551">
        <v>14887.37</v>
      </c>
      <c r="L207" s="551">
        <v>14887.37</v>
      </c>
      <c r="M207" s="482">
        <v>0</v>
      </c>
      <c r="N207" s="550">
        <v>26</v>
      </c>
      <c r="O207" s="551">
        <v>35829.449999999997</v>
      </c>
      <c r="P207" s="551">
        <v>35829.449999999997</v>
      </c>
      <c r="Q207" s="482">
        <v>0</v>
      </c>
    </row>
    <row r="208" spans="1:17" ht="15.75" customHeight="1" x14ac:dyDescent="0.2">
      <c r="A208" s="484">
        <f t="shared" si="3"/>
        <v>200</v>
      </c>
      <c r="B208" s="556" t="s">
        <v>168</v>
      </c>
      <c r="C208" s="533" t="s">
        <v>62</v>
      </c>
      <c r="D208" s="534"/>
      <c r="E208" s="532" t="s">
        <v>371</v>
      </c>
      <c r="F208" s="532" t="s">
        <v>353</v>
      </c>
      <c r="G208" s="556" t="s">
        <v>409</v>
      </c>
      <c r="H208" s="550">
        <v>11</v>
      </c>
      <c r="I208" s="550">
        <v>1</v>
      </c>
      <c r="J208" s="550">
        <v>1</v>
      </c>
      <c r="K208" s="551">
        <v>1409.6</v>
      </c>
      <c r="L208" s="551">
        <v>1409.6</v>
      </c>
      <c r="M208" s="482">
        <v>0</v>
      </c>
      <c r="N208" s="550">
        <v>0</v>
      </c>
      <c r="O208" s="551">
        <v>0</v>
      </c>
      <c r="P208" s="551">
        <v>0</v>
      </c>
      <c r="Q208" s="482">
        <v>0</v>
      </c>
    </row>
    <row r="209" spans="1:17" ht="15.75" customHeight="1" x14ac:dyDescent="0.2">
      <c r="A209" s="484">
        <f t="shared" si="3"/>
        <v>201</v>
      </c>
      <c r="B209" s="556" t="s">
        <v>429</v>
      </c>
      <c r="C209" s="533" t="s">
        <v>62</v>
      </c>
      <c r="D209" s="534"/>
      <c r="E209" s="486" t="s">
        <v>158</v>
      </c>
      <c r="F209" s="532" t="s">
        <v>430</v>
      </c>
      <c r="G209" s="556" t="s">
        <v>409</v>
      </c>
      <c r="H209" s="550">
        <v>10</v>
      </c>
      <c r="I209" s="550">
        <v>3</v>
      </c>
      <c r="J209" s="550">
        <v>3</v>
      </c>
      <c r="K209" s="551">
        <v>5178.84</v>
      </c>
      <c r="L209" s="551">
        <v>5178.84</v>
      </c>
      <c r="M209" s="482">
        <v>0</v>
      </c>
      <c r="N209" s="550">
        <v>7</v>
      </c>
      <c r="O209" s="551">
        <v>6995.76</v>
      </c>
      <c r="P209" s="551">
        <v>6995.76</v>
      </c>
      <c r="Q209" s="482">
        <v>0</v>
      </c>
    </row>
    <row r="210" spans="1:17" ht="15.75" customHeight="1" x14ac:dyDescent="0.2">
      <c r="A210" s="484">
        <f t="shared" si="3"/>
        <v>202</v>
      </c>
      <c r="B210" s="556" t="s">
        <v>130</v>
      </c>
      <c r="C210" s="533" t="s">
        <v>62</v>
      </c>
      <c r="D210" s="534"/>
      <c r="E210" s="486" t="s">
        <v>158</v>
      </c>
      <c r="F210" s="532" t="s">
        <v>431</v>
      </c>
      <c r="G210" s="556" t="s">
        <v>409</v>
      </c>
      <c r="H210" s="550">
        <v>7</v>
      </c>
      <c r="I210" s="550">
        <v>4</v>
      </c>
      <c r="J210" s="550">
        <v>4</v>
      </c>
      <c r="K210" s="551">
        <v>5204.2</v>
      </c>
      <c r="L210" s="551">
        <v>5204.2</v>
      </c>
      <c r="M210" s="482">
        <v>0</v>
      </c>
      <c r="N210" s="550">
        <v>5</v>
      </c>
      <c r="O210" s="551">
        <v>10391.459999999999</v>
      </c>
      <c r="P210" s="551">
        <v>10391.459999999999</v>
      </c>
      <c r="Q210" s="482">
        <v>0</v>
      </c>
    </row>
    <row r="211" spans="1:17" ht="15.75" customHeight="1" x14ac:dyDescent="0.2">
      <c r="A211" s="484">
        <f t="shared" si="3"/>
        <v>203</v>
      </c>
      <c r="B211" s="556" t="s">
        <v>32</v>
      </c>
      <c r="C211" s="533" t="s">
        <v>62</v>
      </c>
      <c r="D211" s="534"/>
      <c r="E211" s="486" t="s">
        <v>158</v>
      </c>
      <c r="F211" s="532" t="s">
        <v>432</v>
      </c>
      <c r="G211" s="556" t="s">
        <v>409</v>
      </c>
      <c r="H211" s="550">
        <v>15</v>
      </c>
      <c r="I211" s="550">
        <v>10</v>
      </c>
      <c r="J211" s="550">
        <v>10</v>
      </c>
      <c r="K211" s="551">
        <v>16181.42</v>
      </c>
      <c r="L211" s="551">
        <v>12683.52</v>
      </c>
      <c r="M211" s="482">
        <v>3497.9</v>
      </c>
      <c r="N211" s="550">
        <v>9</v>
      </c>
      <c r="O211" s="551">
        <v>18778.12</v>
      </c>
      <c r="P211" s="551">
        <v>18778.12</v>
      </c>
      <c r="Q211" s="482">
        <v>0</v>
      </c>
    </row>
    <row r="212" spans="1:17" ht="15.75" customHeight="1" x14ac:dyDescent="0.2">
      <c r="A212" s="484">
        <f t="shared" si="3"/>
        <v>204</v>
      </c>
      <c r="B212" s="556" t="s">
        <v>343</v>
      </c>
      <c r="C212" s="533" t="s">
        <v>62</v>
      </c>
      <c r="D212" s="534"/>
      <c r="E212" s="486" t="s">
        <v>158</v>
      </c>
      <c r="F212" s="532" t="s">
        <v>433</v>
      </c>
      <c r="G212" s="556" t="s">
        <v>409</v>
      </c>
      <c r="H212" s="550">
        <v>16</v>
      </c>
      <c r="I212" s="550">
        <v>10</v>
      </c>
      <c r="J212" s="550">
        <v>10</v>
      </c>
      <c r="K212" s="551">
        <v>18037.599999999999</v>
      </c>
      <c r="L212" s="551">
        <v>18037.599999999999</v>
      </c>
      <c r="M212" s="482">
        <v>0</v>
      </c>
      <c r="N212" s="550">
        <v>0</v>
      </c>
      <c r="O212" s="551">
        <v>0</v>
      </c>
      <c r="P212" s="551">
        <v>0</v>
      </c>
      <c r="Q212" s="482">
        <v>0</v>
      </c>
    </row>
    <row r="213" spans="1:17" ht="15.75" customHeight="1" x14ac:dyDescent="0.2">
      <c r="A213" s="484">
        <f t="shared" si="3"/>
        <v>205</v>
      </c>
      <c r="B213" s="556" t="s">
        <v>290</v>
      </c>
      <c r="C213" s="533" t="s">
        <v>62</v>
      </c>
      <c r="D213" s="534"/>
      <c r="E213" s="532" t="s">
        <v>371</v>
      </c>
      <c r="F213" s="532" t="s">
        <v>434</v>
      </c>
      <c r="G213" s="556" t="s">
        <v>409</v>
      </c>
      <c r="H213" s="550">
        <v>6</v>
      </c>
      <c r="I213" s="550">
        <v>1</v>
      </c>
      <c r="J213" s="550">
        <v>1</v>
      </c>
      <c r="K213" s="551">
        <v>1585.8</v>
      </c>
      <c r="L213" s="551">
        <v>1585.8</v>
      </c>
      <c r="M213" s="482">
        <v>0</v>
      </c>
      <c r="N213" s="550">
        <v>0</v>
      </c>
      <c r="O213" s="551">
        <v>0</v>
      </c>
      <c r="P213" s="551">
        <v>0</v>
      </c>
      <c r="Q213" s="482">
        <v>0</v>
      </c>
    </row>
    <row r="214" spans="1:17" ht="15.75" customHeight="1" x14ac:dyDescent="0.2">
      <c r="A214" s="484">
        <f t="shared" si="3"/>
        <v>206</v>
      </c>
      <c r="B214" s="556" t="s">
        <v>315</v>
      </c>
      <c r="C214" s="533" t="s">
        <v>62</v>
      </c>
      <c r="D214" s="534"/>
      <c r="E214" s="486" t="s">
        <v>158</v>
      </c>
      <c r="F214" s="532" t="s">
        <v>435</v>
      </c>
      <c r="G214" s="556" t="s">
        <v>409</v>
      </c>
      <c r="H214" s="550">
        <v>20</v>
      </c>
      <c r="I214" s="550">
        <v>3</v>
      </c>
      <c r="J214" s="550">
        <v>3</v>
      </c>
      <c r="K214" s="551">
        <v>4741</v>
      </c>
      <c r="L214" s="551">
        <v>4741</v>
      </c>
      <c r="M214" s="482">
        <v>0</v>
      </c>
      <c r="N214" s="550">
        <v>5</v>
      </c>
      <c r="O214" s="551">
        <v>7208.02</v>
      </c>
      <c r="P214" s="551">
        <v>7208.02</v>
      </c>
      <c r="Q214" s="482">
        <v>0</v>
      </c>
    </row>
    <row r="215" spans="1:17" ht="15.75" customHeight="1" x14ac:dyDescent="0.2">
      <c r="A215" s="484">
        <f t="shared" si="3"/>
        <v>207</v>
      </c>
      <c r="B215" s="556" t="s">
        <v>216</v>
      </c>
      <c r="C215" s="533" t="s">
        <v>67</v>
      </c>
      <c r="D215" s="534" t="s">
        <v>436</v>
      </c>
      <c r="E215" s="486" t="s">
        <v>158</v>
      </c>
      <c r="F215" s="532" t="s">
        <v>437</v>
      </c>
      <c r="G215" s="556" t="s">
        <v>409</v>
      </c>
      <c r="H215" s="550">
        <v>20</v>
      </c>
      <c r="I215" s="550">
        <v>7</v>
      </c>
      <c r="J215" s="550">
        <v>7</v>
      </c>
      <c r="K215" s="551">
        <v>13299.66</v>
      </c>
      <c r="L215" s="551">
        <v>13299.66</v>
      </c>
      <c r="M215" s="482">
        <v>0</v>
      </c>
      <c r="N215" s="550">
        <v>0</v>
      </c>
      <c r="O215" s="551">
        <v>0</v>
      </c>
      <c r="P215" s="551">
        <v>0</v>
      </c>
      <c r="Q215" s="482">
        <v>0</v>
      </c>
    </row>
    <row r="216" spans="1:17" ht="15.75" customHeight="1" x14ac:dyDescent="0.2">
      <c r="A216" s="484">
        <f t="shared" si="3"/>
        <v>208</v>
      </c>
      <c r="B216" s="556" t="s">
        <v>438</v>
      </c>
      <c r="C216" s="533" t="s">
        <v>62</v>
      </c>
      <c r="D216" s="534"/>
      <c r="E216" s="486" t="s">
        <v>158</v>
      </c>
      <c r="F216" s="532" t="s">
        <v>439</v>
      </c>
      <c r="G216" s="556" t="s">
        <v>409</v>
      </c>
      <c r="H216" s="550">
        <v>9</v>
      </c>
      <c r="I216" s="550">
        <v>1</v>
      </c>
      <c r="J216" s="550">
        <v>1</v>
      </c>
      <c r="K216" s="551">
        <v>3497.9</v>
      </c>
      <c r="L216" s="551">
        <v>0</v>
      </c>
      <c r="M216" s="482">
        <v>3497.9</v>
      </c>
      <c r="N216" s="550">
        <v>0</v>
      </c>
      <c r="O216" s="551">
        <v>0</v>
      </c>
      <c r="P216" s="551">
        <v>0</v>
      </c>
      <c r="Q216" s="482">
        <v>0</v>
      </c>
    </row>
    <row r="217" spans="1:17" ht="15.75" customHeight="1" x14ac:dyDescent="0.2">
      <c r="A217" s="484">
        <f t="shared" si="3"/>
        <v>209</v>
      </c>
      <c r="B217" s="556" t="s">
        <v>440</v>
      </c>
      <c r="C217" s="533" t="s">
        <v>62</v>
      </c>
      <c r="D217" s="534"/>
      <c r="E217" s="486" t="s">
        <v>158</v>
      </c>
      <c r="F217" s="532" t="s">
        <v>441</v>
      </c>
      <c r="G217" s="556" t="s">
        <v>409</v>
      </c>
      <c r="H217" s="550">
        <v>7</v>
      </c>
      <c r="I217" s="550">
        <v>3</v>
      </c>
      <c r="J217" s="550">
        <v>3</v>
      </c>
      <c r="K217" s="551">
        <v>3171.6</v>
      </c>
      <c r="L217" s="551">
        <v>3171.6</v>
      </c>
      <c r="M217" s="482">
        <v>0</v>
      </c>
      <c r="N217" s="550">
        <v>0</v>
      </c>
      <c r="O217" s="551">
        <v>0</v>
      </c>
      <c r="P217" s="551">
        <v>0</v>
      </c>
      <c r="Q217" s="482">
        <v>0</v>
      </c>
    </row>
    <row r="218" spans="1:17" ht="15.75" customHeight="1" x14ac:dyDescent="0.2">
      <c r="A218" s="484">
        <f t="shared" si="3"/>
        <v>210</v>
      </c>
      <c r="B218" s="556" t="s">
        <v>222</v>
      </c>
      <c r="C218" s="533" t="s">
        <v>64</v>
      </c>
      <c r="D218" s="484" t="s">
        <v>486</v>
      </c>
      <c r="E218" s="486" t="s">
        <v>158</v>
      </c>
      <c r="F218" s="532" t="s">
        <v>443</v>
      </c>
      <c r="G218" s="556" t="s">
        <v>409</v>
      </c>
      <c r="H218" s="550">
        <v>1</v>
      </c>
      <c r="I218" s="550">
        <v>0</v>
      </c>
      <c r="J218" s="550">
        <v>0</v>
      </c>
      <c r="K218" s="551">
        <v>0</v>
      </c>
      <c r="L218" s="551">
        <v>0</v>
      </c>
      <c r="M218" s="482">
        <v>0</v>
      </c>
      <c r="N218" s="550">
        <v>0</v>
      </c>
      <c r="O218" s="551">
        <v>0</v>
      </c>
      <c r="P218" s="551">
        <v>0</v>
      </c>
      <c r="Q218" s="482">
        <v>0</v>
      </c>
    </row>
    <row r="219" spans="1:17" ht="15.75" customHeight="1" x14ac:dyDescent="0.2">
      <c r="A219" s="484">
        <f t="shared" si="3"/>
        <v>211</v>
      </c>
      <c r="B219" s="556" t="s">
        <v>444</v>
      </c>
      <c r="C219" s="533" t="s">
        <v>62</v>
      </c>
      <c r="D219" s="534"/>
      <c r="E219" s="486" t="s">
        <v>158</v>
      </c>
      <c r="F219" s="532" t="s">
        <v>445</v>
      </c>
      <c r="G219" s="556" t="s">
        <v>409</v>
      </c>
      <c r="H219" s="550">
        <v>5</v>
      </c>
      <c r="I219" s="550">
        <v>5</v>
      </c>
      <c r="J219" s="550">
        <v>5</v>
      </c>
      <c r="K219" s="551">
        <v>3802.9</v>
      </c>
      <c r="L219" s="551">
        <v>3802.9</v>
      </c>
      <c r="M219" s="482">
        <v>0</v>
      </c>
      <c r="N219" s="550">
        <v>0</v>
      </c>
      <c r="O219" s="551">
        <v>0</v>
      </c>
      <c r="P219" s="551">
        <v>0</v>
      </c>
      <c r="Q219" s="482">
        <v>0</v>
      </c>
    </row>
    <row r="220" spans="1:17" ht="15.75" customHeight="1" x14ac:dyDescent="0.2">
      <c r="A220" s="484">
        <f t="shared" si="3"/>
        <v>212</v>
      </c>
      <c r="B220" s="556" t="s">
        <v>129</v>
      </c>
      <c r="C220" s="533" t="s">
        <v>62</v>
      </c>
      <c r="D220" s="534"/>
      <c r="E220" s="486" t="s">
        <v>158</v>
      </c>
      <c r="F220" s="532" t="s">
        <v>446</v>
      </c>
      <c r="G220" s="556" t="s">
        <v>409</v>
      </c>
      <c r="H220" s="550">
        <v>12</v>
      </c>
      <c r="I220" s="550">
        <v>5</v>
      </c>
      <c r="J220" s="550">
        <v>5</v>
      </c>
      <c r="K220" s="551">
        <v>6080.63</v>
      </c>
      <c r="L220" s="551">
        <v>4624.25</v>
      </c>
      <c r="M220" s="482">
        <v>1456.38</v>
      </c>
      <c r="N220" s="550">
        <v>12</v>
      </c>
      <c r="O220" s="551">
        <v>25243.58</v>
      </c>
      <c r="P220" s="551">
        <v>25243.58</v>
      </c>
      <c r="Q220" s="482">
        <v>0</v>
      </c>
    </row>
    <row r="221" spans="1:17" ht="15.75" customHeight="1" x14ac:dyDescent="0.2">
      <c r="A221" s="484">
        <f t="shared" si="3"/>
        <v>213</v>
      </c>
      <c r="B221" s="532" t="s">
        <v>104</v>
      </c>
      <c r="C221" s="533" t="s">
        <v>62</v>
      </c>
      <c r="D221" s="534"/>
      <c r="E221" s="490" t="s">
        <v>730</v>
      </c>
      <c r="F221" s="532" t="s">
        <v>447</v>
      </c>
      <c r="G221" s="556" t="s">
        <v>409</v>
      </c>
      <c r="H221" s="550">
        <v>0</v>
      </c>
      <c r="I221" s="550">
        <v>0</v>
      </c>
      <c r="J221" s="550">
        <v>0</v>
      </c>
      <c r="K221" s="551">
        <v>0</v>
      </c>
      <c r="L221" s="551">
        <v>0</v>
      </c>
      <c r="M221" s="482">
        <v>0</v>
      </c>
      <c r="N221" s="550">
        <v>7</v>
      </c>
      <c r="O221" s="551">
        <v>5726.5</v>
      </c>
      <c r="P221" s="551">
        <v>5726.5</v>
      </c>
      <c r="Q221" s="482">
        <v>0</v>
      </c>
    </row>
    <row r="222" spans="1:17" ht="15.75" customHeight="1" x14ac:dyDescent="0.2">
      <c r="A222" s="484">
        <f t="shared" si="3"/>
        <v>214</v>
      </c>
      <c r="B222" s="532" t="s">
        <v>156</v>
      </c>
      <c r="C222" s="533" t="s">
        <v>67</v>
      </c>
      <c r="D222" s="534" t="s">
        <v>745</v>
      </c>
      <c r="E222" s="486" t="s">
        <v>158</v>
      </c>
      <c r="F222" s="532" t="s">
        <v>502</v>
      </c>
      <c r="G222" s="556" t="s">
        <v>409</v>
      </c>
      <c r="H222" s="550">
        <v>4</v>
      </c>
      <c r="I222" s="550">
        <v>0</v>
      </c>
      <c r="J222" s="550">
        <v>0</v>
      </c>
      <c r="K222" s="551">
        <v>0</v>
      </c>
      <c r="L222" s="551">
        <v>0</v>
      </c>
      <c r="M222" s="482">
        <v>0</v>
      </c>
      <c r="N222" s="550">
        <v>5</v>
      </c>
      <c r="O222" s="551">
        <v>8865.2999999999993</v>
      </c>
      <c r="P222" s="551">
        <v>8865.2999999999993</v>
      </c>
      <c r="Q222" s="482">
        <v>0</v>
      </c>
    </row>
    <row r="223" spans="1:17" ht="15.75" customHeight="1" x14ac:dyDescent="0.2">
      <c r="A223" s="484">
        <f t="shared" si="3"/>
        <v>215</v>
      </c>
      <c r="B223" s="532" t="s">
        <v>133</v>
      </c>
      <c r="C223" s="533" t="s">
        <v>67</v>
      </c>
      <c r="D223" s="484" t="s">
        <v>494</v>
      </c>
      <c r="E223" s="486" t="s">
        <v>158</v>
      </c>
      <c r="F223" s="532" t="s">
        <v>503</v>
      </c>
      <c r="G223" s="556" t="s">
        <v>409</v>
      </c>
      <c r="H223" s="550">
        <v>12</v>
      </c>
      <c r="I223" s="550">
        <v>5</v>
      </c>
      <c r="J223" s="550">
        <v>5</v>
      </c>
      <c r="K223" s="551">
        <v>13731.4</v>
      </c>
      <c r="L223" s="551">
        <v>13731.4</v>
      </c>
      <c r="M223" s="482">
        <v>0</v>
      </c>
      <c r="N223" s="550">
        <v>18</v>
      </c>
      <c r="O223" s="551">
        <v>45265.08</v>
      </c>
      <c r="P223" s="551">
        <v>42255.08</v>
      </c>
      <c r="Q223" s="482">
        <v>3010</v>
      </c>
    </row>
    <row r="224" spans="1:17" ht="15.75" customHeight="1" x14ac:dyDescent="0.2">
      <c r="A224" s="484">
        <f t="shared" si="3"/>
        <v>216</v>
      </c>
      <c r="B224" s="532" t="s">
        <v>114</v>
      </c>
      <c r="C224" s="533" t="s">
        <v>62</v>
      </c>
      <c r="D224" s="534"/>
      <c r="E224" s="486" t="s">
        <v>691</v>
      </c>
      <c r="F224" s="532" t="s">
        <v>504</v>
      </c>
      <c r="G224" s="556" t="s">
        <v>409</v>
      </c>
      <c r="H224" s="550">
        <v>3</v>
      </c>
      <c r="I224" s="550">
        <v>0</v>
      </c>
      <c r="J224" s="550">
        <v>0</v>
      </c>
      <c r="K224" s="551">
        <v>0</v>
      </c>
      <c r="L224" s="551">
        <v>0</v>
      </c>
      <c r="M224" s="482">
        <v>0</v>
      </c>
      <c r="N224" s="550">
        <v>4</v>
      </c>
      <c r="O224" s="551">
        <v>3524</v>
      </c>
      <c r="P224" s="551">
        <v>3524</v>
      </c>
      <c r="Q224" s="482">
        <v>0</v>
      </c>
    </row>
    <row r="225" spans="1:17" ht="15.75" customHeight="1" x14ac:dyDescent="0.2">
      <c r="A225" s="484">
        <f t="shared" si="3"/>
        <v>217</v>
      </c>
      <c r="B225" s="532" t="s">
        <v>505</v>
      </c>
      <c r="C225" s="533" t="s">
        <v>62</v>
      </c>
      <c r="D225" s="534"/>
      <c r="E225" s="486" t="s">
        <v>158</v>
      </c>
      <c r="F225" s="532" t="s">
        <v>506</v>
      </c>
      <c r="G225" s="556" t="s">
        <v>409</v>
      </c>
      <c r="H225" s="550">
        <v>5</v>
      </c>
      <c r="I225" s="550">
        <v>0</v>
      </c>
      <c r="J225" s="550">
        <v>0</v>
      </c>
      <c r="K225" s="551">
        <v>0</v>
      </c>
      <c r="L225" s="551">
        <v>0</v>
      </c>
      <c r="M225" s="482">
        <v>0</v>
      </c>
      <c r="N225" s="550">
        <v>0</v>
      </c>
      <c r="O225" s="551">
        <v>0</v>
      </c>
      <c r="P225" s="551">
        <v>0</v>
      </c>
      <c r="Q225" s="482">
        <v>0</v>
      </c>
    </row>
    <row r="226" spans="1:17" ht="15.75" customHeight="1" x14ac:dyDescent="0.2">
      <c r="A226" s="484">
        <f t="shared" si="3"/>
        <v>218</v>
      </c>
      <c r="B226" s="532" t="s">
        <v>473</v>
      </c>
      <c r="C226" s="533" t="s">
        <v>62</v>
      </c>
      <c r="D226" s="534"/>
      <c r="E226" s="486" t="s">
        <v>158</v>
      </c>
      <c r="F226" s="532" t="s">
        <v>558</v>
      </c>
      <c r="G226" s="556" t="s">
        <v>409</v>
      </c>
      <c r="H226" s="550">
        <v>4</v>
      </c>
      <c r="I226" s="550">
        <v>0</v>
      </c>
      <c r="J226" s="550">
        <v>0</v>
      </c>
      <c r="K226" s="551">
        <v>0</v>
      </c>
      <c r="L226" s="551">
        <v>0</v>
      </c>
      <c r="M226" s="482">
        <v>0</v>
      </c>
      <c r="N226" s="550">
        <v>0</v>
      </c>
      <c r="O226" s="551">
        <v>0</v>
      </c>
      <c r="P226" s="551">
        <v>0</v>
      </c>
      <c r="Q226" s="482">
        <v>0</v>
      </c>
    </row>
    <row r="227" spans="1:17" ht="15.75" customHeight="1" x14ac:dyDescent="0.2">
      <c r="A227" s="484">
        <f t="shared" si="3"/>
        <v>219</v>
      </c>
      <c r="B227" s="532" t="s">
        <v>376</v>
      </c>
      <c r="C227" s="533" t="s">
        <v>62</v>
      </c>
      <c r="D227" s="534"/>
      <c r="E227" s="486" t="s">
        <v>158</v>
      </c>
      <c r="F227" s="532" t="s">
        <v>559</v>
      </c>
      <c r="G227" s="556" t="s">
        <v>409</v>
      </c>
      <c r="H227" s="550">
        <v>3</v>
      </c>
      <c r="I227" s="550">
        <v>0</v>
      </c>
      <c r="J227" s="550">
        <v>0</v>
      </c>
      <c r="K227" s="551">
        <v>0</v>
      </c>
      <c r="L227" s="551">
        <v>0</v>
      </c>
      <c r="M227" s="482">
        <v>0</v>
      </c>
      <c r="N227" s="550">
        <v>0</v>
      </c>
      <c r="O227" s="551">
        <v>0</v>
      </c>
      <c r="P227" s="551">
        <v>0</v>
      </c>
      <c r="Q227" s="482">
        <v>0</v>
      </c>
    </row>
    <row r="228" spans="1:17" ht="15.75" customHeight="1" x14ac:dyDescent="0.2">
      <c r="A228" s="484">
        <f t="shared" si="3"/>
        <v>220</v>
      </c>
      <c r="B228" s="532" t="s">
        <v>119</v>
      </c>
      <c r="C228" s="533" t="s">
        <v>62</v>
      </c>
      <c r="D228" s="534"/>
      <c r="E228" s="486" t="s">
        <v>158</v>
      </c>
      <c r="F228" s="532" t="s">
        <v>560</v>
      </c>
      <c r="G228" s="556" t="s">
        <v>409</v>
      </c>
      <c r="H228" s="550">
        <v>9</v>
      </c>
      <c r="I228" s="550">
        <v>1</v>
      </c>
      <c r="J228" s="550">
        <v>1</v>
      </c>
      <c r="K228" s="551">
        <v>1691.52</v>
      </c>
      <c r="L228" s="551">
        <v>1691.52</v>
      </c>
      <c r="M228" s="482">
        <v>0</v>
      </c>
      <c r="N228" s="550">
        <v>14</v>
      </c>
      <c r="O228" s="551">
        <v>20900.5</v>
      </c>
      <c r="P228" s="551">
        <v>20900.5</v>
      </c>
      <c r="Q228" s="482">
        <v>0</v>
      </c>
    </row>
    <row r="229" spans="1:17" ht="15.75" customHeight="1" x14ac:dyDescent="0.2">
      <c r="A229" s="484">
        <f t="shared" si="3"/>
        <v>221</v>
      </c>
      <c r="B229" s="532" t="s">
        <v>47</v>
      </c>
      <c r="C229" s="533" t="s">
        <v>62</v>
      </c>
      <c r="D229" s="534"/>
      <c r="E229" s="486" t="s">
        <v>677</v>
      </c>
      <c r="F229" s="532" t="s">
        <v>589</v>
      </c>
      <c r="G229" s="556" t="s">
        <v>409</v>
      </c>
      <c r="H229" s="550">
        <v>0</v>
      </c>
      <c r="I229" s="550">
        <v>0</v>
      </c>
      <c r="J229" s="550">
        <v>0</v>
      </c>
      <c r="K229" s="551">
        <v>0</v>
      </c>
      <c r="L229" s="551">
        <v>0</v>
      </c>
      <c r="M229" s="482">
        <v>0</v>
      </c>
      <c r="N229" s="550">
        <v>1</v>
      </c>
      <c r="O229" s="551">
        <v>6554.64</v>
      </c>
      <c r="P229" s="551">
        <v>6554.64</v>
      </c>
      <c r="Q229" s="482">
        <v>0</v>
      </c>
    </row>
    <row r="230" spans="1:17" ht="15.75" customHeight="1" x14ac:dyDescent="0.2">
      <c r="A230" s="484">
        <f t="shared" si="3"/>
        <v>222</v>
      </c>
      <c r="B230" s="532" t="s">
        <v>37</v>
      </c>
      <c r="C230" s="533" t="s">
        <v>62</v>
      </c>
      <c r="D230" s="534"/>
      <c r="E230" s="486" t="s">
        <v>158</v>
      </c>
      <c r="F230" s="532" t="s">
        <v>590</v>
      </c>
      <c r="G230" s="556" t="s">
        <v>409</v>
      </c>
      <c r="H230" s="550">
        <v>6</v>
      </c>
      <c r="I230" s="550">
        <v>0</v>
      </c>
      <c r="J230" s="550">
        <v>0</v>
      </c>
      <c r="K230" s="551">
        <v>0</v>
      </c>
      <c r="L230" s="551">
        <v>0</v>
      </c>
      <c r="M230" s="482">
        <v>0</v>
      </c>
      <c r="N230" s="550">
        <v>0</v>
      </c>
      <c r="O230" s="551">
        <v>0</v>
      </c>
      <c r="P230" s="551">
        <v>0</v>
      </c>
      <c r="Q230" s="482">
        <v>0</v>
      </c>
    </row>
    <row r="231" spans="1:17" ht="15.75" customHeight="1" x14ac:dyDescent="0.2">
      <c r="A231" s="484">
        <f t="shared" si="3"/>
        <v>223</v>
      </c>
      <c r="B231" s="532" t="s">
        <v>97</v>
      </c>
      <c r="C231" s="533" t="s">
        <v>62</v>
      </c>
      <c r="D231" s="534"/>
      <c r="E231" s="486" t="s">
        <v>158</v>
      </c>
      <c r="F231" s="532" t="s">
        <v>591</v>
      </c>
      <c r="G231" s="556" t="s">
        <v>409</v>
      </c>
      <c r="H231" s="550">
        <v>4</v>
      </c>
      <c r="I231" s="550">
        <v>2</v>
      </c>
      <c r="J231" s="550">
        <v>2</v>
      </c>
      <c r="K231" s="551">
        <v>3626.7</v>
      </c>
      <c r="L231" s="551">
        <v>3626.7</v>
      </c>
      <c r="M231" s="482">
        <v>0</v>
      </c>
      <c r="N231" s="550">
        <v>3</v>
      </c>
      <c r="O231" s="551">
        <v>4570.8999999999996</v>
      </c>
      <c r="P231" s="551">
        <v>4570.8999999999996</v>
      </c>
      <c r="Q231" s="482">
        <v>0</v>
      </c>
    </row>
    <row r="232" spans="1:17" ht="15.75" customHeight="1" x14ac:dyDescent="0.2">
      <c r="A232" s="484">
        <f t="shared" si="3"/>
        <v>224</v>
      </c>
      <c r="B232" s="532" t="s">
        <v>613</v>
      </c>
      <c r="C232" s="533" t="s">
        <v>62</v>
      </c>
      <c r="D232" s="534"/>
      <c r="E232" s="486" t="s">
        <v>158</v>
      </c>
      <c r="F232" s="532" t="s">
        <v>614</v>
      </c>
      <c r="G232" s="556" t="s">
        <v>409</v>
      </c>
      <c r="H232" s="550">
        <v>7</v>
      </c>
      <c r="I232" s="550">
        <v>2</v>
      </c>
      <c r="J232" s="550">
        <v>2</v>
      </c>
      <c r="K232" s="551">
        <v>1585.8</v>
      </c>
      <c r="L232" s="551">
        <v>1585.8</v>
      </c>
      <c r="M232" s="482">
        <v>0</v>
      </c>
      <c r="N232" s="550">
        <v>3</v>
      </c>
      <c r="O232" s="551">
        <v>616.70000000000005</v>
      </c>
      <c r="P232" s="551">
        <v>616.70000000000005</v>
      </c>
      <c r="Q232" s="482">
        <v>0</v>
      </c>
    </row>
    <row r="233" spans="1:17" ht="15.75" customHeight="1" x14ac:dyDescent="0.2">
      <c r="A233" s="484">
        <f t="shared" si="3"/>
        <v>225</v>
      </c>
      <c r="B233" s="532" t="s">
        <v>615</v>
      </c>
      <c r="C233" s="533" t="s">
        <v>62</v>
      </c>
      <c r="D233" s="534"/>
      <c r="E233" s="486" t="s">
        <v>158</v>
      </c>
      <c r="F233" s="532" t="s">
        <v>616</v>
      </c>
      <c r="G233" s="556" t="s">
        <v>409</v>
      </c>
      <c r="H233" s="550">
        <v>6</v>
      </c>
      <c r="I233" s="550">
        <v>0</v>
      </c>
      <c r="J233" s="550">
        <v>0</v>
      </c>
      <c r="K233" s="551">
        <v>0</v>
      </c>
      <c r="L233" s="551">
        <v>0</v>
      </c>
      <c r="M233" s="482">
        <v>0</v>
      </c>
      <c r="N233" s="550">
        <v>0</v>
      </c>
      <c r="O233" s="551">
        <v>0</v>
      </c>
      <c r="P233" s="551">
        <v>0</v>
      </c>
      <c r="Q233" s="482">
        <v>0</v>
      </c>
    </row>
    <row r="234" spans="1:17" ht="15.75" customHeight="1" x14ac:dyDescent="0.2">
      <c r="A234" s="484">
        <f t="shared" si="3"/>
        <v>226</v>
      </c>
      <c r="B234" s="532" t="s">
        <v>357</v>
      </c>
      <c r="C234" s="516" t="s">
        <v>64</v>
      </c>
      <c r="D234" s="534" t="s">
        <v>585</v>
      </c>
      <c r="E234" s="486" t="s">
        <v>158</v>
      </c>
      <c r="F234" s="532" t="s">
        <v>618</v>
      </c>
      <c r="G234" s="556" t="s">
        <v>409</v>
      </c>
      <c r="H234" s="550">
        <v>6</v>
      </c>
      <c r="I234" s="550">
        <v>1</v>
      </c>
      <c r="J234" s="550">
        <v>1</v>
      </c>
      <c r="K234" s="551">
        <v>1057.2</v>
      </c>
      <c r="L234" s="551">
        <v>1057.2</v>
      </c>
      <c r="M234" s="482">
        <v>0</v>
      </c>
      <c r="N234" s="550">
        <v>3</v>
      </c>
      <c r="O234" s="551">
        <v>5236.2</v>
      </c>
      <c r="P234" s="551">
        <v>5236.2</v>
      </c>
      <c r="Q234" s="482">
        <v>0</v>
      </c>
    </row>
    <row r="235" spans="1:17" ht="15.75" customHeight="1" x14ac:dyDescent="0.2">
      <c r="A235" s="484">
        <f t="shared" si="3"/>
        <v>227</v>
      </c>
      <c r="B235" s="532" t="s">
        <v>621</v>
      </c>
      <c r="C235" s="533" t="s">
        <v>62</v>
      </c>
      <c r="D235" s="534"/>
      <c r="E235" s="486" t="s">
        <v>158</v>
      </c>
      <c r="F235" s="532" t="s">
        <v>625</v>
      </c>
      <c r="G235" s="556" t="s">
        <v>409</v>
      </c>
      <c r="H235" s="550">
        <v>13</v>
      </c>
      <c r="I235" s="550">
        <v>5</v>
      </c>
      <c r="J235" s="550">
        <v>5</v>
      </c>
      <c r="K235" s="551">
        <v>4878.6499999999996</v>
      </c>
      <c r="L235" s="551">
        <v>1564.85</v>
      </c>
      <c r="M235" s="482">
        <v>3313.8</v>
      </c>
      <c r="N235" s="550">
        <v>0</v>
      </c>
      <c r="O235" s="551">
        <v>0</v>
      </c>
      <c r="P235" s="551">
        <v>0</v>
      </c>
      <c r="Q235" s="482">
        <v>0</v>
      </c>
    </row>
    <row r="236" spans="1:17" ht="15.75" customHeight="1" x14ac:dyDescent="0.2">
      <c r="A236" s="484">
        <f t="shared" si="3"/>
        <v>228</v>
      </c>
      <c r="B236" s="484" t="s">
        <v>146</v>
      </c>
      <c r="C236" s="516" t="s">
        <v>62</v>
      </c>
      <c r="D236" s="484"/>
      <c r="E236" s="486" t="s">
        <v>74</v>
      </c>
      <c r="F236" s="486" t="s">
        <v>325</v>
      </c>
      <c r="G236" s="510" t="s">
        <v>326</v>
      </c>
      <c r="H236" s="484">
        <v>15</v>
      </c>
      <c r="I236" s="484">
        <v>7</v>
      </c>
      <c r="J236" s="484">
        <v>7</v>
      </c>
      <c r="K236" s="482">
        <v>8953.4</v>
      </c>
      <c r="L236" s="482">
        <v>8953.4</v>
      </c>
      <c r="M236" s="482">
        <v>0</v>
      </c>
      <c r="N236" s="484">
        <v>6</v>
      </c>
      <c r="O236" s="482">
        <v>5374.1</v>
      </c>
      <c r="P236" s="482">
        <v>5374.1</v>
      </c>
      <c r="Q236" s="482">
        <v>0</v>
      </c>
    </row>
    <row r="237" spans="1:17" ht="15.75" customHeight="1" x14ac:dyDescent="0.2">
      <c r="A237" s="484">
        <f t="shared" si="3"/>
        <v>229</v>
      </c>
      <c r="B237" s="484" t="s">
        <v>166</v>
      </c>
      <c r="C237" s="516" t="s">
        <v>62</v>
      </c>
      <c r="D237" s="484"/>
      <c r="E237" s="486" t="s">
        <v>158</v>
      </c>
      <c r="F237" s="486" t="s">
        <v>327</v>
      </c>
      <c r="G237" s="510" t="s">
        <v>326</v>
      </c>
      <c r="H237" s="484">
        <v>5</v>
      </c>
      <c r="I237" s="484">
        <v>3</v>
      </c>
      <c r="J237" s="484">
        <v>3</v>
      </c>
      <c r="K237" s="482">
        <v>5462.2</v>
      </c>
      <c r="L237" s="482">
        <v>5462.2</v>
      </c>
      <c r="M237" s="482">
        <v>0</v>
      </c>
      <c r="N237" s="484">
        <v>0</v>
      </c>
      <c r="O237" s="482">
        <v>0</v>
      </c>
      <c r="P237" s="482">
        <v>0</v>
      </c>
      <c r="Q237" s="482">
        <v>0</v>
      </c>
    </row>
    <row r="238" spans="1:17" ht="15.75" customHeight="1" x14ac:dyDescent="0.2">
      <c r="A238" s="484">
        <f t="shared" si="3"/>
        <v>230</v>
      </c>
      <c r="B238" s="484" t="s">
        <v>173</v>
      </c>
      <c r="C238" s="516" t="s">
        <v>67</v>
      </c>
      <c r="D238" s="484" t="s">
        <v>328</v>
      </c>
      <c r="E238" s="486" t="s">
        <v>158</v>
      </c>
      <c r="F238" s="486" t="s">
        <v>329</v>
      </c>
      <c r="G238" s="510" t="s">
        <v>326</v>
      </c>
      <c r="H238" s="484">
        <v>9</v>
      </c>
      <c r="I238" s="484">
        <v>5</v>
      </c>
      <c r="J238" s="484">
        <v>5</v>
      </c>
      <c r="K238" s="482">
        <v>10645.26</v>
      </c>
      <c r="L238" s="482">
        <v>10645.26</v>
      </c>
      <c r="M238" s="482">
        <v>0</v>
      </c>
      <c r="N238" s="484">
        <v>0</v>
      </c>
      <c r="O238" s="482">
        <v>0</v>
      </c>
      <c r="P238" s="482">
        <v>0</v>
      </c>
      <c r="Q238" s="482">
        <v>0</v>
      </c>
    </row>
    <row r="239" spans="1:17" ht="15.75" customHeight="1" x14ac:dyDescent="0.2">
      <c r="A239" s="484">
        <f t="shared" si="3"/>
        <v>231</v>
      </c>
      <c r="B239" s="484" t="s">
        <v>330</v>
      </c>
      <c r="C239" s="516" t="s">
        <v>62</v>
      </c>
      <c r="D239" s="484"/>
      <c r="E239" s="486" t="s">
        <v>158</v>
      </c>
      <c r="F239" s="486" t="s">
        <v>331</v>
      </c>
      <c r="G239" s="510" t="s">
        <v>326</v>
      </c>
      <c r="H239" s="484">
        <v>16</v>
      </c>
      <c r="I239" s="484">
        <v>10</v>
      </c>
      <c r="J239" s="484">
        <v>10</v>
      </c>
      <c r="K239" s="482">
        <v>12533.9</v>
      </c>
      <c r="L239" s="482">
        <v>12533.9</v>
      </c>
      <c r="M239" s="482">
        <v>0</v>
      </c>
      <c r="N239" s="484">
        <v>0</v>
      </c>
      <c r="O239" s="482">
        <v>0</v>
      </c>
      <c r="P239" s="482">
        <v>0</v>
      </c>
      <c r="Q239" s="482">
        <v>0</v>
      </c>
    </row>
    <row r="240" spans="1:17" ht="15.75" customHeight="1" x14ac:dyDescent="0.2">
      <c r="A240" s="484">
        <f t="shared" si="3"/>
        <v>232</v>
      </c>
      <c r="B240" s="484" t="s">
        <v>147</v>
      </c>
      <c r="C240" s="516" t="s">
        <v>62</v>
      </c>
      <c r="D240" s="484"/>
      <c r="E240" s="486" t="s">
        <v>74</v>
      </c>
      <c r="F240" s="486" t="s">
        <v>332</v>
      </c>
      <c r="G240" s="510" t="s">
        <v>326</v>
      </c>
      <c r="H240" s="484">
        <v>15</v>
      </c>
      <c r="I240" s="484">
        <v>7</v>
      </c>
      <c r="J240" s="484">
        <v>7</v>
      </c>
      <c r="K240" s="482">
        <v>13239.05</v>
      </c>
      <c r="L240" s="482">
        <v>13239.05</v>
      </c>
      <c r="M240" s="482">
        <v>0</v>
      </c>
      <c r="N240" s="484">
        <v>5</v>
      </c>
      <c r="O240" s="482">
        <v>13962.4</v>
      </c>
      <c r="P240" s="482">
        <v>13962.4</v>
      </c>
      <c r="Q240" s="482">
        <v>0</v>
      </c>
    </row>
    <row r="241" spans="1:17" ht="15.75" customHeight="1" x14ac:dyDescent="0.2">
      <c r="A241" s="484">
        <f t="shared" si="3"/>
        <v>233</v>
      </c>
      <c r="B241" s="484" t="s">
        <v>554</v>
      </c>
      <c r="C241" s="516" t="s">
        <v>67</v>
      </c>
      <c r="D241" s="484" t="s">
        <v>555</v>
      </c>
      <c r="E241" s="486" t="s">
        <v>74</v>
      </c>
      <c r="F241" s="486" t="s">
        <v>556</v>
      </c>
      <c r="G241" s="510" t="s">
        <v>326</v>
      </c>
      <c r="H241" s="484">
        <v>2</v>
      </c>
      <c r="I241" s="484">
        <v>0</v>
      </c>
      <c r="J241" s="484">
        <v>0</v>
      </c>
      <c r="K241" s="482">
        <v>0</v>
      </c>
      <c r="L241" s="482">
        <v>0</v>
      </c>
      <c r="M241" s="482">
        <v>0</v>
      </c>
      <c r="N241" s="484">
        <v>0</v>
      </c>
      <c r="O241" s="482">
        <v>0</v>
      </c>
      <c r="P241" s="482">
        <v>0</v>
      </c>
      <c r="Q241" s="482">
        <v>0</v>
      </c>
    </row>
    <row r="242" spans="1:17" ht="15.75" customHeight="1" x14ac:dyDescent="0.2">
      <c r="A242" s="484">
        <f t="shared" si="3"/>
        <v>234</v>
      </c>
      <c r="B242" s="484" t="s">
        <v>88</v>
      </c>
      <c r="C242" s="516" t="s">
        <v>62</v>
      </c>
      <c r="D242" s="484"/>
      <c r="E242" s="486" t="s">
        <v>74</v>
      </c>
      <c r="F242" s="486" t="s">
        <v>333</v>
      </c>
      <c r="G242" s="510" t="s">
        <v>326</v>
      </c>
      <c r="H242" s="484">
        <v>2</v>
      </c>
      <c r="I242" s="484">
        <v>2</v>
      </c>
      <c r="J242" s="484">
        <v>2</v>
      </c>
      <c r="K242" s="482">
        <v>2290.6</v>
      </c>
      <c r="L242" s="482">
        <v>2290.6</v>
      </c>
      <c r="M242" s="482">
        <v>0</v>
      </c>
      <c r="N242" s="484">
        <v>1</v>
      </c>
      <c r="O242" s="482">
        <v>1145.3</v>
      </c>
      <c r="P242" s="482">
        <v>1145.3</v>
      </c>
      <c r="Q242" s="482">
        <v>0</v>
      </c>
    </row>
    <row r="243" spans="1:17" ht="15.75" customHeight="1" x14ac:dyDescent="0.2">
      <c r="A243" s="484">
        <f t="shared" si="3"/>
        <v>235</v>
      </c>
      <c r="B243" s="484" t="s">
        <v>182</v>
      </c>
      <c r="C243" s="516" t="s">
        <v>62</v>
      </c>
      <c r="D243" s="484"/>
      <c r="E243" s="486" t="s">
        <v>158</v>
      </c>
      <c r="F243" s="486" t="s">
        <v>334</v>
      </c>
      <c r="G243" s="510" t="s">
        <v>326</v>
      </c>
      <c r="H243" s="484">
        <v>5</v>
      </c>
      <c r="I243" s="484">
        <v>1</v>
      </c>
      <c r="J243" s="484">
        <v>1</v>
      </c>
      <c r="K243" s="482">
        <v>1233.4000000000001</v>
      </c>
      <c r="L243" s="482">
        <v>1233.4000000000001</v>
      </c>
      <c r="M243" s="482">
        <v>0</v>
      </c>
      <c r="N243" s="484">
        <v>0</v>
      </c>
      <c r="O243" s="482">
        <v>0</v>
      </c>
      <c r="P243" s="482">
        <v>0</v>
      </c>
      <c r="Q243" s="482">
        <v>0</v>
      </c>
    </row>
    <row r="244" spans="1:17" ht="15.75" customHeight="1" x14ac:dyDescent="0.2">
      <c r="A244" s="484">
        <f t="shared" si="3"/>
        <v>236</v>
      </c>
      <c r="B244" s="484" t="s">
        <v>335</v>
      </c>
      <c r="C244" s="516" t="s">
        <v>62</v>
      </c>
      <c r="D244" s="484"/>
      <c r="E244" s="486" t="s">
        <v>74</v>
      </c>
      <c r="F244" s="486" t="s">
        <v>336</v>
      </c>
      <c r="G244" s="510" t="s">
        <v>326</v>
      </c>
      <c r="H244" s="484">
        <v>15</v>
      </c>
      <c r="I244" s="484">
        <v>8</v>
      </c>
      <c r="J244" s="484">
        <v>8</v>
      </c>
      <c r="K244" s="482">
        <v>12008.05</v>
      </c>
      <c r="L244" s="482">
        <v>12008.05</v>
      </c>
      <c r="M244" s="482">
        <v>0</v>
      </c>
      <c r="N244" s="484">
        <v>9</v>
      </c>
      <c r="O244" s="482">
        <v>10605.75</v>
      </c>
      <c r="P244" s="482">
        <v>6739.65</v>
      </c>
      <c r="Q244" s="482">
        <v>3866.1</v>
      </c>
    </row>
    <row r="245" spans="1:17" ht="15.75" customHeight="1" x14ac:dyDescent="0.2">
      <c r="A245" s="484">
        <f t="shared" si="3"/>
        <v>237</v>
      </c>
      <c r="B245" s="484" t="s">
        <v>27</v>
      </c>
      <c r="C245" s="516" t="s">
        <v>62</v>
      </c>
      <c r="D245" s="484"/>
      <c r="E245" s="486" t="s">
        <v>158</v>
      </c>
      <c r="F245" s="486" t="s">
        <v>337</v>
      </c>
      <c r="G245" s="510" t="s">
        <v>326</v>
      </c>
      <c r="H245" s="484">
        <v>13</v>
      </c>
      <c r="I245" s="484">
        <v>12</v>
      </c>
      <c r="J245" s="484">
        <v>12</v>
      </c>
      <c r="K245" s="482">
        <v>12823.4</v>
      </c>
      <c r="L245" s="482">
        <v>12823.4</v>
      </c>
      <c r="M245" s="482">
        <v>0</v>
      </c>
      <c r="N245" s="484">
        <v>0</v>
      </c>
      <c r="O245" s="482">
        <v>0</v>
      </c>
      <c r="P245" s="482">
        <v>0</v>
      </c>
      <c r="Q245" s="482">
        <v>0</v>
      </c>
    </row>
    <row r="246" spans="1:17" ht="15.75" customHeight="1" x14ac:dyDescent="0.2">
      <c r="A246" s="484">
        <f t="shared" si="3"/>
        <v>238</v>
      </c>
      <c r="B246" s="484" t="s">
        <v>190</v>
      </c>
      <c r="C246" s="516" t="s">
        <v>62</v>
      </c>
      <c r="D246" s="484"/>
      <c r="E246" s="486" t="s">
        <v>675</v>
      </c>
      <c r="F246" s="486" t="s">
        <v>339</v>
      </c>
      <c r="G246" s="510" t="s">
        <v>326</v>
      </c>
      <c r="H246" s="484">
        <v>22</v>
      </c>
      <c r="I246" s="484">
        <v>11</v>
      </c>
      <c r="J246" s="484">
        <v>11</v>
      </c>
      <c r="K246" s="482">
        <v>20433.8</v>
      </c>
      <c r="L246" s="482">
        <v>20433.8</v>
      </c>
      <c r="M246" s="482">
        <v>0</v>
      </c>
      <c r="N246" s="484">
        <v>0</v>
      </c>
      <c r="O246" s="482">
        <v>0</v>
      </c>
      <c r="P246" s="482">
        <v>0</v>
      </c>
      <c r="Q246" s="482">
        <v>0</v>
      </c>
    </row>
    <row r="247" spans="1:17" ht="15.75" customHeight="1" x14ac:dyDescent="0.2">
      <c r="A247" s="484">
        <f t="shared" si="3"/>
        <v>239</v>
      </c>
      <c r="B247" s="484" t="s">
        <v>89</v>
      </c>
      <c r="C247" s="516" t="s">
        <v>62</v>
      </c>
      <c r="D247" s="484"/>
      <c r="E247" s="486" t="s">
        <v>74</v>
      </c>
      <c r="F247" s="486" t="s">
        <v>340</v>
      </c>
      <c r="G247" s="510" t="s">
        <v>326</v>
      </c>
      <c r="H247" s="484">
        <v>7</v>
      </c>
      <c r="I247" s="484">
        <v>6</v>
      </c>
      <c r="J247" s="484">
        <v>6</v>
      </c>
      <c r="K247" s="482">
        <v>8633.7999999999993</v>
      </c>
      <c r="L247" s="482">
        <v>8633.7999999999993</v>
      </c>
      <c r="M247" s="482">
        <v>0</v>
      </c>
      <c r="N247" s="484">
        <v>4</v>
      </c>
      <c r="O247" s="482">
        <v>9250.5</v>
      </c>
      <c r="P247" s="482">
        <v>9250.5</v>
      </c>
      <c r="Q247" s="482">
        <v>0</v>
      </c>
    </row>
    <row r="248" spans="1:17" ht="15.75" customHeight="1" x14ac:dyDescent="0.2">
      <c r="A248" s="484">
        <f t="shared" si="3"/>
        <v>240</v>
      </c>
      <c r="B248" s="484" t="s">
        <v>196</v>
      </c>
      <c r="C248" s="516" t="s">
        <v>62</v>
      </c>
      <c r="D248" s="484"/>
      <c r="E248" s="486" t="s">
        <v>683</v>
      </c>
      <c r="F248" s="486" t="s">
        <v>342</v>
      </c>
      <c r="G248" s="510" t="s">
        <v>326</v>
      </c>
      <c r="H248" s="484">
        <v>7</v>
      </c>
      <c r="I248" s="484">
        <v>5</v>
      </c>
      <c r="J248" s="484">
        <v>5</v>
      </c>
      <c r="K248" s="482">
        <v>4933.6000000000004</v>
      </c>
      <c r="L248" s="482">
        <v>4933.6000000000004</v>
      </c>
      <c r="M248" s="482">
        <v>0</v>
      </c>
      <c r="N248" s="484">
        <v>0</v>
      </c>
      <c r="O248" s="482">
        <v>0</v>
      </c>
      <c r="P248" s="482">
        <v>0</v>
      </c>
      <c r="Q248" s="482">
        <v>0</v>
      </c>
    </row>
    <row r="249" spans="1:17" ht="15.75" customHeight="1" x14ac:dyDescent="0.2">
      <c r="A249" s="484">
        <f t="shared" si="3"/>
        <v>241</v>
      </c>
      <c r="B249" s="484" t="s">
        <v>631</v>
      </c>
      <c r="C249" s="516" t="s">
        <v>62</v>
      </c>
      <c r="D249" s="484"/>
      <c r="E249" s="486" t="s">
        <v>74</v>
      </c>
      <c r="F249" s="486" t="s">
        <v>642</v>
      </c>
      <c r="G249" s="510" t="s">
        <v>326</v>
      </c>
      <c r="H249" s="484">
        <v>3</v>
      </c>
      <c r="I249" s="484">
        <v>0</v>
      </c>
      <c r="J249" s="484">
        <v>0</v>
      </c>
      <c r="K249" s="482">
        <v>0</v>
      </c>
      <c r="L249" s="482">
        <v>0</v>
      </c>
      <c r="M249" s="482">
        <v>0</v>
      </c>
      <c r="N249" s="484">
        <v>0</v>
      </c>
      <c r="O249" s="482">
        <v>0</v>
      </c>
      <c r="P249" s="482">
        <v>0</v>
      </c>
      <c r="Q249" s="482">
        <v>0</v>
      </c>
    </row>
    <row r="250" spans="1:17" ht="15.75" customHeight="1" x14ac:dyDescent="0.2">
      <c r="A250" s="484">
        <f t="shared" si="3"/>
        <v>242</v>
      </c>
      <c r="B250" s="484" t="s">
        <v>343</v>
      </c>
      <c r="C250" s="516" t="s">
        <v>62</v>
      </c>
      <c r="D250" s="484"/>
      <c r="E250" s="486" t="s">
        <v>74</v>
      </c>
      <c r="F250" s="486" t="s">
        <v>344</v>
      </c>
      <c r="G250" s="510" t="s">
        <v>326</v>
      </c>
      <c r="H250" s="484">
        <v>11</v>
      </c>
      <c r="I250" s="484">
        <v>2</v>
      </c>
      <c r="J250" s="484">
        <v>2</v>
      </c>
      <c r="K250" s="482">
        <v>2466.8000000000002</v>
      </c>
      <c r="L250" s="482">
        <v>2466.8000000000002</v>
      </c>
      <c r="M250" s="482">
        <v>0</v>
      </c>
      <c r="N250" s="484">
        <v>0</v>
      </c>
      <c r="O250" s="482">
        <v>0</v>
      </c>
      <c r="P250" s="482">
        <v>0</v>
      </c>
      <c r="Q250" s="482">
        <v>0</v>
      </c>
    </row>
    <row r="251" spans="1:17" ht="15.75" customHeight="1" x14ac:dyDescent="0.2">
      <c r="A251" s="484">
        <f t="shared" si="3"/>
        <v>243</v>
      </c>
      <c r="B251" s="484" t="s">
        <v>154</v>
      </c>
      <c r="C251" s="516" t="s">
        <v>62</v>
      </c>
      <c r="D251" s="484"/>
      <c r="E251" s="486" t="s">
        <v>74</v>
      </c>
      <c r="F251" s="486" t="s">
        <v>345</v>
      </c>
      <c r="G251" s="510" t="s">
        <v>326</v>
      </c>
      <c r="H251" s="484">
        <v>7</v>
      </c>
      <c r="I251" s="484">
        <v>7</v>
      </c>
      <c r="J251" s="484">
        <v>7</v>
      </c>
      <c r="K251" s="482">
        <v>9690.15</v>
      </c>
      <c r="L251" s="482">
        <v>9690.15</v>
      </c>
      <c r="M251" s="482">
        <v>0</v>
      </c>
      <c r="N251" s="484">
        <v>7</v>
      </c>
      <c r="O251" s="482">
        <v>9770</v>
      </c>
      <c r="P251" s="482">
        <v>9770</v>
      </c>
      <c r="Q251" s="482">
        <v>0</v>
      </c>
    </row>
    <row r="252" spans="1:17" ht="15.75" customHeight="1" x14ac:dyDescent="0.2">
      <c r="A252" s="484">
        <f t="shared" si="3"/>
        <v>244</v>
      </c>
      <c r="B252" s="484" t="s">
        <v>346</v>
      </c>
      <c r="C252" s="516" t="s">
        <v>62</v>
      </c>
      <c r="D252" s="484"/>
      <c r="E252" s="486" t="s">
        <v>158</v>
      </c>
      <c r="F252" s="486" t="s">
        <v>347</v>
      </c>
      <c r="G252" s="510" t="s">
        <v>326</v>
      </c>
      <c r="H252" s="484">
        <v>4</v>
      </c>
      <c r="I252" s="484">
        <v>0</v>
      </c>
      <c r="J252" s="484">
        <v>0</v>
      </c>
      <c r="K252" s="482">
        <v>0</v>
      </c>
      <c r="L252" s="482">
        <v>0</v>
      </c>
      <c r="M252" s="482">
        <v>0</v>
      </c>
      <c r="N252" s="484">
        <v>0</v>
      </c>
      <c r="O252" s="482">
        <v>0</v>
      </c>
      <c r="P252" s="482">
        <v>0</v>
      </c>
      <c r="Q252" s="482">
        <v>0</v>
      </c>
    </row>
    <row r="253" spans="1:17" ht="15.75" customHeight="1" x14ac:dyDescent="0.2">
      <c r="A253" s="484">
        <f t="shared" si="3"/>
        <v>245</v>
      </c>
      <c r="B253" s="484" t="s">
        <v>348</v>
      </c>
      <c r="C253" s="516" t="s">
        <v>62</v>
      </c>
      <c r="D253" s="484"/>
      <c r="E253" s="486" t="s">
        <v>158</v>
      </c>
      <c r="F253" s="486" t="s">
        <v>349</v>
      </c>
      <c r="G253" s="510" t="s">
        <v>326</v>
      </c>
      <c r="H253" s="484">
        <v>6</v>
      </c>
      <c r="I253" s="484">
        <v>0</v>
      </c>
      <c r="J253" s="484">
        <v>0</v>
      </c>
      <c r="K253" s="482">
        <v>0</v>
      </c>
      <c r="L253" s="482">
        <v>0</v>
      </c>
      <c r="M253" s="482">
        <v>0</v>
      </c>
      <c r="N253" s="484">
        <v>0</v>
      </c>
      <c r="O253" s="482">
        <v>0</v>
      </c>
      <c r="P253" s="482">
        <v>0</v>
      </c>
      <c r="Q253" s="482">
        <v>0</v>
      </c>
    </row>
    <row r="254" spans="1:17" ht="15.75" customHeight="1" x14ac:dyDescent="0.2">
      <c r="A254" s="484">
        <f t="shared" si="3"/>
        <v>246</v>
      </c>
      <c r="B254" s="484" t="s">
        <v>350</v>
      </c>
      <c r="C254" s="516" t="s">
        <v>62</v>
      </c>
      <c r="D254" s="484"/>
      <c r="E254" s="486" t="s">
        <v>74</v>
      </c>
      <c r="F254" s="486" t="s">
        <v>351</v>
      </c>
      <c r="G254" s="510" t="s">
        <v>326</v>
      </c>
      <c r="H254" s="484">
        <v>1</v>
      </c>
      <c r="I254" s="484">
        <v>1</v>
      </c>
      <c r="J254" s="484">
        <v>1</v>
      </c>
      <c r="K254" s="482">
        <v>528.6</v>
      </c>
      <c r="L254" s="482">
        <v>528.6</v>
      </c>
      <c r="M254" s="482">
        <v>0</v>
      </c>
      <c r="N254" s="484">
        <v>4</v>
      </c>
      <c r="O254" s="482">
        <v>5065.75</v>
      </c>
      <c r="P254" s="482">
        <v>5065.75</v>
      </c>
      <c r="Q254" s="482">
        <v>0</v>
      </c>
    </row>
    <row r="255" spans="1:17" ht="15.75" customHeight="1" x14ac:dyDescent="0.2">
      <c r="A255" s="484">
        <f t="shared" si="3"/>
        <v>247</v>
      </c>
      <c r="B255" s="484" t="s">
        <v>222</v>
      </c>
      <c r="C255" s="516" t="s">
        <v>64</v>
      </c>
      <c r="D255" s="484" t="s">
        <v>352</v>
      </c>
      <c r="E255" s="486" t="s">
        <v>158</v>
      </c>
      <c r="F255" s="486" t="s">
        <v>353</v>
      </c>
      <c r="G255" s="510" t="s">
        <v>326</v>
      </c>
      <c r="H255" s="484">
        <v>6</v>
      </c>
      <c r="I255" s="484">
        <v>2</v>
      </c>
      <c r="J255" s="484">
        <v>2</v>
      </c>
      <c r="K255" s="482">
        <v>3524</v>
      </c>
      <c r="L255" s="482">
        <v>3524</v>
      </c>
      <c r="M255" s="482">
        <v>0</v>
      </c>
      <c r="N255" s="484">
        <v>0</v>
      </c>
      <c r="O255" s="482">
        <v>0</v>
      </c>
      <c r="P255" s="482">
        <v>0</v>
      </c>
      <c r="Q255" s="482">
        <v>0</v>
      </c>
    </row>
    <row r="256" spans="1:17" ht="15.75" customHeight="1" x14ac:dyDescent="0.2">
      <c r="A256" s="484">
        <f t="shared" si="3"/>
        <v>248</v>
      </c>
      <c r="B256" s="484" t="s">
        <v>232</v>
      </c>
      <c r="C256" s="516" t="s">
        <v>62</v>
      </c>
      <c r="D256" s="484"/>
      <c r="E256" s="486" t="s">
        <v>74</v>
      </c>
      <c r="F256" s="486" t="s">
        <v>722</v>
      </c>
      <c r="G256" s="510" t="s">
        <v>326</v>
      </c>
      <c r="H256" s="484">
        <v>2</v>
      </c>
      <c r="I256" s="484">
        <v>0</v>
      </c>
      <c r="J256" s="484">
        <v>0</v>
      </c>
      <c r="K256" s="482">
        <v>0</v>
      </c>
      <c r="L256" s="482">
        <v>0</v>
      </c>
      <c r="M256" s="482">
        <v>0</v>
      </c>
      <c r="N256" s="484">
        <v>0</v>
      </c>
      <c r="O256" s="482">
        <v>0</v>
      </c>
      <c r="P256" s="482">
        <v>0</v>
      </c>
      <c r="Q256" s="482">
        <v>0</v>
      </c>
    </row>
    <row r="257" spans="1:17" ht="15.75" customHeight="1" x14ac:dyDescent="0.2">
      <c r="A257" s="484">
        <f t="shared" si="3"/>
        <v>249</v>
      </c>
      <c r="B257" s="484" t="s">
        <v>238</v>
      </c>
      <c r="C257" s="516" t="s">
        <v>62</v>
      </c>
      <c r="D257" s="484"/>
      <c r="E257" s="486" t="s">
        <v>158</v>
      </c>
      <c r="F257" s="486" t="s">
        <v>354</v>
      </c>
      <c r="G257" s="510" t="s">
        <v>326</v>
      </c>
      <c r="H257" s="484">
        <v>9</v>
      </c>
      <c r="I257" s="484">
        <v>6</v>
      </c>
      <c r="J257" s="484">
        <v>6</v>
      </c>
      <c r="K257" s="482">
        <v>8060.55</v>
      </c>
      <c r="L257" s="482">
        <v>8060.55</v>
      </c>
      <c r="M257" s="482">
        <v>0</v>
      </c>
      <c r="N257" s="484">
        <v>0</v>
      </c>
      <c r="O257" s="482">
        <v>0</v>
      </c>
      <c r="P257" s="482">
        <v>0</v>
      </c>
      <c r="Q257" s="482">
        <v>0</v>
      </c>
    </row>
    <row r="258" spans="1:17" ht="15.75" customHeight="1" x14ac:dyDescent="0.2">
      <c r="A258" s="484">
        <f t="shared" si="3"/>
        <v>250</v>
      </c>
      <c r="B258" s="484" t="s">
        <v>355</v>
      </c>
      <c r="C258" s="516" t="s">
        <v>62</v>
      </c>
      <c r="D258" s="484"/>
      <c r="E258" s="486" t="s">
        <v>158</v>
      </c>
      <c r="F258" s="486" t="s">
        <v>356</v>
      </c>
      <c r="G258" s="510" t="s">
        <v>326</v>
      </c>
      <c r="H258" s="484">
        <v>7</v>
      </c>
      <c r="I258" s="484">
        <v>3</v>
      </c>
      <c r="J258" s="484">
        <v>3</v>
      </c>
      <c r="K258" s="482">
        <v>3971.2</v>
      </c>
      <c r="L258" s="482">
        <v>3971.2</v>
      </c>
      <c r="M258" s="482">
        <v>0</v>
      </c>
      <c r="N258" s="484">
        <v>0</v>
      </c>
      <c r="O258" s="482">
        <v>0</v>
      </c>
      <c r="P258" s="482">
        <v>0</v>
      </c>
      <c r="Q258" s="482">
        <v>0</v>
      </c>
    </row>
    <row r="259" spans="1:17" ht="15.75" customHeight="1" x14ac:dyDescent="0.2">
      <c r="A259" s="484">
        <f t="shared" si="3"/>
        <v>251</v>
      </c>
      <c r="B259" s="484" t="s">
        <v>357</v>
      </c>
      <c r="C259" s="516" t="s">
        <v>64</v>
      </c>
      <c r="D259" s="534" t="s">
        <v>358</v>
      </c>
      <c r="E259" s="486" t="s">
        <v>158</v>
      </c>
      <c r="F259" s="486" t="s">
        <v>507</v>
      </c>
      <c r="G259" s="510" t="s">
        <v>326</v>
      </c>
      <c r="H259" s="484">
        <v>3</v>
      </c>
      <c r="I259" s="484">
        <v>2</v>
      </c>
      <c r="J259" s="484">
        <v>2</v>
      </c>
      <c r="K259" s="482">
        <v>3129.7</v>
      </c>
      <c r="L259" s="482">
        <v>3129.7</v>
      </c>
      <c r="M259" s="482">
        <v>0</v>
      </c>
      <c r="N259" s="484">
        <v>0</v>
      </c>
      <c r="O259" s="482">
        <v>0</v>
      </c>
      <c r="P259" s="482">
        <v>0</v>
      </c>
      <c r="Q259" s="482">
        <v>0</v>
      </c>
    </row>
    <row r="260" spans="1:17" ht="15.75" customHeight="1" x14ac:dyDescent="0.2">
      <c r="A260" s="484">
        <f t="shared" si="3"/>
        <v>252</v>
      </c>
      <c r="B260" s="484" t="s">
        <v>36</v>
      </c>
      <c r="C260" s="516" t="s">
        <v>62</v>
      </c>
      <c r="D260" s="484"/>
      <c r="E260" s="486" t="s">
        <v>74</v>
      </c>
      <c r="F260" s="486" t="s">
        <v>630</v>
      </c>
      <c r="G260" s="510" t="s">
        <v>326</v>
      </c>
      <c r="H260" s="484">
        <v>2</v>
      </c>
      <c r="I260" s="484">
        <v>1</v>
      </c>
      <c r="J260" s="484">
        <v>1</v>
      </c>
      <c r="K260" s="482">
        <v>552.29999999999995</v>
      </c>
      <c r="L260" s="482">
        <v>552.29999999999995</v>
      </c>
      <c r="M260" s="482">
        <v>0</v>
      </c>
      <c r="N260" s="484">
        <v>0</v>
      </c>
      <c r="O260" s="482">
        <v>0</v>
      </c>
      <c r="P260" s="482">
        <v>0</v>
      </c>
      <c r="Q260" s="482">
        <v>0</v>
      </c>
    </row>
    <row r="261" spans="1:17" ht="15.75" customHeight="1" x14ac:dyDescent="0.2">
      <c r="A261" s="484">
        <f t="shared" si="3"/>
        <v>253</v>
      </c>
      <c r="B261" s="484" t="s">
        <v>359</v>
      </c>
      <c r="C261" s="516" t="s">
        <v>62</v>
      </c>
      <c r="D261" s="484"/>
      <c r="E261" s="486" t="s">
        <v>158</v>
      </c>
      <c r="F261" s="486" t="s">
        <v>360</v>
      </c>
      <c r="G261" s="510" t="s">
        <v>326</v>
      </c>
      <c r="H261" s="484">
        <v>5</v>
      </c>
      <c r="I261" s="484">
        <v>5</v>
      </c>
      <c r="J261" s="484">
        <v>5</v>
      </c>
      <c r="K261" s="482">
        <v>4933.6000000000004</v>
      </c>
      <c r="L261" s="482">
        <v>4933.6000000000004</v>
      </c>
      <c r="M261" s="482">
        <v>0</v>
      </c>
      <c r="N261" s="484">
        <v>0</v>
      </c>
      <c r="O261" s="482">
        <v>0</v>
      </c>
      <c r="P261" s="482">
        <v>0</v>
      </c>
      <c r="Q261" s="482">
        <v>0</v>
      </c>
    </row>
    <row r="262" spans="1:17" ht="15.75" customHeight="1" x14ac:dyDescent="0.2">
      <c r="A262" s="484">
        <f t="shared" si="3"/>
        <v>254</v>
      </c>
      <c r="B262" s="484" t="s">
        <v>118</v>
      </c>
      <c r="C262" s="516" t="s">
        <v>62</v>
      </c>
      <c r="D262" s="484"/>
      <c r="E262" s="486" t="s">
        <v>675</v>
      </c>
      <c r="F262" s="486" t="s">
        <v>361</v>
      </c>
      <c r="G262" s="510" t="s">
        <v>326</v>
      </c>
      <c r="H262" s="484">
        <v>1</v>
      </c>
      <c r="I262" s="484">
        <v>1</v>
      </c>
      <c r="J262" s="484">
        <v>1</v>
      </c>
      <c r="K262" s="482">
        <v>1012.55</v>
      </c>
      <c r="L262" s="482">
        <v>1012.55</v>
      </c>
      <c r="M262" s="482">
        <v>0</v>
      </c>
      <c r="N262" s="484">
        <v>0</v>
      </c>
      <c r="O262" s="482">
        <v>0</v>
      </c>
      <c r="P262" s="482">
        <v>0</v>
      </c>
      <c r="Q262" s="482">
        <v>0</v>
      </c>
    </row>
    <row r="263" spans="1:17" ht="15.75" customHeight="1" x14ac:dyDescent="0.2">
      <c r="A263" s="484">
        <f t="shared" si="3"/>
        <v>255</v>
      </c>
      <c r="B263" s="484" t="s">
        <v>246</v>
      </c>
      <c r="C263" s="516" t="s">
        <v>62</v>
      </c>
      <c r="D263" s="484"/>
      <c r="E263" s="486" t="s">
        <v>158</v>
      </c>
      <c r="F263" s="486" t="s">
        <v>362</v>
      </c>
      <c r="G263" s="510" t="s">
        <v>326</v>
      </c>
      <c r="H263" s="484">
        <v>5</v>
      </c>
      <c r="I263" s="484">
        <v>3</v>
      </c>
      <c r="J263" s="484">
        <v>3</v>
      </c>
      <c r="K263" s="482">
        <v>2522.1</v>
      </c>
      <c r="L263" s="482">
        <v>2522.1</v>
      </c>
      <c r="M263" s="482">
        <v>0</v>
      </c>
      <c r="N263" s="484">
        <v>0</v>
      </c>
      <c r="O263" s="482">
        <v>0</v>
      </c>
      <c r="P263" s="482">
        <v>0</v>
      </c>
      <c r="Q263" s="482">
        <v>0</v>
      </c>
    </row>
    <row r="264" spans="1:17" ht="15.75" customHeight="1" x14ac:dyDescent="0.2">
      <c r="A264" s="484">
        <f t="shared" si="3"/>
        <v>256</v>
      </c>
      <c r="B264" s="484" t="s">
        <v>643</v>
      </c>
      <c r="C264" s="516" t="s">
        <v>62</v>
      </c>
      <c r="D264" s="484"/>
      <c r="E264" s="486" t="s">
        <v>74</v>
      </c>
      <c r="F264" s="486" t="s">
        <v>644</v>
      </c>
      <c r="G264" s="510" t="s">
        <v>326</v>
      </c>
      <c r="H264" s="484">
        <v>2</v>
      </c>
      <c r="I264" s="484">
        <v>0</v>
      </c>
      <c r="J264" s="484">
        <v>0</v>
      </c>
      <c r="K264" s="482">
        <v>0</v>
      </c>
      <c r="L264" s="482">
        <v>0</v>
      </c>
      <c r="M264" s="482">
        <v>0</v>
      </c>
      <c r="N264" s="484">
        <v>0</v>
      </c>
      <c r="O264" s="482">
        <v>0</v>
      </c>
      <c r="P264" s="482">
        <v>0</v>
      </c>
      <c r="Q264" s="482">
        <v>0</v>
      </c>
    </row>
    <row r="265" spans="1:17" ht="15.75" customHeight="1" x14ac:dyDescent="0.2">
      <c r="A265" s="484">
        <f t="shared" si="3"/>
        <v>257</v>
      </c>
      <c r="B265" s="484" t="s">
        <v>43</v>
      </c>
      <c r="C265" s="516" t="s">
        <v>62</v>
      </c>
      <c r="D265" s="484"/>
      <c r="E265" s="486" t="s">
        <v>74</v>
      </c>
      <c r="F265" s="486" t="s">
        <v>363</v>
      </c>
      <c r="G265" s="510" t="s">
        <v>326</v>
      </c>
      <c r="H265" s="484">
        <v>4</v>
      </c>
      <c r="I265" s="484">
        <v>1</v>
      </c>
      <c r="J265" s="484">
        <v>1</v>
      </c>
      <c r="K265" s="482">
        <v>660.75</v>
      </c>
      <c r="L265" s="482">
        <v>660.75</v>
      </c>
      <c r="M265" s="482">
        <v>0</v>
      </c>
      <c r="N265" s="484">
        <v>0</v>
      </c>
      <c r="O265" s="482">
        <v>0</v>
      </c>
      <c r="P265" s="482">
        <v>0</v>
      </c>
      <c r="Q265" s="482">
        <v>0</v>
      </c>
    </row>
    <row r="266" spans="1:17" ht="15.75" customHeight="1" x14ac:dyDescent="0.2">
      <c r="A266" s="484">
        <f t="shared" si="3"/>
        <v>258</v>
      </c>
      <c r="B266" s="484" t="s">
        <v>364</v>
      </c>
      <c r="C266" s="516" t="s">
        <v>62</v>
      </c>
      <c r="D266" s="484"/>
      <c r="E266" s="486" t="s">
        <v>74</v>
      </c>
      <c r="F266" s="486" t="s">
        <v>365</v>
      </c>
      <c r="G266" s="510" t="s">
        <v>326</v>
      </c>
      <c r="H266" s="484">
        <v>8</v>
      </c>
      <c r="I266" s="484">
        <v>3</v>
      </c>
      <c r="J266" s="484">
        <v>3</v>
      </c>
      <c r="K266" s="482">
        <v>7069.3</v>
      </c>
      <c r="L266" s="482">
        <v>7069.3</v>
      </c>
      <c r="M266" s="482">
        <v>0</v>
      </c>
      <c r="N266" s="484">
        <v>3</v>
      </c>
      <c r="O266" s="482">
        <v>9692.9599999999991</v>
      </c>
      <c r="P266" s="482">
        <v>9692.9599999999991</v>
      </c>
      <c r="Q266" s="482">
        <v>0</v>
      </c>
    </row>
    <row r="267" spans="1:17" ht="15.75" customHeight="1" x14ac:dyDescent="0.2">
      <c r="A267" s="484">
        <f t="shared" si="3"/>
        <v>259</v>
      </c>
      <c r="B267" s="484" t="s">
        <v>46</v>
      </c>
      <c r="C267" s="516" t="s">
        <v>62</v>
      </c>
      <c r="D267" s="484"/>
      <c r="E267" s="486" t="s">
        <v>678</v>
      </c>
      <c r="F267" s="486" t="s">
        <v>367</v>
      </c>
      <c r="G267" s="510" t="s">
        <v>326</v>
      </c>
      <c r="H267" s="484">
        <v>0</v>
      </c>
      <c r="I267" s="484">
        <v>0</v>
      </c>
      <c r="J267" s="484">
        <v>0</v>
      </c>
      <c r="K267" s="482">
        <v>0</v>
      </c>
      <c r="L267" s="482">
        <v>0</v>
      </c>
      <c r="M267" s="482">
        <v>0</v>
      </c>
      <c r="N267" s="484">
        <v>2</v>
      </c>
      <c r="O267" s="482">
        <v>4669.3</v>
      </c>
      <c r="P267" s="482">
        <v>4669.3</v>
      </c>
      <c r="Q267" s="482">
        <v>0</v>
      </c>
    </row>
    <row r="268" spans="1:17" ht="15.75" customHeight="1" x14ac:dyDescent="0.2">
      <c r="A268" s="484">
        <f t="shared" ref="A268:A298" si="4">A267+1</f>
        <v>260</v>
      </c>
      <c r="B268" s="484" t="s">
        <v>270</v>
      </c>
      <c r="C268" s="516" t="s">
        <v>62</v>
      </c>
      <c r="D268" s="484"/>
      <c r="E268" s="486" t="s">
        <v>74</v>
      </c>
      <c r="F268" s="486" t="s">
        <v>539</v>
      </c>
      <c r="G268" s="510" t="s">
        <v>326</v>
      </c>
      <c r="H268" s="484">
        <v>3</v>
      </c>
      <c r="I268" s="484">
        <v>1</v>
      </c>
      <c r="J268" s="484">
        <v>1</v>
      </c>
      <c r="K268" s="482">
        <v>1012.55</v>
      </c>
      <c r="L268" s="482">
        <v>1012.55</v>
      </c>
      <c r="M268" s="482">
        <v>0</v>
      </c>
      <c r="N268" s="484">
        <v>0</v>
      </c>
      <c r="O268" s="482">
        <v>0</v>
      </c>
      <c r="P268" s="482">
        <v>0</v>
      </c>
      <c r="Q268" s="482">
        <v>0</v>
      </c>
    </row>
    <row r="269" spans="1:17" ht="15.75" customHeight="1" x14ac:dyDescent="0.2">
      <c r="A269" s="484">
        <f t="shared" si="4"/>
        <v>261</v>
      </c>
      <c r="B269" s="484" t="s">
        <v>621</v>
      </c>
      <c r="C269" s="516" t="s">
        <v>62</v>
      </c>
      <c r="D269" s="484"/>
      <c r="E269" s="486" t="s">
        <v>74</v>
      </c>
      <c r="F269" s="486" t="s">
        <v>622</v>
      </c>
      <c r="G269" s="510" t="s">
        <v>326</v>
      </c>
      <c r="H269" s="484">
        <v>5</v>
      </c>
      <c r="I269" s="484">
        <v>1</v>
      </c>
      <c r="J269" s="484">
        <v>1</v>
      </c>
      <c r="K269" s="482">
        <v>1012.55</v>
      </c>
      <c r="L269" s="482">
        <v>1012.55</v>
      </c>
      <c r="M269" s="482">
        <v>0</v>
      </c>
      <c r="N269" s="484">
        <v>0</v>
      </c>
      <c r="O269" s="482">
        <v>0</v>
      </c>
      <c r="P269" s="482">
        <v>0</v>
      </c>
      <c r="Q269" s="482">
        <v>0</v>
      </c>
    </row>
    <row r="270" spans="1:17" ht="15.75" customHeight="1" x14ac:dyDescent="0.2">
      <c r="A270" s="484">
        <f t="shared" si="4"/>
        <v>262</v>
      </c>
      <c r="B270" s="484" t="s">
        <v>723</v>
      </c>
      <c r="C270" s="516" t="s">
        <v>62</v>
      </c>
      <c r="D270" s="484"/>
      <c r="E270" s="486" t="s">
        <v>74</v>
      </c>
      <c r="F270" s="486" t="s">
        <v>724</v>
      </c>
      <c r="G270" s="510" t="s">
        <v>326</v>
      </c>
      <c r="H270" s="484">
        <v>2</v>
      </c>
      <c r="I270" s="484">
        <v>0</v>
      </c>
      <c r="J270" s="484">
        <v>0</v>
      </c>
      <c r="K270" s="482">
        <v>0</v>
      </c>
      <c r="L270" s="482">
        <v>0</v>
      </c>
      <c r="M270" s="482">
        <v>0</v>
      </c>
      <c r="N270" s="484">
        <v>0</v>
      </c>
      <c r="O270" s="482">
        <v>0</v>
      </c>
      <c r="P270" s="482">
        <v>0</v>
      </c>
      <c r="Q270" s="482">
        <v>0</v>
      </c>
    </row>
    <row r="271" spans="1:17" ht="15.75" customHeight="1" x14ac:dyDescent="0.2">
      <c r="A271" s="484">
        <f t="shared" si="4"/>
        <v>263</v>
      </c>
      <c r="B271" s="484" t="s">
        <v>96</v>
      </c>
      <c r="C271" s="516" t="s">
        <v>62</v>
      </c>
      <c r="D271" s="484"/>
      <c r="E271" s="486" t="s">
        <v>772</v>
      </c>
      <c r="F271" s="486" t="s">
        <v>540</v>
      </c>
      <c r="G271" s="510" t="s">
        <v>326</v>
      </c>
      <c r="H271" s="484">
        <v>1</v>
      </c>
      <c r="I271" s="484">
        <v>0</v>
      </c>
      <c r="J271" s="484">
        <v>0</v>
      </c>
      <c r="K271" s="482">
        <v>0</v>
      </c>
      <c r="L271" s="482">
        <v>0</v>
      </c>
      <c r="M271" s="482">
        <v>0</v>
      </c>
      <c r="N271" s="484">
        <v>1</v>
      </c>
      <c r="O271" s="482">
        <v>0</v>
      </c>
      <c r="P271" s="482">
        <v>0</v>
      </c>
      <c r="Q271" s="482">
        <v>0</v>
      </c>
    </row>
    <row r="272" spans="1:17" ht="15.75" customHeight="1" x14ac:dyDescent="0.2">
      <c r="A272" s="484">
        <f t="shared" si="4"/>
        <v>264</v>
      </c>
      <c r="B272" s="484" t="s">
        <v>124</v>
      </c>
      <c r="C272" s="516" t="s">
        <v>62</v>
      </c>
      <c r="D272" s="484"/>
      <c r="E272" s="486" t="s">
        <v>773</v>
      </c>
      <c r="F272" s="486" t="s">
        <v>368</v>
      </c>
      <c r="G272" s="510" t="s">
        <v>326</v>
      </c>
      <c r="H272" s="484">
        <v>27</v>
      </c>
      <c r="I272" s="484">
        <v>19</v>
      </c>
      <c r="J272" s="484">
        <v>19</v>
      </c>
      <c r="K272" s="482">
        <v>23114.5</v>
      </c>
      <c r="L272" s="482">
        <v>17959.7</v>
      </c>
      <c r="M272" s="482">
        <v>5154.8</v>
      </c>
      <c r="N272" s="484">
        <v>8</v>
      </c>
      <c r="O272" s="482">
        <v>4753.3999999999996</v>
      </c>
      <c r="P272" s="482">
        <v>4753.3999999999996</v>
      </c>
      <c r="Q272" s="482">
        <v>0</v>
      </c>
    </row>
    <row r="273" spans="1:17" ht="15.75" customHeight="1" x14ac:dyDescent="0.2">
      <c r="A273" s="484">
        <f t="shared" si="4"/>
        <v>265</v>
      </c>
      <c r="B273" s="484" t="s">
        <v>51</v>
      </c>
      <c r="C273" s="516" t="s">
        <v>62</v>
      </c>
      <c r="D273" s="484"/>
      <c r="E273" s="486" t="s">
        <v>74</v>
      </c>
      <c r="F273" s="486" t="s">
        <v>369</v>
      </c>
      <c r="G273" s="510" t="s">
        <v>326</v>
      </c>
      <c r="H273" s="484">
        <v>0</v>
      </c>
      <c r="I273" s="484">
        <v>0</v>
      </c>
      <c r="J273" s="484">
        <v>0</v>
      </c>
      <c r="K273" s="482">
        <v>0</v>
      </c>
      <c r="L273" s="482">
        <v>0</v>
      </c>
      <c r="M273" s="482">
        <v>0</v>
      </c>
      <c r="N273" s="484">
        <v>1</v>
      </c>
      <c r="O273" s="482">
        <v>2290.6</v>
      </c>
      <c r="P273" s="482">
        <v>2290.6</v>
      </c>
      <c r="Q273" s="482">
        <v>0</v>
      </c>
    </row>
    <row r="274" spans="1:17" ht="15.75" customHeight="1" x14ac:dyDescent="0.2">
      <c r="A274" s="484">
        <f t="shared" si="4"/>
        <v>266</v>
      </c>
      <c r="B274" s="484" t="s">
        <v>286</v>
      </c>
      <c r="C274" s="516" t="s">
        <v>62</v>
      </c>
      <c r="D274" s="484"/>
      <c r="E274" s="486" t="s">
        <v>74</v>
      </c>
      <c r="F274" s="486" t="s">
        <v>476</v>
      </c>
      <c r="G274" s="510" t="s">
        <v>326</v>
      </c>
      <c r="H274" s="484">
        <v>8</v>
      </c>
      <c r="I274" s="484">
        <v>4</v>
      </c>
      <c r="J274" s="484">
        <v>4</v>
      </c>
      <c r="K274" s="482">
        <v>3195.3</v>
      </c>
      <c r="L274" s="482">
        <v>3195.3</v>
      </c>
      <c r="M274" s="482">
        <v>0</v>
      </c>
      <c r="N274" s="484">
        <v>0</v>
      </c>
      <c r="O274" s="482">
        <v>0</v>
      </c>
      <c r="P274" s="482">
        <v>0</v>
      </c>
      <c r="Q274" s="482">
        <v>0</v>
      </c>
    </row>
    <row r="275" spans="1:17" ht="15.75" customHeight="1" x14ac:dyDescent="0.2">
      <c r="A275" s="484">
        <f t="shared" si="4"/>
        <v>267</v>
      </c>
      <c r="B275" s="484" t="s">
        <v>290</v>
      </c>
      <c r="C275" s="516" t="s">
        <v>62</v>
      </c>
      <c r="D275" s="484"/>
      <c r="E275" s="486" t="s">
        <v>74</v>
      </c>
      <c r="F275" s="486" t="s">
        <v>372</v>
      </c>
      <c r="G275" s="510" t="s">
        <v>326</v>
      </c>
      <c r="H275" s="484">
        <v>9</v>
      </c>
      <c r="I275" s="484">
        <v>8</v>
      </c>
      <c r="J275" s="484">
        <v>8</v>
      </c>
      <c r="K275" s="482">
        <v>6532.8</v>
      </c>
      <c r="L275" s="482">
        <v>6532.8</v>
      </c>
      <c r="M275" s="482">
        <v>0</v>
      </c>
      <c r="N275" s="484">
        <v>0</v>
      </c>
      <c r="O275" s="482">
        <v>0</v>
      </c>
      <c r="P275" s="482">
        <v>0</v>
      </c>
      <c r="Q275" s="482">
        <v>0</v>
      </c>
    </row>
    <row r="276" spans="1:17" ht="15.75" customHeight="1" x14ac:dyDescent="0.2">
      <c r="A276" s="484">
        <f t="shared" si="4"/>
        <v>268</v>
      </c>
      <c r="B276" s="484" t="s">
        <v>134</v>
      </c>
      <c r="C276" s="516" t="s">
        <v>62</v>
      </c>
      <c r="D276" s="484"/>
      <c r="E276" s="486" t="s">
        <v>74</v>
      </c>
      <c r="F276" s="486" t="s">
        <v>373</v>
      </c>
      <c r="G276" s="510" t="s">
        <v>326</v>
      </c>
      <c r="H276" s="484">
        <v>3</v>
      </c>
      <c r="I276" s="484">
        <v>1</v>
      </c>
      <c r="J276" s="484">
        <v>1</v>
      </c>
      <c r="K276" s="482">
        <v>1938.2</v>
      </c>
      <c r="L276" s="482">
        <v>1938.2</v>
      </c>
      <c r="M276" s="482">
        <v>0</v>
      </c>
      <c r="N276" s="484">
        <v>2</v>
      </c>
      <c r="O276" s="482">
        <v>2643</v>
      </c>
      <c r="P276" s="482">
        <v>2643</v>
      </c>
      <c r="Q276" s="482">
        <v>0</v>
      </c>
    </row>
    <row r="277" spans="1:17" ht="15.75" customHeight="1" x14ac:dyDescent="0.2">
      <c r="A277" s="484">
        <f t="shared" si="4"/>
        <v>269</v>
      </c>
      <c r="B277" s="484" t="s">
        <v>135</v>
      </c>
      <c r="C277" s="516" t="s">
        <v>62</v>
      </c>
      <c r="D277" s="484"/>
      <c r="E277" s="486" t="s">
        <v>74</v>
      </c>
      <c r="F277" s="486" t="s">
        <v>374</v>
      </c>
      <c r="G277" s="510" t="s">
        <v>326</v>
      </c>
      <c r="H277" s="484">
        <v>21</v>
      </c>
      <c r="I277" s="484">
        <v>5</v>
      </c>
      <c r="J277" s="484">
        <v>5</v>
      </c>
      <c r="K277" s="482">
        <v>10476.200000000001</v>
      </c>
      <c r="L277" s="482">
        <v>9376.32</v>
      </c>
      <c r="M277" s="482">
        <v>1099.8800000000001</v>
      </c>
      <c r="N277" s="484">
        <v>93</v>
      </c>
      <c r="O277" s="482">
        <v>46103.199999999997</v>
      </c>
      <c r="P277" s="482">
        <v>46103.199999999997</v>
      </c>
      <c r="Q277" s="482">
        <v>0</v>
      </c>
    </row>
    <row r="278" spans="1:17" ht="15.75" customHeight="1" x14ac:dyDescent="0.2">
      <c r="A278" s="484">
        <f t="shared" si="4"/>
        <v>270</v>
      </c>
      <c r="B278" s="484" t="s">
        <v>508</v>
      </c>
      <c r="C278" s="516" t="s">
        <v>64</v>
      </c>
      <c r="D278" s="484" t="s">
        <v>509</v>
      </c>
      <c r="E278" s="486" t="s">
        <v>74</v>
      </c>
      <c r="F278" s="486" t="s">
        <v>510</v>
      </c>
      <c r="G278" s="510" t="s">
        <v>326</v>
      </c>
      <c r="H278" s="484">
        <v>3</v>
      </c>
      <c r="I278" s="484">
        <v>2</v>
      </c>
      <c r="J278" s="484">
        <v>2</v>
      </c>
      <c r="K278" s="482">
        <v>4418.3999999999996</v>
      </c>
      <c r="L278" s="482">
        <v>4418.3999999999996</v>
      </c>
      <c r="M278" s="482">
        <v>0</v>
      </c>
      <c r="N278" s="484">
        <v>0</v>
      </c>
      <c r="O278" s="482">
        <v>0</v>
      </c>
      <c r="P278" s="482">
        <v>0</v>
      </c>
      <c r="Q278" s="482">
        <v>0</v>
      </c>
    </row>
    <row r="279" spans="1:17" ht="15.75" customHeight="1" x14ac:dyDescent="0.2">
      <c r="A279" s="484">
        <f t="shared" si="4"/>
        <v>271</v>
      </c>
      <c r="B279" s="484" t="s">
        <v>299</v>
      </c>
      <c r="C279" s="516" t="s">
        <v>62</v>
      </c>
      <c r="D279" s="484"/>
      <c r="E279" s="486" t="s">
        <v>158</v>
      </c>
      <c r="F279" s="486" t="s">
        <v>375</v>
      </c>
      <c r="G279" s="510" t="s">
        <v>326</v>
      </c>
      <c r="H279" s="484">
        <v>3</v>
      </c>
      <c r="I279" s="484">
        <v>1</v>
      </c>
      <c r="J279" s="484">
        <v>1</v>
      </c>
      <c r="K279" s="482">
        <v>704.8</v>
      </c>
      <c r="L279" s="482">
        <v>704.8</v>
      </c>
      <c r="M279" s="482">
        <v>0</v>
      </c>
      <c r="N279" s="484">
        <v>0</v>
      </c>
      <c r="O279" s="482">
        <v>0</v>
      </c>
      <c r="P279" s="482">
        <v>0</v>
      </c>
      <c r="Q279" s="482">
        <v>0</v>
      </c>
    </row>
    <row r="280" spans="1:17" ht="15.75" customHeight="1" x14ac:dyDescent="0.2">
      <c r="A280" s="484">
        <f t="shared" si="4"/>
        <v>272</v>
      </c>
      <c r="B280" s="484" t="s">
        <v>302</v>
      </c>
      <c r="C280" s="516" t="s">
        <v>62</v>
      </c>
      <c r="D280" s="484"/>
      <c r="E280" s="486" t="s">
        <v>74</v>
      </c>
      <c r="F280" s="486" t="s">
        <v>725</v>
      </c>
      <c r="G280" s="510" t="s">
        <v>326</v>
      </c>
      <c r="H280" s="484">
        <v>1</v>
      </c>
      <c r="I280" s="484">
        <v>0</v>
      </c>
      <c r="J280" s="484">
        <v>0</v>
      </c>
      <c r="K280" s="482">
        <v>0</v>
      </c>
      <c r="L280" s="482">
        <v>0</v>
      </c>
      <c r="M280" s="482">
        <v>0</v>
      </c>
      <c r="N280" s="484">
        <v>0</v>
      </c>
      <c r="O280" s="482">
        <v>0</v>
      </c>
      <c r="P280" s="482">
        <v>0</v>
      </c>
      <c r="Q280" s="482">
        <v>0</v>
      </c>
    </row>
    <row r="281" spans="1:17" ht="15.75" customHeight="1" x14ac:dyDescent="0.2">
      <c r="A281" s="484">
        <f t="shared" si="4"/>
        <v>273</v>
      </c>
      <c r="B281" s="484" t="s">
        <v>702</v>
      </c>
      <c r="C281" s="516" t="s">
        <v>62</v>
      </c>
      <c r="D281" s="484"/>
      <c r="E281" s="486" t="s">
        <v>74</v>
      </c>
      <c r="F281" s="486" t="s">
        <v>726</v>
      </c>
      <c r="G281" s="510" t="s">
        <v>326</v>
      </c>
      <c r="H281" s="484">
        <v>1</v>
      </c>
      <c r="I281" s="484">
        <v>0</v>
      </c>
      <c r="J281" s="484">
        <v>0</v>
      </c>
      <c r="K281" s="482">
        <v>0</v>
      </c>
      <c r="L281" s="482">
        <v>0</v>
      </c>
      <c r="M281" s="482">
        <v>0</v>
      </c>
      <c r="N281" s="484">
        <v>0</v>
      </c>
      <c r="O281" s="482">
        <v>0</v>
      </c>
      <c r="P281" s="482">
        <v>0</v>
      </c>
      <c r="Q281" s="482">
        <v>0</v>
      </c>
    </row>
    <row r="282" spans="1:17" ht="15.75" customHeight="1" x14ac:dyDescent="0.2">
      <c r="A282" s="484">
        <f t="shared" si="4"/>
        <v>274</v>
      </c>
      <c r="B282" s="484" t="s">
        <v>376</v>
      </c>
      <c r="C282" s="516" t="s">
        <v>62</v>
      </c>
      <c r="D282" s="484"/>
      <c r="E282" s="486" t="s">
        <v>74</v>
      </c>
      <c r="F282" s="486" t="s">
        <v>377</v>
      </c>
      <c r="G282" s="510" t="s">
        <v>326</v>
      </c>
      <c r="H282" s="484">
        <v>9</v>
      </c>
      <c r="I282" s="484">
        <v>6</v>
      </c>
      <c r="J282" s="484">
        <v>6</v>
      </c>
      <c r="K282" s="482">
        <v>6722.05</v>
      </c>
      <c r="L282" s="482">
        <v>6722.05</v>
      </c>
      <c r="M282" s="482">
        <v>0</v>
      </c>
      <c r="N282" s="484">
        <v>0</v>
      </c>
      <c r="O282" s="482">
        <v>0</v>
      </c>
      <c r="P282" s="482">
        <v>0</v>
      </c>
      <c r="Q282" s="482">
        <v>0</v>
      </c>
    </row>
    <row r="283" spans="1:17" ht="15.75" customHeight="1" x14ac:dyDescent="0.2">
      <c r="A283" s="484">
        <f t="shared" si="4"/>
        <v>275</v>
      </c>
      <c r="B283" s="484" t="s">
        <v>129</v>
      </c>
      <c r="C283" s="516" t="s">
        <v>62</v>
      </c>
      <c r="D283" s="484"/>
      <c r="E283" s="486" t="s">
        <v>74</v>
      </c>
      <c r="F283" s="486" t="s">
        <v>378</v>
      </c>
      <c r="G283" s="510" t="s">
        <v>326</v>
      </c>
      <c r="H283" s="484">
        <v>53</v>
      </c>
      <c r="I283" s="484">
        <v>36</v>
      </c>
      <c r="J283" s="484">
        <v>36</v>
      </c>
      <c r="K283" s="482">
        <v>56334.05</v>
      </c>
      <c r="L283" s="482">
        <v>56334.05</v>
      </c>
      <c r="M283" s="482">
        <v>0</v>
      </c>
      <c r="N283" s="484">
        <v>40</v>
      </c>
      <c r="O283" s="482">
        <v>75401.06</v>
      </c>
      <c r="P283" s="482">
        <v>75401.06</v>
      </c>
      <c r="Q283" s="482">
        <v>0</v>
      </c>
    </row>
    <row r="284" spans="1:17" ht="15.75" customHeight="1" x14ac:dyDescent="0.2">
      <c r="A284" s="484">
        <f t="shared" si="4"/>
        <v>276</v>
      </c>
      <c r="B284" s="484" t="s">
        <v>379</v>
      </c>
      <c r="C284" s="516" t="s">
        <v>62</v>
      </c>
      <c r="D284" s="484"/>
      <c r="E284" s="486" t="s">
        <v>158</v>
      </c>
      <c r="F284" s="486" t="s">
        <v>380</v>
      </c>
      <c r="G284" s="510" t="s">
        <v>326</v>
      </c>
      <c r="H284" s="484">
        <v>5</v>
      </c>
      <c r="I284" s="484">
        <v>2</v>
      </c>
      <c r="J284" s="484">
        <v>2</v>
      </c>
      <c r="K284" s="482">
        <v>1717.35</v>
      </c>
      <c r="L284" s="482">
        <v>1717.35</v>
      </c>
      <c r="M284" s="482">
        <v>0</v>
      </c>
      <c r="N284" s="484">
        <v>0</v>
      </c>
      <c r="O284" s="482">
        <v>0</v>
      </c>
      <c r="P284" s="482">
        <v>0</v>
      </c>
      <c r="Q284" s="482">
        <v>0</v>
      </c>
    </row>
    <row r="285" spans="1:17" ht="15.75" customHeight="1" x14ac:dyDescent="0.2">
      <c r="A285" s="484">
        <f t="shared" si="4"/>
        <v>277</v>
      </c>
      <c r="B285" s="484" t="s">
        <v>130</v>
      </c>
      <c r="C285" s="516" t="s">
        <v>62</v>
      </c>
      <c r="D285" s="484"/>
      <c r="E285" s="486" t="s">
        <v>74</v>
      </c>
      <c r="F285" s="486" t="s">
        <v>557</v>
      </c>
      <c r="G285" s="510" t="s">
        <v>326</v>
      </c>
      <c r="H285" s="484">
        <v>2</v>
      </c>
      <c r="I285" s="484">
        <v>0</v>
      </c>
      <c r="J285" s="484">
        <v>0</v>
      </c>
      <c r="K285" s="482">
        <v>0</v>
      </c>
      <c r="L285" s="482">
        <v>0</v>
      </c>
      <c r="M285" s="482">
        <v>0</v>
      </c>
      <c r="N285" s="484">
        <v>2</v>
      </c>
      <c r="O285" s="482">
        <v>3700.2</v>
      </c>
      <c r="P285" s="482">
        <v>3700.2</v>
      </c>
      <c r="Q285" s="482">
        <v>0</v>
      </c>
    </row>
    <row r="286" spans="1:17" ht="15.75" customHeight="1" x14ac:dyDescent="0.2">
      <c r="A286" s="484">
        <f t="shared" si="4"/>
        <v>278</v>
      </c>
      <c r="B286" s="484" t="s">
        <v>382</v>
      </c>
      <c r="C286" s="516" t="s">
        <v>62</v>
      </c>
      <c r="D286" s="484"/>
      <c r="E286" s="486" t="s">
        <v>703</v>
      </c>
      <c r="F286" s="486" t="s">
        <v>384</v>
      </c>
      <c r="G286" s="510" t="s">
        <v>326</v>
      </c>
      <c r="H286" s="484">
        <v>1</v>
      </c>
      <c r="I286" s="484">
        <v>1</v>
      </c>
      <c r="J286" s="484">
        <v>1</v>
      </c>
      <c r="K286" s="482">
        <v>704.8</v>
      </c>
      <c r="L286" s="482">
        <v>704.8</v>
      </c>
      <c r="M286" s="482">
        <v>0</v>
      </c>
      <c r="N286" s="484">
        <v>0</v>
      </c>
      <c r="O286" s="482">
        <v>0</v>
      </c>
      <c r="P286" s="482">
        <v>0</v>
      </c>
      <c r="Q286" s="482">
        <v>0</v>
      </c>
    </row>
    <row r="287" spans="1:17" ht="15.75" customHeight="1" x14ac:dyDescent="0.2">
      <c r="A287" s="484">
        <f t="shared" si="4"/>
        <v>279</v>
      </c>
      <c r="B287" s="484" t="s">
        <v>385</v>
      </c>
      <c r="C287" s="516" t="s">
        <v>62</v>
      </c>
      <c r="D287" s="484"/>
      <c r="E287" s="486" t="s">
        <v>675</v>
      </c>
      <c r="F287" s="486" t="s">
        <v>386</v>
      </c>
      <c r="G287" s="510" t="s">
        <v>326</v>
      </c>
      <c r="H287" s="484">
        <v>14</v>
      </c>
      <c r="I287" s="484">
        <v>7</v>
      </c>
      <c r="J287" s="484">
        <v>7</v>
      </c>
      <c r="K287" s="482">
        <v>4184.75</v>
      </c>
      <c r="L287" s="482">
        <v>4184.75</v>
      </c>
      <c r="M287" s="482">
        <v>0</v>
      </c>
      <c r="N287" s="484">
        <v>18</v>
      </c>
      <c r="O287" s="482">
        <v>9602.9</v>
      </c>
      <c r="P287" s="482">
        <v>9602.9</v>
      </c>
      <c r="Q287" s="482">
        <v>0</v>
      </c>
    </row>
    <row r="288" spans="1:17" ht="15.75" customHeight="1" x14ac:dyDescent="0.2">
      <c r="A288" s="484">
        <f t="shared" si="4"/>
        <v>280</v>
      </c>
      <c r="B288" s="564" t="s">
        <v>19</v>
      </c>
      <c r="C288" s="565" t="s">
        <v>62</v>
      </c>
      <c r="D288" s="289"/>
      <c r="E288" s="490" t="s">
        <v>671</v>
      </c>
      <c r="F288" s="566" t="s">
        <v>394</v>
      </c>
      <c r="G288" s="289" t="s">
        <v>395</v>
      </c>
      <c r="H288" s="289">
        <v>1</v>
      </c>
      <c r="I288" s="289">
        <v>0</v>
      </c>
      <c r="J288" s="491">
        <v>0</v>
      </c>
      <c r="K288" s="567">
        <v>0</v>
      </c>
      <c r="L288" s="567">
        <v>0</v>
      </c>
      <c r="M288" s="482">
        <v>0</v>
      </c>
      <c r="N288" s="371">
        <v>0</v>
      </c>
      <c r="O288" s="492">
        <v>0</v>
      </c>
      <c r="P288" s="492">
        <v>0</v>
      </c>
      <c r="Q288" s="482">
        <v>0</v>
      </c>
    </row>
    <row r="289" spans="1:17" ht="15.75" customHeight="1" x14ac:dyDescent="0.2">
      <c r="A289" s="484">
        <f t="shared" si="4"/>
        <v>281</v>
      </c>
      <c r="B289" s="564" t="s">
        <v>90</v>
      </c>
      <c r="C289" s="565" t="s">
        <v>62</v>
      </c>
      <c r="D289" s="564"/>
      <c r="E289" s="490" t="s">
        <v>689</v>
      </c>
      <c r="F289" s="566" t="s">
        <v>396</v>
      </c>
      <c r="G289" s="564" t="s">
        <v>395</v>
      </c>
      <c r="H289" s="564">
        <v>9</v>
      </c>
      <c r="I289" s="564">
        <v>9</v>
      </c>
      <c r="J289" s="564">
        <v>9</v>
      </c>
      <c r="K289" s="567">
        <v>11276.8</v>
      </c>
      <c r="L289" s="567">
        <v>11276.8</v>
      </c>
      <c r="M289" s="482">
        <v>0</v>
      </c>
      <c r="N289" s="564">
        <v>20</v>
      </c>
      <c r="O289" s="567">
        <v>28791.88</v>
      </c>
      <c r="P289" s="567">
        <v>28791.88</v>
      </c>
      <c r="Q289" s="482">
        <v>0</v>
      </c>
    </row>
    <row r="290" spans="1:17" ht="15.75" customHeight="1" x14ac:dyDescent="0.2">
      <c r="A290" s="484">
        <f t="shared" si="4"/>
        <v>282</v>
      </c>
      <c r="B290" s="289" t="s">
        <v>133</v>
      </c>
      <c r="C290" s="493" t="s">
        <v>67</v>
      </c>
      <c r="D290" s="484" t="s">
        <v>494</v>
      </c>
      <c r="E290" s="486" t="s">
        <v>158</v>
      </c>
      <c r="F290" s="566" t="s">
        <v>398</v>
      </c>
      <c r="G290" s="564" t="s">
        <v>395</v>
      </c>
      <c r="H290" s="564">
        <v>12</v>
      </c>
      <c r="I290" s="564">
        <v>5</v>
      </c>
      <c r="J290" s="564">
        <v>5</v>
      </c>
      <c r="K290" s="567">
        <v>7688.8</v>
      </c>
      <c r="L290" s="567">
        <v>7688.8</v>
      </c>
      <c r="M290" s="482">
        <v>0</v>
      </c>
      <c r="N290" s="564">
        <v>9</v>
      </c>
      <c r="O290" s="567">
        <v>12473.03</v>
      </c>
      <c r="P290" s="567">
        <v>12473.03</v>
      </c>
      <c r="Q290" s="482">
        <v>0</v>
      </c>
    </row>
    <row r="291" spans="1:17" ht="15.75" customHeight="1" x14ac:dyDescent="0.2">
      <c r="A291" s="484">
        <f t="shared" si="4"/>
        <v>283</v>
      </c>
      <c r="B291" s="564" t="s">
        <v>399</v>
      </c>
      <c r="C291" s="565" t="s">
        <v>62</v>
      </c>
      <c r="D291" s="564"/>
      <c r="E291" s="490" t="s">
        <v>694</v>
      </c>
      <c r="F291" s="566" t="s">
        <v>401</v>
      </c>
      <c r="G291" s="564" t="s">
        <v>395</v>
      </c>
      <c r="H291" s="564">
        <v>31</v>
      </c>
      <c r="I291" s="564">
        <v>10</v>
      </c>
      <c r="J291" s="564">
        <v>10</v>
      </c>
      <c r="K291" s="567">
        <v>11834.6</v>
      </c>
      <c r="L291" s="567">
        <v>11834.6</v>
      </c>
      <c r="M291" s="482">
        <v>0</v>
      </c>
      <c r="N291" s="564">
        <v>0</v>
      </c>
      <c r="O291" s="567">
        <v>0</v>
      </c>
      <c r="P291" s="567">
        <v>0</v>
      </c>
      <c r="Q291" s="482">
        <v>0</v>
      </c>
    </row>
    <row r="292" spans="1:17" ht="15.75" customHeight="1" x14ac:dyDescent="0.2">
      <c r="A292" s="484">
        <f t="shared" si="4"/>
        <v>284</v>
      </c>
      <c r="B292" s="564" t="s">
        <v>402</v>
      </c>
      <c r="C292" s="565" t="s">
        <v>62</v>
      </c>
      <c r="D292" s="564"/>
      <c r="E292" s="486" t="s">
        <v>158</v>
      </c>
      <c r="F292" s="566" t="s">
        <v>403</v>
      </c>
      <c r="G292" s="564" t="s">
        <v>395</v>
      </c>
      <c r="H292" s="564">
        <v>2</v>
      </c>
      <c r="I292" s="564">
        <v>2</v>
      </c>
      <c r="J292" s="564">
        <v>2</v>
      </c>
      <c r="K292" s="567">
        <v>3815.95</v>
      </c>
      <c r="L292" s="567">
        <v>3815.95</v>
      </c>
      <c r="M292" s="482">
        <v>0</v>
      </c>
      <c r="N292" s="564">
        <v>0</v>
      </c>
      <c r="O292" s="567">
        <v>0</v>
      </c>
      <c r="P292" s="567">
        <v>0</v>
      </c>
      <c r="Q292" s="482">
        <v>0</v>
      </c>
    </row>
    <row r="293" spans="1:17" ht="15.75" customHeight="1" x14ac:dyDescent="0.2">
      <c r="A293" s="484">
        <f t="shared" si="4"/>
        <v>285</v>
      </c>
      <c r="B293" s="564" t="s">
        <v>48</v>
      </c>
      <c r="C293" s="565" t="s">
        <v>62</v>
      </c>
      <c r="D293" s="564"/>
      <c r="E293" s="490" t="s">
        <v>671</v>
      </c>
      <c r="F293" s="566" t="s">
        <v>404</v>
      </c>
      <c r="G293" s="564" t="s">
        <v>395</v>
      </c>
      <c r="H293" s="564">
        <v>48</v>
      </c>
      <c r="I293" s="564">
        <v>11</v>
      </c>
      <c r="J293" s="564">
        <v>11</v>
      </c>
      <c r="K293" s="567">
        <v>16179.5</v>
      </c>
      <c r="L293" s="567">
        <v>16179.5</v>
      </c>
      <c r="M293" s="482">
        <v>0</v>
      </c>
      <c r="N293" s="564">
        <v>21</v>
      </c>
      <c r="O293" s="567">
        <v>53288.82</v>
      </c>
      <c r="P293" s="567">
        <v>53288.82</v>
      </c>
      <c r="Q293" s="482">
        <v>0</v>
      </c>
    </row>
    <row r="294" spans="1:17" ht="15.75" customHeight="1" x14ac:dyDescent="0.2">
      <c r="A294" s="484">
        <f t="shared" si="4"/>
        <v>286</v>
      </c>
      <c r="B294" s="564" t="s">
        <v>39</v>
      </c>
      <c r="C294" s="565" t="s">
        <v>62</v>
      </c>
      <c r="D294" s="564"/>
      <c r="E294" s="490" t="s">
        <v>694</v>
      </c>
      <c r="F294" s="566" t="s">
        <v>405</v>
      </c>
      <c r="G294" s="564" t="s">
        <v>395</v>
      </c>
      <c r="H294" s="564">
        <v>33</v>
      </c>
      <c r="I294" s="564">
        <v>3</v>
      </c>
      <c r="J294" s="564">
        <v>3</v>
      </c>
      <c r="K294" s="567">
        <v>3866.1</v>
      </c>
      <c r="L294" s="567">
        <v>3866.1</v>
      </c>
      <c r="M294" s="482">
        <v>0</v>
      </c>
      <c r="N294" s="564">
        <v>13</v>
      </c>
      <c r="O294" s="567">
        <v>23040.3</v>
      </c>
      <c r="P294" s="567">
        <v>23040.3</v>
      </c>
      <c r="Q294" s="482">
        <v>0</v>
      </c>
    </row>
    <row r="295" spans="1:17" ht="15.75" customHeight="1" x14ac:dyDescent="0.2">
      <c r="A295" s="484">
        <f t="shared" si="4"/>
        <v>287</v>
      </c>
      <c r="B295" s="564" t="s">
        <v>127</v>
      </c>
      <c r="C295" s="565" t="s">
        <v>62</v>
      </c>
      <c r="D295" s="564"/>
      <c r="E295" s="486" t="s">
        <v>158</v>
      </c>
      <c r="F295" s="566" t="s">
        <v>406</v>
      </c>
      <c r="G295" s="564" t="s">
        <v>395</v>
      </c>
      <c r="H295" s="564">
        <v>0</v>
      </c>
      <c r="I295" s="564">
        <v>0</v>
      </c>
      <c r="J295" s="564">
        <v>0</v>
      </c>
      <c r="K295" s="567">
        <v>0</v>
      </c>
      <c r="L295" s="567">
        <v>0</v>
      </c>
      <c r="M295" s="482">
        <v>0</v>
      </c>
      <c r="N295" s="564">
        <v>1</v>
      </c>
      <c r="O295" s="567">
        <v>264.3</v>
      </c>
      <c r="P295" s="567">
        <v>264.3</v>
      </c>
      <c r="Q295" s="482">
        <v>0</v>
      </c>
    </row>
    <row r="296" spans="1:17" ht="15.75" customHeight="1" x14ac:dyDescent="0.2">
      <c r="A296" s="484">
        <f t="shared" si="4"/>
        <v>288</v>
      </c>
      <c r="B296" s="564" t="s">
        <v>561</v>
      </c>
      <c r="C296" s="565" t="s">
        <v>62</v>
      </c>
      <c r="D296" s="564"/>
      <c r="E296" s="490" t="s">
        <v>671</v>
      </c>
      <c r="F296" s="566" t="s">
        <v>562</v>
      </c>
      <c r="G296" s="564" t="s">
        <v>395</v>
      </c>
      <c r="H296" s="564">
        <v>31</v>
      </c>
      <c r="I296" s="564">
        <v>0</v>
      </c>
      <c r="J296" s="564">
        <v>0</v>
      </c>
      <c r="K296" s="567">
        <v>0</v>
      </c>
      <c r="L296" s="567">
        <v>0</v>
      </c>
      <c r="M296" s="482">
        <v>0</v>
      </c>
      <c r="N296" s="564">
        <v>0</v>
      </c>
      <c r="O296" s="567">
        <v>0</v>
      </c>
      <c r="P296" s="567">
        <v>0</v>
      </c>
      <c r="Q296" s="482">
        <v>0</v>
      </c>
    </row>
    <row r="297" spans="1:17" ht="15.75" customHeight="1" x14ac:dyDescent="0.2">
      <c r="A297" s="484">
        <f t="shared" si="4"/>
        <v>289</v>
      </c>
      <c r="B297" s="564" t="s">
        <v>563</v>
      </c>
      <c r="C297" s="565" t="s">
        <v>62</v>
      </c>
      <c r="D297" s="564"/>
      <c r="E297" s="490" t="s">
        <v>671</v>
      </c>
      <c r="F297" s="566" t="s">
        <v>564</v>
      </c>
      <c r="G297" s="564" t="s">
        <v>395</v>
      </c>
      <c r="H297" s="564">
        <v>35</v>
      </c>
      <c r="I297" s="564">
        <v>0</v>
      </c>
      <c r="J297" s="564">
        <v>1</v>
      </c>
      <c r="K297" s="567">
        <v>2643</v>
      </c>
      <c r="L297" s="567">
        <v>2643</v>
      </c>
      <c r="M297" s="482">
        <v>0</v>
      </c>
      <c r="N297" s="564">
        <v>0</v>
      </c>
      <c r="O297" s="567">
        <v>0</v>
      </c>
      <c r="P297" s="567">
        <v>0</v>
      </c>
      <c r="Q297" s="482">
        <v>0</v>
      </c>
    </row>
    <row r="298" spans="1:17" ht="15.75" customHeight="1" x14ac:dyDescent="0.2">
      <c r="A298" s="484">
        <f t="shared" si="4"/>
        <v>290</v>
      </c>
      <c r="B298" s="564" t="s">
        <v>53</v>
      </c>
      <c r="C298" s="565" t="s">
        <v>62</v>
      </c>
      <c r="D298" s="564"/>
      <c r="E298" s="486" t="s">
        <v>158</v>
      </c>
      <c r="F298" s="566" t="s">
        <v>634</v>
      </c>
      <c r="G298" s="564" t="s">
        <v>395</v>
      </c>
      <c r="H298" s="564">
        <v>17</v>
      </c>
      <c r="I298" s="564">
        <v>1</v>
      </c>
      <c r="J298" s="564">
        <v>1</v>
      </c>
      <c r="K298" s="567">
        <v>920.5</v>
      </c>
      <c r="L298" s="567">
        <v>920.5</v>
      </c>
      <c r="M298" s="482">
        <v>0</v>
      </c>
      <c r="N298" s="371">
        <v>0</v>
      </c>
      <c r="O298" s="492">
        <v>0</v>
      </c>
      <c r="P298" s="492">
        <v>0</v>
      </c>
      <c r="Q298" s="482">
        <v>0</v>
      </c>
    </row>
  </sheetData>
  <autoFilter ref="A8:IV298"/>
  <pageMargins left="0.75" right="0.75" top="1" bottom="1" header="0.5" footer="0.5"/>
  <pageSetup paperSize="9" orientation="portrait" vertic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25</vt:i4>
      </vt:variant>
    </vt:vector>
  </HeadingPairs>
  <TitlesOfParts>
    <vt:vector size="25" baseType="lpstr">
      <vt:lpstr>2018-12-31</vt:lpstr>
      <vt:lpstr>2018-12-24</vt:lpstr>
      <vt:lpstr>2018-12-17</vt:lpstr>
      <vt:lpstr>2018-12-10</vt:lpstr>
      <vt:lpstr>2018-12-03</vt:lpstr>
      <vt:lpstr>2018-11-26</vt:lpstr>
      <vt:lpstr>2018-11-19</vt:lpstr>
      <vt:lpstr>2018-11-12</vt:lpstr>
      <vt:lpstr>2018-11-05</vt:lpstr>
      <vt:lpstr>2018-10-29</vt:lpstr>
      <vt:lpstr>2018-10-22</vt:lpstr>
      <vt:lpstr>2018-09-17</vt:lpstr>
      <vt:lpstr>2018-09-10</vt:lpstr>
      <vt:lpstr>2018-09-03</vt:lpstr>
      <vt:lpstr>2018-08-27</vt:lpstr>
      <vt:lpstr>2018-08-20</vt:lpstr>
      <vt:lpstr>2018-08-06</vt:lpstr>
      <vt:lpstr>2018-07-30</vt:lpstr>
      <vt:lpstr>2018-07-23</vt:lpstr>
      <vt:lpstr>2018-06-25</vt:lpstr>
      <vt:lpstr>2018-06-18</vt:lpstr>
      <vt:lpstr>2018-06-11</vt:lpstr>
      <vt:lpstr>2018-06-04</vt:lpstr>
      <vt:lpstr>2018-05-29</vt:lpstr>
      <vt:lpstr>2018-04-23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ЩОКОТОВА Олександра</dc:creator>
  <cp:lastModifiedBy>Microsoft Office</cp:lastModifiedBy>
  <dcterms:created xsi:type="dcterms:W3CDTF">2006-09-16T00:00:00Z</dcterms:created>
  <dcterms:modified xsi:type="dcterms:W3CDTF">2019-01-09T12:46:15Z</dcterms:modified>
</cp:coreProperties>
</file>